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45" yWindow="0" windowWidth="20730" windowHeight="11655" activeTab="5"/>
  </bookViews>
  <sheets>
    <sheet name="7PSourceSummary" sheetId="36" r:id="rId1"/>
    <sheet name="forRPM" sheetId="40" r:id="rId2"/>
    <sheet name="SC-New" sheetId="6" r:id="rId3"/>
    <sheet name="SC-New (2)" sheetId="34" r:id="rId4"/>
    <sheet name="SC-NR" sheetId="7" r:id="rId5"/>
    <sheet name="SC-NR (2)" sheetId="35" r:id="rId6"/>
    <sheet name="M_Input_Out" sheetId="39" r:id="rId7"/>
    <sheet name="M_Input" sheetId="3" r:id="rId8"/>
    <sheet name="Composite" sheetId="2" r:id="rId9"/>
    <sheet name="RawRTF" sheetId="17" r:id="rId10"/>
    <sheet name="Measure Development" sheetId="15" r:id="rId11"/>
    <sheet name="Cost Summary" sheetId="30" r:id="rId12"/>
    <sheet name="Cost - Standard FridgeFreezer" sheetId="26" r:id="rId13"/>
    <sheet name="Cost - Standard Freezer" sheetId="31" r:id="rId14"/>
    <sheet name="Cost - Compact FridgeFreezer" sheetId="32" r:id="rId15"/>
    <sheet name="Cost - Compact Freezer" sheetId="33" r:id="rId16"/>
    <sheet name="CEC analysis" sheetId="29" r:id="rId17"/>
    <sheet name="CEC DB for analysis" sheetId="28" r:id="rId18"/>
    <sheet name="ENERGY STAR - Res Refrigerators" sheetId="23" r:id="rId19"/>
    <sheet name="Federal Standards" sheetId="27" r:id="rId20"/>
    <sheet name="Lifetime" sheetId="25" r:id="rId21"/>
    <sheet name="HVAC Interaction" sheetId="24" r:id="rId22"/>
  </sheets>
  <functionGroups/>
  <externalReferences>
    <externalReference r:id="rId23"/>
    <externalReference r:id="rId24"/>
  </externalReferences>
  <definedNames>
    <definedName name="_xlnm._FilterDatabase" localSheetId="17" hidden="1">'CEC DB for analysis'!$A$8:$AH$544</definedName>
    <definedName name="_xlnm._FilterDatabase" localSheetId="21" hidden="1">'HVAC Interaction'!$A$21:$M$2577</definedName>
    <definedName name="_Key1" localSheetId="0" hidden="1">#REF!</definedName>
    <definedName name="_Key1" localSheetId="16" hidden="1">#REF!</definedName>
    <definedName name="_Key1" localSheetId="17" hidden="1">#REF!</definedName>
    <definedName name="_Key1" localSheetId="15" hidden="1">#REF!</definedName>
    <definedName name="_Key1" localSheetId="14" hidden="1">#REF!</definedName>
    <definedName name="_Key1" localSheetId="13" hidden="1">#REF!</definedName>
    <definedName name="_Key1" localSheetId="12" hidden="1">#REF!</definedName>
    <definedName name="_Key1" localSheetId="11" hidden="1">#REF!</definedName>
    <definedName name="_Key1" localSheetId="19" hidden="1">#REF!</definedName>
    <definedName name="_Key1" localSheetId="1" hidden="1">#REF!</definedName>
    <definedName name="_Key1" localSheetId="21" hidden="1">#REF!</definedName>
    <definedName name="_Key1" localSheetId="20" hidden="1">#REF!</definedName>
    <definedName name="_Key1" localSheetId="10" hidden="1">#REF!</definedName>
    <definedName name="_Key1" localSheetId="9" hidden="1">#REF!</definedName>
    <definedName name="_Key1" localSheetId="2" hidden="1">#REF!</definedName>
    <definedName name="_Key1" localSheetId="3" hidden="1">#REF!</definedName>
    <definedName name="_Key1" localSheetId="4" hidden="1">#REF!</definedName>
    <definedName name="_Key1" localSheetId="5" hidden="1">#REF!</definedName>
    <definedName name="_Key1" hidden="1">#REF!</definedName>
    <definedName name="_Order1" hidden="1">255</definedName>
    <definedName name="_Sort" localSheetId="0" hidden="1">#REF!</definedName>
    <definedName name="_Sort" localSheetId="16" hidden="1">#REF!</definedName>
    <definedName name="_Sort" localSheetId="17" hidden="1">#REF!</definedName>
    <definedName name="_Sort" localSheetId="15" hidden="1">#REF!</definedName>
    <definedName name="_Sort" localSheetId="14" hidden="1">#REF!</definedName>
    <definedName name="_Sort" localSheetId="13" hidden="1">#REF!</definedName>
    <definedName name="_Sort" localSheetId="12" hidden="1">#REF!</definedName>
    <definedName name="_Sort" localSheetId="11" hidden="1">#REF!</definedName>
    <definedName name="_Sort" localSheetId="19" hidden="1">#REF!</definedName>
    <definedName name="_Sort" localSheetId="1" hidden="1">#REF!</definedName>
    <definedName name="_Sort" localSheetId="21" hidden="1">#REF!</definedName>
    <definedName name="_Sort" localSheetId="20" hidden="1">#REF!</definedName>
    <definedName name="_Sort" localSheetId="10" hidden="1">#REF!</definedName>
    <definedName name="_Sort" localSheetId="9" hidden="1">#REF!</definedName>
    <definedName name="_Sort" localSheetId="2" hidden="1">#REF!</definedName>
    <definedName name="_Sort" localSheetId="3" hidden="1">#REF!</definedName>
    <definedName name="_Sort" localSheetId="4" hidden="1">#REF!</definedName>
    <definedName name="_Sort" localSheetId="5" hidden="1">#REF!</definedName>
    <definedName name="_Sort" hidden="1">#REF!</definedName>
    <definedName name="anscount" hidden="1">1</definedName>
    <definedName name="CBWorkbookPriority" hidden="1">-738590518</definedName>
    <definedName name="limcount" hidden="1">1</definedName>
    <definedName name="list_Classes">'Federal Standards'!$N$9:$N$50</definedName>
    <definedName name="MeasureOutput">M_Input_Out!$A$4:$AM$100</definedName>
    <definedName name="ResBase">'[1]Res Forecast (Base Case)'!$C$14:$BD$61</definedName>
    <definedName name="sencount" hidden="1">1</definedName>
    <definedName name="sort" localSheetId="1" hidden="1">#REF!</definedName>
    <definedName name="sort" hidden="1">#REF!</definedName>
  </definedNames>
  <calcPr calcId="125725"/>
</workbook>
</file>

<file path=xl/calcChain.xml><?xml version="1.0" encoding="utf-8"?>
<calcChain xmlns="http://schemas.openxmlformats.org/spreadsheetml/2006/main">
  <c r="D9" i="6"/>
  <c r="D8"/>
  <c r="D9" i="34"/>
  <c r="D8"/>
  <c r="D9" i="7"/>
  <c r="D8"/>
  <c r="D9" i="35"/>
  <c r="D8"/>
  <c r="C8"/>
  <c r="A9" s="1"/>
  <c r="E31" i="40" s="1"/>
  <c r="C8" i="7"/>
  <c r="A9" s="1"/>
  <c r="E27" i="40" s="1"/>
  <c r="C8" i="34"/>
  <c r="A9" s="1"/>
  <c r="E15" i="40" s="1"/>
  <c r="C8" i="6"/>
  <c r="A9" s="1"/>
  <c r="E11" i="40" s="1"/>
  <c r="W23" i="24"/>
  <c r="E6" i="40" l="1"/>
  <c r="E10"/>
  <c r="E14"/>
  <c r="E18"/>
  <c r="E22"/>
  <c r="E26"/>
  <c r="E30"/>
  <c r="E34"/>
  <c r="E5"/>
  <c r="E9"/>
  <c r="E13"/>
  <c r="E17"/>
  <c r="E21"/>
  <c r="E25"/>
  <c r="E29"/>
  <c r="E33"/>
  <c r="E4"/>
  <c r="E8"/>
  <c r="E12"/>
  <c r="E16"/>
  <c r="E20"/>
  <c r="E24"/>
  <c r="E28"/>
  <c r="E32"/>
  <c r="E3"/>
  <c r="E7"/>
  <c r="E19"/>
  <c r="E23"/>
  <c r="AA124" i="28"/>
  <c r="AA89"/>
  <c r="G33" i="26" l="1"/>
  <c r="G32"/>
  <c r="AA37" i="28"/>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A77"/>
  <c r="AA78"/>
  <c r="AA79"/>
  <c r="AA80"/>
  <c r="AA81"/>
  <c r="AA82"/>
  <c r="AA83"/>
  <c r="AA84"/>
  <c r="AA85"/>
  <c r="AA86"/>
  <c r="AA87"/>
  <c r="AA88"/>
  <c r="AA90"/>
  <c r="AA91"/>
  <c r="AA92"/>
  <c r="AA93"/>
  <c r="AA94"/>
  <c r="AA95"/>
  <c r="AA96"/>
  <c r="AA97"/>
  <c r="AA98"/>
  <c r="AA99"/>
  <c r="AA100"/>
  <c r="AA101"/>
  <c r="AA102"/>
  <c r="AA103"/>
  <c r="AA104"/>
  <c r="AA105"/>
  <c r="AA106"/>
  <c r="AA107"/>
  <c r="AA108"/>
  <c r="AA109"/>
  <c r="AA110"/>
  <c r="AA111"/>
  <c r="AA112"/>
  <c r="AA113"/>
  <c r="AA114"/>
  <c r="AA115"/>
  <c r="AA116"/>
  <c r="AA117"/>
  <c r="AA118"/>
  <c r="AA119"/>
  <c r="AA120"/>
  <c r="AA121"/>
  <c r="AA122"/>
  <c r="AA123"/>
  <c r="AA125"/>
  <c r="AA126"/>
  <c r="AA127"/>
  <c r="AA128"/>
  <c r="AA129"/>
  <c r="AA130"/>
  <c r="AA131"/>
  <c r="AA132"/>
  <c r="AA133"/>
  <c r="AA134"/>
  <c r="AA135"/>
  <c r="AA136"/>
  <c r="AA137"/>
  <c r="AA138"/>
  <c r="AA139"/>
  <c r="AA140"/>
  <c r="AA141"/>
  <c r="AA142"/>
  <c r="AA143"/>
  <c r="AA144"/>
  <c r="AA145"/>
  <c r="AA146"/>
  <c r="AA147"/>
  <c r="AA148"/>
  <c r="AA149"/>
  <c r="AA150"/>
  <c r="AA151"/>
  <c r="AA152"/>
  <c r="AA153"/>
  <c r="AA154"/>
  <c r="AA155"/>
  <c r="AA156"/>
  <c r="AA157"/>
  <c r="AA158"/>
  <c r="AA159"/>
  <c r="AA160"/>
  <c r="AA161"/>
  <c r="AA162"/>
  <c r="AA163"/>
  <c r="AA164"/>
  <c r="AA165"/>
  <c r="AA166"/>
  <c r="AA167"/>
  <c r="AA168"/>
  <c r="AA169"/>
  <c r="AA170"/>
  <c r="AA171"/>
  <c r="AA172"/>
  <c r="AA173"/>
  <c r="AA174"/>
  <c r="AA175"/>
  <c r="AA176"/>
  <c r="AA177"/>
  <c r="AA178"/>
  <c r="AA179"/>
  <c r="AA180"/>
  <c r="AA181"/>
  <c r="AA182"/>
  <c r="AA183"/>
  <c r="AA184"/>
  <c r="AA185"/>
  <c r="AA186"/>
  <c r="AA187"/>
  <c r="AA188"/>
  <c r="AA189"/>
  <c r="AA190"/>
  <c r="AA191"/>
  <c r="AA192"/>
  <c r="AA193"/>
  <c r="AA194"/>
  <c r="AA195"/>
  <c r="AA196"/>
  <c r="AA197"/>
  <c r="AA198"/>
  <c r="AA199"/>
  <c r="AA200"/>
  <c r="AA201"/>
  <c r="AA202"/>
  <c r="AA203"/>
  <c r="AA204"/>
  <c r="AA205"/>
  <c r="AA206"/>
  <c r="AA207"/>
  <c r="AA208"/>
  <c r="AA209"/>
  <c r="AA210"/>
  <c r="AA211"/>
  <c r="AA212"/>
  <c r="AA213"/>
  <c r="AA214"/>
  <c r="AA215"/>
  <c r="AA216"/>
  <c r="AA217"/>
  <c r="AA218"/>
  <c r="AA219"/>
  <c r="AA220"/>
  <c r="AA221"/>
  <c r="AA222"/>
  <c r="AA223"/>
  <c r="AA224"/>
  <c r="AA225"/>
  <c r="AA226"/>
  <c r="AA227"/>
  <c r="AA228"/>
  <c r="AA229"/>
  <c r="AA230"/>
  <c r="AA231"/>
  <c r="AA232"/>
  <c r="AA233"/>
  <c r="AA234"/>
  <c r="AA235"/>
  <c r="AA236"/>
  <c r="AA237"/>
  <c r="AA238"/>
  <c r="AA239"/>
  <c r="AA240"/>
  <c r="AA241"/>
  <c r="AA242"/>
  <c r="AA243"/>
  <c r="AA244"/>
  <c r="AA245"/>
  <c r="AA246"/>
  <c r="AA247"/>
  <c r="AA248"/>
  <c r="AA249"/>
  <c r="AA250"/>
  <c r="AA251"/>
  <c r="AA252"/>
  <c r="AA253"/>
  <c r="AA254"/>
  <c r="AA255"/>
  <c r="AA256"/>
  <c r="AA257"/>
  <c r="AA258"/>
  <c r="AA259"/>
  <c r="AA260"/>
  <c r="AA261"/>
  <c r="AA262"/>
  <c r="AA263"/>
  <c r="AA264"/>
  <c r="AA265"/>
  <c r="AA266"/>
  <c r="AA267"/>
  <c r="AA268"/>
  <c r="AA269"/>
  <c r="AA270"/>
  <c r="AA271"/>
  <c r="AA272"/>
  <c r="AA273"/>
  <c r="AA274"/>
  <c r="AA275"/>
  <c r="AA276"/>
  <c r="AA277"/>
  <c r="AA278"/>
  <c r="AA279"/>
  <c r="AA280"/>
  <c r="AA281"/>
  <c r="AA282"/>
  <c r="AA283"/>
  <c r="AA284"/>
  <c r="AA285"/>
  <c r="AA286"/>
  <c r="AA287"/>
  <c r="AA288"/>
  <c r="AA289"/>
  <c r="AA290"/>
  <c r="AA291"/>
  <c r="AA292"/>
  <c r="AA293"/>
  <c r="AA294"/>
  <c r="AA295"/>
  <c r="AA296"/>
  <c r="AA297"/>
  <c r="AA298"/>
  <c r="AA299"/>
  <c r="AA300"/>
  <c r="AA301"/>
  <c r="AA302"/>
  <c r="AA303"/>
  <c r="AA304"/>
  <c r="AA305"/>
  <c r="AA306"/>
  <c r="AA307"/>
  <c r="AA308"/>
  <c r="AA309"/>
  <c r="AA310"/>
  <c r="AA311"/>
  <c r="AA312"/>
  <c r="AA313"/>
  <c r="AA314"/>
  <c r="AA315"/>
  <c r="AA316"/>
  <c r="AA317"/>
  <c r="AA318"/>
  <c r="AA319"/>
  <c r="AA320"/>
  <c r="AA321"/>
  <c r="AA322"/>
  <c r="AA323"/>
  <c r="AA324"/>
  <c r="AA325"/>
  <c r="AA326"/>
  <c r="AA327"/>
  <c r="AA328"/>
  <c r="AA329"/>
  <c r="AA330"/>
  <c r="AA331"/>
  <c r="AA332"/>
  <c r="AA333"/>
  <c r="AA334"/>
  <c r="AA335"/>
  <c r="AA336"/>
  <c r="AA337"/>
  <c r="AA338"/>
  <c r="AA339"/>
  <c r="AA340"/>
  <c r="AA341"/>
  <c r="AA342"/>
  <c r="AA343"/>
  <c r="AA344"/>
  <c r="AA345"/>
  <c r="AA346"/>
  <c r="AA347"/>
  <c r="AA348"/>
  <c r="AA349"/>
  <c r="AA350"/>
  <c r="AA351"/>
  <c r="AA352"/>
  <c r="AA353"/>
  <c r="AA354"/>
  <c r="AA355"/>
  <c r="AA356"/>
  <c r="AA357"/>
  <c r="AA358"/>
  <c r="AA359"/>
  <c r="AA360"/>
  <c r="AA361"/>
  <c r="AA362"/>
  <c r="AA363"/>
  <c r="AA364"/>
  <c r="AA365"/>
  <c r="AA366"/>
  <c r="AA367"/>
  <c r="AA368"/>
  <c r="AA369"/>
  <c r="AA370"/>
  <c r="AA371"/>
  <c r="AA372"/>
  <c r="AA373"/>
  <c r="AA374"/>
  <c r="AA375"/>
  <c r="AA376"/>
  <c r="AA377"/>
  <c r="AA378"/>
  <c r="AA379"/>
  <c r="AA380"/>
  <c r="AA381"/>
  <c r="AA382"/>
  <c r="AA383"/>
  <c r="AA384"/>
  <c r="AA385"/>
  <c r="AA386"/>
  <c r="AA387"/>
  <c r="AA388"/>
  <c r="AA389"/>
  <c r="AA390"/>
  <c r="AA391"/>
  <c r="AA392"/>
  <c r="AA393"/>
  <c r="AA394"/>
  <c r="AA395"/>
  <c r="AA396"/>
  <c r="AA397"/>
  <c r="AA398"/>
  <c r="AA399"/>
  <c r="AA400"/>
  <c r="AA401"/>
  <c r="AA402"/>
  <c r="AA403"/>
  <c r="AA404"/>
  <c r="AA405"/>
  <c r="AA406"/>
  <c r="AA407"/>
  <c r="AA408"/>
  <c r="AA409"/>
  <c r="AA410"/>
  <c r="AA411"/>
  <c r="AA412"/>
  <c r="AA413"/>
  <c r="AA414"/>
  <c r="AA415"/>
  <c r="AA416"/>
  <c r="AA417"/>
  <c r="AA418"/>
  <c r="AA419"/>
  <c r="AA420"/>
  <c r="AA421"/>
  <c r="AA422"/>
  <c r="AA423"/>
  <c r="AA424"/>
  <c r="AA425"/>
  <c r="AA426"/>
  <c r="AA427"/>
  <c r="AA428"/>
  <c r="AA429"/>
  <c r="AA430"/>
  <c r="AA431"/>
  <c r="AA432"/>
  <c r="AA433"/>
  <c r="AA434"/>
  <c r="AA435"/>
  <c r="AA436"/>
  <c r="AA437"/>
  <c r="AA438"/>
  <c r="AA439"/>
  <c r="AA440"/>
  <c r="AA441"/>
  <c r="AA442"/>
  <c r="AA443"/>
  <c r="AA444"/>
  <c r="AA445"/>
  <c r="AA446"/>
  <c r="AA447"/>
  <c r="AA448"/>
  <c r="AA449"/>
  <c r="AA450"/>
  <c r="AA451"/>
  <c r="AA452"/>
  <c r="AA453"/>
  <c r="AA454"/>
  <c r="AA455"/>
  <c r="AA456"/>
  <c r="AA457"/>
  <c r="AA458"/>
  <c r="AA459"/>
  <c r="AA460"/>
  <c r="AA461"/>
  <c r="AA462"/>
  <c r="AA463"/>
  <c r="AA464"/>
  <c r="AA465"/>
  <c r="AA466"/>
  <c r="AA467"/>
  <c r="AA468"/>
  <c r="AA469"/>
  <c r="AA470"/>
  <c r="AA471"/>
  <c r="AA472"/>
  <c r="AA473"/>
  <c r="AA474"/>
  <c r="AA475"/>
  <c r="AA476"/>
  <c r="AA477"/>
  <c r="AA478"/>
  <c r="AA479"/>
  <c r="AA480"/>
  <c r="AA481"/>
  <c r="AA482"/>
  <c r="AA483"/>
  <c r="AA484"/>
  <c r="AA485"/>
  <c r="AA486"/>
  <c r="AA487"/>
  <c r="AA488"/>
  <c r="AA489"/>
  <c r="AA490"/>
  <c r="AA491"/>
  <c r="AA492"/>
  <c r="AA493"/>
  <c r="AA494"/>
  <c r="AA495"/>
  <c r="AA496"/>
  <c r="AA497"/>
  <c r="AA498"/>
  <c r="AA499"/>
  <c r="AA500"/>
  <c r="AA501"/>
  <c r="AA502"/>
  <c r="AA503"/>
  <c r="AA504"/>
  <c r="AA505"/>
  <c r="AA506"/>
  <c r="AA507"/>
  <c r="AA508"/>
  <c r="AA509"/>
  <c r="AA510"/>
  <c r="AA511"/>
  <c r="AA512"/>
  <c r="AA513"/>
  <c r="AA514"/>
  <c r="AA515"/>
  <c r="AA516"/>
  <c r="AA517"/>
  <c r="AA518"/>
  <c r="AA519"/>
  <c r="AA520"/>
  <c r="AA521"/>
  <c r="AA522"/>
  <c r="AA523"/>
  <c r="AA524"/>
  <c r="AA525"/>
  <c r="AA526"/>
  <c r="AA527"/>
  <c r="AA528"/>
  <c r="AA529"/>
  <c r="AA530"/>
  <c r="AA531"/>
  <c r="AA532"/>
  <c r="AA533"/>
  <c r="AA534"/>
  <c r="AA535"/>
  <c r="AA536"/>
  <c r="AA537"/>
  <c r="AA538"/>
  <c r="AA539"/>
  <c r="AA540"/>
  <c r="AA541"/>
  <c r="AA542"/>
  <c r="AA543"/>
  <c r="AA544"/>
  <c r="AA545"/>
  <c r="AA546"/>
  <c r="AA547"/>
  <c r="AA548"/>
  <c r="AA549"/>
  <c r="AA550"/>
  <c r="AA551"/>
  <c r="AA552"/>
  <c r="AA553"/>
  <c r="AA554"/>
  <c r="AA555"/>
  <c r="AA556"/>
  <c r="AA557"/>
  <c r="AA558"/>
  <c r="AA559"/>
  <c r="AA560"/>
  <c r="AA561"/>
  <c r="AA562"/>
  <c r="C49" i="15" l="1"/>
  <c r="C48"/>
  <c r="C47"/>
  <c r="C46"/>
  <c r="AA36" i="28"/>
  <c r="AD49" l="1"/>
  <c r="AC49"/>
  <c r="J34" i="40"/>
  <c r="AV34" s="1"/>
  <c r="I34"/>
  <c r="J33"/>
  <c r="I33"/>
  <c r="J32"/>
  <c r="AX32" s="1"/>
  <c r="I32"/>
  <c r="J31"/>
  <c r="BD31" s="1"/>
  <c r="I31"/>
  <c r="C34"/>
  <c r="A34" s="1"/>
  <c r="B34"/>
  <c r="AZ33"/>
  <c r="C33"/>
  <c r="A33" s="1"/>
  <c r="B33"/>
  <c r="C32"/>
  <c r="B32"/>
  <c r="A32" s="1"/>
  <c r="C31"/>
  <c r="A31" s="1"/>
  <c r="B31"/>
  <c r="AM34"/>
  <c r="BD33"/>
  <c r="AX33"/>
  <c r="AS33"/>
  <c r="AM33"/>
  <c r="AG33"/>
  <c r="BB32"/>
  <c r="BA32"/>
  <c r="AT32"/>
  <c r="AS32"/>
  <c r="AK32"/>
  <c r="AJ32"/>
  <c r="BC32"/>
  <c r="F32"/>
  <c r="AZ30"/>
  <c r="AI30"/>
  <c r="J30"/>
  <c r="BA30" s="1"/>
  <c r="I30"/>
  <c r="C30"/>
  <c r="B30"/>
  <c r="BA29"/>
  <c r="AZ29"/>
  <c r="AW29"/>
  <c r="AS29"/>
  <c r="AQ29"/>
  <c r="AN29"/>
  <c r="AJ29"/>
  <c r="AI29"/>
  <c r="AF29"/>
  <c r="J29"/>
  <c r="BB29" s="1"/>
  <c r="I29"/>
  <c r="F29"/>
  <c r="C29"/>
  <c r="B29"/>
  <c r="BB28"/>
  <c r="AW28"/>
  <c r="AQ28"/>
  <c r="AK28"/>
  <c r="AF28"/>
  <c r="J28"/>
  <c r="BC28" s="1"/>
  <c r="I28"/>
  <c r="C28"/>
  <c r="A28" s="1"/>
  <c r="B28"/>
  <c r="J27"/>
  <c r="BD27" s="1"/>
  <c r="I27"/>
  <c r="C27"/>
  <c r="A27" s="1"/>
  <c r="B27"/>
  <c r="J26"/>
  <c r="BA26" s="1"/>
  <c r="I26"/>
  <c r="C26"/>
  <c r="A26" s="1"/>
  <c r="B26"/>
  <c r="J25"/>
  <c r="BB25" s="1"/>
  <c r="I25"/>
  <c r="C25"/>
  <c r="A25" s="1"/>
  <c r="B25"/>
  <c r="AW24"/>
  <c r="AN24"/>
  <c r="AF24"/>
  <c r="J24"/>
  <c r="BC24" s="1"/>
  <c r="I24"/>
  <c r="C24"/>
  <c r="B24"/>
  <c r="J23"/>
  <c r="BC23" s="1"/>
  <c r="I23"/>
  <c r="C23"/>
  <c r="B23"/>
  <c r="J18"/>
  <c r="BD18" s="1"/>
  <c r="I18"/>
  <c r="J17"/>
  <c r="I17"/>
  <c r="J16"/>
  <c r="BD16" s="1"/>
  <c r="I16"/>
  <c r="J15"/>
  <c r="BD15" s="1"/>
  <c r="I15"/>
  <c r="AQ18"/>
  <c r="C18"/>
  <c r="A18" s="1"/>
  <c r="B18"/>
  <c r="AZ17"/>
  <c r="C17"/>
  <c r="A17" s="1"/>
  <c r="B17"/>
  <c r="C16"/>
  <c r="A16" s="1"/>
  <c r="B16"/>
  <c r="C15"/>
  <c r="B15"/>
  <c r="AZ18"/>
  <c r="AM18"/>
  <c r="AW17"/>
  <c r="AN17"/>
  <c r="AF17"/>
  <c r="AZ16"/>
  <c r="AX16"/>
  <c r="AS16"/>
  <c r="AQ16"/>
  <c r="AK16"/>
  <c r="AI16"/>
  <c r="F16"/>
  <c r="AV14"/>
  <c r="AM14"/>
  <c r="J14"/>
  <c r="BA14" s="1"/>
  <c r="I14"/>
  <c r="C14"/>
  <c r="B14"/>
  <c r="AV13"/>
  <c r="AO13"/>
  <c r="J13"/>
  <c r="BC13" s="1"/>
  <c r="I13"/>
  <c r="C13"/>
  <c r="B13"/>
  <c r="BB12"/>
  <c r="AT12"/>
  <c r="AK12"/>
  <c r="J12"/>
  <c r="BC12" s="1"/>
  <c r="I12"/>
  <c r="F12"/>
  <c r="C12"/>
  <c r="A12" s="1"/>
  <c r="B12"/>
  <c r="J11"/>
  <c r="BD11" s="1"/>
  <c r="I11"/>
  <c r="C11"/>
  <c r="A11" s="1"/>
  <c r="B11"/>
  <c r="J10"/>
  <c r="BA10" s="1"/>
  <c r="I10"/>
  <c r="C10"/>
  <c r="A10" s="1"/>
  <c r="B10"/>
  <c r="J9"/>
  <c r="BB9" s="1"/>
  <c r="I9"/>
  <c r="C9"/>
  <c r="A9" s="1"/>
  <c r="B9"/>
  <c r="AN8"/>
  <c r="J8"/>
  <c r="BC8" s="1"/>
  <c r="I8"/>
  <c r="C8"/>
  <c r="B8"/>
  <c r="J7"/>
  <c r="BC7" s="1"/>
  <c r="I7"/>
  <c r="C7"/>
  <c r="A7" s="1"/>
  <c r="B7"/>
  <c r="J22"/>
  <c r="AQ22" s="1"/>
  <c r="I22"/>
  <c r="C22"/>
  <c r="A22" s="1"/>
  <c r="B22"/>
  <c r="J21"/>
  <c r="BA21" s="1"/>
  <c r="I21"/>
  <c r="C21"/>
  <c r="B21"/>
  <c r="J20"/>
  <c r="BB20" s="1"/>
  <c r="I20"/>
  <c r="C20"/>
  <c r="B20"/>
  <c r="J19"/>
  <c r="I19"/>
  <c r="C19"/>
  <c r="A19" s="1"/>
  <c r="B19"/>
  <c r="J6"/>
  <c r="AQ6" s="1"/>
  <c r="I6"/>
  <c r="C6"/>
  <c r="A6" s="1"/>
  <c r="B6"/>
  <c r="J5"/>
  <c r="BA5" s="1"/>
  <c r="I5"/>
  <c r="C5"/>
  <c r="B5"/>
  <c r="J4"/>
  <c r="BB4" s="1"/>
  <c r="I4"/>
  <c r="C4"/>
  <c r="B4"/>
  <c r="J3"/>
  <c r="BD3" s="1"/>
  <c r="I3"/>
  <c r="C3"/>
  <c r="A3" s="1"/>
  <c r="B3"/>
  <c r="AZ21"/>
  <c r="F21"/>
  <c r="BA20"/>
  <c r="AX20"/>
  <c r="AW20"/>
  <c r="AS20"/>
  <c r="AO20"/>
  <c r="AN20"/>
  <c r="AJ20"/>
  <c r="AG20"/>
  <c r="AF20"/>
  <c r="F20"/>
  <c r="BD19"/>
  <c r="F19"/>
  <c r="AN5"/>
  <c r="BA4"/>
  <c r="AX4"/>
  <c r="AW4"/>
  <c r="AS4"/>
  <c r="AO4"/>
  <c r="AN4"/>
  <c r="AJ4"/>
  <c r="AG4"/>
  <c r="AF4"/>
  <c r="F4"/>
  <c r="F3"/>
  <c r="AD2"/>
  <c r="AC2"/>
  <c r="AB2"/>
  <c r="AA2"/>
  <c r="Z2"/>
  <c r="Y2"/>
  <c r="X2"/>
  <c r="W2"/>
  <c r="V2"/>
  <c r="U2"/>
  <c r="T2"/>
  <c r="S2"/>
  <c r="R2"/>
  <c r="Q2"/>
  <c r="P2"/>
  <c r="O2"/>
  <c r="N2"/>
  <c r="M2"/>
  <c r="L2"/>
  <c r="K2"/>
  <c r="L12" i="15"/>
  <c r="L10"/>
  <c r="V46"/>
  <c r="U46"/>
  <c r="T46"/>
  <c r="S46"/>
  <c r="R46"/>
  <c r="Q46"/>
  <c r="P46"/>
  <c r="O46"/>
  <c r="N46"/>
  <c r="M46"/>
  <c r="V45"/>
  <c r="U45"/>
  <c r="T45"/>
  <c r="S45"/>
  <c r="R45"/>
  <c r="Q45"/>
  <c r="P45"/>
  <c r="O45"/>
  <c r="N45"/>
  <c r="M45"/>
  <c r="X44"/>
  <c r="V44"/>
  <c r="U44"/>
  <c r="T44"/>
  <c r="S44"/>
  <c r="R44"/>
  <c r="Q44"/>
  <c r="P44"/>
  <c r="O44"/>
  <c r="N44"/>
  <c r="M44"/>
  <c r="V43"/>
  <c r="U43"/>
  <c r="T43"/>
  <c r="S43"/>
  <c r="R43"/>
  <c r="Q43"/>
  <c r="P43"/>
  <c r="O43"/>
  <c r="N43"/>
  <c r="M43"/>
  <c r="X42"/>
  <c r="V42"/>
  <c r="U42"/>
  <c r="T42"/>
  <c r="S42"/>
  <c r="R42"/>
  <c r="Q42"/>
  <c r="P42"/>
  <c r="O42"/>
  <c r="N42"/>
  <c r="M42"/>
  <c r="V41"/>
  <c r="U41"/>
  <c r="T41"/>
  <c r="S41"/>
  <c r="R41"/>
  <c r="Q41"/>
  <c r="P41"/>
  <c r="O41"/>
  <c r="N41"/>
  <c r="M41"/>
  <c r="X40"/>
  <c r="V40"/>
  <c r="U40"/>
  <c r="T40"/>
  <c r="S40"/>
  <c r="R40"/>
  <c r="Q40"/>
  <c r="P40"/>
  <c r="O40"/>
  <c r="N40"/>
  <c r="M40"/>
  <c r="V39"/>
  <c r="U39"/>
  <c r="T39"/>
  <c r="S39"/>
  <c r="R39"/>
  <c r="Q39"/>
  <c r="P39"/>
  <c r="O39"/>
  <c r="N39"/>
  <c r="M39"/>
  <c r="I39"/>
  <c r="X38"/>
  <c r="V38"/>
  <c r="U38"/>
  <c r="T38"/>
  <c r="S38"/>
  <c r="R38"/>
  <c r="Q38"/>
  <c r="P38"/>
  <c r="O38"/>
  <c r="N38"/>
  <c r="M38"/>
  <c r="V37"/>
  <c r="U37"/>
  <c r="T37"/>
  <c r="S37"/>
  <c r="R37"/>
  <c r="Q37"/>
  <c r="P37"/>
  <c r="O37"/>
  <c r="N37"/>
  <c r="M37"/>
  <c r="J37"/>
  <c r="I37"/>
  <c r="V36"/>
  <c r="U36"/>
  <c r="T36"/>
  <c r="S36"/>
  <c r="R36"/>
  <c r="Q36"/>
  <c r="P36"/>
  <c r="O36"/>
  <c r="N36"/>
  <c r="J36"/>
  <c r="I36"/>
  <c r="V35"/>
  <c r="U35"/>
  <c r="T35"/>
  <c r="S35"/>
  <c r="R35"/>
  <c r="Q35"/>
  <c r="P35"/>
  <c r="O35"/>
  <c r="N35"/>
  <c r="J35"/>
  <c r="I35"/>
  <c r="V34"/>
  <c r="U34"/>
  <c r="T34"/>
  <c r="S34"/>
  <c r="R34"/>
  <c r="Q34"/>
  <c r="P34"/>
  <c r="O34"/>
  <c r="N34"/>
  <c r="J34"/>
  <c r="I34"/>
  <c r="V33"/>
  <c r="U33"/>
  <c r="T33"/>
  <c r="S33"/>
  <c r="R33"/>
  <c r="Q33"/>
  <c r="P33"/>
  <c r="O33"/>
  <c r="N33"/>
  <c r="J33"/>
  <c r="I33"/>
  <c r="V32"/>
  <c r="U32"/>
  <c r="T32"/>
  <c r="S32"/>
  <c r="R32"/>
  <c r="Q32"/>
  <c r="P32"/>
  <c r="O32"/>
  <c r="N32"/>
  <c r="J32"/>
  <c r="I32"/>
  <c r="V31"/>
  <c r="U31"/>
  <c r="T31"/>
  <c r="S31"/>
  <c r="R31"/>
  <c r="Q31"/>
  <c r="P31"/>
  <c r="O31"/>
  <c r="N31"/>
  <c r="J31"/>
  <c r="I31"/>
  <c r="V30"/>
  <c r="U30"/>
  <c r="T30"/>
  <c r="S30"/>
  <c r="R30"/>
  <c r="Q30"/>
  <c r="P30"/>
  <c r="O30"/>
  <c r="N30"/>
  <c r="J30"/>
  <c r="I30"/>
  <c r="V29"/>
  <c r="U29"/>
  <c r="T29"/>
  <c r="S29"/>
  <c r="R29"/>
  <c r="Q29"/>
  <c r="P29"/>
  <c r="O29"/>
  <c r="N29"/>
  <c r="J29"/>
  <c r="I29"/>
  <c r="V28"/>
  <c r="U28"/>
  <c r="T28"/>
  <c r="S28"/>
  <c r="R28"/>
  <c r="Q28"/>
  <c r="P28"/>
  <c r="O28"/>
  <c r="N28"/>
  <c r="J28"/>
  <c r="I28"/>
  <c r="V27"/>
  <c r="U27"/>
  <c r="T27"/>
  <c r="S27"/>
  <c r="R27"/>
  <c r="Q27"/>
  <c r="P27"/>
  <c r="O27"/>
  <c r="N27"/>
  <c r="J27"/>
  <c r="I27"/>
  <c r="X22"/>
  <c r="X46" s="1"/>
  <c r="J22"/>
  <c r="J46" s="1"/>
  <c r="I22"/>
  <c r="I46" s="1"/>
  <c r="X21"/>
  <c r="X45" s="1"/>
  <c r="J21"/>
  <c r="J45" s="1"/>
  <c r="I21"/>
  <c r="I45" s="1"/>
  <c r="X20"/>
  <c r="J20"/>
  <c r="J44" s="1"/>
  <c r="I20"/>
  <c r="I44" s="1"/>
  <c r="X19"/>
  <c r="X43" s="1"/>
  <c r="J19"/>
  <c r="J43" s="1"/>
  <c r="I19"/>
  <c r="I43" s="1"/>
  <c r="X18"/>
  <c r="L18"/>
  <c r="L42" s="1"/>
  <c r="J18"/>
  <c r="J42" s="1"/>
  <c r="I18"/>
  <c r="I42" s="1"/>
  <c r="X17"/>
  <c r="X41" s="1"/>
  <c r="J17"/>
  <c r="J41" s="1"/>
  <c r="I17"/>
  <c r="I41" s="1"/>
  <c r="X16"/>
  <c r="J16"/>
  <c r="J40" s="1"/>
  <c r="I16"/>
  <c r="I40" s="1"/>
  <c r="X15"/>
  <c r="X39" s="1"/>
  <c r="J15"/>
  <c r="J39" s="1"/>
  <c r="I15"/>
  <c r="X14"/>
  <c r="J14"/>
  <c r="J38" s="1"/>
  <c r="I14"/>
  <c r="I38" s="1"/>
  <c r="X13"/>
  <c r="X37" s="1"/>
  <c r="J13"/>
  <c r="I13"/>
  <c r="L11"/>
  <c r="L35" s="1"/>
  <c r="L8"/>
  <c r="L32" s="1"/>
  <c r="L7"/>
  <c r="L31" s="1"/>
  <c r="L6"/>
  <c r="L30" s="1"/>
  <c r="L5"/>
  <c r="L15" s="1"/>
  <c r="L39" s="1"/>
  <c r="L4"/>
  <c r="L28" s="1"/>
  <c r="L3"/>
  <c r="L27" s="1"/>
  <c r="BM5" i="29"/>
  <c r="BL5"/>
  <c r="BK5"/>
  <c r="BJ5"/>
  <c r="BH5"/>
  <c r="BF5"/>
  <c r="BE5"/>
  <c r="BC5"/>
  <c r="BB5"/>
  <c r="BA5"/>
  <c r="AY5"/>
  <c r="AX5"/>
  <c r="AW5"/>
  <c r="AV5"/>
  <c r="AU5"/>
  <c r="AT5"/>
  <c r="AI5"/>
  <c r="AH5"/>
  <c r="AA5"/>
  <c r="AO5" s="1"/>
  <c r="Z5"/>
  <c r="AN5" s="1"/>
  <c r="U5"/>
  <c r="T5"/>
  <c r="S5"/>
  <c r="N5"/>
  <c r="M5"/>
  <c r="L5"/>
  <c r="AB562" i="28"/>
  <c r="Z562"/>
  <c r="AB561"/>
  <c r="Z561"/>
  <c r="AB560"/>
  <c r="Z560"/>
  <c r="AB559"/>
  <c r="Z559"/>
  <c r="AB558"/>
  <c r="Z558"/>
  <c r="AB557"/>
  <c r="Z557"/>
  <c r="AB556"/>
  <c r="Z556"/>
  <c r="AB555"/>
  <c r="Z555"/>
  <c r="AB554"/>
  <c r="Z554"/>
  <c r="AB553"/>
  <c r="Z553"/>
  <c r="AB552"/>
  <c r="Z552"/>
  <c r="AB551"/>
  <c r="Z551"/>
  <c r="AB550"/>
  <c r="Z550"/>
  <c r="AB549"/>
  <c r="Z549"/>
  <c r="AB548"/>
  <c r="Z548"/>
  <c r="AB547"/>
  <c r="Z547"/>
  <c r="AB546"/>
  <c r="Z546"/>
  <c r="AB545"/>
  <c r="Z545"/>
  <c r="AB544"/>
  <c r="Z544"/>
  <c r="AB543"/>
  <c r="Z543"/>
  <c r="AB542"/>
  <c r="Z542"/>
  <c r="AB541"/>
  <c r="Z541"/>
  <c r="AB540"/>
  <c r="Z540"/>
  <c r="AB539"/>
  <c r="Z539"/>
  <c r="AB538"/>
  <c r="Z538"/>
  <c r="AB537"/>
  <c r="Z537"/>
  <c r="AB536"/>
  <c r="Z536"/>
  <c r="AB535"/>
  <c r="Z535"/>
  <c r="AB534"/>
  <c r="Z534"/>
  <c r="AB533"/>
  <c r="Z533"/>
  <c r="AB532"/>
  <c r="Z532"/>
  <c r="AB531"/>
  <c r="Z531"/>
  <c r="AB530"/>
  <c r="Z530"/>
  <c r="AB529"/>
  <c r="Z529"/>
  <c r="AB528"/>
  <c r="Z528"/>
  <c r="AB527"/>
  <c r="Z527"/>
  <c r="AB526"/>
  <c r="Z526"/>
  <c r="AB525"/>
  <c r="Z525"/>
  <c r="AB524"/>
  <c r="Z524"/>
  <c r="AB523"/>
  <c r="Z523"/>
  <c r="AB522"/>
  <c r="Z522"/>
  <c r="AB521"/>
  <c r="Z521"/>
  <c r="AB520"/>
  <c r="Z520"/>
  <c r="AB519"/>
  <c r="Z519"/>
  <c r="AB518"/>
  <c r="Z518"/>
  <c r="AB517"/>
  <c r="Z517"/>
  <c r="AB516"/>
  <c r="Z516"/>
  <c r="AB515"/>
  <c r="Z515"/>
  <c r="AB514"/>
  <c r="Z514"/>
  <c r="AB513"/>
  <c r="Z513"/>
  <c r="AB512"/>
  <c r="Z512"/>
  <c r="AB511"/>
  <c r="Z511"/>
  <c r="AB510"/>
  <c r="Z510"/>
  <c r="AB509"/>
  <c r="Z509"/>
  <c r="AB508"/>
  <c r="Z508"/>
  <c r="AB507"/>
  <c r="Z507"/>
  <c r="AB506"/>
  <c r="Z506"/>
  <c r="AB505"/>
  <c r="Z505"/>
  <c r="AB504"/>
  <c r="Z504"/>
  <c r="AB503"/>
  <c r="Z503"/>
  <c r="AB502"/>
  <c r="Z502"/>
  <c r="AB501"/>
  <c r="Z501"/>
  <c r="AB500"/>
  <c r="Z500"/>
  <c r="AB499"/>
  <c r="Z499"/>
  <c r="AB498"/>
  <c r="Z498"/>
  <c r="AB497"/>
  <c r="Z497"/>
  <c r="AB496"/>
  <c r="Z496"/>
  <c r="AB495"/>
  <c r="Z495"/>
  <c r="AB494"/>
  <c r="Z494"/>
  <c r="AB493"/>
  <c r="Z493"/>
  <c r="AB492"/>
  <c r="Z492"/>
  <c r="AB491"/>
  <c r="Z491"/>
  <c r="AB490"/>
  <c r="Z490"/>
  <c r="AB489"/>
  <c r="Z489"/>
  <c r="AB488"/>
  <c r="Z488"/>
  <c r="AB487"/>
  <c r="Z487"/>
  <c r="AB486"/>
  <c r="Z486"/>
  <c r="AB485"/>
  <c r="Z485"/>
  <c r="AB484"/>
  <c r="Z484"/>
  <c r="AB483"/>
  <c r="Z483"/>
  <c r="AB482"/>
  <c r="Z482"/>
  <c r="AB481"/>
  <c r="Z481"/>
  <c r="AB480"/>
  <c r="Z480"/>
  <c r="AB479"/>
  <c r="Z479"/>
  <c r="AB478"/>
  <c r="Z478"/>
  <c r="AB477"/>
  <c r="Z477"/>
  <c r="AB476"/>
  <c r="Z476"/>
  <c r="AB475"/>
  <c r="Z475"/>
  <c r="AB474"/>
  <c r="Z474"/>
  <c r="AB473"/>
  <c r="Z473"/>
  <c r="AB472"/>
  <c r="Z472"/>
  <c r="AB471"/>
  <c r="Z471"/>
  <c r="AB470"/>
  <c r="Z470"/>
  <c r="AB469"/>
  <c r="Z469"/>
  <c r="AB468"/>
  <c r="Z468"/>
  <c r="AB467"/>
  <c r="Z467"/>
  <c r="AB466"/>
  <c r="Z466"/>
  <c r="AB465"/>
  <c r="Z465"/>
  <c r="AB464"/>
  <c r="Z464"/>
  <c r="AB463"/>
  <c r="Z463"/>
  <c r="AB462"/>
  <c r="Z462"/>
  <c r="AB461"/>
  <c r="Z461"/>
  <c r="AB460"/>
  <c r="Z460"/>
  <c r="AB459"/>
  <c r="Z459"/>
  <c r="AB458"/>
  <c r="Z458"/>
  <c r="AB457"/>
  <c r="Z457"/>
  <c r="AB456"/>
  <c r="Z456"/>
  <c r="AB455"/>
  <c r="Z455"/>
  <c r="AB454"/>
  <c r="Z454"/>
  <c r="AB453"/>
  <c r="Z453"/>
  <c r="AB452"/>
  <c r="Z452"/>
  <c r="AB451"/>
  <c r="Z451"/>
  <c r="AB450"/>
  <c r="Z450"/>
  <c r="AB449"/>
  <c r="Z449"/>
  <c r="AB448"/>
  <c r="Z448"/>
  <c r="AB447"/>
  <c r="Z447"/>
  <c r="AB446"/>
  <c r="Z446"/>
  <c r="AB445"/>
  <c r="Z445"/>
  <c r="AB444"/>
  <c r="Z444"/>
  <c r="AB443"/>
  <c r="Z443"/>
  <c r="AB442"/>
  <c r="Z442"/>
  <c r="AB441"/>
  <c r="Z441"/>
  <c r="AB440"/>
  <c r="Z440"/>
  <c r="AB439"/>
  <c r="Z439"/>
  <c r="AB438"/>
  <c r="Z438"/>
  <c r="AB437"/>
  <c r="Z437"/>
  <c r="AB436"/>
  <c r="Z436"/>
  <c r="AB435"/>
  <c r="Z435"/>
  <c r="AB434"/>
  <c r="Z434"/>
  <c r="AB433"/>
  <c r="Z433"/>
  <c r="AB432"/>
  <c r="Z432"/>
  <c r="AB431"/>
  <c r="Z431"/>
  <c r="AB430"/>
  <c r="Z430"/>
  <c r="AB429"/>
  <c r="Z429"/>
  <c r="AB428"/>
  <c r="Z428"/>
  <c r="AB427"/>
  <c r="Z427"/>
  <c r="AB426"/>
  <c r="Z426"/>
  <c r="AB425"/>
  <c r="Z425"/>
  <c r="AB424"/>
  <c r="Z424"/>
  <c r="AB423"/>
  <c r="Z423"/>
  <c r="AB422"/>
  <c r="Z422"/>
  <c r="AB421"/>
  <c r="Z421"/>
  <c r="AB420"/>
  <c r="Z420"/>
  <c r="AB419"/>
  <c r="Z419"/>
  <c r="AB418"/>
  <c r="Z418"/>
  <c r="AB417"/>
  <c r="Z417"/>
  <c r="AB416"/>
  <c r="Z416"/>
  <c r="AB415"/>
  <c r="Z415"/>
  <c r="AB414"/>
  <c r="Z414"/>
  <c r="AB413"/>
  <c r="Z413"/>
  <c r="AB412"/>
  <c r="Z412"/>
  <c r="AB411"/>
  <c r="Z411"/>
  <c r="AB410"/>
  <c r="Z410"/>
  <c r="AB409"/>
  <c r="Z409"/>
  <c r="AB408"/>
  <c r="Z408"/>
  <c r="AB407"/>
  <c r="Z407"/>
  <c r="AB406"/>
  <c r="Z406"/>
  <c r="AB405"/>
  <c r="Z405"/>
  <c r="AB404"/>
  <c r="Z404"/>
  <c r="AB403"/>
  <c r="Z403"/>
  <c r="AB402"/>
  <c r="Z402"/>
  <c r="AB401"/>
  <c r="Z401"/>
  <c r="AB400"/>
  <c r="Z400"/>
  <c r="AB399"/>
  <c r="Z399"/>
  <c r="AB398"/>
  <c r="Z398"/>
  <c r="AB397"/>
  <c r="Z397"/>
  <c r="AB396"/>
  <c r="Z396"/>
  <c r="AB395"/>
  <c r="Z395"/>
  <c r="AB394"/>
  <c r="Z394"/>
  <c r="AB393"/>
  <c r="Z393"/>
  <c r="AB392"/>
  <c r="Z392"/>
  <c r="AB391"/>
  <c r="Z391"/>
  <c r="AB390"/>
  <c r="Z390"/>
  <c r="AB389"/>
  <c r="Z389"/>
  <c r="AB388"/>
  <c r="Z388"/>
  <c r="AB387"/>
  <c r="Z387"/>
  <c r="AB386"/>
  <c r="Z386"/>
  <c r="AB385"/>
  <c r="Z385"/>
  <c r="AB384"/>
  <c r="Z384"/>
  <c r="AB383"/>
  <c r="Z383"/>
  <c r="AB382"/>
  <c r="Z382"/>
  <c r="AB381"/>
  <c r="Z381"/>
  <c r="AB380"/>
  <c r="Z380"/>
  <c r="AB379"/>
  <c r="Z379"/>
  <c r="AB378"/>
  <c r="Z378"/>
  <c r="AB377"/>
  <c r="Z377"/>
  <c r="AB376"/>
  <c r="Z376"/>
  <c r="AB375"/>
  <c r="Z375"/>
  <c r="AB374"/>
  <c r="Z374"/>
  <c r="AB373"/>
  <c r="Z373"/>
  <c r="AB372"/>
  <c r="Z372"/>
  <c r="AB371"/>
  <c r="Z371"/>
  <c r="AB370"/>
  <c r="Z370"/>
  <c r="AB369"/>
  <c r="Z369"/>
  <c r="AB368"/>
  <c r="Z368"/>
  <c r="AB367"/>
  <c r="Z367"/>
  <c r="AB366"/>
  <c r="Z366"/>
  <c r="AB365"/>
  <c r="Z365"/>
  <c r="AB364"/>
  <c r="Z364"/>
  <c r="AB363"/>
  <c r="Z363"/>
  <c r="AB362"/>
  <c r="Z362"/>
  <c r="AB361"/>
  <c r="Z361"/>
  <c r="AB360"/>
  <c r="Z360"/>
  <c r="AB359"/>
  <c r="Z359"/>
  <c r="AB358"/>
  <c r="Z358"/>
  <c r="AB357"/>
  <c r="Z357"/>
  <c r="AB356"/>
  <c r="Z356"/>
  <c r="AB355"/>
  <c r="Z355"/>
  <c r="AB354"/>
  <c r="Z354"/>
  <c r="AB353"/>
  <c r="Z353"/>
  <c r="AB352"/>
  <c r="Z352"/>
  <c r="AB351"/>
  <c r="Z351"/>
  <c r="AB350"/>
  <c r="Z350"/>
  <c r="AB349"/>
  <c r="Z349"/>
  <c r="AB348"/>
  <c r="Z348"/>
  <c r="AB347"/>
  <c r="Z347"/>
  <c r="AB346"/>
  <c r="Z346"/>
  <c r="AB345"/>
  <c r="Z345"/>
  <c r="AB344"/>
  <c r="Z344"/>
  <c r="AB343"/>
  <c r="Z343"/>
  <c r="AB342"/>
  <c r="Z342"/>
  <c r="AB341"/>
  <c r="Z341"/>
  <c r="AB340"/>
  <c r="Z340"/>
  <c r="AB339"/>
  <c r="Z339"/>
  <c r="AB338"/>
  <c r="Z338"/>
  <c r="AB337"/>
  <c r="Z337"/>
  <c r="AB336"/>
  <c r="Z336"/>
  <c r="AB335"/>
  <c r="Z335"/>
  <c r="AB334"/>
  <c r="Z334"/>
  <c r="AB333"/>
  <c r="Z333"/>
  <c r="AB332"/>
  <c r="Z332"/>
  <c r="AB331"/>
  <c r="Z331"/>
  <c r="AB330"/>
  <c r="Z330"/>
  <c r="AB329"/>
  <c r="Z329"/>
  <c r="AB328"/>
  <c r="Z328"/>
  <c r="AB327"/>
  <c r="Z327"/>
  <c r="AB326"/>
  <c r="Z326"/>
  <c r="AB325"/>
  <c r="Z325"/>
  <c r="AB324"/>
  <c r="Z324"/>
  <c r="AB323"/>
  <c r="Z323"/>
  <c r="AB322"/>
  <c r="Z322"/>
  <c r="AB321"/>
  <c r="Z321"/>
  <c r="AB320"/>
  <c r="Z320"/>
  <c r="AB319"/>
  <c r="Z319"/>
  <c r="AB318"/>
  <c r="Z318"/>
  <c r="AB317"/>
  <c r="Z317"/>
  <c r="AB316"/>
  <c r="Z316"/>
  <c r="AB315"/>
  <c r="Z315"/>
  <c r="AB314"/>
  <c r="Z314"/>
  <c r="AB313"/>
  <c r="Z313"/>
  <c r="AB312"/>
  <c r="Z312"/>
  <c r="AB311"/>
  <c r="Z311"/>
  <c r="AB310"/>
  <c r="Z310"/>
  <c r="AB309"/>
  <c r="Z309"/>
  <c r="AB308"/>
  <c r="Z308"/>
  <c r="AB307"/>
  <c r="Z307"/>
  <c r="AB306"/>
  <c r="Z306"/>
  <c r="AB305"/>
  <c r="Z305"/>
  <c r="AB304"/>
  <c r="Z304"/>
  <c r="AB303"/>
  <c r="Z303"/>
  <c r="AB302"/>
  <c r="Z302"/>
  <c r="AB301"/>
  <c r="Z301"/>
  <c r="AB300"/>
  <c r="Z300"/>
  <c r="AB299"/>
  <c r="Z299"/>
  <c r="AB298"/>
  <c r="Z298"/>
  <c r="AB297"/>
  <c r="Z297"/>
  <c r="AB296"/>
  <c r="Z296"/>
  <c r="AB295"/>
  <c r="Z295"/>
  <c r="AB294"/>
  <c r="Z294"/>
  <c r="AB293"/>
  <c r="Z293"/>
  <c r="AB292"/>
  <c r="Z292"/>
  <c r="AB291"/>
  <c r="Z291"/>
  <c r="AB290"/>
  <c r="Z290"/>
  <c r="AB289"/>
  <c r="Z289"/>
  <c r="AB288"/>
  <c r="Z288"/>
  <c r="AB287"/>
  <c r="Z287"/>
  <c r="AB286"/>
  <c r="Z286"/>
  <c r="AB285"/>
  <c r="Z285"/>
  <c r="AB284"/>
  <c r="Z284"/>
  <c r="AB283"/>
  <c r="Z283"/>
  <c r="AB282"/>
  <c r="Z282"/>
  <c r="AB281"/>
  <c r="Z281"/>
  <c r="AB280"/>
  <c r="Z280"/>
  <c r="AB279"/>
  <c r="Z279"/>
  <c r="AB278"/>
  <c r="Z278"/>
  <c r="AB277"/>
  <c r="Z277"/>
  <c r="AB276"/>
  <c r="Z276"/>
  <c r="AB275"/>
  <c r="Z275"/>
  <c r="AB274"/>
  <c r="Z274"/>
  <c r="AB273"/>
  <c r="Z273"/>
  <c r="AB272"/>
  <c r="Z272"/>
  <c r="AB271"/>
  <c r="Z271"/>
  <c r="AB270"/>
  <c r="Z270"/>
  <c r="AB269"/>
  <c r="Z269"/>
  <c r="AB268"/>
  <c r="Z268"/>
  <c r="AB267"/>
  <c r="Z267"/>
  <c r="AB266"/>
  <c r="Z266"/>
  <c r="AB265"/>
  <c r="Z265"/>
  <c r="AB264"/>
  <c r="Z264"/>
  <c r="AB263"/>
  <c r="Z263"/>
  <c r="AB262"/>
  <c r="Z262"/>
  <c r="AB261"/>
  <c r="Z261"/>
  <c r="AB260"/>
  <c r="Z260"/>
  <c r="AB259"/>
  <c r="Z259"/>
  <c r="AB258"/>
  <c r="Z258"/>
  <c r="AB257"/>
  <c r="Z257"/>
  <c r="AB256"/>
  <c r="Z256"/>
  <c r="AB255"/>
  <c r="Z255"/>
  <c r="AB254"/>
  <c r="Z254"/>
  <c r="AB253"/>
  <c r="Z253"/>
  <c r="AB252"/>
  <c r="Z252"/>
  <c r="AB251"/>
  <c r="Z251"/>
  <c r="AB250"/>
  <c r="Z250"/>
  <c r="AB249"/>
  <c r="Z249"/>
  <c r="AB248"/>
  <c r="Z248"/>
  <c r="AB247"/>
  <c r="Z247"/>
  <c r="AB246"/>
  <c r="Z246"/>
  <c r="AB245"/>
  <c r="Z245"/>
  <c r="AB244"/>
  <c r="Z244"/>
  <c r="AB243"/>
  <c r="Z243"/>
  <c r="AB242"/>
  <c r="Z242"/>
  <c r="AB241"/>
  <c r="Z241"/>
  <c r="AB240"/>
  <c r="Z240"/>
  <c r="AB239"/>
  <c r="Z239"/>
  <c r="AB238"/>
  <c r="Z238"/>
  <c r="AB237"/>
  <c r="Z237"/>
  <c r="AB236"/>
  <c r="Z236"/>
  <c r="AB235"/>
  <c r="Z235"/>
  <c r="AB234"/>
  <c r="Z234"/>
  <c r="AB233"/>
  <c r="Z233"/>
  <c r="AB232"/>
  <c r="Z232"/>
  <c r="AB231"/>
  <c r="Z231"/>
  <c r="AB230"/>
  <c r="Z230"/>
  <c r="AB229"/>
  <c r="Z229"/>
  <c r="AB228"/>
  <c r="Z228"/>
  <c r="AB227"/>
  <c r="Z227"/>
  <c r="AB226"/>
  <c r="Z226"/>
  <c r="AB225"/>
  <c r="Z225"/>
  <c r="AB224"/>
  <c r="Z224"/>
  <c r="AB223"/>
  <c r="Z223"/>
  <c r="AB222"/>
  <c r="Z222"/>
  <c r="AB221"/>
  <c r="Z221"/>
  <c r="AB220"/>
  <c r="Z220"/>
  <c r="AB219"/>
  <c r="Z219"/>
  <c r="AB218"/>
  <c r="Z218"/>
  <c r="AB217"/>
  <c r="Z217"/>
  <c r="AB216"/>
  <c r="Z216"/>
  <c r="AB215"/>
  <c r="Z215"/>
  <c r="AB214"/>
  <c r="Z214"/>
  <c r="AB213"/>
  <c r="Z213"/>
  <c r="AB212"/>
  <c r="Z212"/>
  <c r="AB211"/>
  <c r="Z211"/>
  <c r="AB210"/>
  <c r="Z210"/>
  <c r="AB209"/>
  <c r="Z209"/>
  <c r="AB208"/>
  <c r="Z208"/>
  <c r="AB207"/>
  <c r="Z207"/>
  <c r="AB206"/>
  <c r="Z206"/>
  <c r="AB205"/>
  <c r="Z205"/>
  <c r="AB204"/>
  <c r="Z204"/>
  <c r="AB203"/>
  <c r="Z203"/>
  <c r="AB202"/>
  <c r="Z202"/>
  <c r="AB201"/>
  <c r="Z201"/>
  <c r="AB200"/>
  <c r="Z200"/>
  <c r="AB199"/>
  <c r="Z199"/>
  <c r="AB198"/>
  <c r="Z198"/>
  <c r="AB197"/>
  <c r="Z197"/>
  <c r="AB196"/>
  <c r="Z196"/>
  <c r="AB195"/>
  <c r="Z195"/>
  <c r="AB194"/>
  <c r="Z194"/>
  <c r="AB193"/>
  <c r="Z193"/>
  <c r="AB192"/>
  <c r="Z192"/>
  <c r="AB191"/>
  <c r="Z191"/>
  <c r="AB190"/>
  <c r="Z190"/>
  <c r="AB189"/>
  <c r="Z189"/>
  <c r="AB188"/>
  <c r="Z188"/>
  <c r="AB187"/>
  <c r="Z187"/>
  <c r="AB186"/>
  <c r="Z186"/>
  <c r="AB185"/>
  <c r="Z185"/>
  <c r="AB184"/>
  <c r="Z184"/>
  <c r="AB183"/>
  <c r="Z183"/>
  <c r="AB182"/>
  <c r="Z182"/>
  <c r="AB181"/>
  <c r="Z181"/>
  <c r="AB180"/>
  <c r="Z180"/>
  <c r="AB179"/>
  <c r="Z179"/>
  <c r="AB178"/>
  <c r="Z178"/>
  <c r="AB177"/>
  <c r="Z177"/>
  <c r="AB176"/>
  <c r="Z176"/>
  <c r="AB175"/>
  <c r="Z175"/>
  <c r="AB174"/>
  <c r="Z174"/>
  <c r="AB173"/>
  <c r="Z173"/>
  <c r="AB172"/>
  <c r="Z172"/>
  <c r="AB171"/>
  <c r="Z171"/>
  <c r="AB170"/>
  <c r="Z170"/>
  <c r="AB169"/>
  <c r="Z169"/>
  <c r="AB168"/>
  <c r="Z168"/>
  <c r="AB167"/>
  <c r="Z167"/>
  <c r="AB166"/>
  <c r="Z166"/>
  <c r="AB165"/>
  <c r="Z165"/>
  <c r="AB164"/>
  <c r="Z164"/>
  <c r="AB163"/>
  <c r="Z163"/>
  <c r="AB162"/>
  <c r="Z162"/>
  <c r="AB161"/>
  <c r="Z161"/>
  <c r="AB160"/>
  <c r="Z160"/>
  <c r="AB159"/>
  <c r="Z159"/>
  <c r="AB158"/>
  <c r="Z158"/>
  <c r="AB157"/>
  <c r="Z157"/>
  <c r="AB156"/>
  <c r="Z156"/>
  <c r="AB155"/>
  <c r="Z155"/>
  <c r="AB154"/>
  <c r="Z154"/>
  <c r="AB153"/>
  <c r="Z153"/>
  <c r="AB152"/>
  <c r="Z152"/>
  <c r="AB151"/>
  <c r="Z151"/>
  <c r="AB150"/>
  <c r="Z150"/>
  <c r="AB149"/>
  <c r="Z149"/>
  <c r="AB148"/>
  <c r="Z148"/>
  <c r="AB147"/>
  <c r="Z147"/>
  <c r="AB146"/>
  <c r="Z146"/>
  <c r="AB145"/>
  <c r="Z145"/>
  <c r="AB144"/>
  <c r="Z144"/>
  <c r="AB143"/>
  <c r="Z143"/>
  <c r="AB142"/>
  <c r="Z142"/>
  <c r="AB141"/>
  <c r="Z141"/>
  <c r="AB140"/>
  <c r="Z140"/>
  <c r="AB139"/>
  <c r="Z139"/>
  <c r="AB138"/>
  <c r="Z138"/>
  <c r="AB137"/>
  <c r="Z137"/>
  <c r="AB136"/>
  <c r="Z136"/>
  <c r="AB135"/>
  <c r="Z135"/>
  <c r="AB134"/>
  <c r="Z134"/>
  <c r="AB133"/>
  <c r="Z133"/>
  <c r="AB132"/>
  <c r="Z132"/>
  <c r="AB131"/>
  <c r="Z131"/>
  <c r="AB130"/>
  <c r="Z130"/>
  <c r="AB129"/>
  <c r="Z129"/>
  <c r="AB128"/>
  <c r="Z128"/>
  <c r="AB127"/>
  <c r="Z127"/>
  <c r="AB126"/>
  <c r="Z126"/>
  <c r="AB125"/>
  <c r="Z125"/>
  <c r="AB124"/>
  <c r="Z124"/>
  <c r="AB123"/>
  <c r="Z123"/>
  <c r="AB122"/>
  <c r="Z122"/>
  <c r="AB121"/>
  <c r="Z121"/>
  <c r="AB120"/>
  <c r="Z120"/>
  <c r="AB119"/>
  <c r="Z119"/>
  <c r="AB118"/>
  <c r="Z118"/>
  <c r="AB117"/>
  <c r="Z117"/>
  <c r="AB116"/>
  <c r="Z116"/>
  <c r="AB115"/>
  <c r="Z115"/>
  <c r="AB114"/>
  <c r="Z114"/>
  <c r="AB113"/>
  <c r="Z113"/>
  <c r="AB112"/>
  <c r="Z112"/>
  <c r="AB111"/>
  <c r="Z111"/>
  <c r="AB110"/>
  <c r="Z110"/>
  <c r="AB109"/>
  <c r="Z109"/>
  <c r="AB108"/>
  <c r="Z108"/>
  <c r="AB107"/>
  <c r="Z107"/>
  <c r="AB106"/>
  <c r="Z106"/>
  <c r="AB105"/>
  <c r="Z105"/>
  <c r="AB104"/>
  <c r="Z104"/>
  <c r="AB103"/>
  <c r="Z103"/>
  <c r="AB102"/>
  <c r="Z102"/>
  <c r="AB101"/>
  <c r="Z101"/>
  <c r="AB100"/>
  <c r="Z100"/>
  <c r="AB99"/>
  <c r="Z99"/>
  <c r="AB98"/>
  <c r="Z98"/>
  <c r="AB97"/>
  <c r="Z97"/>
  <c r="AB96"/>
  <c r="Z96"/>
  <c r="AB95"/>
  <c r="Z95"/>
  <c r="AB94"/>
  <c r="Z94"/>
  <c r="AB93"/>
  <c r="Z93"/>
  <c r="AB92"/>
  <c r="Z92"/>
  <c r="AB91"/>
  <c r="Z91"/>
  <c r="AB90"/>
  <c r="Z90"/>
  <c r="AB89"/>
  <c r="Z89"/>
  <c r="AB88"/>
  <c r="Z88"/>
  <c r="AB87"/>
  <c r="Z87"/>
  <c r="AB86"/>
  <c r="Z86"/>
  <c r="AB85"/>
  <c r="Z85"/>
  <c r="AB84"/>
  <c r="Z84"/>
  <c r="AB83"/>
  <c r="Z83"/>
  <c r="AB82"/>
  <c r="Z82"/>
  <c r="AB81"/>
  <c r="Z81"/>
  <c r="AB80"/>
  <c r="Z80"/>
  <c r="AB79"/>
  <c r="Z79"/>
  <c r="AB78"/>
  <c r="Z78"/>
  <c r="AB77"/>
  <c r="Z77"/>
  <c r="AB76"/>
  <c r="Z76"/>
  <c r="AB75"/>
  <c r="Z75"/>
  <c r="AB74"/>
  <c r="Z74"/>
  <c r="AB73"/>
  <c r="Z73"/>
  <c r="AB72"/>
  <c r="Z72"/>
  <c r="AB71"/>
  <c r="Z71"/>
  <c r="AB70"/>
  <c r="Z70"/>
  <c r="AB69"/>
  <c r="Z69"/>
  <c r="AB68"/>
  <c r="Z68"/>
  <c r="AB67"/>
  <c r="Z67"/>
  <c r="AB66"/>
  <c r="Z66"/>
  <c r="AB65"/>
  <c r="Z65"/>
  <c r="AB64"/>
  <c r="Z64"/>
  <c r="AB63"/>
  <c r="Z63"/>
  <c r="AB62"/>
  <c r="Z62"/>
  <c r="AB61"/>
  <c r="Z61"/>
  <c r="AB60"/>
  <c r="Z60"/>
  <c r="AB59"/>
  <c r="Z59"/>
  <c r="AB58"/>
  <c r="Z58"/>
  <c r="AB57"/>
  <c r="Z57"/>
  <c r="AB56"/>
  <c r="Z56"/>
  <c r="AB55"/>
  <c r="Z55"/>
  <c r="AB54"/>
  <c r="Z54"/>
  <c r="AB53"/>
  <c r="Z53"/>
  <c r="AB52"/>
  <c r="Z52"/>
  <c r="AB51"/>
  <c r="Z51"/>
  <c r="AB50"/>
  <c r="Z50"/>
  <c r="AB49"/>
  <c r="Z49"/>
  <c r="AB48"/>
  <c r="Z48"/>
  <c r="AB47"/>
  <c r="Z47"/>
  <c r="AB46"/>
  <c r="Z46"/>
  <c r="AB45"/>
  <c r="Z45"/>
  <c r="AB44"/>
  <c r="Z44"/>
  <c r="AB43"/>
  <c r="Z43"/>
  <c r="AB42"/>
  <c r="Z42"/>
  <c r="AB41"/>
  <c r="Z41"/>
  <c r="AB40"/>
  <c r="Z40"/>
  <c r="AB39"/>
  <c r="Z39"/>
  <c r="AB38"/>
  <c r="Z38"/>
  <c r="AB37"/>
  <c r="Z37"/>
  <c r="AB36"/>
  <c r="Z36"/>
  <c r="AB35"/>
  <c r="Z35"/>
  <c r="AB34"/>
  <c r="Z34"/>
  <c r="AB33"/>
  <c r="Z33"/>
  <c r="AB32"/>
  <c r="Z32"/>
  <c r="AB31"/>
  <c r="Z31"/>
  <c r="AB30"/>
  <c r="Z30"/>
  <c r="AB29"/>
  <c r="Z29"/>
  <c r="AB28"/>
  <c r="Z28"/>
  <c r="AB27"/>
  <c r="Z27"/>
  <c r="AB26"/>
  <c r="Z26"/>
  <c r="AB25"/>
  <c r="Z25"/>
  <c r="AB24"/>
  <c r="Z24"/>
  <c r="AB23"/>
  <c r="Z23"/>
  <c r="AB22"/>
  <c r="Z22"/>
  <c r="AB21"/>
  <c r="Z21"/>
  <c r="AB20"/>
  <c r="Z20"/>
  <c r="AB19"/>
  <c r="Z19"/>
  <c r="AB18"/>
  <c r="Z18"/>
  <c r="AB17"/>
  <c r="Z17"/>
  <c r="AB16"/>
  <c r="Z16"/>
  <c r="AB15"/>
  <c r="Z15"/>
  <c r="AB14"/>
  <c r="Z14"/>
  <c r="AB13"/>
  <c r="Z13"/>
  <c r="AB12"/>
  <c r="Z12"/>
  <c r="AB11"/>
  <c r="Z11"/>
  <c r="AB10"/>
  <c r="Z10"/>
  <c r="AB9"/>
  <c r="Z9"/>
  <c r="X159" i="35"/>
  <c r="W159"/>
  <c r="V159"/>
  <c r="U159"/>
  <c r="T159"/>
  <c r="S159"/>
  <c r="R159"/>
  <c r="Q159"/>
  <c r="P159"/>
  <c r="O159"/>
  <c r="N159"/>
  <c r="M159"/>
  <c r="L159"/>
  <c r="K159"/>
  <c r="J159"/>
  <c r="I159"/>
  <c r="H159"/>
  <c r="G159"/>
  <c r="F159"/>
  <c r="E159"/>
  <c r="X80" i="7"/>
  <c r="W80"/>
  <c r="V80"/>
  <c r="U80"/>
  <c r="T80"/>
  <c r="S80"/>
  <c r="R80"/>
  <c r="Q80"/>
  <c r="P80"/>
  <c r="O80"/>
  <c r="N80"/>
  <c r="M80"/>
  <c r="L80"/>
  <c r="K80"/>
  <c r="J80"/>
  <c r="I80"/>
  <c r="H80"/>
  <c r="G80"/>
  <c r="F80"/>
  <c r="E80"/>
  <c r="X99"/>
  <c r="W99"/>
  <c r="V99"/>
  <c r="U99"/>
  <c r="T99"/>
  <c r="S99"/>
  <c r="R99"/>
  <c r="Q99"/>
  <c r="P99"/>
  <c r="O99"/>
  <c r="N99"/>
  <c r="M99"/>
  <c r="L99"/>
  <c r="K99"/>
  <c r="J99"/>
  <c r="I99"/>
  <c r="H99"/>
  <c r="G99"/>
  <c r="F99"/>
  <c r="E99"/>
  <c r="X136"/>
  <c r="W136"/>
  <c r="V136"/>
  <c r="U136"/>
  <c r="T136"/>
  <c r="S136"/>
  <c r="R136"/>
  <c r="Q136"/>
  <c r="P136"/>
  <c r="O136"/>
  <c r="N136"/>
  <c r="M136"/>
  <c r="L136"/>
  <c r="K136"/>
  <c r="J136"/>
  <c r="I136"/>
  <c r="H136"/>
  <c r="G136"/>
  <c r="F136"/>
  <c r="E136"/>
  <c r="X175"/>
  <c r="W175"/>
  <c r="V175"/>
  <c r="U175"/>
  <c r="T175"/>
  <c r="S175"/>
  <c r="R175"/>
  <c r="Q175"/>
  <c r="P175"/>
  <c r="O175"/>
  <c r="N175"/>
  <c r="M175"/>
  <c r="L175"/>
  <c r="K175"/>
  <c r="J175"/>
  <c r="I175"/>
  <c r="H175"/>
  <c r="G175"/>
  <c r="F175"/>
  <c r="E175"/>
  <c r="X91" i="34"/>
  <c r="W91"/>
  <c r="V91"/>
  <c r="U91"/>
  <c r="T91"/>
  <c r="S91"/>
  <c r="R91"/>
  <c r="Q91"/>
  <c r="P91"/>
  <c r="O91"/>
  <c r="N91"/>
  <c r="M91"/>
  <c r="L91"/>
  <c r="K91"/>
  <c r="J91"/>
  <c r="I91"/>
  <c r="H91"/>
  <c r="G91"/>
  <c r="F91"/>
  <c r="E91"/>
  <c r="X54"/>
  <c r="W54"/>
  <c r="V54"/>
  <c r="U54"/>
  <c r="T54"/>
  <c r="S54"/>
  <c r="R54"/>
  <c r="Q54"/>
  <c r="P54"/>
  <c r="O54"/>
  <c r="N54"/>
  <c r="M54"/>
  <c r="L54"/>
  <c r="K54"/>
  <c r="J54"/>
  <c r="I54"/>
  <c r="H54"/>
  <c r="G54"/>
  <c r="F54"/>
  <c r="E54"/>
  <c r="X43"/>
  <c r="W43"/>
  <c r="V43"/>
  <c r="U43"/>
  <c r="T43"/>
  <c r="S43"/>
  <c r="R43"/>
  <c r="Q43"/>
  <c r="P43"/>
  <c r="O43"/>
  <c r="N43"/>
  <c r="M43"/>
  <c r="L43"/>
  <c r="K43"/>
  <c r="J43"/>
  <c r="I43"/>
  <c r="H43"/>
  <c r="G43"/>
  <c r="F43"/>
  <c r="E43"/>
  <c r="X99" i="6"/>
  <c r="W99"/>
  <c r="V99"/>
  <c r="U99"/>
  <c r="T99"/>
  <c r="S99"/>
  <c r="R99"/>
  <c r="Q99"/>
  <c r="P99"/>
  <c r="O99"/>
  <c r="N99"/>
  <c r="M99"/>
  <c r="L99"/>
  <c r="K99"/>
  <c r="J99"/>
  <c r="I99"/>
  <c r="H99"/>
  <c r="G99"/>
  <c r="F99"/>
  <c r="E99"/>
  <c r="X62"/>
  <c r="W62"/>
  <c r="V62"/>
  <c r="U62"/>
  <c r="T62"/>
  <c r="S62"/>
  <c r="R62"/>
  <c r="Q62"/>
  <c r="P62"/>
  <c r="O62"/>
  <c r="N62"/>
  <c r="M62"/>
  <c r="L62"/>
  <c r="K62"/>
  <c r="J62"/>
  <c r="I62"/>
  <c r="H62"/>
  <c r="G62"/>
  <c r="F62"/>
  <c r="E62"/>
  <c r="X43"/>
  <c r="W43"/>
  <c r="V43"/>
  <c r="U43"/>
  <c r="T43"/>
  <c r="S43"/>
  <c r="R43"/>
  <c r="Q43"/>
  <c r="P43"/>
  <c r="O43"/>
  <c r="N43"/>
  <c r="M43"/>
  <c r="L43"/>
  <c r="K43"/>
  <c r="J43"/>
  <c r="I43"/>
  <c r="H43"/>
  <c r="G43"/>
  <c r="F43"/>
  <c r="E43"/>
  <c r="AA18" i="28"/>
  <c r="AA14"/>
  <c r="AA24"/>
  <c r="AA17"/>
  <c r="AA27"/>
  <c r="AA21"/>
  <c r="AA25"/>
  <c r="AA20"/>
  <c r="AA22"/>
  <c r="AA12"/>
  <c r="AA31"/>
  <c r="AA26"/>
  <c r="AA32"/>
  <c r="AA15"/>
  <c r="AA16"/>
  <c r="AA19"/>
  <c r="AA11"/>
  <c r="AA30"/>
  <c r="AA23"/>
  <c r="AA29"/>
  <c r="AA28"/>
  <c r="AA34"/>
  <c r="AA9"/>
  <c r="AA35"/>
  <c r="AA13"/>
  <c r="AA10"/>
  <c r="AA33"/>
  <c r="A15" i="40" l="1"/>
  <c r="A30"/>
  <c r="AV25"/>
  <c r="A4"/>
  <c r="AM24"/>
  <c r="AV24"/>
  <c r="BD24"/>
  <c r="AJ28"/>
  <c r="AO28"/>
  <c r="AV28"/>
  <c r="BA28"/>
  <c r="AV30"/>
  <c r="F7"/>
  <c r="AZ8"/>
  <c r="BA13"/>
  <c r="AZ14"/>
  <c r="AF16"/>
  <c r="AM16"/>
  <c r="AT16"/>
  <c r="BB16"/>
  <c r="BA16"/>
  <c r="A23"/>
  <c r="AF23"/>
  <c r="AK23"/>
  <c r="AQ23"/>
  <c r="AW23"/>
  <c r="BB23"/>
  <c r="F24"/>
  <c r="AI24"/>
  <c r="AQ24"/>
  <c r="AZ24"/>
  <c r="AI25"/>
  <c r="AZ25"/>
  <c r="F28"/>
  <c r="AG28"/>
  <c r="AM28"/>
  <c r="AS28"/>
  <c r="AX28"/>
  <c r="BD28"/>
  <c r="AM30"/>
  <c r="BD30"/>
  <c r="AF32"/>
  <c r="AN32"/>
  <c r="AW32"/>
  <c r="AQ34"/>
  <c r="AJ23"/>
  <c r="AO23"/>
  <c r="AV23"/>
  <c r="BA23"/>
  <c r="A20"/>
  <c r="AI23"/>
  <c r="AN23"/>
  <c r="AT23"/>
  <c r="AZ23"/>
  <c r="A24"/>
  <c r="AQ25"/>
  <c r="AJ13"/>
  <c r="A14"/>
  <c r="AI14"/>
  <c r="BD14"/>
  <c r="AG16"/>
  <c r="AN16"/>
  <c r="AW16"/>
  <c r="F23"/>
  <c r="AG23"/>
  <c r="AM23"/>
  <c r="AS23"/>
  <c r="AX23"/>
  <c r="BD23"/>
  <c r="AJ24"/>
  <c r="AS24"/>
  <c r="BA24"/>
  <c r="AM25"/>
  <c r="BD25"/>
  <c r="AI28"/>
  <c r="AN28"/>
  <c r="AT28"/>
  <c r="AZ28"/>
  <c r="A29"/>
  <c r="AM29"/>
  <c r="AV29"/>
  <c r="BD29"/>
  <c r="AQ30"/>
  <c r="AG32"/>
  <c r="AO32"/>
  <c r="BD34"/>
  <c r="AC330" i="28"/>
  <c r="AD330"/>
  <c r="AC110"/>
  <c r="AD110"/>
  <c r="AC90"/>
  <c r="AE90" s="1"/>
  <c r="AF90" s="1"/>
  <c r="AD90"/>
  <c r="AC430"/>
  <c r="AD430"/>
  <c r="AC314"/>
  <c r="AE314" s="1"/>
  <c r="AF314" s="1"/>
  <c r="AD314"/>
  <c r="AD33"/>
  <c r="AC33"/>
  <c r="AC194"/>
  <c r="AE194" s="1"/>
  <c r="AF194" s="1"/>
  <c r="AD194"/>
  <c r="AC102"/>
  <c r="AD102"/>
  <c r="AD267"/>
  <c r="AC267"/>
  <c r="AC141"/>
  <c r="AD141"/>
  <c r="AC38"/>
  <c r="AD38"/>
  <c r="AC176"/>
  <c r="AD176"/>
  <c r="AC374"/>
  <c r="AE374" s="1"/>
  <c r="AF374" s="1"/>
  <c r="AD374"/>
  <c r="AC466"/>
  <c r="AD466"/>
  <c r="AC475"/>
  <c r="AE475" s="1"/>
  <c r="AF475" s="1"/>
  <c r="AD475"/>
  <c r="AC468"/>
  <c r="AD468"/>
  <c r="AC402"/>
  <c r="AD402"/>
  <c r="AD177"/>
  <c r="AC177"/>
  <c r="AD89"/>
  <c r="AC89"/>
  <c r="AC279"/>
  <c r="AD279"/>
  <c r="AC10"/>
  <c r="AE10" s="1"/>
  <c r="AF10" s="1"/>
  <c r="AD10"/>
  <c r="AC220"/>
  <c r="AD220"/>
  <c r="AC376"/>
  <c r="AD376"/>
  <c r="AC516"/>
  <c r="AD516"/>
  <c r="AC539"/>
  <c r="AE539" s="1"/>
  <c r="AF539" s="1"/>
  <c r="AD539"/>
  <c r="AC276"/>
  <c r="AD276"/>
  <c r="AC394"/>
  <c r="AD394"/>
  <c r="AD241"/>
  <c r="AC241"/>
  <c r="AD41"/>
  <c r="AC41"/>
  <c r="AC95"/>
  <c r="AD95"/>
  <c r="AC175"/>
  <c r="AD175"/>
  <c r="AC307"/>
  <c r="AD307"/>
  <c r="AC173"/>
  <c r="AD173"/>
  <c r="AD13"/>
  <c r="AC13"/>
  <c r="AC70"/>
  <c r="AE70" s="1"/>
  <c r="AF70" s="1"/>
  <c r="AD70"/>
  <c r="AC228"/>
  <c r="AD228"/>
  <c r="AC414"/>
  <c r="AD414"/>
  <c r="AC400"/>
  <c r="AD400"/>
  <c r="AC357"/>
  <c r="AE357" s="1"/>
  <c r="AF357" s="1"/>
  <c r="AD357"/>
  <c r="AC435"/>
  <c r="AD435"/>
  <c r="AC472"/>
  <c r="AE472" s="1"/>
  <c r="AF472" s="1"/>
  <c r="AD472"/>
  <c r="AC492"/>
  <c r="AD492"/>
  <c r="AC550"/>
  <c r="AE550" s="1"/>
  <c r="AF550" s="1"/>
  <c r="AD550"/>
  <c r="AC397"/>
  <c r="AD397"/>
  <c r="AC44"/>
  <c r="AE44" s="1"/>
  <c r="AF44" s="1"/>
  <c r="AD44"/>
  <c r="AC290"/>
  <c r="AD290"/>
  <c r="AD521"/>
  <c r="AC521"/>
  <c r="AD481"/>
  <c r="AC481"/>
  <c r="AC538"/>
  <c r="AE538" s="1"/>
  <c r="AF538" s="1"/>
  <c r="AD538"/>
  <c r="AC178"/>
  <c r="AD178"/>
  <c r="AD59"/>
  <c r="AC59"/>
  <c r="AC199"/>
  <c r="AD199"/>
  <c r="AD193"/>
  <c r="AC193"/>
  <c r="AC140"/>
  <c r="AD140"/>
  <c r="AC328"/>
  <c r="AE328" s="1"/>
  <c r="AF328" s="1"/>
  <c r="AD328"/>
  <c r="AC411"/>
  <c r="AD411"/>
  <c r="AC491"/>
  <c r="AD491"/>
  <c r="AC158"/>
  <c r="AD158"/>
  <c r="AC238"/>
  <c r="AE238" s="1"/>
  <c r="AF238" s="1"/>
  <c r="AD238"/>
  <c r="AC197"/>
  <c r="AD197"/>
  <c r="AC35"/>
  <c r="AD35"/>
  <c r="AC92"/>
  <c r="AD92"/>
  <c r="AC163"/>
  <c r="AE163" s="1"/>
  <c r="AF163" s="1"/>
  <c r="AD163"/>
  <c r="AC291"/>
  <c r="AD291"/>
  <c r="AD153"/>
  <c r="AC153"/>
  <c r="AD9"/>
  <c r="AC9"/>
  <c r="AC66"/>
  <c r="AE66" s="1"/>
  <c r="AF66" s="1"/>
  <c r="AD66"/>
  <c r="AC216"/>
  <c r="AD216"/>
  <c r="AC390"/>
  <c r="AE390" s="1"/>
  <c r="AF390" s="1"/>
  <c r="AD390"/>
  <c r="AC388"/>
  <c r="AD388"/>
  <c r="AD345"/>
  <c r="AC345"/>
  <c r="AC423"/>
  <c r="AD423"/>
  <c r="AC460"/>
  <c r="AD460"/>
  <c r="AC557"/>
  <c r="AD557"/>
  <c r="AC206"/>
  <c r="AE206" s="1"/>
  <c r="AF206" s="1"/>
  <c r="AD206"/>
  <c r="AC78"/>
  <c r="AD78"/>
  <c r="AC74"/>
  <c r="AE74" s="1"/>
  <c r="AF74" s="1"/>
  <c r="AD74"/>
  <c r="AC130"/>
  <c r="AD130"/>
  <c r="AC82"/>
  <c r="AE82" s="1"/>
  <c r="AF82" s="1"/>
  <c r="AD82"/>
  <c r="AD185"/>
  <c r="AC185"/>
  <c r="AC354"/>
  <c r="AD354"/>
  <c r="AC64"/>
  <c r="AD64"/>
  <c r="AD235"/>
  <c r="AC235"/>
  <c r="AC479"/>
  <c r="AD479"/>
  <c r="AD465"/>
  <c r="AC465"/>
  <c r="AC144"/>
  <c r="AD144"/>
  <c r="AC310"/>
  <c r="AD310"/>
  <c r="AC380"/>
  <c r="AD380"/>
  <c r="AC415"/>
  <c r="AE415" s="1"/>
  <c r="AF415" s="1"/>
  <c r="AD415"/>
  <c r="AC436"/>
  <c r="AD436"/>
  <c r="AC170"/>
  <c r="AD170"/>
  <c r="AC418"/>
  <c r="AD418"/>
  <c r="AD81"/>
  <c r="AC81"/>
  <c r="AC247"/>
  <c r="AD247"/>
  <c r="AC367"/>
  <c r="AE367" s="1"/>
  <c r="AF367" s="1"/>
  <c r="AD367"/>
  <c r="AC188"/>
  <c r="AD188"/>
  <c r="AC344"/>
  <c r="AE344" s="1"/>
  <c r="AF344" s="1"/>
  <c r="AD344"/>
  <c r="AC437"/>
  <c r="AD437"/>
  <c r="AC507"/>
  <c r="AE507" s="1"/>
  <c r="AF507" s="1"/>
  <c r="AD507"/>
  <c r="AD545"/>
  <c r="AC545"/>
  <c r="AC222"/>
  <c r="AD222"/>
  <c r="AC189"/>
  <c r="AD189"/>
  <c r="AC34"/>
  <c r="AD34"/>
  <c r="AD91"/>
  <c r="AC91"/>
  <c r="AC159"/>
  <c r="AD159"/>
  <c r="AC287"/>
  <c r="AD287"/>
  <c r="AC149"/>
  <c r="AD149"/>
  <c r="AC524"/>
  <c r="AD524"/>
  <c r="AC63"/>
  <c r="AE63" s="1"/>
  <c r="AF63" s="1"/>
  <c r="AD63"/>
  <c r="AC212"/>
  <c r="AD212"/>
  <c r="AC382"/>
  <c r="AD382"/>
  <c r="AC384"/>
  <c r="AD384"/>
  <c r="AC341"/>
  <c r="AE341" s="1"/>
  <c r="AF341" s="1"/>
  <c r="AD341"/>
  <c r="AC556"/>
  <c r="AD556"/>
  <c r="AC456"/>
  <c r="AE456" s="1"/>
  <c r="AF456" s="1"/>
  <c r="AD456"/>
  <c r="AC549"/>
  <c r="AD549"/>
  <c r="AC554"/>
  <c r="AD554"/>
  <c r="AD331"/>
  <c r="AC331"/>
  <c r="AC28"/>
  <c r="AE28" s="1"/>
  <c r="AF28" s="1"/>
  <c r="AD28"/>
  <c r="AC258"/>
  <c r="AD258"/>
  <c r="AC434"/>
  <c r="AD434"/>
  <c r="AC447"/>
  <c r="AD447"/>
  <c r="AC506"/>
  <c r="AE506" s="1"/>
  <c r="AF506" s="1"/>
  <c r="AD506"/>
  <c r="AC260"/>
  <c r="AD260"/>
  <c r="AD37"/>
  <c r="AE37" s="1"/>
  <c r="AF37" s="1"/>
  <c r="AC37"/>
  <c r="AC167"/>
  <c r="AD167"/>
  <c r="AD137"/>
  <c r="AC137"/>
  <c r="AD73"/>
  <c r="AC73"/>
  <c r="AD529"/>
  <c r="AC529"/>
  <c r="AC379"/>
  <c r="AD379"/>
  <c r="AC504"/>
  <c r="AD504"/>
  <c r="AC280"/>
  <c r="AD280"/>
  <c r="AC126"/>
  <c r="AE126" s="1"/>
  <c r="AF126" s="1"/>
  <c r="AD126"/>
  <c r="AD161"/>
  <c r="AC161"/>
  <c r="AD29"/>
  <c r="AE29" s="1"/>
  <c r="AF29" s="1"/>
  <c r="AC29"/>
  <c r="AC88"/>
  <c r="AD88"/>
  <c r="AC147"/>
  <c r="AE147" s="1"/>
  <c r="AF147" s="1"/>
  <c r="AD147"/>
  <c r="AC275"/>
  <c r="AD275"/>
  <c r="AD129"/>
  <c r="AE129" s="1"/>
  <c r="AF129" s="1"/>
  <c r="AC129"/>
  <c r="AD401"/>
  <c r="AC401"/>
  <c r="AC60"/>
  <c r="AE60" s="1"/>
  <c r="AF60" s="1"/>
  <c r="AD60"/>
  <c r="AC200"/>
  <c r="AD200"/>
  <c r="AC358"/>
  <c r="AE358" s="1"/>
  <c r="AF358" s="1"/>
  <c r="AD358"/>
  <c r="AC372"/>
  <c r="AD372"/>
  <c r="AD329"/>
  <c r="AC329"/>
  <c r="AC500"/>
  <c r="AD500"/>
  <c r="AC444"/>
  <c r="AD444"/>
  <c r="AC535"/>
  <c r="AD535"/>
  <c r="AC562"/>
  <c r="AD562"/>
  <c r="AD433"/>
  <c r="AC433"/>
  <c r="AC256"/>
  <c r="AE256" s="1"/>
  <c r="AF256" s="1"/>
  <c r="AD256"/>
  <c r="AC446"/>
  <c r="AD446"/>
  <c r="AC53"/>
  <c r="AE53" s="1"/>
  <c r="AF53" s="1"/>
  <c r="AD53"/>
  <c r="AC462"/>
  <c r="AD462"/>
  <c r="AC182"/>
  <c r="AE182" s="1"/>
  <c r="AF182" s="1"/>
  <c r="AD182"/>
  <c r="AC23"/>
  <c r="AD23"/>
  <c r="AD171"/>
  <c r="AC171"/>
  <c r="AD425"/>
  <c r="AC425"/>
  <c r="AC327"/>
  <c r="AD327"/>
  <c r="AC62"/>
  <c r="AD62"/>
  <c r="AC274"/>
  <c r="AE274" s="1"/>
  <c r="AF274" s="1"/>
  <c r="AD274"/>
  <c r="AC348"/>
  <c r="AD348"/>
  <c r="AD337"/>
  <c r="AC337"/>
  <c r="AC509"/>
  <c r="AD509"/>
  <c r="AC488"/>
  <c r="AE488" s="1"/>
  <c r="AF488" s="1"/>
  <c r="AD488"/>
  <c r="AC142"/>
  <c r="AD142"/>
  <c r="AC30"/>
  <c r="AE30" s="1"/>
  <c r="AF30" s="1"/>
  <c r="AD30"/>
  <c r="AC151"/>
  <c r="AD151"/>
  <c r="AC165"/>
  <c r="AD165"/>
  <c r="AC67"/>
  <c r="AD67"/>
  <c r="AC398"/>
  <c r="AD398"/>
  <c r="AC333"/>
  <c r="AD333"/>
  <c r="AC448"/>
  <c r="AE448" s="1"/>
  <c r="AF448" s="1"/>
  <c r="AD448"/>
  <c r="AC122"/>
  <c r="AD122"/>
  <c r="AC346"/>
  <c r="AE346" s="1"/>
  <c r="AF346" s="1"/>
  <c r="AD346"/>
  <c r="AC370"/>
  <c r="AD370"/>
  <c r="AC11"/>
  <c r="AE11" s="1"/>
  <c r="AF11" s="1"/>
  <c r="AD11"/>
  <c r="AC79"/>
  <c r="AD79"/>
  <c r="AC111"/>
  <c r="AD111"/>
  <c r="AC239"/>
  <c r="AD239"/>
  <c r="AD441"/>
  <c r="AE441" s="1"/>
  <c r="AF441" s="1"/>
  <c r="AC441"/>
  <c r="AC293"/>
  <c r="AD293"/>
  <c r="AC46"/>
  <c r="AE46" s="1"/>
  <c r="AF46" s="1"/>
  <c r="AD46"/>
  <c r="AC164"/>
  <c r="AD164"/>
  <c r="AC294"/>
  <c r="AD294"/>
  <c r="AC336"/>
  <c r="AD336"/>
  <c r="AD537"/>
  <c r="AC537"/>
  <c r="AC419"/>
  <c r="AD419"/>
  <c r="AC517"/>
  <c r="AD517"/>
  <c r="AC499"/>
  <c r="AD499"/>
  <c r="AC547"/>
  <c r="AE547" s="1"/>
  <c r="AF547" s="1"/>
  <c r="AD547"/>
  <c r="AD219"/>
  <c r="AC219"/>
  <c r="AC285"/>
  <c r="AE285" s="1"/>
  <c r="AF285" s="1"/>
  <c r="AD285"/>
  <c r="AC160"/>
  <c r="AD160"/>
  <c r="AC332"/>
  <c r="AD332"/>
  <c r="AC399"/>
  <c r="AD399"/>
  <c r="AC548"/>
  <c r="AE548" s="1"/>
  <c r="AF548" s="1"/>
  <c r="AD548"/>
  <c r="AC166"/>
  <c r="AD166"/>
  <c r="AD281"/>
  <c r="AC281"/>
  <c r="AC101"/>
  <c r="AD101"/>
  <c r="AC355"/>
  <c r="AE355" s="1"/>
  <c r="AF355" s="1"/>
  <c r="AD355"/>
  <c r="AC19"/>
  <c r="AD19"/>
  <c r="AC270"/>
  <c r="AD270"/>
  <c r="AD505"/>
  <c r="AC505"/>
  <c r="AC501"/>
  <c r="AD501"/>
  <c r="AC555"/>
  <c r="AD555"/>
  <c r="AC268"/>
  <c r="AE268" s="1"/>
  <c r="AF268" s="1"/>
  <c r="AD268"/>
  <c r="AC288"/>
  <c r="AD288"/>
  <c r="AD409"/>
  <c r="AC409"/>
  <c r="AC76"/>
  <c r="AD76"/>
  <c r="AC108"/>
  <c r="AE108" s="1"/>
  <c r="AF108" s="1"/>
  <c r="AD108"/>
  <c r="AC227"/>
  <c r="AD227"/>
  <c r="AC413"/>
  <c r="AE413" s="1"/>
  <c r="AF413" s="1"/>
  <c r="AD413"/>
  <c r="AC269"/>
  <c r="AD269"/>
  <c r="AC42"/>
  <c r="AD42"/>
  <c r="AC152"/>
  <c r="AD152"/>
  <c r="AC282"/>
  <c r="AE282" s="1"/>
  <c r="AF282" s="1"/>
  <c r="AD282"/>
  <c r="AC324"/>
  <c r="AD324"/>
  <c r="AC494"/>
  <c r="AE494" s="1"/>
  <c r="AF494" s="1"/>
  <c r="AD494"/>
  <c r="AC407"/>
  <c r="AD407"/>
  <c r="AD497"/>
  <c r="AC497"/>
  <c r="AC487"/>
  <c r="AD487"/>
  <c r="AC552"/>
  <c r="AD552"/>
  <c r="AC229"/>
  <c r="AD229"/>
  <c r="AC246"/>
  <c r="AE246" s="1"/>
  <c r="AF246" s="1"/>
  <c r="AD246"/>
  <c r="AC186"/>
  <c r="AD186"/>
  <c r="AC16"/>
  <c r="AE16" s="1"/>
  <c r="AF16" s="1"/>
  <c r="AD16"/>
  <c r="AC40"/>
  <c r="AD40"/>
  <c r="AC106"/>
  <c r="AE106" s="1"/>
  <c r="AF106" s="1"/>
  <c r="AD106"/>
  <c r="AD289"/>
  <c r="AC289"/>
  <c r="AD139"/>
  <c r="AE139" s="1"/>
  <c r="AF139" s="1"/>
  <c r="AC139"/>
  <c r="AD299"/>
  <c r="AC299"/>
  <c r="AC253"/>
  <c r="AE253" s="1"/>
  <c r="AF253" s="1"/>
  <c r="AD253"/>
  <c r="AC50"/>
  <c r="AD50"/>
  <c r="AC208"/>
  <c r="AE208" s="1"/>
  <c r="AF208" s="1"/>
  <c r="AD208"/>
  <c r="AC316"/>
  <c r="AD316"/>
  <c r="AD305"/>
  <c r="AC305"/>
  <c r="AC431"/>
  <c r="AD431"/>
  <c r="AC541"/>
  <c r="AE541" s="1"/>
  <c r="AF541" s="1"/>
  <c r="AD541"/>
  <c r="AC410"/>
  <c r="AD410"/>
  <c r="AC15"/>
  <c r="AE15" s="1"/>
  <c r="AF15" s="1"/>
  <c r="AD15"/>
  <c r="AC119"/>
  <c r="AD119"/>
  <c r="AC540"/>
  <c r="AE540" s="1"/>
  <c r="AF540" s="1"/>
  <c r="AD540"/>
  <c r="AC55"/>
  <c r="AD55"/>
  <c r="AC334"/>
  <c r="AE334" s="1"/>
  <c r="AF334" s="1"/>
  <c r="AD334"/>
  <c r="AC301"/>
  <c r="AD301"/>
  <c r="AC533"/>
  <c r="AD533"/>
  <c r="AC560"/>
  <c r="AD560"/>
  <c r="AC252"/>
  <c r="AE252" s="1"/>
  <c r="AF252" s="1"/>
  <c r="AD252"/>
  <c r="AC272"/>
  <c r="AD272"/>
  <c r="AD393"/>
  <c r="AC393"/>
  <c r="AD75"/>
  <c r="AC75"/>
  <c r="AD107"/>
  <c r="AC107"/>
  <c r="AC223"/>
  <c r="AD223"/>
  <c r="AC405"/>
  <c r="AD405"/>
  <c r="AC261"/>
  <c r="AD261"/>
  <c r="AC39"/>
  <c r="AE39" s="1"/>
  <c r="AF39" s="1"/>
  <c r="AD39"/>
  <c r="AC148"/>
  <c r="AD148"/>
  <c r="AC278"/>
  <c r="AD278"/>
  <c r="AC320"/>
  <c r="AD320"/>
  <c r="AC474"/>
  <c r="AD474"/>
  <c r="AC403"/>
  <c r="AD403"/>
  <c r="AD489"/>
  <c r="AC489"/>
  <c r="AC483"/>
  <c r="AD483"/>
  <c r="AC544"/>
  <c r="AE544" s="1"/>
  <c r="AF544" s="1"/>
  <c r="AD544"/>
  <c r="AD187"/>
  <c r="AC187"/>
  <c r="AC221"/>
  <c r="AE221" s="1"/>
  <c r="AF221" s="1"/>
  <c r="AD221"/>
  <c r="AC128"/>
  <c r="AD128"/>
  <c r="AC300"/>
  <c r="AD300"/>
  <c r="AD369"/>
  <c r="AC369"/>
  <c r="AC482"/>
  <c r="AE482" s="1"/>
  <c r="AF482" s="1"/>
  <c r="AD482"/>
  <c r="AC174"/>
  <c r="AD174"/>
  <c r="AC213"/>
  <c r="AD213"/>
  <c r="AC93"/>
  <c r="AD93"/>
  <c r="AC295"/>
  <c r="AE295" s="1"/>
  <c r="AF295" s="1"/>
  <c r="AD295"/>
  <c r="AD449"/>
  <c r="AC449"/>
  <c r="AC236"/>
  <c r="AD236"/>
  <c r="AC426"/>
  <c r="AD426"/>
  <c r="AC459"/>
  <c r="AE459" s="1"/>
  <c r="AF459" s="1"/>
  <c r="AD459"/>
  <c r="AC518"/>
  <c r="AD518"/>
  <c r="AC214"/>
  <c r="AE214" s="1"/>
  <c r="AF214" s="1"/>
  <c r="AD214"/>
  <c r="AC226"/>
  <c r="AD226"/>
  <c r="AC319"/>
  <c r="AD319"/>
  <c r="AC69"/>
  <c r="AD69"/>
  <c r="AC104"/>
  <c r="AE104" s="1"/>
  <c r="AF104" s="1"/>
  <c r="AD104"/>
  <c r="AC211"/>
  <c r="AD211"/>
  <c r="AC381"/>
  <c r="AE381" s="1"/>
  <c r="AF381" s="1"/>
  <c r="AD381"/>
  <c r="AD233"/>
  <c r="AC233"/>
  <c r="AC32"/>
  <c r="AE32" s="1"/>
  <c r="AF32" s="1"/>
  <c r="AD32"/>
  <c r="AC136"/>
  <c r="AD136"/>
  <c r="AC266"/>
  <c r="AE266" s="1"/>
  <c r="AF266" s="1"/>
  <c r="AD266"/>
  <c r="AC308"/>
  <c r="AD308"/>
  <c r="AC450"/>
  <c r="AD450"/>
  <c r="AC391"/>
  <c r="AD391"/>
  <c r="AC471"/>
  <c r="AD471"/>
  <c r="AC528"/>
  <c r="AD528"/>
  <c r="AC530"/>
  <c r="AE530" s="1"/>
  <c r="AF530" s="1"/>
  <c r="AD530"/>
  <c r="AC511"/>
  <c r="AD511"/>
  <c r="AC543"/>
  <c r="AD543"/>
  <c r="AC230"/>
  <c r="AD230"/>
  <c r="AC242"/>
  <c r="AD242"/>
  <c r="AC343"/>
  <c r="AD343"/>
  <c r="AC72"/>
  <c r="AE72" s="1"/>
  <c r="AF72" s="1"/>
  <c r="AD72"/>
  <c r="AD105"/>
  <c r="AC105"/>
  <c r="AC215"/>
  <c r="AD215"/>
  <c r="AC389"/>
  <c r="AD389"/>
  <c r="AC277"/>
  <c r="AD277"/>
  <c r="AC43"/>
  <c r="AD43"/>
  <c r="AC156"/>
  <c r="AD156"/>
  <c r="AC286"/>
  <c r="AD286"/>
  <c r="AC312"/>
  <c r="AE312" s="1"/>
  <c r="AF312" s="1"/>
  <c r="AD312"/>
  <c r="AC458"/>
  <c r="AD458"/>
  <c r="AC395"/>
  <c r="AD395"/>
  <c r="AC477"/>
  <c r="AD477"/>
  <c r="AC536"/>
  <c r="AD536"/>
  <c r="AC534"/>
  <c r="AD534"/>
  <c r="AC264"/>
  <c r="AD264"/>
  <c r="AC198"/>
  <c r="AD198"/>
  <c r="AC486"/>
  <c r="AD486"/>
  <c r="AC210"/>
  <c r="AD210"/>
  <c r="AC157"/>
  <c r="AD157"/>
  <c r="AC303"/>
  <c r="AD303"/>
  <c r="AC26"/>
  <c r="AE26" s="1"/>
  <c r="AF26" s="1"/>
  <c r="AD26"/>
  <c r="AD65"/>
  <c r="AC65"/>
  <c r="AC87"/>
  <c r="AD87"/>
  <c r="AC103"/>
  <c r="AD103"/>
  <c r="AC143"/>
  <c r="AD143"/>
  <c r="AC207"/>
  <c r="AD207"/>
  <c r="AC271"/>
  <c r="AD271"/>
  <c r="AC371"/>
  <c r="AD371"/>
  <c r="AC125"/>
  <c r="AD125"/>
  <c r="AD225"/>
  <c r="AC225"/>
  <c r="AD385"/>
  <c r="AC385"/>
  <c r="AC31"/>
  <c r="AD31"/>
  <c r="AC58"/>
  <c r="AE58" s="1"/>
  <c r="AF58" s="1"/>
  <c r="AD58"/>
  <c r="AC132"/>
  <c r="AD132"/>
  <c r="AC196"/>
  <c r="AD196"/>
  <c r="AC262"/>
  <c r="AD262"/>
  <c r="AC350"/>
  <c r="AE350" s="1"/>
  <c r="AF350" s="1"/>
  <c r="AD350"/>
  <c r="AC304"/>
  <c r="AD304"/>
  <c r="AC368"/>
  <c r="AE368" s="1"/>
  <c r="AF368" s="1"/>
  <c r="AD368"/>
  <c r="AC442"/>
  <c r="AD442"/>
  <c r="AC325"/>
  <c r="AE325" s="1"/>
  <c r="AF325" s="1"/>
  <c r="AD325"/>
  <c r="AC387"/>
  <c r="AD387"/>
  <c r="AC493"/>
  <c r="AD493"/>
  <c r="AC467"/>
  <c r="AD467"/>
  <c r="AC440"/>
  <c r="AE440" s="1"/>
  <c r="AF440" s="1"/>
  <c r="AD440"/>
  <c r="AC520"/>
  <c r="AD520"/>
  <c r="AC531"/>
  <c r="AD531"/>
  <c r="AC526"/>
  <c r="AD526"/>
  <c r="AC558"/>
  <c r="AE558" s="1"/>
  <c r="AF558" s="1"/>
  <c r="AD558"/>
  <c r="AD155"/>
  <c r="AC155"/>
  <c r="AD283"/>
  <c r="AE283" s="1"/>
  <c r="AF283" s="1"/>
  <c r="AC283"/>
  <c r="AD169"/>
  <c r="AC169"/>
  <c r="AC12"/>
  <c r="AE12" s="1"/>
  <c r="AF12" s="1"/>
  <c r="AD12"/>
  <c r="AC68"/>
  <c r="AD68"/>
  <c r="AC224"/>
  <c r="AE224" s="1"/>
  <c r="AF224" s="1"/>
  <c r="AD224"/>
  <c r="AC406"/>
  <c r="AD406"/>
  <c r="AC396"/>
  <c r="AE396" s="1"/>
  <c r="AF396" s="1"/>
  <c r="AD396"/>
  <c r="AD353"/>
  <c r="AC353"/>
  <c r="AC532"/>
  <c r="AE532" s="1"/>
  <c r="AF532" s="1"/>
  <c r="AD532"/>
  <c r="AC452"/>
  <c r="AD452"/>
  <c r="AC527"/>
  <c r="AE527" s="1"/>
  <c r="AF527" s="1"/>
  <c r="AD527"/>
  <c r="AC234"/>
  <c r="AD234"/>
  <c r="AC322"/>
  <c r="AE322" s="1"/>
  <c r="AF322" s="1"/>
  <c r="AD322"/>
  <c r="AC133"/>
  <c r="AD133"/>
  <c r="AC22"/>
  <c r="AE22" s="1"/>
  <c r="AF22" s="1"/>
  <c r="AD22"/>
  <c r="AC85"/>
  <c r="AD85"/>
  <c r="AC135"/>
  <c r="AD135"/>
  <c r="AC263"/>
  <c r="AD263"/>
  <c r="AD473"/>
  <c r="AE473" s="1"/>
  <c r="AF473" s="1"/>
  <c r="AC473"/>
  <c r="AC311"/>
  <c r="AD311"/>
  <c r="AC61"/>
  <c r="AE61" s="1"/>
  <c r="AF61" s="1"/>
  <c r="AD61"/>
  <c r="AC204"/>
  <c r="AD204"/>
  <c r="AC366"/>
  <c r="AE366" s="1"/>
  <c r="AF366" s="1"/>
  <c r="AD366"/>
  <c r="AC392"/>
  <c r="AD392"/>
  <c r="AC349"/>
  <c r="AE349" s="1"/>
  <c r="AF349" s="1"/>
  <c r="AD349"/>
  <c r="AC427"/>
  <c r="AD427"/>
  <c r="AC464"/>
  <c r="AE464" s="1"/>
  <c r="AF464" s="1"/>
  <c r="AD464"/>
  <c r="AC484"/>
  <c r="AD484"/>
  <c r="AC218"/>
  <c r="AE218" s="1"/>
  <c r="AF218" s="1"/>
  <c r="AD218"/>
  <c r="AC150"/>
  <c r="AD150"/>
  <c r="AC296"/>
  <c r="AE296" s="1"/>
  <c r="AF296" s="1"/>
  <c r="AD296"/>
  <c r="AC162"/>
  <c r="AD162"/>
  <c r="AD121"/>
  <c r="AC121"/>
  <c r="AD273"/>
  <c r="AC273"/>
  <c r="AC20"/>
  <c r="AD20"/>
  <c r="AC56"/>
  <c r="AD56"/>
  <c r="AC84"/>
  <c r="AE84" s="1"/>
  <c r="AF84" s="1"/>
  <c r="AD84"/>
  <c r="AC100"/>
  <c r="AD100"/>
  <c r="AC131"/>
  <c r="AE131" s="1"/>
  <c r="AF131" s="1"/>
  <c r="AD131"/>
  <c r="AC195"/>
  <c r="AD195"/>
  <c r="AC259"/>
  <c r="AE259" s="1"/>
  <c r="AF259" s="1"/>
  <c r="AD259"/>
  <c r="AC347"/>
  <c r="AD347"/>
  <c r="AC508"/>
  <c r="AE508" s="1"/>
  <c r="AF508" s="1"/>
  <c r="AD508"/>
  <c r="AD209"/>
  <c r="AC209"/>
  <c r="AC351"/>
  <c r="AD351"/>
  <c r="AD25"/>
  <c r="AC25"/>
  <c r="AC52"/>
  <c r="AE52" s="1"/>
  <c r="AF52" s="1"/>
  <c r="AD52"/>
  <c r="AC120"/>
  <c r="AD120"/>
  <c r="AC184"/>
  <c r="AE184" s="1"/>
  <c r="AF184" s="1"/>
  <c r="AD184"/>
  <c r="AC250"/>
  <c r="AD250"/>
  <c r="AC326"/>
  <c r="AE326" s="1"/>
  <c r="AF326" s="1"/>
  <c r="AD326"/>
  <c r="AC478"/>
  <c r="AD478"/>
  <c r="AC356"/>
  <c r="AD356"/>
  <c r="AC420"/>
  <c r="AD420"/>
  <c r="AD313"/>
  <c r="AC313"/>
  <c r="AC375"/>
  <c r="AD375"/>
  <c r="AC461"/>
  <c r="AD461"/>
  <c r="AC455"/>
  <c r="AD455"/>
  <c r="AC428"/>
  <c r="AD428"/>
  <c r="AC498"/>
  <c r="AD498"/>
  <c r="AC519"/>
  <c r="AE519" s="1"/>
  <c r="AF519" s="1"/>
  <c r="AD519"/>
  <c r="AC514"/>
  <c r="AD514"/>
  <c r="AC546"/>
  <c r="AD546"/>
  <c r="AC338"/>
  <c r="AD338"/>
  <c r="AC94"/>
  <c r="AE94" s="1"/>
  <c r="AF94" s="1"/>
  <c r="AD94"/>
  <c r="AC359"/>
  <c r="AD359"/>
  <c r="AC118"/>
  <c r="AE118" s="1"/>
  <c r="AF118" s="1"/>
  <c r="AD118"/>
  <c r="AD257"/>
  <c r="AC257"/>
  <c r="AC98"/>
  <c r="AE98" s="1"/>
  <c r="AF98" s="1"/>
  <c r="AD98"/>
  <c r="AC190"/>
  <c r="AD190"/>
  <c r="AC248"/>
  <c r="AE248" s="1"/>
  <c r="AF248" s="1"/>
  <c r="AD248"/>
  <c r="AD145"/>
  <c r="AC145"/>
  <c r="AC86"/>
  <c r="AE86" s="1"/>
  <c r="AF86" s="1"/>
  <c r="AD86"/>
  <c r="AD203"/>
  <c r="AC203"/>
  <c r="AC363"/>
  <c r="AD363"/>
  <c r="AD201"/>
  <c r="AC201"/>
  <c r="AD21"/>
  <c r="AC21"/>
  <c r="AC112"/>
  <c r="AD112"/>
  <c r="AC240"/>
  <c r="AE240" s="1"/>
  <c r="AF240" s="1"/>
  <c r="AD240"/>
  <c r="AC454"/>
  <c r="AD454"/>
  <c r="AC412"/>
  <c r="AE412" s="1"/>
  <c r="AF412" s="1"/>
  <c r="AD412"/>
  <c r="AC383"/>
  <c r="AD383"/>
  <c r="AC463"/>
  <c r="AD463"/>
  <c r="AC512"/>
  <c r="AD512"/>
  <c r="AC522"/>
  <c r="AE522" s="1"/>
  <c r="AF522" s="1"/>
  <c r="AD522"/>
  <c r="AC362"/>
  <c r="AD362"/>
  <c r="AC114"/>
  <c r="AD114"/>
  <c r="AD249"/>
  <c r="AC249"/>
  <c r="AC47"/>
  <c r="AE47" s="1"/>
  <c r="AF47" s="1"/>
  <c r="AD47"/>
  <c r="AD97"/>
  <c r="AC97"/>
  <c r="AC183"/>
  <c r="AD183"/>
  <c r="AC323"/>
  <c r="AD323"/>
  <c r="AD217"/>
  <c r="AC217"/>
  <c r="AC27"/>
  <c r="AD27"/>
  <c r="AC124"/>
  <c r="AD124"/>
  <c r="AC254"/>
  <c r="AD254"/>
  <c r="AC438"/>
  <c r="AE438" s="1"/>
  <c r="AF438" s="1"/>
  <c r="AD438"/>
  <c r="AC408"/>
  <c r="AD408"/>
  <c r="AC365"/>
  <c r="AE365" s="1"/>
  <c r="AF365" s="1"/>
  <c r="AD365"/>
  <c r="AC443"/>
  <c r="AD443"/>
  <c r="AC480"/>
  <c r="AD480"/>
  <c r="AC502"/>
  <c r="AD502"/>
  <c r="AC202"/>
  <c r="AD202"/>
  <c r="AC134"/>
  <c r="AD134"/>
  <c r="AC154"/>
  <c r="AD154"/>
  <c r="AC146"/>
  <c r="AD146"/>
  <c r="AD113"/>
  <c r="AC113"/>
  <c r="AD265"/>
  <c r="AC265"/>
  <c r="AD17"/>
  <c r="AC17"/>
  <c r="AE17" s="1"/>
  <c r="AF17" s="1"/>
  <c r="AC54"/>
  <c r="AD54"/>
  <c r="AC83"/>
  <c r="AD83"/>
  <c r="AC99"/>
  <c r="AD99"/>
  <c r="AC127"/>
  <c r="AD127"/>
  <c r="AC191"/>
  <c r="AD191"/>
  <c r="AC255"/>
  <c r="AD255"/>
  <c r="AC339"/>
  <c r="AD339"/>
  <c r="AC485"/>
  <c r="AD485"/>
  <c r="AC205"/>
  <c r="AD205"/>
  <c r="AC335"/>
  <c r="AE335" s="1"/>
  <c r="AF335" s="1"/>
  <c r="AD335"/>
  <c r="AC24"/>
  <c r="AD24"/>
  <c r="AC51"/>
  <c r="AE51" s="1"/>
  <c r="AF51" s="1"/>
  <c r="AD51"/>
  <c r="AC116"/>
  <c r="AD116"/>
  <c r="AC180"/>
  <c r="AD180"/>
  <c r="AC244"/>
  <c r="AD244"/>
  <c r="AC318"/>
  <c r="AE318" s="1"/>
  <c r="AF318" s="1"/>
  <c r="AD318"/>
  <c r="AC470"/>
  <c r="AD470"/>
  <c r="AC352"/>
  <c r="AE352" s="1"/>
  <c r="AF352" s="1"/>
  <c r="AD352"/>
  <c r="AC416"/>
  <c r="AD416"/>
  <c r="AC309"/>
  <c r="AE309" s="1"/>
  <c r="AF309" s="1"/>
  <c r="AD309"/>
  <c r="AC373"/>
  <c r="AD373"/>
  <c r="AC453"/>
  <c r="AE453" s="1"/>
  <c r="AF453" s="1"/>
  <c r="AD453"/>
  <c r="AC451"/>
  <c r="AD451"/>
  <c r="AC424"/>
  <c r="AE424" s="1"/>
  <c r="AF424" s="1"/>
  <c r="AD424"/>
  <c r="AC490"/>
  <c r="AD490"/>
  <c r="AC515"/>
  <c r="AD515"/>
  <c r="AC510"/>
  <c r="AD510"/>
  <c r="AC542"/>
  <c r="AE542" s="1"/>
  <c r="AF542" s="1"/>
  <c r="AD542"/>
  <c r="AD123"/>
  <c r="AC123"/>
  <c r="AD251"/>
  <c r="AC251"/>
  <c r="AC117"/>
  <c r="AD117"/>
  <c r="AD377"/>
  <c r="AE377" s="1"/>
  <c r="AF377" s="1"/>
  <c r="AC377"/>
  <c r="AD57"/>
  <c r="AC57"/>
  <c r="AC192"/>
  <c r="AE192" s="1"/>
  <c r="AF192" s="1"/>
  <c r="AD192"/>
  <c r="AC342"/>
  <c r="AD342"/>
  <c r="AC364"/>
  <c r="AD364"/>
  <c r="AD321"/>
  <c r="AC321"/>
  <c r="AC445"/>
  <c r="AD445"/>
  <c r="AD553"/>
  <c r="AC553"/>
  <c r="AC495"/>
  <c r="AE495" s="1"/>
  <c r="AF495" s="1"/>
  <c r="AD495"/>
  <c r="AC559"/>
  <c r="AD559"/>
  <c r="AC284"/>
  <c r="AE284" s="1"/>
  <c r="AF284" s="1"/>
  <c r="AD284"/>
  <c r="AC306"/>
  <c r="AD306"/>
  <c r="AD417"/>
  <c r="AC417"/>
  <c r="AC77"/>
  <c r="AD77"/>
  <c r="AC109"/>
  <c r="AD109"/>
  <c r="AC231"/>
  <c r="AD231"/>
  <c r="AC421"/>
  <c r="AD421"/>
  <c r="AC237"/>
  <c r="AD237"/>
  <c r="AC36"/>
  <c r="AE36" s="1"/>
  <c r="AF36" s="1"/>
  <c r="AD36"/>
  <c r="AC172"/>
  <c r="AD172"/>
  <c r="AC302"/>
  <c r="AE302" s="1"/>
  <c r="AF302" s="1"/>
  <c r="AD302"/>
  <c r="AC360"/>
  <c r="AD360"/>
  <c r="AC317"/>
  <c r="AE317" s="1"/>
  <c r="AF317" s="1"/>
  <c r="AD317"/>
  <c r="AC469"/>
  <c r="AD469"/>
  <c r="AC432"/>
  <c r="AE432" s="1"/>
  <c r="AF432" s="1"/>
  <c r="AD432"/>
  <c r="AC523"/>
  <c r="AD523"/>
  <c r="AC138"/>
  <c r="AE138" s="1"/>
  <c r="AF138" s="1"/>
  <c r="AD138"/>
  <c r="AC292"/>
  <c r="AD292"/>
  <c r="AC378"/>
  <c r="AE378" s="1"/>
  <c r="AF378" s="1"/>
  <c r="AD378"/>
  <c r="AD513"/>
  <c r="AC513"/>
  <c r="AC386"/>
  <c r="AE386" s="1"/>
  <c r="AF386" s="1"/>
  <c r="AD386"/>
  <c r="AC245"/>
  <c r="AD245"/>
  <c r="AC14"/>
  <c r="AD14"/>
  <c r="AD45"/>
  <c r="AC45"/>
  <c r="AC80"/>
  <c r="AE80" s="1"/>
  <c r="AF80" s="1"/>
  <c r="AD80"/>
  <c r="AC96"/>
  <c r="AD96"/>
  <c r="AC115"/>
  <c r="AE115" s="1"/>
  <c r="AF115" s="1"/>
  <c r="AD115"/>
  <c r="AC179"/>
  <c r="AD179"/>
  <c r="AC243"/>
  <c r="AE243" s="1"/>
  <c r="AF243" s="1"/>
  <c r="AD243"/>
  <c r="AD315"/>
  <c r="AC315"/>
  <c r="AD457"/>
  <c r="AC457"/>
  <c r="AC181"/>
  <c r="AD181"/>
  <c r="AD297"/>
  <c r="AC297"/>
  <c r="AC18"/>
  <c r="AD18"/>
  <c r="AC48"/>
  <c r="AD48"/>
  <c r="AC71"/>
  <c r="AD71"/>
  <c r="AC168"/>
  <c r="AE168" s="1"/>
  <c r="AF168" s="1"/>
  <c r="AD168"/>
  <c r="AC232"/>
  <c r="AD232"/>
  <c r="AC298"/>
  <c r="AE298" s="1"/>
  <c r="AF298" s="1"/>
  <c r="AD298"/>
  <c r="AC422"/>
  <c r="AD422"/>
  <c r="AC340"/>
  <c r="AD340"/>
  <c r="AC404"/>
  <c r="AD404"/>
  <c r="AD561"/>
  <c r="AC561"/>
  <c r="AD361"/>
  <c r="AC361"/>
  <c r="AC429"/>
  <c r="AE429" s="1"/>
  <c r="AF429" s="1"/>
  <c r="AD429"/>
  <c r="AC439"/>
  <c r="AD439"/>
  <c r="AC525"/>
  <c r="AE525" s="1"/>
  <c r="AF525" s="1"/>
  <c r="AD525"/>
  <c r="AC476"/>
  <c r="AD476"/>
  <c r="AC503"/>
  <c r="AE503" s="1"/>
  <c r="AF503" s="1"/>
  <c r="AD503"/>
  <c r="AC496"/>
  <c r="AD496"/>
  <c r="AC551"/>
  <c r="AD551"/>
  <c r="L13" i="15"/>
  <c r="L37" s="1"/>
  <c r="L14"/>
  <c r="L38" s="1"/>
  <c r="L16"/>
  <c r="L40" s="1"/>
  <c r="L29"/>
  <c r="F31" i="40"/>
  <c r="AI34"/>
  <c r="AZ34"/>
  <c r="BA34"/>
  <c r="AF33"/>
  <c r="AK33"/>
  <c r="AQ33"/>
  <c r="AW33"/>
  <c r="BB33"/>
  <c r="BC33"/>
  <c r="AJ33"/>
  <c r="AO33"/>
  <c r="AV33"/>
  <c r="BA33"/>
  <c r="F33"/>
  <c r="AI33"/>
  <c r="AN33"/>
  <c r="AT33"/>
  <c r="AH31"/>
  <c r="AL31"/>
  <c r="AP31"/>
  <c r="AU31"/>
  <c r="AY31"/>
  <c r="BC31"/>
  <c r="AO31"/>
  <c r="BC34"/>
  <c r="AF31"/>
  <c r="AJ31"/>
  <c r="AN31"/>
  <c r="AS31"/>
  <c r="AW31"/>
  <c r="BA31"/>
  <c r="AI32"/>
  <c r="AM32"/>
  <c r="AQ32"/>
  <c r="AV32"/>
  <c r="AZ32"/>
  <c r="BD32"/>
  <c r="AH33"/>
  <c r="AL33"/>
  <c r="AP33"/>
  <c r="AU33"/>
  <c r="AY33"/>
  <c r="AG34"/>
  <c r="AK34"/>
  <c r="AO34"/>
  <c r="AT34"/>
  <c r="AX34"/>
  <c r="BB34"/>
  <c r="AG31"/>
  <c r="AK31"/>
  <c r="AT31"/>
  <c r="AX31"/>
  <c r="BB31"/>
  <c r="F34"/>
  <c r="AH34"/>
  <c r="AL34"/>
  <c r="AP34"/>
  <c r="AU34"/>
  <c r="AY34"/>
  <c r="AI31"/>
  <c r="AM31"/>
  <c r="AQ31"/>
  <c r="AV31"/>
  <c r="AZ31"/>
  <c r="AH32"/>
  <c r="AL32"/>
  <c r="AP32"/>
  <c r="AU32"/>
  <c r="AY32"/>
  <c r="AF34"/>
  <c r="AJ34"/>
  <c r="AN34"/>
  <c r="AS34"/>
  <c r="AW34"/>
  <c r="AL27"/>
  <c r="AU27"/>
  <c r="BC27"/>
  <c r="AG27"/>
  <c r="AO27"/>
  <c r="F30"/>
  <c r="AL30"/>
  <c r="AU30"/>
  <c r="BC30"/>
  <c r="AF27"/>
  <c r="AJ27"/>
  <c r="AN27"/>
  <c r="AS27"/>
  <c r="AW27"/>
  <c r="BA27"/>
  <c r="AH29"/>
  <c r="AL29"/>
  <c r="AP29"/>
  <c r="AU29"/>
  <c r="AY29"/>
  <c r="BC29"/>
  <c r="AG30"/>
  <c r="AK30"/>
  <c r="AO30"/>
  <c r="AT30"/>
  <c r="AX30"/>
  <c r="BB30"/>
  <c r="F27"/>
  <c r="AH27"/>
  <c r="AP27"/>
  <c r="AY27"/>
  <c r="AK27"/>
  <c r="AT27"/>
  <c r="AX27"/>
  <c r="BB27"/>
  <c r="AH30"/>
  <c r="AP30"/>
  <c r="AY30"/>
  <c r="AI27"/>
  <c r="AM27"/>
  <c r="AQ27"/>
  <c r="AV27"/>
  <c r="AZ27"/>
  <c r="AH28"/>
  <c r="AL28"/>
  <c r="AP28"/>
  <c r="AU28"/>
  <c r="AY28"/>
  <c r="AG29"/>
  <c r="AK29"/>
  <c r="AO29"/>
  <c r="AT29"/>
  <c r="AX29"/>
  <c r="AF30"/>
  <c r="AJ30"/>
  <c r="AN30"/>
  <c r="AS30"/>
  <c r="AW30"/>
  <c r="AH26"/>
  <c r="AP26"/>
  <c r="AU26"/>
  <c r="AY26"/>
  <c r="F25"/>
  <c r="AH25"/>
  <c r="AP25"/>
  <c r="AK26"/>
  <c r="BB26"/>
  <c r="AH23"/>
  <c r="AL23"/>
  <c r="AP23"/>
  <c r="AU23"/>
  <c r="AY23"/>
  <c r="AG24"/>
  <c r="AK24"/>
  <c r="AO24"/>
  <c r="AT24"/>
  <c r="AX24"/>
  <c r="BB24"/>
  <c r="AF25"/>
  <c r="AJ25"/>
  <c r="AN25"/>
  <c r="AS25"/>
  <c r="AW25"/>
  <c r="BA25"/>
  <c r="AI26"/>
  <c r="AM26"/>
  <c r="AQ26"/>
  <c r="AV26"/>
  <c r="AZ26"/>
  <c r="BD26"/>
  <c r="F26"/>
  <c r="AL26"/>
  <c r="BC26"/>
  <c r="AL25"/>
  <c r="AU25"/>
  <c r="AY25"/>
  <c r="BC25"/>
  <c r="AG26"/>
  <c r="AO26"/>
  <c r="AT26"/>
  <c r="AX26"/>
  <c r="AH24"/>
  <c r="AL24"/>
  <c r="AP24"/>
  <c r="AU24"/>
  <c r="AY24"/>
  <c r="AG25"/>
  <c r="AK25"/>
  <c r="AO25"/>
  <c r="AT25"/>
  <c r="AX25"/>
  <c r="AF26"/>
  <c r="AJ26"/>
  <c r="AN26"/>
  <c r="AS26"/>
  <c r="AW26"/>
  <c r="AI18"/>
  <c r="BB17"/>
  <c r="AM17"/>
  <c r="AV17"/>
  <c r="BC16"/>
  <c r="AJ16"/>
  <c r="AO16"/>
  <c r="AV16"/>
  <c r="F17"/>
  <c r="AJ17"/>
  <c r="AS17"/>
  <c r="BA17"/>
  <c r="BA18"/>
  <c r="AV18"/>
  <c r="BD17"/>
  <c r="AI17"/>
  <c r="AQ17"/>
  <c r="F18"/>
  <c r="F15"/>
  <c r="AL15"/>
  <c r="AU15"/>
  <c r="AT21"/>
  <c r="F8"/>
  <c r="AW8"/>
  <c r="AJ12"/>
  <c r="AS12"/>
  <c r="BA12"/>
  <c r="F13"/>
  <c r="AN13"/>
  <c r="AK15"/>
  <c r="AT15"/>
  <c r="AX15"/>
  <c r="BB15"/>
  <c r="AH18"/>
  <c r="AL18"/>
  <c r="AP18"/>
  <c r="AU18"/>
  <c r="BC18"/>
  <c r="F5"/>
  <c r="AZ5"/>
  <c r="AN21"/>
  <c r="AI8"/>
  <c r="AV8"/>
  <c r="AI9"/>
  <c r="BD9"/>
  <c r="AG12"/>
  <c r="AO12"/>
  <c r="AX12"/>
  <c r="AG13"/>
  <c r="AM13"/>
  <c r="AS13"/>
  <c r="AX13"/>
  <c r="BD13"/>
  <c r="AF15"/>
  <c r="AJ15"/>
  <c r="AN15"/>
  <c r="AS15"/>
  <c r="AW15"/>
  <c r="BA15"/>
  <c r="AH17"/>
  <c r="AL17"/>
  <c r="AP17"/>
  <c r="AU17"/>
  <c r="AY17"/>
  <c r="BC17"/>
  <c r="AG18"/>
  <c r="AK18"/>
  <c r="AO18"/>
  <c r="AT18"/>
  <c r="AX18"/>
  <c r="BB18"/>
  <c r="AV9"/>
  <c r="AH15"/>
  <c r="AP15"/>
  <c r="AY15"/>
  <c r="BC15"/>
  <c r="AI5"/>
  <c r="AM8"/>
  <c r="AM9"/>
  <c r="AI13"/>
  <c r="AT13"/>
  <c r="AZ13"/>
  <c r="AG15"/>
  <c r="AO15"/>
  <c r="AY18"/>
  <c r="AT5"/>
  <c r="AI21"/>
  <c r="A8"/>
  <c r="AF8"/>
  <c r="AQ8"/>
  <c r="BD8"/>
  <c r="AZ9"/>
  <c r="AF12"/>
  <c r="AN12"/>
  <c r="AW12"/>
  <c r="A13"/>
  <c r="AF13"/>
  <c r="AK13"/>
  <c r="AQ13"/>
  <c r="AW13"/>
  <c r="BB13"/>
  <c r="AQ14"/>
  <c r="AI15"/>
  <c r="AM15"/>
  <c r="AQ15"/>
  <c r="AV15"/>
  <c r="AZ15"/>
  <c r="AH16"/>
  <c r="AL16"/>
  <c r="AP16"/>
  <c r="AU16"/>
  <c r="AY16"/>
  <c r="AG17"/>
  <c r="AK17"/>
  <c r="AO17"/>
  <c r="AT17"/>
  <c r="AX17"/>
  <c r="AF18"/>
  <c r="AJ18"/>
  <c r="AN18"/>
  <c r="AS18"/>
  <c r="AW18"/>
  <c r="AH11"/>
  <c r="AL11"/>
  <c r="AU11"/>
  <c r="AY11"/>
  <c r="BC11"/>
  <c r="AM7"/>
  <c r="AK11"/>
  <c r="AO11"/>
  <c r="AT11"/>
  <c r="AX11"/>
  <c r="BB11"/>
  <c r="BC14"/>
  <c r="AZ6"/>
  <c r="AF7"/>
  <c r="AK7"/>
  <c r="AQ7"/>
  <c r="AW7"/>
  <c r="BB7"/>
  <c r="AJ8"/>
  <c r="AS8"/>
  <c r="BA8"/>
  <c r="AQ9"/>
  <c r="AF11"/>
  <c r="AJ11"/>
  <c r="AN11"/>
  <c r="AS11"/>
  <c r="AW11"/>
  <c r="BA11"/>
  <c r="AI12"/>
  <c r="AM12"/>
  <c r="AQ12"/>
  <c r="AV12"/>
  <c r="AZ12"/>
  <c r="BD12"/>
  <c r="AH13"/>
  <c r="AL13"/>
  <c r="AP13"/>
  <c r="AU13"/>
  <c r="AY13"/>
  <c r="AG14"/>
  <c r="AK14"/>
  <c r="AO14"/>
  <c r="AT14"/>
  <c r="AX14"/>
  <c r="BB14"/>
  <c r="AI7"/>
  <c r="AN7"/>
  <c r="AT7"/>
  <c r="AZ7"/>
  <c r="F11"/>
  <c r="AP11"/>
  <c r="AG7"/>
  <c r="AS7"/>
  <c r="AX7"/>
  <c r="BD7"/>
  <c r="AG11"/>
  <c r="F14"/>
  <c r="AH14"/>
  <c r="AL14"/>
  <c r="AP14"/>
  <c r="AU14"/>
  <c r="AY14"/>
  <c r="AZ22"/>
  <c r="AJ7"/>
  <c r="AO7"/>
  <c r="AV7"/>
  <c r="BA7"/>
  <c r="AI11"/>
  <c r="AM11"/>
  <c r="AQ11"/>
  <c r="AV11"/>
  <c r="AZ11"/>
  <c r="AH12"/>
  <c r="AL12"/>
  <c r="AP12"/>
  <c r="AU12"/>
  <c r="AY12"/>
  <c r="AF14"/>
  <c r="AJ14"/>
  <c r="AN14"/>
  <c r="AS14"/>
  <c r="AW14"/>
  <c r="F10"/>
  <c r="AL10"/>
  <c r="AP10"/>
  <c r="AU10"/>
  <c r="BC10"/>
  <c r="AH9"/>
  <c r="AP9"/>
  <c r="AY9"/>
  <c r="AG10"/>
  <c r="AX10"/>
  <c r="BD6"/>
  <c r="BD22"/>
  <c r="A5"/>
  <c r="A21"/>
  <c r="AH7"/>
  <c r="AL7"/>
  <c r="AP7"/>
  <c r="AU7"/>
  <c r="AY7"/>
  <c r="AG8"/>
  <c r="AK8"/>
  <c r="AO8"/>
  <c r="AT8"/>
  <c r="AX8"/>
  <c r="BB8"/>
  <c r="AF9"/>
  <c r="AJ9"/>
  <c r="AN9"/>
  <c r="AS9"/>
  <c r="AW9"/>
  <c r="BA9"/>
  <c r="AI10"/>
  <c r="AM10"/>
  <c r="AQ10"/>
  <c r="AV10"/>
  <c r="AZ10"/>
  <c r="BD10"/>
  <c r="AH10"/>
  <c r="AY10"/>
  <c r="AM6"/>
  <c r="AM22"/>
  <c r="F9"/>
  <c r="AL9"/>
  <c r="AU9"/>
  <c r="BC9"/>
  <c r="AK10"/>
  <c r="AO10"/>
  <c r="AT10"/>
  <c r="BB10"/>
  <c r="AI6"/>
  <c r="AI22"/>
  <c r="AH8"/>
  <c r="AL8"/>
  <c r="AP8"/>
  <c r="AU8"/>
  <c r="AY8"/>
  <c r="AG9"/>
  <c r="AK9"/>
  <c r="AO9"/>
  <c r="AT9"/>
  <c r="AX9"/>
  <c r="AF10"/>
  <c r="AJ10"/>
  <c r="AN10"/>
  <c r="AS10"/>
  <c r="AW10"/>
  <c r="AG5"/>
  <c r="AM5"/>
  <c r="AS5"/>
  <c r="AX5"/>
  <c r="BD5"/>
  <c r="AG21"/>
  <c r="AM21"/>
  <c r="AS21"/>
  <c r="AX21"/>
  <c r="BD21"/>
  <c r="BC4"/>
  <c r="AK4"/>
  <c r="AT4"/>
  <c r="AF5"/>
  <c r="AK5"/>
  <c r="AQ5"/>
  <c r="AW5"/>
  <c r="BB5"/>
  <c r="BA6"/>
  <c r="AV6"/>
  <c r="BC20"/>
  <c r="AK20"/>
  <c r="AT20"/>
  <c r="AF21"/>
  <c r="AK21"/>
  <c r="AQ21"/>
  <c r="AW21"/>
  <c r="BB21"/>
  <c r="BA22"/>
  <c r="AV22"/>
  <c r="BC5"/>
  <c r="AJ5"/>
  <c r="AO5"/>
  <c r="AV5"/>
  <c r="F6"/>
  <c r="BC21"/>
  <c r="AJ21"/>
  <c r="AO21"/>
  <c r="AV21"/>
  <c r="F22"/>
  <c r="AH3"/>
  <c r="AL3"/>
  <c r="AP3"/>
  <c r="AU3"/>
  <c r="AY3"/>
  <c r="BC3"/>
  <c r="AH19"/>
  <c r="AL19"/>
  <c r="AP19"/>
  <c r="AU19"/>
  <c r="AY19"/>
  <c r="BC19"/>
  <c r="AG3"/>
  <c r="AK3"/>
  <c r="AO3"/>
  <c r="AT3"/>
  <c r="AX3"/>
  <c r="BB3"/>
  <c r="AH6"/>
  <c r="AL6"/>
  <c r="AP6"/>
  <c r="AU6"/>
  <c r="AY6"/>
  <c r="BC6"/>
  <c r="AG19"/>
  <c r="AK19"/>
  <c r="AO19"/>
  <c r="AT19"/>
  <c r="AX19"/>
  <c r="BB19"/>
  <c r="AH22"/>
  <c r="AL22"/>
  <c r="AP22"/>
  <c r="AU22"/>
  <c r="AY22"/>
  <c r="BC22"/>
  <c r="AF3"/>
  <c r="AJ3"/>
  <c r="AN3"/>
  <c r="AS3"/>
  <c r="AW3"/>
  <c r="BA3"/>
  <c r="AI4"/>
  <c r="AM4"/>
  <c r="AQ4"/>
  <c r="AV4"/>
  <c r="AZ4"/>
  <c r="BD4"/>
  <c r="AH5"/>
  <c r="AL5"/>
  <c r="AP5"/>
  <c r="AU5"/>
  <c r="AY5"/>
  <c r="AG6"/>
  <c r="AK6"/>
  <c r="AO6"/>
  <c r="AT6"/>
  <c r="AX6"/>
  <c r="BB6"/>
  <c r="AF19"/>
  <c r="AJ19"/>
  <c r="AN19"/>
  <c r="AS19"/>
  <c r="AW19"/>
  <c r="BA19"/>
  <c r="AI20"/>
  <c r="AM20"/>
  <c r="AQ20"/>
  <c r="AV20"/>
  <c r="AZ20"/>
  <c r="BD20"/>
  <c r="AH21"/>
  <c r="AL21"/>
  <c r="AP21"/>
  <c r="AU21"/>
  <c r="AY21"/>
  <c r="AG22"/>
  <c r="AK22"/>
  <c r="AO22"/>
  <c r="AT22"/>
  <c r="AX22"/>
  <c r="BB22"/>
  <c r="AI3"/>
  <c r="AM3"/>
  <c r="AQ3"/>
  <c r="AV3"/>
  <c r="AZ3"/>
  <c r="AH4"/>
  <c r="AL4"/>
  <c r="AP4"/>
  <c r="AU4"/>
  <c r="AY4"/>
  <c r="AF6"/>
  <c r="AJ6"/>
  <c r="AN6"/>
  <c r="AS6"/>
  <c r="AW6"/>
  <c r="AI19"/>
  <c r="AM19"/>
  <c r="AQ19"/>
  <c r="AV19"/>
  <c r="AZ19"/>
  <c r="AH20"/>
  <c r="AL20"/>
  <c r="AP20"/>
  <c r="AU20"/>
  <c r="AY20"/>
  <c r="AF22"/>
  <c r="AJ22"/>
  <c r="AN22"/>
  <c r="AS22"/>
  <c r="AW22"/>
  <c r="L22" i="15"/>
  <c r="L46" s="1"/>
  <c r="L36"/>
  <c r="L34"/>
  <c r="L20"/>
  <c r="L44" s="1"/>
  <c r="L9"/>
  <c r="L17"/>
  <c r="L41" s="1"/>
  <c r="L21"/>
  <c r="L45" s="1"/>
  <c r="BI5" i="29"/>
  <c r="AG5"/>
  <c r="BD5"/>
  <c r="AB5"/>
  <c r="AP5" s="1"/>
  <c r="AE186" i="28"/>
  <c r="AF186" s="1"/>
  <c r="AE280"/>
  <c r="AF280" s="1"/>
  <c r="AE158"/>
  <c r="AF158" s="1"/>
  <c r="AE292"/>
  <c r="AF292" s="1"/>
  <c r="AE362"/>
  <c r="AF362" s="1"/>
  <c r="AE150"/>
  <c r="AF150" s="1"/>
  <c r="AE190"/>
  <c r="AF190" s="1"/>
  <c r="AE513"/>
  <c r="AF513" s="1"/>
  <c r="AE130"/>
  <c r="AF130" s="1"/>
  <c r="AE162"/>
  <c r="AF162" s="1"/>
  <c r="AE226"/>
  <c r="AF226" s="1"/>
  <c r="AE288"/>
  <c r="AF288" s="1"/>
  <c r="AE338"/>
  <c r="AF338" s="1"/>
  <c r="AE145"/>
  <c r="AF145" s="1"/>
  <c r="AE161"/>
  <c r="AF161" s="1"/>
  <c r="AE185"/>
  <c r="AF185" s="1"/>
  <c r="AE197"/>
  <c r="AF197" s="1"/>
  <c r="AE229"/>
  <c r="AF229" s="1"/>
  <c r="AE245"/>
  <c r="AF245" s="1"/>
  <c r="AE249"/>
  <c r="AF249" s="1"/>
  <c r="AE257"/>
  <c r="AF257" s="1"/>
  <c r="AE273"/>
  <c r="AF273" s="1"/>
  <c r="AE289"/>
  <c r="AF289" s="1"/>
  <c r="AE303"/>
  <c r="AF303" s="1"/>
  <c r="AE343"/>
  <c r="AF343" s="1"/>
  <c r="AE34"/>
  <c r="AF34" s="1"/>
  <c r="AE54"/>
  <c r="AF54" s="1"/>
  <c r="AE56"/>
  <c r="AF56" s="1"/>
  <c r="AE69"/>
  <c r="AF69" s="1"/>
  <c r="AE76"/>
  <c r="AF76" s="1"/>
  <c r="AE78"/>
  <c r="AF78" s="1"/>
  <c r="AE88"/>
  <c r="AF88" s="1"/>
  <c r="AE92"/>
  <c r="AF92" s="1"/>
  <c r="AE96"/>
  <c r="AF96" s="1"/>
  <c r="AE100"/>
  <c r="AF100" s="1"/>
  <c r="AE102"/>
  <c r="AF102" s="1"/>
  <c r="AE110"/>
  <c r="AF110" s="1"/>
  <c r="AE123"/>
  <c r="AF123" s="1"/>
  <c r="AE155"/>
  <c r="AF155" s="1"/>
  <c r="AE179"/>
  <c r="AF179" s="1"/>
  <c r="AE187"/>
  <c r="AF187" s="1"/>
  <c r="AE195"/>
  <c r="AF195" s="1"/>
  <c r="AE203"/>
  <c r="AF203" s="1"/>
  <c r="AE211"/>
  <c r="AF211" s="1"/>
  <c r="AE219"/>
  <c r="AF219" s="1"/>
  <c r="AE227"/>
  <c r="AF227" s="1"/>
  <c r="AE247"/>
  <c r="AF247" s="1"/>
  <c r="AE263"/>
  <c r="AF263" s="1"/>
  <c r="AE275"/>
  <c r="AF275" s="1"/>
  <c r="AE291"/>
  <c r="AF291" s="1"/>
  <c r="AE299"/>
  <c r="AF299" s="1"/>
  <c r="AE307"/>
  <c r="AF307" s="1"/>
  <c r="AE323"/>
  <c r="AF323" s="1"/>
  <c r="AE339"/>
  <c r="AF339" s="1"/>
  <c r="AE371"/>
  <c r="AF371" s="1"/>
  <c r="AE397"/>
  <c r="AF397" s="1"/>
  <c r="AE479"/>
  <c r="AF479" s="1"/>
  <c r="AE117"/>
  <c r="AF117" s="1"/>
  <c r="AE141"/>
  <c r="AF141" s="1"/>
  <c r="AE169"/>
  <c r="AF169" s="1"/>
  <c r="AE181"/>
  <c r="AF181" s="1"/>
  <c r="AE201"/>
  <c r="AF201" s="1"/>
  <c r="AE209"/>
  <c r="AF209" s="1"/>
  <c r="AE233"/>
  <c r="AF233" s="1"/>
  <c r="AE269"/>
  <c r="AF269" s="1"/>
  <c r="AE311"/>
  <c r="AF311" s="1"/>
  <c r="AE401"/>
  <c r="AF401" s="1"/>
  <c r="AE449"/>
  <c r="AF449" s="1"/>
  <c r="AE13"/>
  <c r="AF13" s="1"/>
  <c r="AE25"/>
  <c r="AF25" s="1"/>
  <c r="AE27"/>
  <c r="AF27" s="1"/>
  <c r="AE31"/>
  <c r="AF31" s="1"/>
  <c r="AE43"/>
  <c r="AF43" s="1"/>
  <c r="AE49"/>
  <c r="AF49" s="1"/>
  <c r="AE50"/>
  <c r="AF50" s="1"/>
  <c r="AE55"/>
  <c r="AF55" s="1"/>
  <c r="AE57"/>
  <c r="AF57" s="1"/>
  <c r="AE67"/>
  <c r="AF67" s="1"/>
  <c r="AE68"/>
  <c r="AF68" s="1"/>
  <c r="AE112"/>
  <c r="AF112" s="1"/>
  <c r="AE120"/>
  <c r="AF120" s="1"/>
  <c r="AE128"/>
  <c r="AF128" s="1"/>
  <c r="AE136"/>
  <c r="AF136" s="1"/>
  <c r="AE144"/>
  <c r="AF144" s="1"/>
  <c r="AE152"/>
  <c r="AF152" s="1"/>
  <c r="AE160"/>
  <c r="AF160" s="1"/>
  <c r="AE176"/>
  <c r="AF176" s="1"/>
  <c r="AE200"/>
  <c r="AF200" s="1"/>
  <c r="AE216"/>
  <c r="AF216" s="1"/>
  <c r="AE232"/>
  <c r="AF232" s="1"/>
  <c r="AE250"/>
  <c r="AF250" s="1"/>
  <c r="AE254"/>
  <c r="AF254" s="1"/>
  <c r="AE290"/>
  <c r="AF290" s="1"/>
  <c r="AE406"/>
  <c r="AF406" s="1"/>
  <c r="AE470"/>
  <c r="AF470" s="1"/>
  <c r="AE478"/>
  <c r="AF478" s="1"/>
  <c r="AE304"/>
  <c r="AF304" s="1"/>
  <c r="AE320"/>
  <c r="AF320" s="1"/>
  <c r="AE336"/>
  <c r="AF336" s="1"/>
  <c r="AE360"/>
  <c r="AF360" s="1"/>
  <c r="AE380"/>
  <c r="AF380" s="1"/>
  <c r="AE388"/>
  <c r="AF388" s="1"/>
  <c r="AE404"/>
  <c r="AF404" s="1"/>
  <c r="AE420"/>
  <c r="AF420" s="1"/>
  <c r="AE426"/>
  <c r="AF426" s="1"/>
  <c r="AE442"/>
  <c r="AF442" s="1"/>
  <c r="AE458"/>
  <c r="AF458" s="1"/>
  <c r="AE505"/>
  <c r="AF505" s="1"/>
  <c r="AE561"/>
  <c r="AF561" s="1"/>
  <c r="AE301"/>
  <c r="AF301" s="1"/>
  <c r="AE333"/>
  <c r="AF333" s="1"/>
  <c r="AE373"/>
  <c r="AF373" s="1"/>
  <c r="AE375"/>
  <c r="AF375" s="1"/>
  <c r="AE383"/>
  <c r="AF383" s="1"/>
  <c r="AE391"/>
  <c r="AF391" s="1"/>
  <c r="AE399"/>
  <c r="AF399" s="1"/>
  <c r="AE407"/>
  <c r="AF407" s="1"/>
  <c r="AE437"/>
  <c r="AF437" s="1"/>
  <c r="AE469"/>
  <c r="AF469" s="1"/>
  <c r="AE500"/>
  <c r="AF500" s="1"/>
  <c r="AE556"/>
  <c r="AF556" s="1"/>
  <c r="AE427"/>
  <c r="AF427" s="1"/>
  <c r="AE435"/>
  <c r="AF435" s="1"/>
  <c r="AE443"/>
  <c r="AF443" s="1"/>
  <c r="AE451"/>
  <c r="AF451" s="1"/>
  <c r="AE467"/>
  <c r="AF467" s="1"/>
  <c r="AE481"/>
  <c r="AF481" s="1"/>
  <c r="AE509"/>
  <c r="AF509" s="1"/>
  <c r="AE553"/>
  <c r="AF553" s="1"/>
  <c r="AE476"/>
  <c r="AF476" s="1"/>
  <c r="AE498"/>
  <c r="AF498" s="1"/>
  <c r="AE487"/>
  <c r="AF487" s="1"/>
  <c r="AE511"/>
  <c r="AF511" s="1"/>
  <c r="AE523"/>
  <c r="AF523" s="1"/>
  <c r="AE535"/>
  <c r="AF535" s="1"/>
  <c r="AE549"/>
  <c r="AF549" s="1"/>
  <c r="AE496"/>
  <c r="AF496" s="1"/>
  <c r="AE510"/>
  <c r="AF510" s="1"/>
  <c r="AE514"/>
  <c r="AF514" s="1"/>
  <c r="AE526"/>
  <c r="AF526" s="1"/>
  <c r="AE560"/>
  <c r="AF560" s="1"/>
  <c r="AE555"/>
  <c r="AF555" s="1"/>
  <c r="AE33"/>
  <c r="AF33" s="1"/>
  <c r="AE40"/>
  <c r="AF40" s="1"/>
  <c r="AE261"/>
  <c r="AF261" s="1"/>
  <c r="AE18"/>
  <c r="AF18" s="1"/>
  <c r="AE45"/>
  <c r="AF45" s="1"/>
  <c r="AE65"/>
  <c r="AF65" s="1"/>
  <c r="AE24"/>
  <c r="AF24" s="1"/>
  <c r="AE64"/>
  <c r="AF64" s="1"/>
  <c r="AE19"/>
  <c r="AF19" s="1"/>
  <c r="AE286"/>
  <c r="AF286" s="1"/>
  <c r="AE306"/>
  <c r="AF306" s="1"/>
  <c r="AE370"/>
  <c r="AF370" s="1"/>
  <c r="AE545"/>
  <c r="AF545" s="1"/>
  <c r="AE258"/>
  <c r="AF258" s="1"/>
  <c r="AE279"/>
  <c r="AF279" s="1"/>
  <c r="AE512"/>
  <c r="AF512" s="1"/>
  <c r="AE528"/>
  <c r="AF528" s="1"/>
  <c r="AE171" l="1"/>
  <c r="AF171" s="1"/>
  <c r="AH171" s="1"/>
  <c r="AE297"/>
  <c r="AF297" s="1"/>
  <c r="AG297" s="1"/>
  <c r="AE21"/>
  <c r="AF21" s="1"/>
  <c r="AE409"/>
  <c r="AF409" s="1"/>
  <c r="AE235"/>
  <c r="AF235" s="1"/>
  <c r="AH235" s="1"/>
  <c r="AE121"/>
  <c r="AF121" s="1"/>
  <c r="AH121" s="1"/>
  <c r="AE251"/>
  <c r="AF251" s="1"/>
  <c r="AH251" s="1"/>
  <c r="AE537"/>
  <c r="AF537" s="1"/>
  <c r="AE59"/>
  <c r="AF59" s="1"/>
  <c r="AG59" s="1"/>
  <c r="AE41"/>
  <c r="AF41" s="1"/>
  <c r="AH41" s="1"/>
  <c r="AE497"/>
  <c r="AF497" s="1"/>
  <c r="AH497" s="1"/>
  <c r="AE153"/>
  <c r="AF153" s="1"/>
  <c r="AE521"/>
  <c r="AF521" s="1"/>
  <c r="AG521" s="1"/>
  <c r="AE267"/>
  <c r="AF267" s="1"/>
  <c r="AG267" s="1"/>
  <c r="AE562"/>
  <c r="AF562" s="1"/>
  <c r="AG562" s="1"/>
  <c r="AE554"/>
  <c r="AF554" s="1"/>
  <c r="AG554" s="1"/>
  <c r="AE546"/>
  <c r="AF546" s="1"/>
  <c r="AH546" s="1"/>
  <c r="AE559"/>
  <c r="AF559" s="1"/>
  <c r="AH559" s="1"/>
  <c r="AE551"/>
  <c r="AF551" s="1"/>
  <c r="AG551" s="1"/>
  <c r="AE543"/>
  <c r="AF543" s="1"/>
  <c r="AG543" s="1"/>
  <c r="AE552"/>
  <c r="AF552" s="1"/>
  <c r="AH552" s="1"/>
  <c r="AE557"/>
  <c r="AF557" s="1"/>
  <c r="AG557" s="1"/>
  <c r="AE468"/>
  <c r="AF468" s="1"/>
  <c r="AG468" s="1"/>
  <c r="AE460"/>
  <c r="AF460" s="1"/>
  <c r="AG460" s="1"/>
  <c r="AE452"/>
  <c r="AF452" s="1"/>
  <c r="AH452" s="1"/>
  <c r="AE444"/>
  <c r="AF444" s="1"/>
  <c r="AH444" s="1"/>
  <c r="AE436"/>
  <c r="AF436" s="1"/>
  <c r="AG436" s="1"/>
  <c r="AE428"/>
  <c r="AF428" s="1"/>
  <c r="AG428" s="1"/>
  <c r="AE471"/>
  <c r="AF471" s="1"/>
  <c r="AG471" s="1"/>
  <c r="AE463"/>
  <c r="AF463" s="1"/>
  <c r="AG463" s="1"/>
  <c r="AE455"/>
  <c r="AF455" s="1"/>
  <c r="AG455" s="1"/>
  <c r="AE447"/>
  <c r="AF447" s="1"/>
  <c r="AH447" s="1"/>
  <c r="AE439"/>
  <c r="AF439" s="1"/>
  <c r="AH439" s="1"/>
  <c r="AE431"/>
  <c r="AF431" s="1"/>
  <c r="AH431" s="1"/>
  <c r="AE423"/>
  <c r="AF423" s="1"/>
  <c r="AG423" s="1"/>
  <c r="AE461"/>
  <c r="AF461" s="1"/>
  <c r="AH461" s="1"/>
  <c r="AE445"/>
  <c r="AF445" s="1"/>
  <c r="AH445" s="1"/>
  <c r="AE369"/>
  <c r="AF369" s="1"/>
  <c r="AG369" s="1"/>
  <c r="AE361"/>
  <c r="AF361" s="1"/>
  <c r="AG361" s="1"/>
  <c r="AE353"/>
  <c r="AF353" s="1"/>
  <c r="AG353" s="1"/>
  <c r="AE345"/>
  <c r="AF345" s="1"/>
  <c r="AG345" s="1"/>
  <c r="AE337"/>
  <c r="AF337" s="1"/>
  <c r="AG337" s="1"/>
  <c r="AE329"/>
  <c r="AF329" s="1"/>
  <c r="AG329" s="1"/>
  <c r="AE321"/>
  <c r="AF321" s="1"/>
  <c r="AH321" s="1"/>
  <c r="AE313"/>
  <c r="AF313" s="1"/>
  <c r="AH313" s="1"/>
  <c r="AE305"/>
  <c r="AF305" s="1"/>
  <c r="AH305" s="1"/>
  <c r="AE466"/>
  <c r="AF466" s="1"/>
  <c r="AG466" s="1"/>
  <c r="AE450"/>
  <c r="AF450" s="1"/>
  <c r="AG450" s="1"/>
  <c r="AE434"/>
  <c r="AF434" s="1"/>
  <c r="AH434" s="1"/>
  <c r="AE372"/>
  <c r="AF372" s="1"/>
  <c r="AG372" s="1"/>
  <c r="AE364"/>
  <c r="AF364" s="1"/>
  <c r="AG364" s="1"/>
  <c r="AE356"/>
  <c r="AF356" s="1"/>
  <c r="AH356" s="1"/>
  <c r="AE348"/>
  <c r="AF348" s="1"/>
  <c r="AH348" s="1"/>
  <c r="AE340"/>
  <c r="AF340" s="1"/>
  <c r="AG340" s="1"/>
  <c r="AE332"/>
  <c r="AF332" s="1"/>
  <c r="AG332" s="1"/>
  <c r="AE324"/>
  <c r="AF324" s="1"/>
  <c r="AH324" s="1"/>
  <c r="AE316"/>
  <c r="AF316" s="1"/>
  <c r="AG316" s="1"/>
  <c r="AE308"/>
  <c r="AF308" s="1"/>
  <c r="AG308" s="1"/>
  <c r="AE300"/>
  <c r="AF300" s="1"/>
  <c r="AG300" s="1"/>
  <c r="AE454"/>
  <c r="AF454" s="1"/>
  <c r="AH454" s="1"/>
  <c r="AE422"/>
  <c r="AF422" s="1"/>
  <c r="AH422" s="1"/>
  <c r="AE342"/>
  <c r="AF342" s="1"/>
  <c r="AG342" s="1"/>
  <c r="AE310"/>
  <c r="AF310" s="1"/>
  <c r="AG310" s="1"/>
  <c r="AE71"/>
  <c r="AF71" s="1"/>
  <c r="AG71" s="1"/>
  <c r="AE62"/>
  <c r="AF62" s="1"/>
  <c r="AG62" s="1"/>
  <c r="AE48"/>
  <c r="AF48" s="1"/>
  <c r="AG48" s="1"/>
  <c r="AE42"/>
  <c r="AF42" s="1"/>
  <c r="AG42" s="1"/>
  <c r="AE38"/>
  <c r="AF38" s="1"/>
  <c r="AH38" s="1"/>
  <c r="AE9"/>
  <c r="AF9" s="1"/>
  <c r="AH9" s="1"/>
  <c r="AE465"/>
  <c r="AF465" s="1"/>
  <c r="AG465" s="1"/>
  <c r="AE351"/>
  <c r="AF351" s="1"/>
  <c r="AG351" s="1"/>
  <c r="AE327"/>
  <c r="AF327" s="1"/>
  <c r="AG327" s="1"/>
  <c r="AE457"/>
  <c r="AF457" s="1"/>
  <c r="AH457" s="1"/>
  <c r="AE425"/>
  <c r="AF425" s="1"/>
  <c r="AG425" s="1"/>
  <c r="AE363"/>
  <c r="AF363" s="1"/>
  <c r="AG363" s="1"/>
  <c r="AE347"/>
  <c r="AF347" s="1"/>
  <c r="AG347" s="1"/>
  <c r="AE331"/>
  <c r="AF331" s="1"/>
  <c r="AG331" s="1"/>
  <c r="AE315"/>
  <c r="AF315" s="1"/>
  <c r="AH315" s="1"/>
  <c r="AE35"/>
  <c r="AF35" s="1"/>
  <c r="AG35" s="1"/>
  <c r="AE23"/>
  <c r="AF23" s="1"/>
  <c r="AG23" s="1"/>
  <c r="AE20"/>
  <c r="AF20" s="1"/>
  <c r="AH20" s="1"/>
  <c r="AE14"/>
  <c r="AF14" s="1"/>
  <c r="AH14" s="1"/>
  <c r="AE433"/>
  <c r="AF433" s="1"/>
  <c r="AG433" s="1"/>
  <c r="AE359"/>
  <c r="AF359" s="1"/>
  <c r="AG359" s="1"/>
  <c r="AE319"/>
  <c r="AF319" s="1"/>
  <c r="AG319" s="1"/>
  <c r="AE430"/>
  <c r="AF430" s="1"/>
  <c r="AG430" s="1"/>
  <c r="AE330"/>
  <c r="AF330" s="1"/>
  <c r="AG330" s="1"/>
  <c r="AE354"/>
  <c r="AF354" s="1"/>
  <c r="AG354" s="1"/>
  <c r="AE446"/>
  <c r="AF446" s="1"/>
  <c r="AG446" s="1"/>
  <c r="AE462"/>
  <c r="AF462" s="1"/>
  <c r="AH462" s="1"/>
  <c r="AE534"/>
  <c r="AF534" s="1"/>
  <c r="AH534" s="1"/>
  <c r="AE518"/>
  <c r="AF518" s="1"/>
  <c r="AH518" s="1"/>
  <c r="AE502"/>
  <c r="AF502" s="1"/>
  <c r="AG502" s="1"/>
  <c r="AE492"/>
  <c r="AF492" s="1"/>
  <c r="AG492" s="1"/>
  <c r="AE484"/>
  <c r="AF484" s="1"/>
  <c r="AH484" s="1"/>
  <c r="AE531"/>
  <c r="AF531" s="1"/>
  <c r="AH531" s="1"/>
  <c r="AE515"/>
  <c r="AF515" s="1"/>
  <c r="AH515" s="1"/>
  <c r="AE499"/>
  <c r="AF499" s="1"/>
  <c r="AG499" s="1"/>
  <c r="AE491"/>
  <c r="AF491" s="1"/>
  <c r="AH491" s="1"/>
  <c r="AE483"/>
  <c r="AF483" s="1"/>
  <c r="AH483" s="1"/>
  <c r="AE536"/>
  <c r="AF536" s="1"/>
  <c r="AH536" s="1"/>
  <c r="AE520"/>
  <c r="AF520" s="1"/>
  <c r="AH520" s="1"/>
  <c r="AE504"/>
  <c r="AF504" s="1"/>
  <c r="AH504" s="1"/>
  <c r="AE490"/>
  <c r="AF490" s="1"/>
  <c r="AG490" s="1"/>
  <c r="AE480"/>
  <c r="AF480" s="1"/>
  <c r="AH480" s="1"/>
  <c r="AE533"/>
  <c r="AF533" s="1"/>
  <c r="AH533" s="1"/>
  <c r="AE517"/>
  <c r="AF517" s="1"/>
  <c r="AH517" s="1"/>
  <c r="AE501"/>
  <c r="AF501" s="1"/>
  <c r="AH501" s="1"/>
  <c r="AE489"/>
  <c r="AF489" s="1"/>
  <c r="AG489" s="1"/>
  <c r="AE477"/>
  <c r="AF477" s="1"/>
  <c r="AH477" s="1"/>
  <c r="AE516"/>
  <c r="AF516" s="1"/>
  <c r="AH516" s="1"/>
  <c r="AE493"/>
  <c r="AF493" s="1"/>
  <c r="AH493" s="1"/>
  <c r="AE419"/>
  <c r="AF419" s="1"/>
  <c r="AG419" s="1"/>
  <c r="AE411"/>
  <c r="AF411" s="1"/>
  <c r="AH411" s="1"/>
  <c r="AE403"/>
  <c r="AF403" s="1"/>
  <c r="AH403" s="1"/>
  <c r="AE395"/>
  <c r="AF395" s="1"/>
  <c r="AH395" s="1"/>
  <c r="AE387"/>
  <c r="AF387" s="1"/>
  <c r="AH387" s="1"/>
  <c r="AE379"/>
  <c r="AF379" s="1"/>
  <c r="AH379" s="1"/>
  <c r="AE416"/>
  <c r="AF416" s="1"/>
  <c r="AH416" s="1"/>
  <c r="AE408"/>
  <c r="AF408" s="1"/>
  <c r="AG408" s="1"/>
  <c r="AE400"/>
  <c r="AF400" s="1"/>
  <c r="AG400" s="1"/>
  <c r="AE392"/>
  <c r="AF392" s="1"/>
  <c r="AH392" s="1"/>
  <c r="AE384"/>
  <c r="AF384" s="1"/>
  <c r="AH384" s="1"/>
  <c r="AE376"/>
  <c r="AF376" s="1"/>
  <c r="AH376" s="1"/>
  <c r="AE529"/>
  <c r="AF529" s="1"/>
  <c r="AG529" s="1"/>
  <c r="AE414"/>
  <c r="AF414" s="1"/>
  <c r="AG414" s="1"/>
  <c r="AE398"/>
  <c r="AF398" s="1"/>
  <c r="AH398" s="1"/>
  <c r="AE382"/>
  <c r="AF382" s="1"/>
  <c r="AH382" s="1"/>
  <c r="AE294"/>
  <c r="AF294" s="1"/>
  <c r="AH294" s="1"/>
  <c r="AE278"/>
  <c r="AF278" s="1"/>
  <c r="AH278" s="1"/>
  <c r="AE270"/>
  <c r="AF270" s="1"/>
  <c r="AH270" s="1"/>
  <c r="AE262"/>
  <c r="AF262" s="1"/>
  <c r="AH262" s="1"/>
  <c r="AE244"/>
  <c r="AF244" s="1"/>
  <c r="AH244" s="1"/>
  <c r="AE236"/>
  <c r="AF236" s="1"/>
  <c r="AG236" s="1"/>
  <c r="AE228"/>
  <c r="AF228" s="1"/>
  <c r="AH228" s="1"/>
  <c r="AE220"/>
  <c r="AF220" s="1"/>
  <c r="AH220" s="1"/>
  <c r="AE212"/>
  <c r="AF212" s="1"/>
  <c r="AG212" s="1"/>
  <c r="AE204"/>
  <c r="AF204" s="1"/>
  <c r="AH204" s="1"/>
  <c r="AE196"/>
  <c r="AF196" s="1"/>
  <c r="AH196" s="1"/>
  <c r="AE188"/>
  <c r="AF188" s="1"/>
  <c r="AH188" s="1"/>
  <c r="AE180"/>
  <c r="AF180" s="1"/>
  <c r="AH180" s="1"/>
  <c r="AE172"/>
  <c r="AF172" s="1"/>
  <c r="AG172" s="1"/>
  <c r="AE164"/>
  <c r="AF164" s="1"/>
  <c r="AH164" s="1"/>
  <c r="AE156"/>
  <c r="AF156" s="1"/>
  <c r="AG156" s="1"/>
  <c r="AE148"/>
  <c r="AF148" s="1"/>
  <c r="AG148" s="1"/>
  <c r="AE140"/>
  <c r="AF140" s="1"/>
  <c r="AH140" s="1"/>
  <c r="AE132"/>
  <c r="AF132" s="1"/>
  <c r="AH132" s="1"/>
  <c r="AE124"/>
  <c r="AF124" s="1"/>
  <c r="AG124" s="1"/>
  <c r="AE116"/>
  <c r="AF116" s="1"/>
  <c r="AH116" s="1"/>
  <c r="AE73"/>
  <c r="AF73" s="1"/>
  <c r="AH73" s="1"/>
  <c r="AE524"/>
  <c r="AF524" s="1"/>
  <c r="AH524" s="1"/>
  <c r="AE385"/>
  <c r="AF385" s="1"/>
  <c r="AH385" s="1"/>
  <c r="AE293"/>
  <c r="AF293" s="1"/>
  <c r="AG293" s="1"/>
  <c r="AE277"/>
  <c r="AF277" s="1"/>
  <c r="AH277" s="1"/>
  <c r="AE237"/>
  <c r="AF237" s="1"/>
  <c r="AH237" s="1"/>
  <c r="AE225"/>
  <c r="AF225" s="1"/>
  <c r="AG225" s="1"/>
  <c r="AE217"/>
  <c r="AF217" s="1"/>
  <c r="AH217" s="1"/>
  <c r="AE205"/>
  <c r="AF205" s="1"/>
  <c r="AH205" s="1"/>
  <c r="AE193"/>
  <c r="AF193" s="1"/>
  <c r="AH193" s="1"/>
  <c r="AE173"/>
  <c r="AF173" s="1"/>
  <c r="AH173" s="1"/>
  <c r="AE165"/>
  <c r="AF165" s="1"/>
  <c r="AH165" s="1"/>
  <c r="AE149"/>
  <c r="AF149" s="1"/>
  <c r="AH149" s="1"/>
  <c r="AE137"/>
  <c r="AF137" s="1"/>
  <c r="AH137" s="1"/>
  <c r="AE125"/>
  <c r="AF125" s="1"/>
  <c r="AH125" s="1"/>
  <c r="AE485"/>
  <c r="AF485" s="1"/>
  <c r="AG485" s="1"/>
  <c r="AE421"/>
  <c r="AF421" s="1"/>
  <c r="AH421" s="1"/>
  <c r="AE405"/>
  <c r="AF405" s="1"/>
  <c r="AH405" s="1"/>
  <c r="AE389"/>
  <c r="AF389" s="1"/>
  <c r="AH389" s="1"/>
  <c r="AE287"/>
  <c r="AF287" s="1"/>
  <c r="AG287" s="1"/>
  <c r="AE271"/>
  <c r="AF271" s="1"/>
  <c r="AH271" s="1"/>
  <c r="AE255"/>
  <c r="AF255" s="1"/>
  <c r="AH255" s="1"/>
  <c r="AE239"/>
  <c r="AF239" s="1"/>
  <c r="AH239" s="1"/>
  <c r="AE231"/>
  <c r="AF231" s="1"/>
  <c r="AH231" s="1"/>
  <c r="AE223"/>
  <c r="AF223" s="1"/>
  <c r="AG223" s="1"/>
  <c r="AE215"/>
  <c r="AF215" s="1"/>
  <c r="AH215" s="1"/>
  <c r="AE207"/>
  <c r="AF207" s="1"/>
  <c r="AH207" s="1"/>
  <c r="AE199"/>
  <c r="AF199" s="1"/>
  <c r="AH199" s="1"/>
  <c r="AE191"/>
  <c r="AF191" s="1"/>
  <c r="AH191" s="1"/>
  <c r="AE183"/>
  <c r="AF183" s="1"/>
  <c r="AH183" s="1"/>
  <c r="AE175"/>
  <c r="AF175" s="1"/>
  <c r="AH175" s="1"/>
  <c r="AE167"/>
  <c r="AF167" s="1"/>
  <c r="AG167" s="1"/>
  <c r="AE159"/>
  <c r="AF159" s="1"/>
  <c r="AG159" s="1"/>
  <c r="AE151"/>
  <c r="AF151" s="1"/>
  <c r="AH151" s="1"/>
  <c r="AE143"/>
  <c r="AF143" s="1"/>
  <c r="AH143" s="1"/>
  <c r="AE135"/>
  <c r="AF135" s="1"/>
  <c r="AG135" s="1"/>
  <c r="AE127"/>
  <c r="AF127" s="1"/>
  <c r="AH127" s="1"/>
  <c r="AE119"/>
  <c r="AF119" s="1"/>
  <c r="AH119" s="1"/>
  <c r="AE111"/>
  <c r="AF111" s="1"/>
  <c r="AH111" s="1"/>
  <c r="AE109"/>
  <c r="AF109" s="1"/>
  <c r="AG109" s="1"/>
  <c r="AE107"/>
  <c r="AF107" s="1"/>
  <c r="AG107" s="1"/>
  <c r="AE105"/>
  <c r="AF105" s="1"/>
  <c r="AH105" s="1"/>
  <c r="AE103"/>
  <c r="AF103" s="1"/>
  <c r="AH103" s="1"/>
  <c r="AE101"/>
  <c r="AF101" s="1"/>
  <c r="AG101" s="1"/>
  <c r="AE99"/>
  <c r="AF99" s="1"/>
  <c r="AH99" s="1"/>
  <c r="AE97"/>
  <c r="AF97" s="1"/>
  <c r="AH97" s="1"/>
  <c r="AE95"/>
  <c r="AF95" s="1"/>
  <c r="AH95" s="1"/>
  <c r="AE93"/>
  <c r="AF93" s="1"/>
  <c r="AG93" s="1"/>
  <c r="AE91"/>
  <c r="AF91" s="1"/>
  <c r="AG91" s="1"/>
  <c r="AE89"/>
  <c r="AF89" s="1"/>
  <c r="AH89" s="1"/>
  <c r="AE87"/>
  <c r="AF87" s="1"/>
  <c r="AH87" s="1"/>
  <c r="AE85"/>
  <c r="AF85" s="1"/>
  <c r="AG85" s="1"/>
  <c r="AE83"/>
  <c r="AF83" s="1"/>
  <c r="AH83" s="1"/>
  <c r="AE81"/>
  <c r="AF81" s="1"/>
  <c r="AH81" s="1"/>
  <c r="AE79"/>
  <c r="AF79" s="1"/>
  <c r="AH79" s="1"/>
  <c r="AE77"/>
  <c r="AF77" s="1"/>
  <c r="AG77" s="1"/>
  <c r="AE75"/>
  <c r="AF75" s="1"/>
  <c r="AG75" s="1"/>
  <c r="AE417"/>
  <c r="AF417" s="1"/>
  <c r="AH417" s="1"/>
  <c r="AE393"/>
  <c r="AF393" s="1"/>
  <c r="AH393" s="1"/>
  <c r="AE281"/>
  <c r="AF281" s="1"/>
  <c r="AH281" s="1"/>
  <c r="AE265"/>
  <c r="AF265" s="1"/>
  <c r="AH265" s="1"/>
  <c r="AE241"/>
  <c r="AF241" s="1"/>
  <c r="AH241" s="1"/>
  <c r="AE213"/>
  <c r="AF213" s="1"/>
  <c r="AH213" s="1"/>
  <c r="AE189"/>
  <c r="AF189" s="1"/>
  <c r="AG189" s="1"/>
  <c r="AE177"/>
  <c r="AF177" s="1"/>
  <c r="AH177" s="1"/>
  <c r="AE157"/>
  <c r="AF157" s="1"/>
  <c r="AH157" s="1"/>
  <c r="AE133"/>
  <c r="AF133" s="1"/>
  <c r="AH133" s="1"/>
  <c r="AE113"/>
  <c r="AF113" s="1"/>
  <c r="AG113" s="1"/>
  <c r="AE418"/>
  <c r="AF418" s="1"/>
  <c r="AG418" s="1"/>
  <c r="AE272"/>
  <c r="AF272" s="1"/>
  <c r="AH272" s="1"/>
  <c r="AE242"/>
  <c r="AF242" s="1"/>
  <c r="AG242" s="1"/>
  <c r="AE210"/>
  <c r="AF210" s="1"/>
  <c r="AH210" s="1"/>
  <c r="AE178"/>
  <c r="AF178" s="1"/>
  <c r="AG178" s="1"/>
  <c r="AE146"/>
  <c r="AF146" s="1"/>
  <c r="AH146" s="1"/>
  <c r="AE114"/>
  <c r="AF114" s="1"/>
  <c r="AH114" s="1"/>
  <c r="AE394"/>
  <c r="AF394" s="1"/>
  <c r="AG394" s="1"/>
  <c r="AE260"/>
  <c r="AF260" s="1"/>
  <c r="AG260" s="1"/>
  <c r="AE222"/>
  <c r="AF222" s="1"/>
  <c r="AH222" s="1"/>
  <c r="AE142"/>
  <c r="AF142" s="1"/>
  <c r="AH142" s="1"/>
  <c r="AE486"/>
  <c r="AF486" s="1"/>
  <c r="AH486" s="1"/>
  <c r="AE154"/>
  <c r="AF154" s="1"/>
  <c r="AH154" s="1"/>
  <c r="AE410"/>
  <c r="AF410" s="1"/>
  <c r="AH410" s="1"/>
  <c r="AE230"/>
  <c r="AF230" s="1"/>
  <c r="AH230" s="1"/>
  <c r="AE198"/>
  <c r="AF198" s="1"/>
  <c r="AG198" s="1"/>
  <c r="AE166"/>
  <c r="AF166" s="1"/>
  <c r="AH166" s="1"/>
  <c r="AE134"/>
  <c r="AF134" s="1"/>
  <c r="AH134" s="1"/>
  <c r="AE276"/>
  <c r="AF276" s="1"/>
  <c r="AH276" s="1"/>
  <c r="AE174"/>
  <c r="AF174" s="1"/>
  <c r="AG174" s="1"/>
  <c r="AE402"/>
  <c r="AF402" s="1"/>
  <c r="AG402" s="1"/>
  <c r="AE264"/>
  <c r="AF264" s="1"/>
  <c r="AH264" s="1"/>
  <c r="AE234"/>
  <c r="AF234" s="1"/>
  <c r="AH234" s="1"/>
  <c r="AE202"/>
  <c r="AF202" s="1"/>
  <c r="AG202" s="1"/>
  <c r="AE170"/>
  <c r="AF170" s="1"/>
  <c r="AH170" s="1"/>
  <c r="AE122"/>
  <c r="AF122" s="1"/>
  <c r="AH122" s="1"/>
  <c r="L33" i="15"/>
  <c r="L19"/>
  <c r="L43" s="1"/>
  <c r="AG534" i="28"/>
  <c r="AH499"/>
  <c r="AG294"/>
  <c r="AH287"/>
  <c r="AH560"/>
  <c r="AG560"/>
  <c r="AH544"/>
  <c r="AG544"/>
  <c r="AH549"/>
  <c r="AG549"/>
  <c r="AH448"/>
  <c r="AG448"/>
  <c r="AH469"/>
  <c r="AG469"/>
  <c r="AH366"/>
  <c r="AG366"/>
  <c r="AH350"/>
  <c r="AG350"/>
  <c r="AH318"/>
  <c r="AG318"/>
  <c r="AH70"/>
  <c r="AG70"/>
  <c r="AH58"/>
  <c r="AG58"/>
  <c r="AH55"/>
  <c r="AG55"/>
  <c r="AH51"/>
  <c r="AG51"/>
  <c r="AH46"/>
  <c r="AG46"/>
  <c r="AH39"/>
  <c r="AG39"/>
  <c r="AH36"/>
  <c r="AG36"/>
  <c r="AH27"/>
  <c r="AG27"/>
  <c r="AH10"/>
  <c r="AG10"/>
  <c r="AH540"/>
  <c r="AG540"/>
  <c r="AH54"/>
  <c r="AG54"/>
  <c r="AH37"/>
  <c r="AG37"/>
  <c r="AH30"/>
  <c r="AG30"/>
  <c r="AH26"/>
  <c r="AG26"/>
  <c r="AH22"/>
  <c r="AG22"/>
  <c r="AH17"/>
  <c r="AG17"/>
  <c r="AH322"/>
  <c r="AG322"/>
  <c r="AH362"/>
  <c r="AG362"/>
  <c r="AG530"/>
  <c r="AH530"/>
  <c r="AG522"/>
  <c r="AH522"/>
  <c r="AG514"/>
  <c r="AH514"/>
  <c r="AG506"/>
  <c r="AH506"/>
  <c r="AG496"/>
  <c r="AH496"/>
  <c r="AG535"/>
  <c r="AH535"/>
  <c r="AG527"/>
  <c r="AH527"/>
  <c r="AG519"/>
  <c r="AH519"/>
  <c r="AG511"/>
  <c r="AH511"/>
  <c r="AG503"/>
  <c r="AH503"/>
  <c r="AG525"/>
  <c r="AH525"/>
  <c r="AG509"/>
  <c r="AH509"/>
  <c r="AG481"/>
  <c r="AH481"/>
  <c r="AG532"/>
  <c r="AH532"/>
  <c r="AG500"/>
  <c r="AH500"/>
  <c r="AH521"/>
  <c r="AG298"/>
  <c r="AH298"/>
  <c r="AG282"/>
  <c r="AH282"/>
  <c r="AG274"/>
  <c r="AH274"/>
  <c r="AG266"/>
  <c r="AH266"/>
  <c r="AG250"/>
  <c r="AH250"/>
  <c r="AH297"/>
  <c r="AG269"/>
  <c r="AH269"/>
  <c r="AG253"/>
  <c r="AH253"/>
  <c r="AG508"/>
  <c r="AH508"/>
  <c r="AH299"/>
  <c r="AG299"/>
  <c r="AG291"/>
  <c r="AH291"/>
  <c r="AG283"/>
  <c r="AH283"/>
  <c r="AG275"/>
  <c r="AH275"/>
  <c r="AG259"/>
  <c r="AH259"/>
  <c r="AG251"/>
  <c r="AG289"/>
  <c r="AH289"/>
  <c r="AG273"/>
  <c r="AH273"/>
  <c r="AG288"/>
  <c r="AH288"/>
  <c r="AG256"/>
  <c r="AH256"/>
  <c r="AG513"/>
  <c r="AH513"/>
  <c r="AG296"/>
  <c r="AH296"/>
  <c r="AG292"/>
  <c r="AH292"/>
  <c r="AG280"/>
  <c r="AH280"/>
  <c r="AG248"/>
  <c r="AH248"/>
  <c r="AG552"/>
  <c r="AH71"/>
  <c r="AH62"/>
  <c r="AH465"/>
  <c r="AG14"/>
  <c r="AG539"/>
  <c r="AH539"/>
  <c r="AG507"/>
  <c r="AH507"/>
  <c r="AH553"/>
  <c r="AG553"/>
  <c r="AG510"/>
  <c r="AH510"/>
  <c r="AG537"/>
  <c r="AH537"/>
  <c r="AH473"/>
  <c r="AG473"/>
  <c r="AG295"/>
  <c r="AH295"/>
  <c r="AG263"/>
  <c r="AH263"/>
  <c r="AH358"/>
  <c r="AG358"/>
  <c r="AG258"/>
  <c r="AH258"/>
  <c r="AG488"/>
  <c r="AH488"/>
  <c r="AH338"/>
  <c r="AG338"/>
  <c r="AG284"/>
  <c r="AH284"/>
  <c r="AG252"/>
  <c r="AH252"/>
  <c r="AH326"/>
  <c r="AG326"/>
  <c r="AG254"/>
  <c r="AH254"/>
  <c r="AH432"/>
  <c r="AG432"/>
  <c r="AH32"/>
  <c r="AG32"/>
  <c r="AG249"/>
  <c r="AH249"/>
  <c r="AH25"/>
  <c r="AG25"/>
  <c r="AH66"/>
  <c r="AG66"/>
  <c r="AH34"/>
  <c r="AG34"/>
  <c r="AH31"/>
  <c r="AG31"/>
  <c r="AG261"/>
  <c r="AH261"/>
  <c r="AH53"/>
  <c r="AG53"/>
  <c r="AH492"/>
  <c r="AG495"/>
  <c r="AH495"/>
  <c r="AG487"/>
  <c r="AH487"/>
  <c r="AG498"/>
  <c r="AH498"/>
  <c r="AG482"/>
  <c r="AH482"/>
  <c r="AG475"/>
  <c r="AH475"/>
  <c r="AG415"/>
  <c r="AH415"/>
  <c r="AG387"/>
  <c r="AG494"/>
  <c r="AH494"/>
  <c r="AG404"/>
  <c r="AH404"/>
  <c r="AG396"/>
  <c r="AH396"/>
  <c r="AG388"/>
  <c r="AH388"/>
  <c r="AG380"/>
  <c r="AH380"/>
  <c r="AG390"/>
  <c r="AH390"/>
  <c r="AG240"/>
  <c r="AH240"/>
  <c r="AG232"/>
  <c r="AH232"/>
  <c r="AG208"/>
  <c r="AH208"/>
  <c r="AG200"/>
  <c r="AH200"/>
  <c r="AG192"/>
  <c r="AH192"/>
  <c r="AG176"/>
  <c r="AH176"/>
  <c r="AG168"/>
  <c r="AH168"/>
  <c r="AG160"/>
  <c r="AH160"/>
  <c r="AG152"/>
  <c r="AH152"/>
  <c r="AG128"/>
  <c r="AH128"/>
  <c r="AH225"/>
  <c r="AG209"/>
  <c r="AH209"/>
  <c r="AG201"/>
  <c r="AH201"/>
  <c r="AG181"/>
  <c r="AH181"/>
  <c r="AG165"/>
  <c r="AG149"/>
  <c r="AG117"/>
  <c r="AH117"/>
  <c r="AG479"/>
  <c r="AH479"/>
  <c r="AG413"/>
  <c r="AH413"/>
  <c r="AG397"/>
  <c r="AH397"/>
  <c r="AG227"/>
  <c r="AH227"/>
  <c r="AG203"/>
  <c r="AH203"/>
  <c r="AG191"/>
  <c r="AH159"/>
  <c r="AG123"/>
  <c r="AH123"/>
  <c r="AG115"/>
  <c r="AH115"/>
  <c r="AG110"/>
  <c r="AH110"/>
  <c r="AG108"/>
  <c r="AH108"/>
  <c r="AG106"/>
  <c r="AH106"/>
  <c r="AG104"/>
  <c r="AH104"/>
  <c r="AG102"/>
  <c r="AH102"/>
  <c r="AG100"/>
  <c r="AH100"/>
  <c r="AG245"/>
  <c r="AH245"/>
  <c r="AG229"/>
  <c r="AH229"/>
  <c r="AH189"/>
  <c r="AG177"/>
  <c r="AH242"/>
  <c r="AG130"/>
  <c r="AH130"/>
  <c r="AG238"/>
  <c r="AH238"/>
  <c r="AG190"/>
  <c r="AH190"/>
  <c r="AG126"/>
  <c r="AH126"/>
  <c r="AG378"/>
  <c r="AH378"/>
  <c r="AG246"/>
  <c r="AH246"/>
  <c r="AG214"/>
  <c r="AH214"/>
  <c r="AG182"/>
  <c r="AH182"/>
  <c r="AG150"/>
  <c r="AH150"/>
  <c r="AG118"/>
  <c r="AH118"/>
  <c r="AH174"/>
  <c r="AH402"/>
  <c r="AG122"/>
  <c r="AH556"/>
  <c r="AG556"/>
  <c r="AH561"/>
  <c r="AG561"/>
  <c r="AH449"/>
  <c r="AG449"/>
  <c r="AH302"/>
  <c r="AG302"/>
  <c r="AH545"/>
  <c r="AG545"/>
  <c r="AH429"/>
  <c r="AG429"/>
  <c r="AH314"/>
  <c r="AG314"/>
  <c r="AH453"/>
  <c r="AG453"/>
  <c r="AH19"/>
  <c r="AG19"/>
  <c r="AH44"/>
  <c r="AG44"/>
  <c r="AH29"/>
  <c r="AG29"/>
  <c r="AH542"/>
  <c r="AG542"/>
  <c r="AH555"/>
  <c r="AG555"/>
  <c r="AH547"/>
  <c r="AG547"/>
  <c r="AH468"/>
  <c r="AH456"/>
  <c r="AG456"/>
  <c r="AH440"/>
  <c r="AG440"/>
  <c r="AH424"/>
  <c r="AG424"/>
  <c r="AG431"/>
  <c r="AH373"/>
  <c r="AG373"/>
  <c r="AH365"/>
  <c r="AG365"/>
  <c r="AH357"/>
  <c r="AG357"/>
  <c r="AH349"/>
  <c r="AG349"/>
  <c r="AH341"/>
  <c r="AG341"/>
  <c r="AH333"/>
  <c r="AG333"/>
  <c r="AH325"/>
  <c r="AG325"/>
  <c r="AG313"/>
  <c r="AH301"/>
  <c r="AG301"/>
  <c r="AH458"/>
  <c r="AG458"/>
  <c r="AH442"/>
  <c r="AG442"/>
  <c r="AH426"/>
  <c r="AG426"/>
  <c r="AH368"/>
  <c r="AG368"/>
  <c r="AH360"/>
  <c r="AG360"/>
  <c r="AH352"/>
  <c r="AG352"/>
  <c r="AH344"/>
  <c r="AG344"/>
  <c r="AG324"/>
  <c r="AH320"/>
  <c r="AG320"/>
  <c r="AH304"/>
  <c r="AG304"/>
  <c r="AH438"/>
  <c r="AG438"/>
  <c r="AH367"/>
  <c r="AG367"/>
  <c r="AH335"/>
  <c r="AG335"/>
  <c r="AH371"/>
  <c r="AG371"/>
  <c r="AH355"/>
  <c r="AG355"/>
  <c r="AH331"/>
  <c r="AH323"/>
  <c r="AG323"/>
  <c r="AH307"/>
  <c r="AG307"/>
  <c r="AH343"/>
  <c r="AG343"/>
  <c r="AH303"/>
  <c r="AG303"/>
  <c r="AH67"/>
  <c r="AG67"/>
  <c r="AH24"/>
  <c r="AG24"/>
  <c r="AH65"/>
  <c r="AG65"/>
  <c r="AH15"/>
  <c r="AG15"/>
  <c r="AH60"/>
  <c r="AG60"/>
  <c r="AH28"/>
  <c r="AG28"/>
  <c r="AH12"/>
  <c r="AG12"/>
  <c r="AH45"/>
  <c r="AG45"/>
  <c r="AH13"/>
  <c r="AG13"/>
  <c r="AH72"/>
  <c r="AG72"/>
  <c r="AH49"/>
  <c r="AG49"/>
  <c r="AG523"/>
  <c r="AH523"/>
  <c r="AH548"/>
  <c r="AG548"/>
  <c r="AG528"/>
  <c r="AH528"/>
  <c r="AG512"/>
  <c r="AH512"/>
  <c r="AG526"/>
  <c r="AH526"/>
  <c r="AG505"/>
  <c r="AH505"/>
  <c r="AH441"/>
  <c r="AG441"/>
  <c r="AG279"/>
  <c r="AH279"/>
  <c r="AG247"/>
  <c r="AH247"/>
  <c r="AG290"/>
  <c r="AH290"/>
  <c r="AG538"/>
  <c r="AH538"/>
  <c r="AH370"/>
  <c r="AG370"/>
  <c r="AH306"/>
  <c r="AG306"/>
  <c r="AG268"/>
  <c r="AH268"/>
  <c r="AG374"/>
  <c r="AH374"/>
  <c r="AG286"/>
  <c r="AH286"/>
  <c r="AG257"/>
  <c r="AH257"/>
  <c r="AH43"/>
  <c r="AG43"/>
  <c r="AH64"/>
  <c r="AG64"/>
  <c r="AH16"/>
  <c r="AG16"/>
  <c r="AH57"/>
  <c r="AG57"/>
  <c r="AG285"/>
  <c r="AH285"/>
  <c r="AH50"/>
  <c r="AG50"/>
  <c r="AH18"/>
  <c r="AG18"/>
  <c r="AH40"/>
  <c r="AG40"/>
  <c r="AH21"/>
  <c r="AG21"/>
  <c r="AG476"/>
  <c r="AH476"/>
  <c r="AG407"/>
  <c r="AH407"/>
  <c r="AG399"/>
  <c r="AH399"/>
  <c r="AG391"/>
  <c r="AH391"/>
  <c r="AG383"/>
  <c r="AH383"/>
  <c r="AG375"/>
  <c r="AH375"/>
  <c r="AG420"/>
  <c r="AH420"/>
  <c r="AG412"/>
  <c r="AH412"/>
  <c r="AG384"/>
  <c r="AG478"/>
  <c r="AH478"/>
  <c r="AG406"/>
  <c r="AH406"/>
  <c r="AG224"/>
  <c r="AH224"/>
  <c r="AG216"/>
  <c r="AH216"/>
  <c r="AG184"/>
  <c r="AH184"/>
  <c r="AG144"/>
  <c r="AH144"/>
  <c r="AG136"/>
  <c r="AH136"/>
  <c r="AG120"/>
  <c r="AH120"/>
  <c r="AG112"/>
  <c r="AH112"/>
  <c r="AG401"/>
  <c r="AH401"/>
  <c r="AG377"/>
  <c r="AH377"/>
  <c r="AG233"/>
  <c r="AH233"/>
  <c r="AG221"/>
  <c r="AH221"/>
  <c r="AG169"/>
  <c r="AH169"/>
  <c r="AG153"/>
  <c r="AH153"/>
  <c r="AG141"/>
  <c r="AH141"/>
  <c r="AG129"/>
  <c r="AH129"/>
  <c r="AG421"/>
  <c r="AG381"/>
  <c r="AH381"/>
  <c r="AG243"/>
  <c r="AH243"/>
  <c r="AG219"/>
  <c r="AH219"/>
  <c r="AG211"/>
  <c r="AH211"/>
  <c r="AG195"/>
  <c r="AH195"/>
  <c r="AG187"/>
  <c r="AH187"/>
  <c r="AG179"/>
  <c r="AH179"/>
  <c r="AG163"/>
  <c r="AH163"/>
  <c r="AG155"/>
  <c r="AH155"/>
  <c r="AG147"/>
  <c r="AH147"/>
  <c r="AG139"/>
  <c r="AH139"/>
  <c r="AG131"/>
  <c r="AH131"/>
  <c r="AH107"/>
  <c r="AG98"/>
  <c r="AH98"/>
  <c r="AG96"/>
  <c r="AH96"/>
  <c r="AG94"/>
  <c r="AH94"/>
  <c r="AG92"/>
  <c r="AH92"/>
  <c r="AG90"/>
  <c r="AH90"/>
  <c r="AG88"/>
  <c r="AH88"/>
  <c r="AG86"/>
  <c r="AH86"/>
  <c r="AG84"/>
  <c r="AH84"/>
  <c r="AG82"/>
  <c r="AH82"/>
  <c r="AG80"/>
  <c r="AH80"/>
  <c r="AG78"/>
  <c r="AH78"/>
  <c r="AG76"/>
  <c r="AH76"/>
  <c r="AG74"/>
  <c r="AH74"/>
  <c r="AG409"/>
  <c r="AH409"/>
  <c r="AG197"/>
  <c r="AH197"/>
  <c r="AG185"/>
  <c r="AH185"/>
  <c r="AG161"/>
  <c r="AH161"/>
  <c r="AG145"/>
  <c r="AH145"/>
  <c r="AG386"/>
  <c r="AH386"/>
  <c r="AG226"/>
  <c r="AH226"/>
  <c r="AG194"/>
  <c r="AH194"/>
  <c r="AG162"/>
  <c r="AH162"/>
  <c r="AH198"/>
  <c r="AG206"/>
  <c r="AH206"/>
  <c r="AG158"/>
  <c r="AH158"/>
  <c r="AG218"/>
  <c r="AH218"/>
  <c r="AG186"/>
  <c r="AH186"/>
  <c r="AG138"/>
  <c r="AH138"/>
  <c r="AH541"/>
  <c r="AG541"/>
  <c r="AH437"/>
  <c r="AG437"/>
  <c r="AH346"/>
  <c r="AG346"/>
  <c r="AH334"/>
  <c r="AG334"/>
  <c r="AH63"/>
  <c r="AG63"/>
  <c r="AH47"/>
  <c r="AG47"/>
  <c r="AH68"/>
  <c r="AG68"/>
  <c r="AH61"/>
  <c r="AG61"/>
  <c r="AH464"/>
  <c r="AG464"/>
  <c r="AH11"/>
  <c r="AG11"/>
  <c r="AH52"/>
  <c r="AG52"/>
  <c r="AH69"/>
  <c r="AG69"/>
  <c r="AH33"/>
  <c r="AG33"/>
  <c r="AH558"/>
  <c r="AG558"/>
  <c r="AH550"/>
  <c r="AG550"/>
  <c r="AG559"/>
  <c r="AH472"/>
  <c r="AG472"/>
  <c r="AG444"/>
  <c r="AH467"/>
  <c r="AG467"/>
  <c r="AH459"/>
  <c r="AG459"/>
  <c r="AH451"/>
  <c r="AG451"/>
  <c r="AH443"/>
  <c r="AG443"/>
  <c r="AH435"/>
  <c r="AG435"/>
  <c r="AH427"/>
  <c r="AG427"/>
  <c r="AH353"/>
  <c r="AH317"/>
  <c r="AG317"/>
  <c r="AH309"/>
  <c r="AG309"/>
  <c r="AH372"/>
  <c r="AH336"/>
  <c r="AG336"/>
  <c r="AH328"/>
  <c r="AG328"/>
  <c r="AH316"/>
  <c r="AH312"/>
  <c r="AG312"/>
  <c r="AH470"/>
  <c r="AG470"/>
  <c r="AH311"/>
  <c r="AG311"/>
  <c r="AH347"/>
  <c r="AH339"/>
  <c r="AG339"/>
  <c r="AH430"/>
  <c r="AH56"/>
  <c r="AG56"/>
  <c r="AE474"/>
  <c r="AF474" s="1"/>
  <c r="X12" i="6"/>
  <c r="W12"/>
  <c r="V12"/>
  <c r="U12"/>
  <c r="T12"/>
  <c r="S12"/>
  <c r="R12"/>
  <c r="Q12"/>
  <c r="P12"/>
  <c r="O12"/>
  <c r="N12"/>
  <c r="M12"/>
  <c r="L12"/>
  <c r="K12"/>
  <c r="J12"/>
  <c r="I12"/>
  <c r="H12"/>
  <c r="G12"/>
  <c r="F12"/>
  <c r="E12"/>
  <c r="X12" i="34"/>
  <c r="W12"/>
  <c r="V12"/>
  <c r="U12"/>
  <c r="T12"/>
  <c r="S12"/>
  <c r="R12"/>
  <c r="Q12"/>
  <c r="P12"/>
  <c r="O12"/>
  <c r="N12"/>
  <c r="M12"/>
  <c r="L12"/>
  <c r="K12"/>
  <c r="J12"/>
  <c r="I12"/>
  <c r="H12"/>
  <c r="G12"/>
  <c r="F12"/>
  <c r="E12"/>
  <c r="C9" i="6"/>
  <c r="C9" i="34"/>
  <c r="C9" i="35"/>
  <c r="AH101" i="28" l="1"/>
  <c r="AG217"/>
  <c r="AN217" s="1"/>
  <c r="AO217" s="1"/>
  <c r="AH59"/>
  <c r="AG281"/>
  <c r="AG462"/>
  <c r="AN462" s="1"/>
  <c r="AO462" s="1"/>
  <c r="AG348"/>
  <c r="AL348" s="1"/>
  <c r="AH345"/>
  <c r="AH394"/>
  <c r="AG127"/>
  <c r="AM127" s="1"/>
  <c r="AG171"/>
  <c r="AL171" s="1"/>
  <c r="AH223"/>
  <c r="AG180"/>
  <c r="AH236"/>
  <c r="AH202"/>
  <c r="AH178"/>
  <c r="AH113"/>
  <c r="AH91"/>
  <c r="AG235"/>
  <c r="AM235" s="1"/>
  <c r="AG244"/>
  <c r="AG480"/>
  <c r="AG20"/>
  <c r="AN20" s="1"/>
  <c r="AO20" s="1"/>
  <c r="AG445"/>
  <c r="AN445" s="1"/>
  <c r="AO445" s="1"/>
  <c r="AG41"/>
  <c r="AG73"/>
  <c r="AG533"/>
  <c r="AL533" s="1"/>
  <c r="AH502"/>
  <c r="AH446"/>
  <c r="AG231"/>
  <c r="AG210"/>
  <c r="AK210" s="1"/>
  <c r="AG536"/>
  <c r="AN536" s="1"/>
  <c r="AO536" s="1"/>
  <c r="AH319"/>
  <c r="AH340"/>
  <c r="AG434"/>
  <c r="AK434" s="1"/>
  <c r="AH109"/>
  <c r="AG199"/>
  <c r="AH172"/>
  <c r="AH212"/>
  <c r="AH414"/>
  <c r="AH471"/>
  <c r="AG486"/>
  <c r="AH418"/>
  <c r="AH77"/>
  <c r="AG116"/>
  <c r="AG411"/>
  <c r="AH260"/>
  <c r="AH489"/>
  <c r="AG515"/>
  <c r="AH124"/>
  <c r="AH337"/>
  <c r="AH369"/>
  <c r="AH463"/>
  <c r="AG379"/>
  <c r="AG277"/>
  <c r="AK277" s="1"/>
  <c r="AG166"/>
  <c r="AJ166" s="1"/>
  <c r="AP166" s="1"/>
  <c r="AG154"/>
  <c r="AG83"/>
  <c r="AG99"/>
  <c r="AJ99" s="1"/>
  <c r="AP99" s="1"/>
  <c r="AG265"/>
  <c r="AK265" s="1"/>
  <c r="AG271"/>
  <c r="AG278"/>
  <c r="AG315"/>
  <c r="AL315" s="1"/>
  <c r="AG121"/>
  <c r="AN121" s="1"/>
  <c r="AO121" s="1"/>
  <c r="AG205"/>
  <c r="AG204"/>
  <c r="AG392"/>
  <c r="AJ392" s="1"/>
  <c r="AP392" s="1"/>
  <c r="AG497"/>
  <c r="AL497" s="1"/>
  <c r="AH308"/>
  <c r="AG305"/>
  <c r="AG170"/>
  <c r="AM170" s="1"/>
  <c r="AH75"/>
  <c r="AG183"/>
  <c r="AG140"/>
  <c r="AG403"/>
  <c r="AJ403" s="1"/>
  <c r="AP403" s="1"/>
  <c r="AG477"/>
  <c r="AM477" s="1"/>
  <c r="AH425"/>
  <c r="AH48"/>
  <c r="AH342"/>
  <c r="AH557"/>
  <c r="AH267"/>
  <c r="AG520"/>
  <c r="AG81"/>
  <c r="AN81" s="1"/>
  <c r="AO81" s="1"/>
  <c r="AH460"/>
  <c r="AG38"/>
  <c r="AJ38" s="1"/>
  <c r="AP38" s="1"/>
  <c r="AG493"/>
  <c r="AG356"/>
  <c r="AM356" s="1"/>
  <c r="AG452"/>
  <c r="AJ452" s="1"/>
  <c r="AP452" s="1"/>
  <c r="AG230"/>
  <c r="AL230" s="1"/>
  <c r="AH148"/>
  <c r="AH400"/>
  <c r="AH419"/>
  <c r="AH490"/>
  <c r="AG422"/>
  <c r="AG454"/>
  <c r="AM454" s="1"/>
  <c r="AG439"/>
  <c r="AM439" s="1"/>
  <c r="AG546"/>
  <c r="AJ546" s="1"/>
  <c r="AP546" s="1"/>
  <c r="AH85"/>
  <c r="AH93"/>
  <c r="AH135"/>
  <c r="AH167"/>
  <c r="AG457"/>
  <c r="AG9"/>
  <c r="AJ9" s="1"/>
  <c r="AP9" s="1"/>
  <c r="AG461"/>
  <c r="AN461" s="1"/>
  <c r="AO461" s="1"/>
  <c r="AH485"/>
  <c r="AH293"/>
  <c r="AH529"/>
  <c r="AG321"/>
  <c r="AN321" s="1"/>
  <c r="AO321" s="1"/>
  <c r="AH156"/>
  <c r="AG447"/>
  <c r="AH450"/>
  <c r="AH543"/>
  <c r="AH408"/>
  <c r="AH23"/>
  <c r="AG276"/>
  <c r="AK276" s="1"/>
  <c r="AG417"/>
  <c r="AJ417" s="1"/>
  <c r="AP417" s="1"/>
  <c r="AG151"/>
  <c r="AK151" s="1"/>
  <c r="AG228"/>
  <c r="AG270"/>
  <c r="AM270" s="1"/>
  <c r="AG222"/>
  <c r="AJ222" s="1"/>
  <c r="AP222" s="1"/>
  <c r="AG114"/>
  <c r="AL114" s="1"/>
  <c r="AG133"/>
  <c r="AG119"/>
  <c r="AM119" s="1"/>
  <c r="AG239"/>
  <c r="AM239" s="1"/>
  <c r="AG213"/>
  <c r="AM213" s="1"/>
  <c r="AG97"/>
  <c r="AG137"/>
  <c r="AL137" s="1"/>
  <c r="AG385"/>
  <c r="AL385" s="1"/>
  <c r="AG272"/>
  <c r="AL272" s="1"/>
  <c r="AG517"/>
  <c r="AG105"/>
  <c r="AN105" s="1"/>
  <c r="AO105" s="1"/>
  <c r="AG193"/>
  <c r="AM193" s="1"/>
  <c r="AG491"/>
  <c r="AK491" s="1"/>
  <c r="AH562"/>
  <c r="AG89"/>
  <c r="AK89" s="1"/>
  <c r="AG215"/>
  <c r="AK215" s="1"/>
  <c r="AH330"/>
  <c r="AG504"/>
  <c r="AH359"/>
  <c r="AH363"/>
  <c r="AH351"/>
  <c r="AH300"/>
  <c r="AH364"/>
  <c r="AH466"/>
  <c r="AH329"/>
  <c r="AH361"/>
  <c r="AH436"/>
  <c r="AH551"/>
  <c r="AG134"/>
  <c r="AJ134" s="1"/>
  <c r="AP134" s="1"/>
  <c r="AG410"/>
  <c r="AG142"/>
  <c r="AN142" s="1"/>
  <c r="AO142" s="1"/>
  <c r="AG241"/>
  <c r="AL241" s="1"/>
  <c r="AG103"/>
  <c r="AM103" s="1"/>
  <c r="AG111"/>
  <c r="AG405"/>
  <c r="AL405" s="1"/>
  <c r="AG125"/>
  <c r="AM125" s="1"/>
  <c r="AG164"/>
  <c r="AJ164" s="1"/>
  <c r="AP164" s="1"/>
  <c r="AG196"/>
  <c r="AG382"/>
  <c r="AJ382" s="1"/>
  <c r="AP382" s="1"/>
  <c r="AG376"/>
  <c r="AM376" s="1"/>
  <c r="AG483"/>
  <c r="AJ483" s="1"/>
  <c r="AP483" s="1"/>
  <c r="AG484"/>
  <c r="AH327"/>
  <c r="AH332"/>
  <c r="AH423"/>
  <c r="AH455"/>
  <c r="AH428"/>
  <c r="AH554"/>
  <c r="AG234"/>
  <c r="AM234" s="1"/>
  <c r="AG146"/>
  <c r="AG157"/>
  <c r="AK157" s="1"/>
  <c r="AG393"/>
  <c r="AN393" s="1"/>
  <c r="AO393" s="1"/>
  <c r="AG79"/>
  <c r="AN79" s="1"/>
  <c r="AO79" s="1"/>
  <c r="AG87"/>
  <c r="AG95"/>
  <c r="AL95" s="1"/>
  <c r="AG143"/>
  <c r="AJ143" s="1"/>
  <c r="AP143" s="1"/>
  <c r="AG175"/>
  <c r="AM175" s="1"/>
  <c r="AG207"/>
  <c r="AG389"/>
  <c r="AL389" s="1"/>
  <c r="AG173"/>
  <c r="AL173" s="1"/>
  <c r="AG237"/>
  <c r="AM237" s="1"/>
  <c r="AG132"/>
  <c r="AG188"/>
  <c r="AL188" s="1"/>
  <c r="AG220"/>
  <c r="AN220" s="1"/>
  <c r="AO220" s="1"/>
  <c r="AG398"/>
  <c r="AM398" s="1"/>
  <c r="AG416"/>
  <c r="AG395"/>
  <c r="AN395" s="1"/>
  <c r="AO395" s="1"/>
  <c r="AH354"/>
  <c r="AH433"/>
  <c r="AH35"/>
  <c r="AH42"/>
  <c r="AH310"/>
  <c r="AG264"/>
  <c r="AL264" s="1"/>
  <c r="AG255"/>
  <c r="AG524"/>
  <c r="AK524" s="1"/>
  <c r="AG262"/>
  <c r="AK262" s="1"/>
  <c r="AG516"/>
  <c r="AJ516" s="1"/>
  <c r="AP516" s="1"/>
  <c r="AG501"/>
  <c r="AG531"/>
  <c r="AJ531" s="1"/>
  <c r="AP531" s="1"/>
  <c r="AG518"/>
  <c r="AL518" s="1"/>
  <c r="AL138"/>
  <c r="AK138"/>
  <c r="AM138"/>
  <c r="AJ138"/>
  <c r="AP138" s="1"/>
  <c r="AN138"/>
  <c r="AO138" s="1"/>
  <c r="AL206"/>
  <c r="AK206"/>
  <c r="AM206"/>
  <c r="AJ206"/>
  <c r="AP206" s="1"/>
  <c r="AN206"/>
  <c r="AO206" s="1"/>
  <c r="AL166"/>
  <c r="AK166"/>
  <c r="AN166"/>
  <c r="AO166" s="1"/>
  <c r="AL154"/>
  <c r="AK154"/>
  <c r="AM154"/>
  <c r="AJ154"/>
  <c r="AP154" s="1"/>
  <c r="AN154"/>
  <c r="AO154" s="1"/>
  <c r="AK114"/>
  <c r="AL194"/>
  <c r="AK194"/>
  <c r="AM194"/>
  <c r="AJ194"/>
  <c r="AP194" s="1"/>
  <c r="AN194"/>
  <c r="AO194" s="1"/>
  <c r="AL386"/>
  <c r="AJ386"/>
  <c r="AP386" s="1"/>
  <c r="AN386"/>
  <c r="AO386" s="1"/>
  <c r="AK386"/>
  <c r="AM386"/>
  <c r="AL161"/>
  <c r="AK161"/>
  <c r="AN161"/>
  <c r="AO161" s="1"/>
  <c r="AM161"/>
  <c r="AJ161"/>
  <c r="AP161" s="1"/>
  <c r="AL197"/>
  <c r="AK197"/>
  <c r="AN197"/>
  <c r="AO197" s="1"/>
  <c r="AM197"/>
  <c r="AJ197"/>
  <c r="AP197" s="1"/>
  <c r="AL409"/>
  <c r="AJ409"/>
  <c r="AP409" s="1"/>
  <c r="AN409"/>
  <c r="AO409" s="1"/>
  <c r="AM409"/>
  <c r="AK409"/>
  <c r="AL76"/>
  <c r="AN76"/>
  <c r="AO76" s="1"/>
  <c r="AM76"/>
  <c r="AK76"/>
  <c r="AJ76"/>
  <c r="AP76" s="1"/>
  <c r="AL84"/>
  <c r="AM84"/>
  <c r="AN84"/>
  <c r="AO84" s="1"/>
  <c r="AK84"/>
  <c r="AJ84"/>
  <c r="AP84" s="1"/>
  <c r="AL88"/>
  <c r="AN88"/>
  <c r="AO88" s="1"/>
  <c r="AM88"/>
  <c r="AK88"/>
  <c r="AJ88"/>
  <c r="AP88" s="1"/>
  <c r="AL92"/>
  <c r="AN92"/>
  <c r="AO92" s="1"/>
  <c r="AM92"/>
  <c r="AK92"/>
  <c r="AJ92"/>
  <c r="AP92" s="1"/>
  <c r="AL96"/>
  <c r="AN96"/>
  <c r="AO96" s="1"/>
  <c r="AM96"/>
  <c r="AK96"/>
  <c r="AJ96"/>
  <c r="AP96" s="1"/>
  <c r="AL101"/>
  <c r="AN101"/>
  <c r="AO101" s="1"/>
  <c r="AJ101"/>
  <c r="AP101" s="1"/>
  <c r="AM101"/>
  <c r="AK101"/>
  <c r="AL109"/>
  <c r="AN109"/>
  <c r="AO109" s="1"/>
  <c r="AJ109"/>
  <c r="AP109" s="1"/>
  <c r="AM109"/>
  <c r="AK109"/>
  <c r="AL131"/>
  <c r="AK131"/>
  <c r="AJ131"/>
  <c r="AP131" s="1"/>
  <c r="AM131"/>
  <c r="AN131"/>
  <c r="AO131" s="1"/>
  <c r="AL147"/>
  <c r="AK147"/>
  <c r="AJ147"/>
  <c r="AP147" s="1"/>
  <c r="AM147"/>
  <c r="AN147"/>
  <c r="AO147" s="1"/>
  <c r="AL163"/>
  <c r="AK163"/>
  <c r="AJ163"/>
  <c r="AP163" s="1"/>
  <c r="AM163"/>
  <c r="AN163"/>
  <c r="AO163" s="1"/>
  <c r="AL179"/>
  <c r="AK179"/>
  <c r="AJ179"/>
  <c r="AP179" s="1"/>
  <c r="AM179"/>
  <c r="AN179"/>
  <c r="AO179" s="1"/>
  <c r="AL195"/>
  <c r="AK195"/>
  <c r="AJ195"/>
  <c r="AP195" s="1"/>
  <c r="AM195"/>
  <c r="AN195"/>
  <c r="AO195" s="1"/>
  <c r="AL211"/>
  <c r="AK211"/>
  <c r="AJ211"/>
  <c r="AP211" s="1"/>
  <c r="AM211"/>
  <c r="AN211"/>
  <c r="AO211" s="1"/>
  <c r="AL223"/>
  <c r="AK223"/>
  <c r="AJ223"/>
  <c r="AP223" s="1"/>
  <c r="AM223"/>
  <c r="AN223"/>
  <c r="AO223" s="1"/>
  <c r="AL381"/>
  <c r="AJ381"/>
  <c r="AP381" s="1"/>
  <c r="AN381"/>
  <c r="AO381" s="1"/>
  <c r="AM381"/>
  <c r="AK381"/>
  <c r="AL421"/>
  <c r="AJ421"/>
  <c r="AP421" s="1"/>
  <c r="AN421"/>
  <c r="AO421" s="1"/>
  <c r="AM421"/>
  <c r="AK421"/>
  <c r="AL129"/>
  <c r="AK129"/>
  <c r="AN129"/>
  <c r="AO129" s="1"/>
  <c r="AM129"/>
  <c r="AJ129"/>
  <c r="AP129" s="1"/>
  <c r="AL153"/>
  <c r="AK153"/>
  <c r="AN153"/>
  <c r="AO153" s="1"/>
  <c r="AM153"/>
  <c r="AJ153"/>
  <c r="AP153" s="1"/>
  <c r="AL221"/>
  <c r="AK221"/>
  <c r="AN221"/>
  <c r="AO221" s="1"/>
  <c r="AM221"/>
  <c r="AJ221"/>
  <c r="AP221" s="1"/>
  <c r="AL377"/>
  <c r="AJ377"/>
  <c r="AP377" s="1"/>
  <c r="AN377"/>
  <c r="AO377" s="1"/>
  <c r="AM377"/>
  <c r="AK377"/>
  <c r="AL112"/>
  <c r="AK112"/>
  <c r="AJ112"/>
  <c r="AP112" s="1"/>
  <c r="AN112"/>
  <c r="AO112" s="1"/>
  <c r="AM112"/>
  <c r="AL124"/>
  <c r="AK124"/>
  <c r="AN124"/>
  <c r="AO124" s="1"/>
  <c r="AJ124"/>
  <c r="AP124" s="1"/>
  <c r="AM124"/>
  <c r="AL144"/>
  <c r="AK144"/>
  <c r="AJ144"/>
  <c r="AP144" s="1"/>
  <c r="AN144"/>
  <c r="AO144" s="1"/>
  <c r="AM144"/>
  <c r="AL156"/>
  <c r="AK156"/>
  <c r="AJ156"/>
  <c r="AP156" s="1"/>
  <c r="AN156"/>
  <c r="AO156" s="1"/>
  <c r="AM156"/>
  <c r="AL172"/>
  <c r="AK172"/>
  <c r="AN172"/>
  <c r="AO172" s="1"/>
  <c r="AJ172"/>
  <c r="AP172" s="1"/>
  <c r="AM172"/>
  <c r="AL184"/>
  <c r="AK184"/>
  <c r="AJ184"/>
  <c r="AP184" s="1"/>
  <c r="AN184"/>
  <c r="AO184" s="1"/>
  <c r="AM184"/>
  <c r="AL204"/>
  <c r="AK204"/>
  <c r="AN204"/>
  <c r="AO204" s="1"/>
  <c r="AJ204"/>
  <c r="AP204" s="1"/>
  <c r="AM204"/>
  <c r="AL216"/>
  <c r="AK216"/>
  <c r="AN216"/>
  <c r="AO216" s="1"/>
  <c r="AJ216"/>
  <c r="AP216" s="1"/>
  <c r="AM216"/>
  <c r="AL236"/>
  <c r="AK236"/>
  <c r="AN236"/>
  <c r="AO236" s="1"/>
  <c r="AJ236"/>
  <c r="AP236" s="1"/>
  <c r="AM236"/>
  <c r="AL406"/>
  <c r="AJ406"/>
  <c r="AP406" s="1"/>
  <c r="AN406"/>
  <c r="AO406" s="1"/>
  <c r="AM406"/>
  <c r="AK406"/>
  <c r="AL478"/>
  <c r="AJ478"/>
  <c r="AP478" s="1"/>
  <c r="AN478"/>
  <c r="AO478" s="1"/>
  <c r="AM478"/>
  <c r="AK478"/>
  <c r="AL384"/>
  <c r="AJ384"/>
  <c r="AP384" s="1"/>
  <c r="AN384"/>
  <c r="AO384" s="1"/>
  <c r="AM384"/>
  <c r="AK384"/>
  <c r="AL400"/>
  <c r="AJ400"/>
  <c r="AP400" s="1"/>
  <c r="AN400"/>
  <c r="AO400" s="1"/>
  <c r="AM400"/>
  <c r="AK400"/>
  <c r="AL420"/>
  <c r="AJ420"/>
  <c r="AP420" s="1"/>
  <c r="AN420"/>
  <c r="AO420" s="1"/>
  <c r="AM420"/>
  <c r="AK420"/>
  <c r="AL383"/>
  <c r="AJ383"/>
  <c r="AP383" s="1"/>
  <c r="AN383"/>
  <c r="AO383" s="1"/>
  <c r="AK383"/>
  <c r="AM383"/>
  <c r="AL399"/>
  <c r="AJ399"/>
  <c r="AP399" s="1"/>
  <c r="AN399"/>
  <c r="AO399" s="1"/>
  <c r="AK399"/>
  <c r="AM399"/>
  <c r="AL419"/>
  <c r="AJ419"/>
  <c r="AP419" s="1"/>
  <c r="AN419"/>
  <c r="AO419" s="1"/>
  <c r="AK419"/>
  <c r="AM419"/>
  <c r="AL490"/>
  <c r="AM490"/>
  <c r="AN490"/>
  <c r="AO490" s="1"/>
  <c r="AK490"/>
  <c r="AJ490"/>
  <c r="AP490" s="1"/>
  <c r="AL491"/>
  <c r="AJ491"/>
  <c r="AP491" s="1"/>
  <c r="AL285"/>
  <c r="AK285"/>
  <c r="AJ285"/>
  <c r="AP285" s="1"/>
  <c r="AM285"/>
  <c r="AN285"/>
  <c r="AO285" s="1"/>
  <c r="AL286"/>
  <c r="AK286"/>
  <c r="AJ286"/>
  <c r="AP286" s="1"/>
  <c r="AM286"/>
  <c r="AN286"/>
  <c r="AO286" s="1"/>
  <c r="AL268"/>
  <c r="AK268"/>
  <c r="AJ268"/>
  <c r="AP268" s="1"/>
  <c r="AN268"/>
  <c r="AO268" s="1"/>
  <c r="AM268"/>
  <c r="AL290"/>
  <c r="AK290"/>
  <c r="AJ290"/>
  <c r="AP290" s="1"/>
  <c r="AM290"/>
  <c r="AN290"/>
  <c r="AO290" s="1"/>
  <c r="AL279"/>
  <c r="AK279"/>
  <c r="AJ279"/>
  <c r="AP279" s="1"/>
  <c r="AN279"/>
  <c r="AO279" s="1"/>
  <c r="AM279"/>
  <c r="AL505"/>
  <c r="AJ505"/>
  <c r="AP505" s="1"/>
  <c r="AK505"/>
  <c r="AN505"/>
  <c r="AO505" s="1"/>
  <c r="AM505"/>
  <c r="AL526"/>
  <c r="AJ526"/>
  <c r="AP526" s="1"/>
  <c r="AK526"/>
  <c r="AM526"/>
  <c r="AN526"/>
  <c r="AO526" s="1"/>
  <c r="AL528"/>
  <c r="AJ528"/>
  <c r="AP528" s="1"/>
  <c r="AK528"/>
  <c r="AN528"/>
  <c r="AO528" s="1"/>
  <c r="AM528"/>
  <c r="AL523"/>
  <c r="AJ523"/>
  <c r="AP523" s="1"/>
  <c r="AK523"/>
  <c r="AN523"/>
  <c r="AO523" s="1"/>
  <c r="AM523"/>
  <c r="AL122"/>
  <c r="AK122"/>
  <c r="AM122"/>
  <c r="AJ122"/>
  <c r="AP122" s="1"/>
  <c r="AN122"/>
  <c r="AO122" s="1"/>
  <c r="AL202"/>
  <c r="AK202"/>
  <c r="AM202"/>
  <c r="AJ202"/>
  <c r="AP202" s="1"/>
  <c r="AN202"/>
  <c r="AO202" s="1"/>
  <c r="AL402"/>
  <c r="AJ402"/>
  <c r="AP402" s="1"/>
  <c r="AN402"/>
  <c r="AO402" s="1"/>
  <c r="AK402"/>
  <c r="AM402"/>
  <c r="AL118"/>
  <c r="AK118"/>
  <c r="AM118"/>
  <c r="AJ118"/>
  <c r="AP118" s="1"/>
  <c r="AN118"/>
  <c r="AO118" s="1"/>
  <c r="AL182"/>
  <c r="AK182"/>
  <c r="AM182"/>
  <c r="AN182"/>
  <c r="AO182" s="1"/>
  <c r="AJ182"/>
  <c r="AP182" s="1"/>
  <c r="AL246"/>
  <c r="AK246"/>
  <c r="AM246"/>
  <c r="AN246"/>
  <c r="AO246" s="1"/>
  <c r="AJ246"/>
  <c r="AP246" s="1"/>
  <c r="AL486"/>
  <c r="AM486"/>
  <c r="AN486"/>
  <c r="AO486" s="1"/>
  <c r="AK486"/>
  <c r="AJ486"/>
  <c r="AP486" s="1"/>
  <c r="AL190"/>
  <c r="AK190"/>
  <c r="AM190"/>
  <c r="AN190"/>
  <c r="AO190" s="1"/>
  <c r="AJ190"/>
  <c r="AP190" s="1"/>
  <c r="AL130"/>
  <c r="AK130"/>
  <c r="AM130"/>
  <c r="AN130"/>
  <c r="AO130" s="1"/>
  <c r="AJ130"/>
  <c r="AP130" s="1"/>
  <c r="AL178"/>
  <c r="AK178"/>
  <c r="AM178"/>
  <c r="AJ178"/>
  <c r="AP178" s="1"/>
  <c r="AN178"/>
  <c r="AO178" s="1"/>
  <c r="AL242"/>
  <c r="AK242"/>
  <c r="AM242"/>
  <c r="AN242"/>
  <c r="AO242" s="1"/>
  <c r="AJ242"/>
  <c r="AP242" s="1"/>
  <c r="AL113"/>
  <c r="AK113"/>
  <c r="AN113"/>
  <c r="AO113" s="1"/>
  <c r="AM113"/>
  <c r="AJ113"/>
  <c r="AP113" s="1"/>
  <c r="AL177"/>
  <c r="AK177"/>
  <c r="AN177"/>
  <c r="AO177" s="1"/>
  <c r="AM177"/>
  <c r="AJ177"/>
  <c r="AP177" s="1"/>
  <c r="AL213"/>
  <c r="AL245"/>
  <c r="AK245"/>
  <c r="AN245"/>
  <c r="AO245" s="1"/>
  <c r="AM245"/>
  <c r="AJ245"/>
  <c r="AP245" s="1"/>
  <c r="AL77"/>
  <c r="AN77"/>
  <c r="AO77" s="1"/>
  <c r="AM77"/>
  <c r="AK77"/>
  <c r="AJ77"/>
  <c r="AP77" s="1"/>
  <c r="AL85"/>
  <c r="AN85"/>
  <c r="AO85" s="1"/>
  <c r="AM85"/>
  <c r="AK85"/>
  <c r="AJ85"/>
  <c r="AP85" s="1"/>
  <c r="AL89"/>
  <c r="AL93"/>
  <c r="AN93"/>
  <c r="AO93" s="1"/>
  <c r="AM93"/>
  <c r="AK93"/>
  <c r="AJ93"/>
  <c r="AP93" s="1"/>
  <c r="AL97"/>
  <c r="AN97"/>
  <c r="AO97" s="1"/>
  <c r="AM97"/>
  <c r="AK97"/>
  <c r="AJ97"/>
  <c r="AP97" s="1"/>
  <c r="AL100"/>
  <c r="AN100"/>
  <c r="AO100" s="1"/>
  <c r="AM100"/>
  <c r="AJ100"/>
  <c r="AP100" s="1"/>
  <c r="AK100"/>
  <c r="AL104"/>
  <c r="AN104"/>
  <c r="AO104" s="1"/>
  <c r="AM104"/>
  <c r="AJ104"/>
  <c r="AP104" s="1"/>
  <c r="AK104"/>
  <c r="AL108"/>
  <c r="AN108"/>
  <c r="AO108" s="1"/>
  <c r="AM108"/>
  <c r="AJ108"/>
  <c r="AP108" s="1"/>
  <c r="AK108"/>
  <c r="AL115"/>
  <c r="AK115"/>
  <c r="AJ115"/>
  <c r="AP115" s="1"/>
  <c r="AM115"/>
  <c r="AN115"/>
  <c r="AO115" s="1"/>
  <c r="AL135"/>
  <c r="AK135"/>
  <c r="AJ135"/>
  <c r="AP135" s="1"/>
  <c r="AM135"/>
  <c r="AN135"/>
  <c r="AO135" s="1"/>
  <c r="AJ151"/>
  <c r="AP151" s="1"/>
  <c r="AL167"/>
  <c r="AK167"/>
  <c r="AJ167"/>
  <c r="AP167" s="1"/>
  <c r="AM167"/>
  <c r="AN167"/>
  <c r="AO167" s="1"/>
  <c r="AL183"/>
  <c r="AK183"/>
  <c r="AJ183"/>
  <c r="AP183" s="1"/>
  <c r="AM183"/>
  <c r="AN183"/>
  <c r="AO183" s="1"/>
  <c r="AL203"/>
  <c r="AK203"/>
  <c r="AJ203"/>
  <c r="AP203" s="1"/>
  <c r="AM203"/>
  <c r="AN203"/>
  <c r="AO203" s="1"/>
  <c r="AL235"/>
  <c r="AK235"/>
  <c r="AN235"/>
  <c r="AO235" s="1"/>
  <c r="AL397"/>
  <c r="AJ397"/>
  <c r="AP397" s="1"/>
  <c r="AN397"/>
  <c r="AO397" s="1"/>
  <c r="AM397"/>
  <c r="AK397"/>
  <c r="AL479"/>
  <c r="AJ479"/>
  <c r="AP479" s="1"/>
  <c r="AN479"/>
  <c r="AO479" s="1"/>
  <c r="AK479"/>
  <c r="AM479"/>
  <c r="AL165"/>
  <c r="AK165"/>
  <c r="AN165"/>
  <c r="AO165" s="1"/>
  <c r="AM165"/>
  <c r="AJ165"/>
  <c r="AP165" s="1"/>
  <c r="AL181"/>
  <c r="AK181"/>
  <c r="AN181"/>
  <c r="AO181" s="1"/>
  <c r="AM181"/>
  <c r="AJ181"/>
  <c r="AP181" s="1"/>
  <c r="AL209"/>
  <c r="AK209"/>
  <c r="AN209"/>
  <c r="AO209" s="1"/>
  <c r="AM209"/>
  <c r="AJ209"/>
  <c r="AP209" s="1"/>
  <c r="AL225"/>
  <c r="AK225"/>
  <c r="AN225"/>
  <c r="AO225" s="1"/>
  <c r="AM225"/>
  <c r="AJ225"/>
  <c r="AP225" s="1"/>
  <c r="AL128"/>
  <c r="AK128"/>
  <c r="AN128"/>
  <c r="AO128" s="1"/>
  <c r="AJ128"/>
  <c r="AP128" s="1"/>
  <c r="AM128"/>
  <c r="AL140"/>
  <c r="AK140"/>
  <c r="AN140"/>
  <c r="AO140" s="1"/>
  <c r="AJ140"/>
  <c r="AP140" s="1"/>
  <c r="AM140"/>
  <c r="AL160"/>
  <c r="AK160"/>
  <c r="AJ160"/>
  <c r="AP160" s="1"/>
  <c r="AN160"/>
  <c r="AO160" s="1"/>
  <c r="AM160"/>
  <c r="AL176"/>
  <c r="AK176"/>
  <c r="AJ176"/>
  <c r="AP176" s="1"/>
  <c r="AN176"/>
  <c r="AO176" s="1"/>
  <c r="AM176"/>
  <c r="AL192"/>
  <c r="AK192"/>
  <c r="AN192"/>
  <c r="AO192" s="1"/>
  <c r="AJ192"/>
  <c r="AP192" s="1"/>
  <c r="AM192"/>
  <c r="AL208"/>
  <c r="AK208"/>
  <c r="AN208"/>
  <c r="AO208" s="1"/>
  <c r="AJ208"/>
  <c r="AP208" s="1"/>
  <c r="AM208"/>
  <c r="AL228"/>
  <c r="AK228"/>
  <c r="AJ228"/>
  <c r="AP228" s="1"/>
  <c r="AN228"/>
  <c r="AO228" s="1"/>
  <c r="AM228"/>
  <c r="AL240"/>
  <c r="AK240"/>
  <c r="AJ240"/>
  <c r="AP240" s="1"/>
  <c r="AN240"/>
  <c r="AO240" s="1"/>
  <c r="AM240"/>
  <c r="AL390"/>
  <c r="AJ390"/>
  <c r="AP390" s="1"/>
  <c r="AN390"/>
  <c r="AO390" s="1"/>
  <c r="AM390"/>
  <c r="AK390"/>
  <c r="AL380"/>
  <c r="AJ380"/>
  <c r="AP380" s="1"/>
  <c r="AN380"/>
  <c r="AO380" s="1"/>
  <c r="AM380"/>
  <c r="AK380"/>
  <c r="AL396"/>
  <c r="AJ396"/>
  <c r="AP396" s="1"/>
  <c r="AN396"/>
  <c r="AO396" s="1"/>
  <c r="AM396"/>
  <c r="AK396"/>
  <c r="AL408"/>
  <c r="AJ408"/>
  <c r="AP408" s="1"/>
  <c r="AN408"/>
  <c r="AO408" s="1"/>
  <c r="AM408"/>
  <c r="AK408"/>
  <c r="AL494"/>
  <c r="AM494"/>
  <c r="AN494"/>
  <c r="AO494" s="1"/>
  <c r="AK494"/>
  <c r="AJ494"/>
  <c r="AP494" s="1"/>
  <c r="AL387"/>
  <c r="AJ387"/>
  <c r="AP387" s="1"/>
  <c r="AN387"/>
  <c r="AO387" s="1"/>
  <c r="AK387"/>
  <c r="AM387"/>
  <c r="AL415"/>
  <c r="AJ415"/>
  <c r="AP415" s="1"/>
  <c r="AN415"/>
  <c r="AO415" s="1"/>
  <c r="AK415"/>
  <c r="AM415"/>
  <c r="AL477"/>
  <c r="AJ477"/>
  <c r="AP477" s="1"/>
  <c r="AK477"/>
  <c r="AL482"/>
  <c r="AM482"/>
  <c r="AN482"/>
  <c r="AO482" s="1"/>
  <c r="AK482"/>
  <c r="AJ482"/>
  <c r="AP482" s="1"/>
  <c r="AL487"/>
  <c r="AM487"/>
  <c r="AK487"/>
  <c r="AJ487"/>
  <c r="AP487" s="1"/>
  <c r="AN487"/>
  <c r="AO487" s="1"/>
  <c r="AL492"/>
  <c r="AM492"/>
  <c r="AJ492"/>
  <c r="AP492" s="1"/>
  <c r="AN492"/>
  <c r="AO492" s="1"/>
  <c r="AK492"/>
  <c r="AL261"/>
  <c r="AK261"/>
  <c r="AJ261"/>
  <c r="AP261" s="1"/>
  <c r="AM261"/>
  <c r="AN261"/>
  <c r="AO261" s="1"/>
  <c r="AL488"/>
  <c r="AM488"/>
  <c r="AJ488"/>
  <c r="AP488" s="1"/>
  <c r="AK488"/>
  <c r="AN488"/>
  <c r="AO488" s="1"/>
  <c r="AL218"/>
  <c r="AK218"/>
  <c r="AM218"/>
  <c r="AJ218"/>
  <c r="AP218" s="1"/>
  <c r="AN218"/>
  <c r="AO218" s="1"/>
  <c r="AK230"/>
  <c r="AM230"/>
  <c r="AL222"/>
  <c r="AL133"/>
  <c r="AK133"/>
  <c r="AN133"/>
  <c r="AO133" s="1"/>
  <c r="AM133"/>
  <c r="AJ133"/>
  <c r="AP133" s="1"/>
  <c r="AL80"/>
  <c r="AM80"/>
  <c r="AN80"/>
  <c r="AO80" s="1"/>
  <c r="AK80"/>
  <c r="AJ80"/>
  <c r="AP80" s="1"/>
  <c r="AL119"/>
  <c r="AL284"/>
  <c r="AK284"/>
  <c r="AJ284"/>
  <c r="AP284" s="1"/>
  <c r="AN284"/>
  <c r="AO284" s="1"/>
  <c r="AM284"/>
  <c r="AL295"/>
  <c r="AK295"/>
  <c r="AJ295"/>
  <c r="AP295" s="1"/>
  <c r="AN295"/>
  <c r="AO295" s="1"/>
  <c r="AM295"/>
  <c r="AL280"/>
  <c r="AK280"/>
  <c r="AJ280"/>
  <c r="AP280" s="1"/>
  <c r="AN280"/>
  <c r="AO280" s="1"/>
  <c r="AM280"/>
  <c r="AL256"/>
  <c r="AK256"/>
  <c r="AJ256"/>
  <c r="AP256" s="1"/>
  <c r="AN256"/>
  <c r="AO256" s="1"/>
  <c r="AM256"/>
  <c r="AL251"/>
  <c r="AK251"/>
  <c r="AJ251"/>
  <c r="AP251" s="1"/>
  <c r="AN251"/>
  <c r="AO251" s="1"/>
  <c r="AM251"/>
  <c r="AL267"/>
  <c r="AK267"/>
  <c r="AJ267"/>
  <c r="AP267" s="1"/>
  <c r="AN267"/>
  <c r="AO267" s="1"/>
  <c r="AM267"/>
  <c r="AL283"/>
  <c r="AK283"/>
  <c r="AJ283"/>
  <c r="AP283" s="1"/>
  <c r="AN283"/>
  <c r="AO283" s="1"/>
  <c r="AM283"/>
  <c r="AL253"/>
  <c r="AK253"/>
  <c r="AJ253"/>
  <c r="AP253" s="1"/>
  <c r="AM253"/>
  <c r="AN253"/>
  <c r="AO253" s="1"/>
  <c r="AL282"/>
  <c r="AK282"/>
  <c r="AJ282"/>
  <c r="AP282" s="1"/>
  <c r="AM282"/>
  <c r="AN282"/>
  <c r="AO282" s="1"/>
  <c r="AL532"/>
  <c r="AJ532"/>
  <c r="AP532" s="1"/>
  <c r="AK532"/>
  <c r="AN532"/>
  <c r="AO532" s="1"/>
  <c r="AM532"/>
  <c r="AL509"/>
  <c r="AJ509"/>
  <c r="AP509" s="1"/>
  <c r="AK509"/>
  <c r="AN509"/>
  <c r="AO509" s="1"/>
  <c r="AM509"/>
  <c r="AL519"/>
  <c r="AJ519"/>
  <c r="AP519" s="1"/>
  <c r="AK519"/>
  <c r="AN519"/>
  <c r="AO519" s="1"/>
  <c r="AM519"/>
  <c r="AL506"/>
  <c r="AJ506"/>
  <c r="AP506" s="1"/>
  <c r="AK506"/>
  <c r="AM506"/>
  <c r="AN506"/>
  <c r="AO506" s="1"/>
  <c r="AK272"/>
  <c r="AL281"/>
  <c r="AK281"/>
  <c r="AJ281"/>
  <c r="AP281" s="1"/>
  <c r="AM281"/>
  <c r="AN281"/>
  <c r="AO281" s="1"/>
  <c r="AL271"/>
  <c r="AK271"/>
  <c r="AJ271"/>
  <c r="AP271" s="1"/>
  <c r="AN271"/>
  <c r="AO271" s="1"/>
  <c r="AM271"/>
  <c r="AL485"/>
  <c r="AM485"/>
  <c r="AN485"/>
  <c r="AO485" s="1"/>
  <c r="AK485"/>
  <c r="AJ485"/>
  <c r="AP485" s="1"/>
  <c r="AL293"/>
  <c r="AK293"/>
  <c r="AJ293"/>
  <c r="AP293" s="1"/>
  <c r="AM293"/>
  <c r="AN293"/>
  <c r="AO293" s="1"/>
  <c r="AL294"/>
  <c r="AK294"/>
  <c r="AJ294"/>
  <c r="AP294" s="1"/>
  <c r="AM294"/>
  <c r="AN294"/>
  <c r="AO294" s="1"/>
  <c r="AL493"/>
  <c r="AM493"/>
  <c r="AN493"/>
  <c r="AO493" s="1"/>
  <c r="AK493"/>
  <c r="AJ493"/>
  <c r="AP493" s="1"/>
  <c r="AL489"/>
  <c r="AM489"/>
  <c r="AN489"/>
  <c r="AO489" s="1"/>
  <c r="AK489"/>
  <c r="AJ489"/>
  <c r="AP489" s="1"/>
  <c r="AL517"/>
  <c r="AJ517"/>
  <c r="AP517" s="1"/>
  <c r="AK517"/>
  <c r="AM517"/>
  <c r="AN517"/>
  <c r="AO517" s="1"/>
  <c r="AL504"/>
  <c r="AJ504"/>
  <c r="AP504" s="1"/>
  <c r="AK504"/>
  <c r="AN504"/>
  <c r="AO504" s="1"/>
  <c r="AM504"/>
  <c r="AL536"/>
  <c r="AJ536"/>
  <c r="AP536" s="1"/>
  <c r="AM536"/>
  <c r="AL515"/>
  <c r="AJ515"/>
  <c r="AP515" s="1"/>
  <c r="AK515"/>
  <c r="AN515"/>
  <c r="AO515" s="1"/>
  <c r="AM515"/>
  <c r="AL502"/>
  <c r="AJ502"/>
  <c r="AP502" s="1"/>
  <c r="AK502"/>
  <c r="AM502"/>
  <c r="AN502"/>
  <c r="AO502" s="1"/>
  <c r="AM319"/>
  <c r="AL319"/>
  <c r="AN319"/>
  <c r="AO319" s="1"/>
  <c r="AK319"/>
  <c r="AJ319"/>
  <c r="AP319" s="1"/>
  <c r="AM470"/>
  <c r="AL470"/>
  <c r="AN470"/>
  <c r="AO470" s="1"/>
  <c r="AK470"/>
  <c r="AJ470"/>
  <c r="AP470" s="1"/>
  <c r="AM340"/>
  <c r="AL340"/>
  <c r="AK340"/>
  <c r="AJ340"/>
  <c r="AP340" s="1"/>
  <c r="AN340"/>
  <c r="AO340" s="1"/>
  <c r="AM450"/>
  <c r="AL450"/>
  <c r="AN450"/>
  <c r="AO450" s="1"/>
  <c r="AK450"/>
  <c r="AJ450"/>
  <c r="AP450" s="1"/>
  <c r="AK321"/>
  <c r="AM435"/>
  <c r="AL435"/>
  <c r="AK435"/>
  <c r="AJ435"/>
  <c r="AP435" s="1"/>
  <c r="AN435"/>
  <c r="AO435" s="1"/>
  <c r="AM444"/>
  <c r="AL444"/>
  <c r="AJ444"/>
  <c r="AP444" s="1"/>
  <c r="AK444"/>
  <c r="AN444"/>
  <c r="AO444" s="1"/>
  <c r="AM559"/>
  <c r="AL559"/>
  <c r="AJ559"/>
  <c r="AP559" s="1"/>
  <c r="AN559"/>
  <c r="AO559" s="1"/>
  <c r="AK559"/>
  <c r="AM11"/>
  <c r="AN11"/>
  <c r="AO11" s="1"/>
  <c r="AJ11"/>
  <c r="AP11" s="1"/>
  <c r="AK11"/>
  <c r="AL11"/>
  <c r="AM334"/>
  <c r="AL334"/>
  <c r="AN334"/>
  <c r="AO334" s="1"/>
  <c r="AK334"/>
  <c r="AJ334"/>
  <c r="AP334" s="1"/>
  <c r="AN28"/>
  <c r="AO28" s="1"/>
  <c r="AJ28"/>
  <c r="AP28" s="1"/>
  <c r="AM28"/>
  <c r="AK28"/>
  <c r="AL28"/>
  <c r="AM303"/>
  <c r="AL303"/>
  <c r="AN303"/>
  <c r="AO303" s="1"/>
  <c r="AK303"/>
  <c r="AJ303"/>
  <c r="AP303" s="1"/>
  <c r="AM371"/>
  <c r="AL371"/>
  <c r="AN371"/>
  <c r="AO371" s="1"/>
  <c r="AK371"/>
  <c r="AJ371"/>
  <c r="AP371" s="1"/>
  <c r="AM308"/>
  <c r="AL308"/>
  <c r="AK308"/>
  <c r="AJ308"/>
  <c r="AP308" s="1"/>
  <c r="AN308"/>
  <c r="AO308" s="1"/>
  <c r="AM360"/>
  <c r="AL360"/>
  <c r="AK360"/>
  <c r="AJ360"/>
  <c r="AP360" s="1"/>
  <c r="AN360"/>
  <c r="AO360" s="1"/>
  <c r="AM458"/>
  <c r="AL458"/>
  <c r="AN458"/>
  <c r="AO458" s="1"/>
  <c r="AK458"/>
  <c r="AJ458"/>
  <c r="AP458" s="1"/>
  <c r="AM341"/>
  <c r="AL341"/>
  <c r="AJ341"/>
  <c r="AP341" s="1"/>
  <c r="AK341"/>
  <c r="AN341"/>
  <c r="AO341" s="1"/>
  <c r="AM431"/>
  <c r="AL431"/>
  <c r="AK431"/>
  <c r="AJ431"/>
  <c r="AP431" s="1"/>
  <c r="AN431"/>
  <c r="AO431" s="1"/>
  <c r="AM463"/>
  <c r="AL463"/>
  <c r="AK463"/>
  <c r="AJ463"/>
  <c r="AP463" s="1"/>
  <c r="AN463"/>
  <c r="AO463" s="1"/>
  <c r="AM440"/>
  <c r="AL440"/>
  <c r="AJ440"/>
  <c r="AP440" s="1"/>
  <c r="AN440"/>
  <c r="AO440" s="1"/>
  <c r="AK440"/>
  <c r="AM555"/>
  <c r="AL555"/>
  <c r="AJ555"/>
  <c r="AP555" s="1"/>
  <c r="AN555"/>
  <c r="AO555" s="1"/>
  <c r="AK555"/>
  <c r="AM562"/>
  <c r="AL562"/>
  <c r="AJ562"/>
  <c r="AP562" s="1"/>
  <c r="AK562"/>
  <c r="AN562"/>
  <c r="AO562" s="1"/>
  <c r="AM453"/>
  <c r="AL453"/>
  <c r="AN453"/>
  <c r="AO453" s="1"/>
  <c r="AK453"/>
  <c r="AJ453"/>
  <c r="AP453" s="1"/>
  <c r="AM302"/>
  <c r="AL302"/>
  <c r="AN302"/>
  <c r="AO302" s="1"/>
  <c r="AK302"/>
  <c r="AJ302"/>
  <c r="AP302" s="1"/>
  <c r="AM561"/>
  <c r="AL561"/>
  <c r="AK561"/>
  <c r="AN561"/>
  <c r="AO561" s="1"/>
  <c r="AJ561"/>
  <c r="AP561" s="1"/>
  <c r="AN34"/>
  <c r="AO34" s="1"/>
  <c r="AM34"/>
  <c r="AJ34"/>
  <c r="AP34" s="1"/>
  <c r="AL34"/>
  <c r="AK34"/>
  <c r="AN25"/>
  <c r="AO25" s="1"/>
  <c r="AJ25"/>
  <c r="AP25" s="1"/>
  <c r="AM25"/>
  <c r="AL25"/>
  <c r="AK25"/>
  <c r="AN32"/>
  <c r="AO32" s="1"/>
  <c r="AJ32"/>
  <c r="AP32" s="1"/>
  <c r="AM32"/>
  <c r="AK32"/>
  <c r="AL32"/>
  <c r="AM59"/>
  <c r="AN59"/>
  <c r="AO59" s="1"/>
  <c r="AJ59"/>
  <c r="AP59" s="1"/>
  <c r="AK59"/>
  <c r="AL59"/>
  <c r="AM326"/>
  <c r="AL326"/>
  <c r="AN326"/>
  <c r="AO326" s="1"/>
  <c r="AK326"/>
  <c r="AJ326"/>
  <c r="AP326" s="1"/>
  <c r="AM358"/>
  <c r="AL358"/>
  <c r="AN358"/>
  <c r="AO358" s="1"/>
  <c r="AK358"/>
  <c r="AJ358"/>
  <c r="AP358" s="1"/>
  <c r="AM553"/>
  <c r="AL553"/>
  <c r="AK553"/>
  <c r="AN553"/>
  <c r="AO553" s="1"/>
  <c r="AJ553"/>
  <c r="AP553" s="1"/>
  <c r="AM330"/>
  <c r="AL330"/>
  <c r="AN330"/>
  <c r="AO330" s="1"/>
  <c r="AJ330"/>
  <c r="AP330" s="1"/>
  <c r="AK330"/>
  <c r="AN14"/>
  <c r="AO14" s="1"/>
  <c r="AJ14"/>
  <c r="AP14" s="1"/>
  <c r="AM14"/>
  <c r="AL14"/>
  <c r="AK14"/>
  <c r="AM23"/>
  <c r="AN23"/>
  <c r="AO23" s="1"/>
  <c r="AJ23"/>
  <c r="AP23" s="1"/>
  <c r="AK23"/>
  <c r="AL23"/>
  <c r="AM425"/>
  <c r="AL425"/>
  <c r="AN425"/>
  <c r="AO425" s="1"/>
  <c r="AJ425"/>
  <c r="AP425" s="1"/>
  <c r="AK425"/>
  <c r="AM465"/>
  <c r="AL465"/>
  <c r="AN465"/>
  <c r="AO465" s="1"/>
  <c r="AJ465"/>
  <c r="AP465" s="1"/>
  <c r="AK465"/>
  <c r="AM38"/>
  <c r="AL38"/>
  <c r="AK38"/>
  <c r="AM48"/>
  <c r="AN48"/>
  <c r="AO48" s="1"/>
  <c r="AJ48"/>
  <c r="AP48" s="1"/>
  <c r="AK48"/>
  <c r="AL48"/>
  <c r="AN71"/>
  <c r="AO71" s="1"/>
  <c r="AJ71"/>
  <c r="AP71" s="1"/>
  <c r="AM71"/>
  <c r="AK71"/>
  <c r="AL71"/>
  <c r="AM342"/>
  <c r="AL342"/>
  <c r="AN342"/>
  <c r="AO342" s="1"/>
  <c r="AK342"/>
  <c r="AJ342"/>
  <c r="AP342" s="1"/>
  <c r="AM552"/>
  <c r="AL552"/>
  <c r="AN552"/>
  <c r="AO552" s="1"/>
  <c r="AK552"/>
  <c r="AJ552"/>
  <c r="AP552" s="1"/>
  <c r="AM299"/>
  <c r="AL299"/>
  <c r="AN299"/>
  <c r="AO299" s="1"/>
  <c r="AK299"/>
  <c r="AJ299"/>
  <c r="AP299" s="1"/>
  <c r="AM362"/>
  <c r="AL362"/>
  <c r="AN362"/>
  <c r="AO362" s="1"/>
  <c r="AJ362"/>
  <c r="AP362" s="1"/>
  <c r="AK362"/>
  <c r="AM17"/>
  <c r="AN17"/>
  <c r="AO17" s="1"/>
  <c r="AJ17"/>
  <c r="AP17" s="1"/>
  <c r="AK17"/>
  <c r="AL17"/>
  <c r="AM26"/>
  <c r="AN26"/>
  <c r="AO26" s="1"/>
  <c r="AJ26"/>
  <c r="AP26" s="1"/>
  <c r="AK26"/>
  <c r="AL26"/>
  <c r="AM37"/>
  <c r="AN37"/>
  <c r="AO37" s="1"/>
  <c r="AJ37"/>
  <c r="AP37" s="1"/>
  <c r="AL37"/>
  <c r="AK37"/>
  <c r="AM54"/>
  <c r="AN54"/>
  <c r="AO54" s="1"/>
  <c r="AJ54"/>
  <c r="AP54" s="1"/>
  <c r="AL54"/>
  <c r="AK54"/>
  <c r="AN10"/>
  <c r="AO10" s="1"/>
  <c r="AM10"/>
  <c r="AJ10"/>
  <c r="AP10" s="1"/>
  <c r="AL10"/>
  <c r="AK10"/>
  <c r="AN36"/>
  <c r="AO36" s="1"/>
  <c r="AJ36"/>
  <c r="AP36" s="1"/>
  <c r="AM36"/>
  <c r="AK36"/>
  <c r="AL36"/>
  <c r="AN46"/>
  <c r="AO46" s="1"/>
  <c r="AJ46"/>
  <c r="AP46" s="1"/>
  <c r="AM46"/>
  <c r="AL46"/>
  <c r="AK46"/>
  <c r="AN55"/>
  <c r="AO55" s="1"/>
  <c r="AJ55"/>
  <c r="AP55" s="1"/>
  <c r="AM55"/>
  <c r="AK55"/>
  <c r="AL55"/>
  <c r="AM70"/>
  <c r="AN70"/>
  <c r="AO70" s="1"/>
  <c r="AJ70"/>
  <c r="AP70" s="1"/>
  <c r="AL70"/>
  <c r="AK70"/>
  <c r="AM350"/>
  <c r="AL350"/>
  <c r="AN350"/>
  <c r="AO350" s="1"/>
  <c r="AK350"/>
  <c r="AJ350"/>
  <c r="AP350" s="1"/>
  <c r="AM469"/>
  <c r="AL469"/>
  <c r="AN469"/>
  <c r="AO469" s="1"/>
  <c r="AK469"/>
  <c r="AJ469"/>
  <c r="AP469" s="1"/>
  <c r="AM549"/>
  <c r="AL549"/>
  <c r="AK549"/>
  <c r="AN549"/>
  <c r="AO549" s="1"/>
  <c r="AJ549"/>
  <c r="AP549" s="1"/>
  <c r="AM560"/>
  <c r="AL560"/>
  <c r="AN560"/>
  <c r="AO560" s="1"/>
  <c r="AK560"/>
  <c r="AJ560"/>
  <c r="AP560" s="1"/>
  <c r="AM73"/>
  <c r="AN73"/>
  <c r="AO73" s="1"/>
  <c r="AJ73"/>
  <c r="AP73" s="1"/>
  <c r="AL73"/>
  <c r="AK73"/>
  <c r="AG474"/>
  <c r="AH474"/>
  <c r="AL186"/>
  <c r="AK186"/>
  <c r="AM186"/>
  <c r="AN186"/>
  <c r="AO186" s="1"/>
  <c r="AJ186"/>
  <c r="AP186" s="1"/>
  <c r="AL158"/>
  <c r="AK158"/>
  <c r="AM158"/>
  <c r="AN158"/>
  <c r="AO158" s="1"/>
  <c r="AJ158"/>
  <c r="AP158" s="1"/>
  <c r="AK134"/>
  <c r="AN134"/>
  <c r="AO134" s="1"/>
  <c r="AL198"/>
  <c r="AK198"/>
  <c r="AM198"/>
  <c r="AJ198"/>
  <c r="AP198" s="1"/>
  <c r="AN198"/>
  <c r="AO198" s="1"/>
  <c r="AL410"/>
  <c r="AJ410"/>
  <c r="AP410" s="1"/>
  <c r="AN410"/>
  <c r="AO410" s="1"/>
  <c r="AK410"/>
  <c r="AM410"/>
  <c r="AL394"/>
  <c r="AJ394"/>
  <c r="AP394" s="1"/>
  <c r="AN394"/>
  <c r="AO394" s="1"/>
  <c r="AK394"/>
  <c r="AM394"/>
  <c r="AL162"/>
  <c r="AK162"/>
  <c r="AM162"/>
  <c r="AJ162"/>
  <c r="AP162" s="1"/>
  <c r="AN162"/>
  <c r="AO162" s="1"/>
  <c r="AL226"/>
  <c r="AK226"/>
  <c r="AM226"/>
  <c r="AJ226"/>
  <c r="AP226" s="1"/>
  <c r="AN226"/>
  <c r="AO226" s="1"/>
  <c r="AL121"/>
  <c r="AM121"/>
  <c r="AJ121"/>
  <c r="AP121" s="1"/>
  <c r="AL145"/>
  <c r="AK145"/>
  <c r="AN145"/>
  <c r="AO145" s="1"/>
  <c r="AM145"/>
  <c r="AJ145"/>
  <c r="AP145" s="1"/>
  <c r="AL185"/>
  <c r="AK185"/>
  <c r="AN185"/>
  <c r="AO185" s="1"/>
  <c r="AM185"/>
  <c r="AJ185"/>
  <c r="AP185" s="1"/>
  <c r="AN241"/>
  <c r="AO241" s="1"/>
  <c r="AL74"/>
  <c r="AN74"/>
  <c r="AO74" s="1"/>
  <c r="AM74"/>
  <c r="AJ74"/>
  <c r="AP74" s="1"/>
  <c r="AK74"/>
  <c r="AL78"/>
  <c r="AM78"/>
  <c r="AN78"/>
  <c r="AO78" s="1"/>
  <c r="AK78"/>
  <c r="AJ78"/>
  <c r="AP78" s="1"/>
  <c r="AL82"/>
  <c r="AM82"/>
  <c r="AN82"/>
  <c r="AO82" s="1"/>
  <c r="AJ82"/>
  <c r="AP82" s="1"/>
  <c r="AK82"/>
  <c r="AL86"/>
  <c r="AN86"/>
  <c r="AO86" s="1"/>
  <c r="AM86"/>
  <c r="AJ86"/>
  <c r="AP86" s="1"/>
  <c r="AK86"/>
  <c r="AL90"/>
  <c r="AN90"/>
  <c r="AO90" s="1"/>
  <c r="AM90"/>
  <c r="AJ90"/>
  <c r="AP90" s="1"/>
  <c r="AK90"/>
  <c r="AL94"/>
  <c r="AN94"/>
  <c r="AO94" s="1"/>
  <c r="AM94"/>
  <c r="AJ94"/>
  <c r="AP94" s="1"/>
  <c r="AK94"/>
  <c r="AL98"/>
  <c r="AN98"/>
  <c r="AO98" s="1"/>
  <c r="AM98"/>
  <c r="AJ98"/>
  <c r="AP98" s="1"/>
  <c r="AK98"/>
  <c r="AL103"/>
  <c r="AN103"/>
  <c r="AO103" s="1"/>
  <c r="AL107"/>
  <c r="AN107"/>
  <c r="AO107" s="1"/>
  <c r="AJ107"/>
  <c r="AP107" s="1"/>
  <c r="AM107"/>
  <c r="AK107"/>
  <c r="AL111"/>
  <c r="AK111"/>
  <c r="AJ111"/>
  <c r="AP111" s="1"/>
  <c r="AM111"/>
  <c r="AN111"/>
  <c r="AO111" s="1"/>
  <c r="AL127"/>
  <c r="AN127"/>
  <c r="AO127" s="1"/>
  <c r="AL139"/>
  <c r="AK139"/>
  <c r="AJ139"/>
  <c r="AP139" s="1"/>
  <c r="AM139"/>
  <c r="AN139"/>
  <c r="AO139" s="1"/>
  <c r="AL155"/>
  <c r="AK155"/>
  <c r="AJ155"/>
  <c r="AP155" s="1"/>
  <c r="AM155"/>
  <c r="AN155"/>
  <c r="AO155" s="1"/>
  <c r="AK171"/>
  <c r="AJ171"/>
  <c r="AP171" s="1"/>
  <c r="AL187"/>
  <c r="AK187"/>
  <c r="AJ187"/>
  <c r="AP187" s="1"/>
  <c r="AM187"/>
  <c r="AN187"/>
  <c r="AO187" s="1"/>
  <c r="AL199"/>
  <c r="AK199"/>
  <c r="AJ199"/>
  <c r="AP199" s="1"/>
  <c r="AM199"/>
  <c r="AN199"/>
  <c r="AO199" s="1"/>
  <c r="AL219"/>
  <c r="AK219"/>
  <c r="AJ219"/>
  <c r="AP219" s="1"/>
  <c r="AM219"/>
  <c r="AN219"/>
  <c r="AO219" s="1"/>
  <c r="AL231"/>
  <c r="AK231"/>
  <c r="AJ231"/>
  <c r="AP231" s="1"/>
  <c r="AM231"/>
  <c r="AN231"/>
  <c r="AO231" s="1"/>
  <c r="AL243"/>
  <c r="AK243"/>
  <c r="AJ243"/>
  <c r="AP243" s="1"/>
  <c r="AM243"/>
  <c r="AN243"/>
  <c r="AO243" s="1"/>
  <c r="AL141"/>
  <c r="AK141"/>
  <c r="AN141"/>
  <c r="AO141" s="1"/>
  <c r="AM141"/>
  <c r="AJ141"/>
  <c r="AP141" s="1"/>
  <c r="AL169"/>
  <c r="AK169"/>
  <c r="AN169"/>
  <c r="AO169" s="1"/>
  <c r="AM169"/>
  <c r="AJ169"/>
  <c r="AP169" s="1"/>
  <c r="AL205"/>
  <c r="AK205"/>
  <c r="AN205"/>
  <c r="AO205" s="1"/>
  <c r="AM205"/>
  <c r="AJ205"/>
  <c r="AP205" s="1"/>
  <c r="AL233"/>
  <c r="AK233"/>
  <c r="AN233"/>
  <c r="AO233" s="1"/>
  <c r="AM233"/>
  <c r="AJ233"/>
  <c r="AP233" s="1"/>
  <c r="AL401"/>
  <c r="AJ401"/>
  <c r="AP401" s="1"/>
  <c r="AN401"/>
  <c r="AO401" s="1"/>
  <c r="AM401"/>
  <c r="AK401"/>
  <c r="AL120"/>
  <c r="AK120"/>
  <c r="AN120"/>
  <c r="AO120" s="1"/>
  <c r="AJ120"/>
  <c r="AP120" s="1"/>
  <c r="AM120"/>
  <c r="AL136"/>
  <c r="AK136"/>
  <c r="AN136"/>
  <c r="AO136" s="1"/>
  <c r="AJ136"/>
  <c r="AP136" s="1"/>
  <c r="AM136"/>
  <c r="AL148"/>
  <c r="AK148"/>
  <c r="AN148"/>
  <c r="AO148" s="1"/>
  <c r="AJ148"/>
  <c r="AP148" s="1"/>
  <c r="AM148"/>
  <c r="AK164"/>
  <c r="AM164"/>
  <c r="AL180"/>
  <c r="AK180"/>
  <c r="AN180"/>
  <c r="AO180" s="1"/>
  <c r="AJ180"/>
  <c r="AP180" s="1"/>
  <c r="AM180"/>
  <c r="AL196"/>
  <c r="AK196"/>
  <c r="AJ196"/>
  <c r="AP196" s="1"/>
  <c r="AN196"/>
  <c r="AO196" s="1"/>
  <c r="AM196"/>
  <c r="AL212"/>
  <c r="AK212"/>
  <c r="AJ212"/>
  <c r="AP212" s="1"/>
  <c r="AN212"/>
  <c r="AO212" s="1"/>
  <c r="AM212"/>
  <c r="AL224"/>
  <c r="AK224"/>
  <c r="AN224"/>
  <c r="AO224" s="1"/>
  <c r="AJ224"/>
  <c r="AP224" s="1"/>
  <c r="AM224"/>
  <c r="AL414"/>
  <c r="AJ414"/>
  <c r="AP414" s="1"/>
  <c r="AN414"/>
  <c r="AO414" s="1"/>
  <c r="AM414"/>
  <c r="AK414"/>
  <c r="AJ376"/>
  <c r="AP376" s="1"/>
  <c r="AL412"/>
  <c r="AJ412"/>
  <c r="AP412" s="1"/>
  <c r="AN412"/>
  <c r="AO412" s="1"/>
  <c r="AM412"/>
  <c r="AK412"/>
  <c r="AL375"/>
  <c r="AJ375"/>
  <c r="AP375" s="1"/>
  <c r="AN375"/>
  <c r="AO375" s="1"/>
  <c r="AK375"/>
  <c r="AM375"/>
  <c r="AL391"/>
  <c r="AJ391"/>
  <c r="AP391" s="1"/>
  <c r="AN391"/>
  <c r="AO391" s="1"/>
  <c r="AK391"/>
  <c r="AM391"/>
  <c r="AL407"/>
  <c r="AJ407"/>
  <c r="AP407" s="1"/>
  <c r="AN407"/>
  <c r="AO407" s="1"/>
  <c r="AK407"/>
  <c r="AM407"/>
  <c r="AL476"/>
  <c r="AJ476"/>
  <c r="AP476" s="1"/>
  <c r="AN476"/>
  <c r="AO476" s="1"/>
  <c r="AK476"/>
  <c r="AM476"/>
  <c r="AM483"/>
  <c r="AN483"/>
  <c r="AO483" s="1"/>
  <c r="AL484"/>
  <c r="AM484"/>
  <c r="AJ484"/>
  <c r="AP484" s="1"/>
  <c r="AN484"/>
  <c r="AO484" s="1"/>
  <c r="AK484"/>
  <c r="AL257"/>
  <c r="AK257"/>
  <c r="AJ257"/>
  <c r="AP257" s="1"/>
  <c r="AM257"/>
  <c r="AN257"/>
  <c r="AO257" s="1"/>
  <c r="AL374"/>
  <c r="AJ374"/>
  <c r="AP374" s="1"/>
  <c r="AN374"/>
  <c r="AO374" s="1"/>
  <c r="AM374"/>
  <c r="AK374"/>
  <c r="AL538"/>
  <c r="AJ538"/>
  <c r="AP538" s="1"/>
  <c r="AK538"/>
  <c r="AM538"/>
  <c r="AN538"/>
  <c r="AO538" s="1"/>
  <c r="AL247"/>
  <c r="AK247"/>
  <c r="AJ247"/>
  <c r="AP247" s="1"/>
  <c r="AN247"/>
  <c r="AO247" s="1"/>
  <c r="AM247"/>
  <c r="AM497"/>
  <c r="AN497"/>
  <c r="AO497" s="1"/>
  <c r="AL512"/>
  <c r="AJ512"/>
  <c r="AP512" s="1"/>
  <c r="AK512"/>
  <c r="AN512"/>
  <c r="AO512" s="1"/>
  <c r="AM512"/>
  <c r="AJ234"/>
  <c r="AP234" s="1"/>
  <c r="AL174"/>
  <c r="AK174"/>
  <c r="AM174"/>
  <c r="AN174"/>
  <c r="AO174" s="1"/>
  <c r="AJ174"/>
  <c r="AP174" s="1"/>
  <c r="AL150"/>
  <c r="AK150"/>
  <c r="AM150"/>
  <c r="AJ150"/>
  <c r="AP150" s="1"/>
  <c r="AN150"/>
  <c r="AO150" s="1"/>
  <c r="AL214"/>
  <c r="AK214"/>
  <c r="AM214"/>
  <c r="AJ214"/>
  <c r="AP214" s="1"/>
  <c r="AN214"/>
  <c r="AO214" s="1"/>
  <c r="AL378"/>
  <c r="AJ378"/>
  <c r="AP378" s="1"/>
  <c r="AN378"/>
  <c r="AO378" s="1"/>
  <c r="AK378"/>
  <c r="AM378"/>
  <c r="AL126"/>
  <c r="AK126"/>
  <c r="AM126"/>
  <c r="AN126"/>
  <c r="AO126" s="1"/>
  <c r="AJ126"/>
  <c r="AP126" s="1"/>
  <c r="AL238"/>
  <c r="AK238"/>
  <c r="AM238"/>
  <c r="AN238"/>
  <c r="AO238" s="1"/>
  <c r="AJ238"/>
  <c r="AP238" s="1"/>
  <c r="AL146"/>
  <c r="AK146"/>
  <c r="AM146"/>
  <c r="AJ146"/>
  <c r="AP146" s="1"/>
  <c r="AN146"/>
  <c r="AO146" s="1"/>
  <c r="AM210"/>
  <c r="AL418"/>
  <c r="AJ418"/>
  <c r="AP418" s="1"/>
  <c r="AN418"/>
  <c r="AO418" s="1"/>
  <c r="AK418"/>
  <c r="AM418"/>
  <c r="AN157"/>
  <c r="AO157" s="1"/>
  <c r="AL189"/>
  <c r="AK189"/>
  <c r="AN189"/>
  <c r="AO189" s="1"/>
  <c r="AM189"/>
  <c r="AJ189"/>
  <c r="AP189" s="1"/>
  <c r="AL229"/>
  <c r="AK229"/>
  <c r="AN229"/>
  <c r="AO229" s="1"/>
  <c r="AM229"/>
  <c r="AJ229"/>
  <c r="AP229" s="1"/>
  <c r="AL75"/>
  <c r="AM75"/>
  <c r="AN75"/>
  <c r="AO75" s="1"/>
  <c r="AJ75"/>
  <c r="AP75" s="1"/>
  <c r="AK75"/>
  <c r="AJ79"/>
  <c r="AP79" s="1"/>
  <c r="AL83"/>
  <c r="AN83"/>
  <c r="AO83" s="1"/>
  <c r="AM83"/>
  <c r="AJ83"/>
  <c r="AP83" s="1"/>
  <c r="AK83"/>
  <c r="AL87"/>
  <c r="AN87"/>
  <c r="AO87" s="1"/>
  <c r="AM87"/>
  <c r="AJ87"/>
  <c r="AP87" s="1"/>
  <c r="AK87"/>
  <c r="AL91"/>
  <c r="AN91"/>
  <c r="AO91" s="1"/>
  <c r="AM91"/>
  <c r="AJ91"/>
  <c r="AP91" s="1"/>
  <c r="AK91"/>
  <c r="AN95"/>
  <c r="AO95" s="1"/>
  <c r="AL102"/>
  <c r="AN102"/>
  <c r="AO102" s="1"/>
  <c r="AM102"/>
  <c r="AJ102"/>
  <c r="AP102" s="1"/>
  <c r="AK102"/>
  <c r="AL106"/>
  <c r="AN106"/>
  <c r="AO106" s="1"/>
  <c r="AM106"/>
  <c r="AJ106"/>
  <c r="AP106" s="1"/>
  <c r="AK106"/>
  <c r="AL110"/>
  <c r="AN110"/>
  <c r="AO110" s="1"/>
  <c r="AM110"/>
  <c r="AJ110"/>
  <c r="AP110" s="1"/>
  <c r="AK110"/>
  <c r="AL123"/>
  <c r="AK123"/>
  <c r="AJ123"/>
  <c r="AP123" s="1"/>
  <c r="AM123"/>
  <c r="AN123"/>
  <c r="AO123" s="1"/>
  <c r="AL159"/>
  <c r="AK159"/>
  <c r="AJ159"/>
  <c r="AP159" s="1"/>
  <c r="AM159"/>
  <c r="AN159"/>
  <c r="AO159" s="1"/>
  <c r="AL175"/>
  <c r="AK175"/>
  <c r="AL191"/>
  <c r="AK191"/>
  <c r="AJ191"/>
  <c r="AP191" s="1"/>
  <c r="AM191"/>
  <c r="AN191"/>
  <c r="AO191" s="1"/>
  <c r="AL207"/>
  <c r="AK207"/>
  <c r="AJ207"/>
  <c r="AP207" s="1"/>
  <c r="AM207"/>
  <c r="AN207"/>
  <c r="AO207" s="1"/>
  <c r="AL227"/>
  <c r="AK227"/>
  <c r="AJ227"/>
  <c r="AP227" s="1"/>
  <c r="AM227"/>
  <c r="AN227"/>
  <c r="AO227" s="1"/>
  <c r="AJ389"/>
  <c r="AP389" s="1"/>
  <c r="AL413"/>
  <c r="AJ413"/>
  <c r="AP413" s="1"/>
  <c r="AN413"/>
  <c r="AO413" s="1"/>
  <c r="AM413"/>
  <c r="AK413"/>
  <c r="AL117"/>
  <c r="AK117"/>
  <c r="AN117"/>
  <c r="AO117" s="1"/>
  <c r="AM117"/>
  <c r="AJ117"/>
  <c r="AP117" s="1"/>
  <c r="AL149"/>
  <c r="AK149"/>
  <c r="AN149"/>
  <c r="AO149" s="1"/>
  <c r="AM149"/>
  <c r="AJ149"/>
  <c r="AP149" s="1"/>
  <c r="AL201"/>
  <c r="AK201"/>
  <c r="AN201"/>
  <c r="AO201" s="1"/>
  <c r="AM201"/>
  <c r="AJ201"/>
  <c r="AP201" s="1"/>
  <c r="AL217"/>
  <c r="AM217"/>
  <c r="AJ217"/>
  <c r="AP217" s="1"/>
  <c r="AL237"/>
  <c r="AL116"/>
  <c r="AK116"/>
  <c r="AN116"/>
  <c r="AO116" s="1"/>
  <c r="AJ116"/>
  <c r="AP116" s="1"/>
  <c r="AM116"/>
  <c r="AL132"/>
  <c r="AK132"/>
  <c r="AJ132"/>
  <c r="AP132" s="1"/>
  <c r="AN132"/>
  <c r="AO132" s="1"/>
  <c r="AM132"/>
  <c r="AL152"/>
  <c r="AK152"/>
  <c r="AN152"/>
  <c r="AO152" s="1"/>
  <c r="AJ152"/>
  <c r="AP152" s="1"/>
  <c r="AM152"/>
  <c r="AL168"/>
  <c r="AK168"/>
  <c r="AN168"/>
  <c r="AO168" s="1"/>
  <c r="AJ168"/>
  <c r="AP168" s="1"/>
  <c r="AM168"/>
  <c r="AL200"/>
  <c r="AK200"/>
  <c r="AN200"/>
  <c r="AO200" s="1"/>
  <c r="AJ200"/>
  <c r="AP200" s="1"/>
  <c r="AM200"/>
  <c r="AL232"/>
  <c r="AK232"/>
  <c r="AN232"/>
  <c r="AO232" s="1"/>
  <c r="AJ232"/>
  <c r="AP232" s="1"/>
  <c r="AM232"/>
  <c r="AL244"/>
  <c r="AK244"/>
  <c r="AJ244"/>
  <c r="AP244" s="1"/>
  <c r="AN244"/>
  <c r="AO244" s="1"/>
  <c r="AM244"/>
  <c r="AL398"/>
  <c r="AL388"/>
  <c r="AJ388"/>
  <c r="AP388" s="1"/>
  <c r="AN388"/>
  <c r="AO388" s="1"/>
  <c r="AM388"/>
  <c r="AK388"/>
  <c r="AL404"/>
  <c r="AJ404"/>
  <c r="AP404" s="1"/>
  <c r="AN404"/>
  <c r="AO404" s="1"/>
  <c r="AM404"/>
  <c r="AK404"/>
  <c r="AL416"/>
  <c r="AJ416"/>
  <c r="AP416" s="1"/>
  <c r="AN416"/>
  <c r="AO416" s="1"/>
  <c r="AM416"/>
  <c r="AK416"/>
  <c r="AL379"/>
  <c r="AJ379"/>
  <c r="AP379" s="1"/>
  <c r="AN379"/>
  <c r="AO379" s="1"/>
  <c r="AK379"/>
  <c r="AM379"/>
  <c r="AL411"/>
  <c r="AJ411"/>
  <c r="AP411" s="1"/>
  <c r="AN411"/>
  <c r="AO411" s="1"/>
  <c r="AK411"/>
  <c r="AM411"/>
  <c r="AL475"/>
  <c r="AJ475"/>
  <c r="AP475" s="1"/>
  <c r="AN475"/>
  <c r="AO475" s="1"/>
  <c r="AM475"/>
  <c r="AK475"/>
  <c r="AL480"/>
  <c r="AM480"/>
  <c r="AJ480"/>
  <c r="AP480" s="1"/>
  <c r="AK480"/>
  <c r="AN480"/>
  <c r="AO480" s="1"/>
  <c r="AL498"/>
  <c r="AM498"/>
  <c r="AN498"/>
  <c r="AO498" s="1"/>
  <c r="AK498"/>
  <c r="AJ498"/>
  <c r="AP498" s="1"/>
  <c r="AL495"/>
  <c r="AM495"/>
  <c r="AK495"/>
  <c r="AJ495"/>
  <c r="AP495" s="1"/>
  <c r="AN495"/>
  <c r="AO495" s="1"/>
  <c r="AL249"/>
  <c r="AK249"/>
  <c r="AJ249"/>
  <c r="AP249" s="1"/>
  <c r="AM249"/>
  <c r="AN249"/>
  <c r="AO249" s="1"/>
  <c r="AL254"/>
  <c r="AK254"/>
  <c r="AJ254"/>
  <c r="AP254" s="1"/>
  <c r="AM254"/>
  <c r="AN254"/>
  <c r="AO254" s="1"/>
  <c r="AL252"/>
  <c r="AK252"/>
  <c r="AJ252"/>
  <c r="AP252" s="1"/>
  <c r="AN252"/>
  <c r="AO252" s="1"/>
  <c r="AM252"/>
  <c r="AL258"/>
  <c r="AK258"/>
  <c r="AJ258"/>
  <c r="AP258" s="1"/>
  <c r="AM258"/>
  <c r="AN258"/>
  <c r="AO258" s="1"/>
  <c r="AL263"/>
  <c r="AK263"/>
  <c r="AJ263"/>
  <c r="AP263" s="1"/>
  <c r="AN263"/>
  <c r="AO263" s="1"/>
  <c r="AM263"/>
  <c r="AL510"/>
  <c r="AJ510"/>
  <c r="AP510" s="1"/>
  <c r="AK510"/>
  <c r="AM510"/>
  <c r="AN510"/>
  <c r="AO510" s="1"/>
  <c r="AL507"/>
  <c r="AJ507"/>
  <c r="AP507" s="1"/>
  <c r="AK507"/>
  <c r="AN507"/>
  <c r="AO507" s="1"/>
  <c r="AM507"/>
  <c r="AL248"/>
  <c r="AK248"/>
  <c r="AJ248"/>
  <c r="AP248" s="1"/>
  <c r="AN248"/>
  <c r="AO248" s="1"/>
  <c r="AM248"/>
  <c r="AL292"/>
  <c r="AK292"/>
  <c r="AJ292"/>
  <c r="AP292" s="1"/>
  <c r="AN292"/>
  <c r="AO292" s="1"/>
  <c r="AM292"/>
  <c r="AL513"/>
  <c r="AJ513"/>
  <c r="AP513" s="1"/>
  <c r="AK513"/>
  <c r="AN513"/>
  <c r="AO513" s="1"/>
  <c r="AM513"/>
  <c r="AL288"/>
  <c r="AK288"/>
  <c r="AJ288"/>
  <c r="AP288" s="1"/>
  <c r="AN288"/>
  <c r="AO288" s="1"/>
  <c r="AM288"/>
  <c r="AL289"/>
  <c r="AK289"/>
  <c r="AJ289"/>
  <c r="AP289" s="1"/>
  <c r="AM289"/>
  <c r="AN289"/>
  <c r="AO289" s="1"/>
  <c r="AL259"/>
  <c r="AK259"/>
  <c r="AJ259"/>
  <c r="AP259" s="1"/>
  <c r="AN259"/>
  <c r="AO259" s="1"/>
  <c r="AM259"/>
  <c r="AL275"/>
  <c r="AK275"/>
  <c r="AJ275"/>
  <c r="AP275" s="1"/>
  <c r="AN275"/>
  <c r="AO275" s="1"/>
  <c r="AM275"/>
  <c r="AL291"/>
  <c r="AK291"/>
  <c r="AJ291"/>
  <c r="AP291" s="1"/>
  <c r="AN291"/>
  <c r="AO291" s="1"/>
  <c r="AM291"/>
  <c r="AL508"/>
  <c r="AJ508"/>
  <c r="AP508" s="1"/>
  <c r="AK508"/>
  <c r="AN508"/>
  <c r="AO508" s="1"/>
  <c r="AM508"/>
  <c r="AL269"/>
  <c r="AK269"/>
  <c r="AJ269"/>
  <c r="AP269" s="1"/>
  <c r="AM269"/>
  <c r="AN269"/>
  <c r="AO269" s="1"/>
  <c r="AL250"/>
  <c r="AK250"/>
  <c r="AJ250"/>
  <c r="AP250" s="1"/>
  <c r="AM250"/>
  <c r="AN250"/>
  <c r="AO250" s="1"/>
  <c r="AL274"/>
  <c r="AK274"/>
  <c r="AJ274"/>
  <c r="AP274" s="1"/>
  <c r="AM274"/>
  <c r="AN274"/>
  <c r="AO274" s="1"/>
  <c r="AL298"/>
  <c r="AK298"/>
  <c r="AJ298"/>
  <c r="AP298" s="1"/>
  <c r="AM298"/>
  <c r="AN298"/>
  <c r="AO298" s="1"/>
  <c r="AL500"/>
  <c r="AJ500"/>
  <c r="AP500" s="1"/>
  <c r="AK500"/>
  <c r="AN500"/>
  <c r="AO500" s="1"/>
  <c r="AM500"/>
  <c r="AL481"/>
  <c r="AM481"/>
  <c r="AN481"/>
  <c r="AO481" s="1"/>
  <c r="AJ481"/>
  <c r="AP481" s="1"/>
  <c r="AK481"/>
  <c r="AL525"/>
  <c r="AJ525"/>
  <c r="AP525" s="1"/>
  <c r="AK525"/>
  <c r="AN525"/>
  <c r="AO525" s="1"/>
  <c r="AM525"/>
  <c r="AL511"/>
  <c r="AJ511"/>
  <c r="AP511" s="1"/>
  <c r="AK511"/>
  <c r="AN511"/>
  <c r="AO511" s="1"/>
  <c r="AM511"/>
  <c r="AL527"/>
  <c r="AJ527"/>
  <c r="AP527" s="1"/>
  <c r="AK527"/>
  <c r="AN527"/>
  <c r="AO527" s="1"/>
  <c r="AM527"/>
  <c r="AL496"/>
  <c r="AM496"/>
  <c r="AJ496"/>
  <c r="AP496" s="1"/>
  <c r="AK496"/>
  <c r="AN496"/>
  <c r="AO496" s="1"/>
  <c r="AL514"/>
  <c r="AJ514"/>
  <c r="AP514" s="1"/>
  <c r="AK514"/>
  <c r="AM514"/>
  <c r="AN514"/>
  <c r="AO514" s="1"/>
  <c r="AL530"/>
  <c r="AJ530"/>
  <c r="AP530" s="1"/>
  <c r="AK530"/>
  <c r="AM530"/>
  <c r="AN530"/>
  <c r="AO530" s="1"/>
  <c r="AL260"/>
  <c r="AK260"/>
  <c r="AJ260"/>
  <c r="AP260" s="1"/>
  <c r="AN260"/>
  <c r="AO260" s="1"/>
  <c r="AM260"/>
  <c r="AJ265"/>
  <c r="AP265" s="1"/>
  <c r="AM265"/>
  <c r="AL255"/>
  <c r="AK255"/>
  <c r="AJ255"/>
  <c r="AP255" s="1"/>
  <c r="AN255"/>
  <c r="AO255" s="1"/>
  <c r="AM255"/>
  <c r="AL287"/>
  <c r="AK287"/>
  <c r="AJ287"/>
  <c r="AP287" s="1"/>
  <c r="AN287"/>
  <c r="AO287" s="1"/>
  <c r="AM287"/>
  <c r="AL278"/>
  <c r="AK278"/>
  <c r="AJ278"/>
  <c r="AP278" s="1"/>
  <c r="AM278"/>
  <c r="AN278"/>
  <c r="AO278" s="1"/>
  <c r="AL529"/>
  <c r="AJ529"/>
  <c r="AP529" s="1"/>
  <c r="AK529"/>
  <c r="AN529"/>
  <c r="AO529" s="1"/>
  <c r="AM529"/>
  <c r="AK516"/>
  <c r="AN516"/>
  <c r="AO516" s="1"/>
  <c r="AL501"/>
  <c r="AJ501"/>
  <c r="AP501" s="1"/>
  <c r="AK501"/>
  <c r="AN501"/>
  <c r="AO501" s="1"/>
  <c r="AM501"/>
  <c r="AJ533"/>
  <c r="AP533" s="1"/>
  <c r="AL520"/>
  <c r="AJ520"/>
  <c r="AP520" s="1"/>
  <c r="AK520"/>
  <c r="AN520"/>
  <c r="AO520" s="1"/>
  <c r="AM520"/>
  <c r="AL499"/>
  <c r="AJ499"/>
  <c r="AP499" s="1"/>
  <c r="AK499"/>
  <c r="AN499"/>
  <c r="AO499" s="1"/>
  <c r="AM499"/>
  <c r="AL537"/>
  <c r="AJ537"/>
  <c r="AP537" s="1"/>
  <c r="AK537"/>
  <c r="AN537"/>
  <c r="AO537" s="1"/>
  <c r="AM537"/>
  <c r="AL539"/>
  <c r="AJ539"/>
  <c r="AP539" s="1"/>
  <c r="AK539"/>
  <c r="AN539"/>
  <c r="AO539" s="1"/>
  <c r="AM539"/>
  <c r="AL296"/>
  <c r="AK296"/>
  <c r="AJ296"/>
  <c r="AP296" s="1"/>
  <c r="AN296"/>
  <c r="AO296" s="1"/>
  <c r="AM296"/>
  <c r="AL273"/>
  <c r="AK273"/>
  <c r="AJ273"/>
  <c r="AP273" s="1"/>
  <c r="AM273"/>
  <c r="AN273"/>
  <c r="AO273" s="1"/>
  <c r="AL297"/>
  <c r="AK297"/>
  <c r="AJ297"/>
  <c r="AP297" s="1"/>
  <c r="AM297"/>
  <c r="AN297"/>
  <c r="AO297" s="1"/>
  <c r="AL266"/>
  <c r="AK266"/>
  <c r="AJ266"/>
  <c r="AP266" s="1"/>
  <c r="AM266"/>
  <c r="AN266"/>
  <c r="AO266" s="1"/>
  <c r="AL521"/>
  <c r="AJ521"/>
  <c r="AP521" s="1"/>
  <c r="AK521"/>
  <c r="AN521"/>
  <c r="AO521" s="1"/>
  <c r="AM521"/>
  <c r="AL503"/>
  <c r="AJ503"/>
  <c r="AP503" s="1"/>
  <c r="AK503"/>
  <c r="AN503"/>
  <c r="AO503" s="1"/>
  <c r="AM503"/>
  <c r="AL535"/>
  <c r="AJ535"/>
  <c r="AP535" s="1"/>
  <c r="AK535"/>
  <c r="AN535"/>
  <c r="AO535" s="1"/>
  <c r="AM535"/>
  <c r="AL522"/>
  <c r="AJ522"/>
  <c r="AP522" s="1"/>
  <c r="AK522"/>
  <c r="AM522"/>
  <c r="AN522"/>
  <c r="AO522" s="1"/>
  <c r="AL534"/>
  <c r="AJ534"/>
  <c r="AP534" s="1"/>
  <c r="AK534"/>
  <c r="AM534"/>
  <c r="AN534"/>
  <c r="AO534" s="1"/>
  <c r="AM56"/>
  <c r="AN56"/>
  <c r="AO56" s="1"/>
  <c r="AJ56"/>
  <c r="AP56" s="1"/>
  <c r="AK56"/>
  <c r="AL56"/>
  <c r="AM446"/>
  <c r="AL446"/>
  <c r="AN446"/>
  <c r="AO446" s="1"/>
  <c r="AK446"/>
  <c r="AJ446"/>
  <c r="AP446" s="1"/>
  <c r="AN315"/>
  <c r="AO315" s="1"/>
  <c r="AM347"/>
  <c r="AL347"/>
  <c r="AN347"/>
  <c r="AO347" s="1"/>
  <c r="AK347"/>
  <c r="AJ347"/>
  <c r="AP347" s="1"/>
  <c r="AM311"/>
  <c r="AL311"/>
  <c r="AN311"/>
  <c r="AO311" s="1"/>
  <c r="AK311"/>
  <c r="AJ311"/>
  <c r="AP311" s="1"/>
  <c r="AM312"/>
  <c r="AL312"/>
  <c r="AK312"/>
  <c r="AJ312"/>
  <c r="AP312" s="1"/>
  <c r="AN312"/>
  <c r="AO312" s="1"/>
  <c r="AM328"/>
  <c r="AL328"/>
  <c r="AK328"/>
  <c r="AJ328"/>
  <c r="AP328" s="1"/>
  <c r="AN328"/>
  <c r="AO328" s="1"/>
  <c r="AM372"/>
  <c r="AL372"/>
  <c r="AK372"/>
  <c r="AJ372"/>
  <c r="AP372" s="1"/>
  <c r="AN372"/>
  <c r="AO372" s="1"/>
  <c r="AM309"/>
  <c r="AL309"/>
  <c r="AJ309"/>
  <c r="AP309" s="1"/>
  <c r="AK309"/>
  <c r="AN309"/>
  <c r="AO309" s="1"/>
  <c r="AM337"/>
  <c r="AL337"/>
  <c r="AJ337"/>
  <c r="AP337" s="1"/>
  <c r="AN337"/>
  <c r="AO337" s="1"/>
  <c r="AK337"/>
  <c r="AM353"/>
  <c r="AL353"/>
  <c r="AJ353"/>
  <c r="AP353" s="1"/>
  <c r="AN353"/>
  <c r="AO353" s="1"/>
  <c r="AK353"/>
  <c r="AM369"/>
  <c r="AL369"/>
  <c r="AJ369"/>
  <c r="AP369" s="1"/>
  <c r="AN369"/>
  <c r="AO369" s="1"/>
  <c r="AK369"/>
  <c r="AM451"/>
  <c r="AL451"/>
  <c r="AK451"/>
  <c r="AJ451"/>
  <c r="AP451" s="1"/>
  <c r="AN451"/>
  <c r="AO451" s="1"/>
  <c r="AM467"/>
  <c r="AL467"/>
  <c r="AK467"/>
  <c r="AJ467"/>
  <c r="AP467" s="1"/>
  <c r="AN467"/>
  <c r="AO467" s="1"/>
  <c r="AM460"/>
  <c r="AL460"/>
  <c r="AJ460"/>
  <c r="AP460" s="1"/>
  <c r="AK460"/>
  <c r="AN460"/>
  <c r="AO460" s="1"/>
  <c r="AM543"/>
  <c r="AL543"/>
  <c r="AJ543"/>
  <c r="AP543" s="1"/>
  <c r="AN543"/>
  <c r="AO543" s="1"/>
  <c r="AK543"/>
  <c r="AM558"/>
  <c r="AL558"/>
  <c r="AJ558"/>
  <c r="AP558" s="1"/>
  <c r="AK558"/>
  <c r="AN558"/>
  <c r="AO558" s="1"/>
  <c r="AM69"/>
  <c r="AN69"/>
  <c r="AO69" s="1"/>
  <c r="AJ69"/>
  <c r="AP69" s="1"/>
  <c r="AL69"/>
  <c r="AK69"/>
  <c r="AM61"/>
  <c r="AN61"/>
  <c r="AO61" s="1"/>
  <c r="AJ61"/>
  <c r="AP61" s="1"/>
  <c r="AL61"/>
  <c r="AK61"/>
  <c r="AM47"/>
  <c r="AN47"/>
  <c r="AO47" s="1"/>
  <c r="AJ47"/>
  <c r="AP47" s="1"/>
  <c r="AK47"/>
  <c r="AL47"/>
  <c r="AM437"/>
  <c r="AL437"/>
  <c r="AN437"/>
  <c r="AO437" s="1"/>
  <c r="AK437"/>
  <c r="AJ437"/>
  <c r="AP437" s="1"/>
  <c r="AN21"/>
  <c r="AO21" s="1"/>
  <c r="AJ21"/>
  <c r="AP21" s="1"/>
  <c r="AM21"/>
  <c r="AL21"/>
  <c r="AK21"/>
  <c r="AM18"/>
  <c r="AN18"/>
  <c r="AO18" s="1"/>
  <c r="AJ18"/>
  <c r="AP18" s="1"/>
  <c r="AK18"/>
  <c r="AL18"/>
  <c r="AN16"/>
  <c r="AO16" s="1"/>
  <c r="AM16"/>
  <c r="AJ16"/>
  <c r="AP16" s="1"/>
  <c r="AL16"/>
  <c r="AK16"/>
  <c r="AM43"/>
  <c r="AN43"/>
  <c r="AO43" s="1"/>
  <c r="AJ43"/>
  <c r="AP43" s="1"/>
  <c r="AK43"/>
  <c r="AL43"/>
  <c r="AM370"/>
  <c r="AL370"/>
  <c r="AN370"/>
  <c r="AO370" s="1"/>
  <c r="AJ370"/>
  <c r="AP370" s="1"/>
  <c r="AK370"/>
  <c r="AM72"/>
  <c r="AN72"/>
  <c r="AO72" s="1"/>
  <c r="AJ72"/>
  <c r="AP72" s="1"/>
  <c r="AK72"/>
  <c r="AL72"/>
  <c r="AM45"/>
  <c r="AN45"/>
  <c r="AO45" s="1"/>
  <c r="AJ45"/>
  <c r="AP45" s="1"/>
  <c r="AK45"/>
  <c r="AL45"/>
  <c r="AN15"/>
  <c r="AO15" s="1"/>
  <c r="AJ15"/>
  <c r="AP15" s="1"/>
  <c r="AM15"/>
  <c r="AK15"/>
  <c r="AL15"/>
  <c r="AM24"/>
  <c r="AN24"/>
  <c r="AO24" s="1"/>
  <c r="AJ24"/>
  <c r="AP24" s="1"/>
  <c r="AK24"/>
  <c r="AL24"/>
  <c r="AM307"/>
  <c r="AL307"/>
  <c r="AN307"/>
  <c r="AO307" s="1"/>
  <c r="AK307"/>
  <c r="AJ307"/>
  <c r="AP307" s="1"/>
  <c r="AM331"/>
  <c r="AL331"/>
  <c r="AN331"/>
  <c r="AO331" s="1"/>
  <c r="AK331"/>
  <c r="AJ331"/>
  <c r="AP331" s="1"/>
  <c r="AM335"/>
  <c r="AL335"/>
  <c r="AN335"/>
  <c r="AO335" s="1"/>
  <c r="AK335"/>
  <c r="AJ335"/>
  <c r="AP335" s="1"/>
  <c r="AM422"/>
  <c r="AL422"/>
  <c r="AN422"/>
  <c r="AO422" s="1"/>
  <c r="AK422"/>
  <c r="AJ422"/>
  <c r="AP422" s="1"/>
  <c r="AM324"/>
  <c r="AL324"/>
  <c r="AK324"/>
  <c r="AJ324"/>
  <c r="AP324" s="1"/>
  <c r="AN324"/>
  <c r="AO324" s="1"/>
  <c r="AM344"/>
  <c r="AL344"/>
  <c r="AK344"/>
  <c r="AJ344"/>
  <c r="AP344" s="1"/>
  <c r="AN344"/>
  <c r="AO344" s="1"/>
  <c r="AM426"/>
  <c r="AL426"/>
  <c r="AN426"/>
  <c r="AO426" s="1"/>
  <c r="AK426"/>
  <c r="AJ426"/>
  <c r="AP426" s="1"/>
  <c r="AM305"/>
  <c r="AL305"/>
  <c r="AJ305"/>
  <c r="AP305" s="1"/>
  <c r="AN305"/>
  <c r="AO305" s="1"/>
  <c r="AK305"/>
  <c r="AM325"/>
  <c r="AL325"/>
  <c r="AJ325"/>
  <c r="AP325" s="1"/>
  <c r="AK325"/>
  <c r="AN325"/>
  <c r="AO325" s="1"/>
  <c r="AM357"/>
  <c r="AL357"/>
  <c r="AJ357"/>
  <c r="AP357" s="1"/>
  <c r="AK357"/>
  <c r="AN357"/>
  <c r="AO357" s="1"/>
  <c r="AM373"/>
  <c r="AL373"/>
  <c r="AJ373"/>
  <c r="AP373" s="1"/>
  <c r="AK373"/>
  <c r="AN373"/>
  <c r="AO373" s="1"/>
  <c r="AM447"/>
  <c r="AL447"/>
  <c r="AK447"/>
  <c r="AJ447"/>
  <c r="AP447" s="1"/>
  <c r="AN447"/>
  <c r="AO447" s="1"/>
  <c r="AM424"/>
  <c r="AL424"/>
  <c r="AJ424"/>
  <c r="AP424" s="1"/>
  <c r="AN424"/>
  <c r="AO424" s="1"/>
  <c r="AK424"/>
  <c r="AM468"/>
  <c r="AL468"/>
  <c r="AJ468"/>
  <c r="AP468" s="1"/>
  <c r="AN468"/>
  <c r="AO468" s="1"/>
  <c r="AK468"/>
  <c r="AM546"/>
  <c r="AK546"/>
  <c r="AN546"/>
  <c r="AO546" s="1"/>
  <c r="AN44"/>
  <c r="AO44" s="1"/>
  <c r="AJ44"/>
  <c r="AP44" s="1"/>
  <c r="AM44"/>
  <c r="AK44"/>
  <c r="AL44"/>
  <c r="AM429"/>
  <c r="AL429"/>
  <c r="AN429"/>
  <c r="AO429" s="1"/>
  <c r="AK429"/>
  <c r="AJ429"/>
  <c r="AP429" s="1"/>
  <c r="AK462"/>
  <c r="AM430"/>
  <c r="AL430"/>
  <c r="AN430"/>
  <c r="AO430" s="1"/>
  <c r="AK430"/>
  <c r="AJ430"/>
  <c r="AP430" s="1"/>
  <c r="AM359"/>
  <c r="AL359"/>
  <c r="AN359"/>
  <c r="AO359" s="1"/>
  <c r="AK359"/>
  <c r="AJ359"/>
  <c r="AP359" s="1"/>
  <c r="AM339"/>
  <c r="AL339"/>
  <c r="AN339"/>
  <c r="AO339" s="1"/>
  <c r="AK339"/>
  <c r="AJ339"/>
  <c r="AP339" s="1"/>
  <c r="AM363"/>
  <c r="AL363"/>
  <c r="AN363"/>
  <c r="AO363" s="1"/>
  <c r="AK363"/>
  <c r="AJ363"/>
  <c r="AP363" s="1"/>
  <c r="AM351"/>
  <c r="AL351"/>
  <c r="AN351"/>
  <c r="AO351" s="1"/>
  <c r="AK351"/>
  <c r="AJ351"/>
  <c r="AP351" s="1"/>
  <c r="AM300"/>
  <c r="AL300"/>
  <c r="AK300"/>
  <c r="AJ300"/>
  <c r="AP300" s="1"/>
  <c r="AN300"/>
  <c r="AO300" s="1"/>
  <c r="AM316"/>
  <c r="AL316"/>
  <c r="AK316"/>
  <c r="AJ316"/>
  <c r="AP316" s="1"/>
  <c r="AN316"/>
  <c r="AO316" s="1"/>
  <c r="AM336"/>
  <c r="AL336"/>
  <c r="AK336"/>
  <c r="AJ336"/>
  <c r="AP336" s="1"/>
  <c r="AN336"/>
  <c r="AO336" s="1"/>
  <c r="AK348"/>
  <c r="AJ348"/>
  <c r="AP348" s="1"/>
  <c r="AM364"/>
  <c r="AL364"/>
  <c r="AK364"/>
  <c r="AJ364"/>
  <c r="AP364" s="1"/>
  <c r="AN364"/>
  <c r="AO364" s="1"/>
  <c r="AM434"/>
  <c r="AJ434"/>
  <c r="AP434" s="1"/>
  <c r="AM466"/>
  <c r="AL466"/>
  <c r="AN466"/>
  <c r="AO466" s="1"/>
  <c r="AK466"/>
  <c r="AJ466"/>
  <c r="AP466" s="1"/>
  <c r="AM317"/>
  <c r="AL317"/>
  <c r="AJ317"/>
  <c r="AP317" s="1"/>
  <c r="AK317"/>
  <c r="AN317"/>
  <c r="AO317" s="1"/>
  <c r="AM329"/>
  <c r="AL329"/>
  <c r="AJ329"/>
  <c r="AP329" s="1"/>
  <c r="AN329"/>
  <c r="AO329" s="1"/>
  <c r="AK329"/>
  <c r="AM345"/>
  <c r="AL345"/>
  <c r="AJ345"/>
  <c r="AP345" s="1"/>
  <c r="AN345"/>
  <c r="AO345" s="1"/>
  <c r="AK345"/>
  <c r="AM361"/>
  <c r="AL361"/>
  <c r="AJ361"/>
  <c r="AP361" s="1"/>
  <c r="AN361"/>
  <c r="AO361" s="1"/>
  <c r="AK361"/>
  <c r="AM427"/>
  <c r="AL427"/>
  <c r="AK427"/>
  <c r="AJ427"/>
  <c r="AP427" s="1"/>
  <c r="AN427"/>
  <c r="AO427" s="1"/>
  <c r="AM443"/>
  <c r="AL443"/>
  <c r="AK443"/>
  <c r="AJ443"/>
  <c r="AP443" s="1"/>
  <c r="AN443"/>
  <c r="AO443" s="1"/>
  <c r="AM459"/>
  <c r="AL459"/>
  <c r="AK459"/>
  <c r="AJ459"/>
  <c r="AP459" s="1"/>
  <c r="AN459"/>
  <c r="AO459" s="1"/>
  <c r="AM436"/>
  <c r="AL436"/>
  <c r="AJ436"/>
  <c r="AP436" s="1"/>
  <c r="AN436"/>
  <c r="AO436" s="1"/>
  <c r="AK436"/>
  <c r="AM472"/>
  <c r="AL472"/>
  <c r="AJ472"/>
  <c r="AP472" s="1"/>
  <c r="AN472"/>
  <c r="AO472" s="1"/>
  <c r="AK472"/>
  <c r="AM551"/>
  <c r="AL551"/>
  <c r="AJ551"/>
  <c r="AP551" s="1"/>
  <c r="AN551"/>
  <c r="AO551" s="1"/>
  <c r="AK551"/>
  <c r="AM550"/>
  <c r="AL550"/>
  <c r="AJ550"/>
  <c r="AP550" s="1"/>
  <c r="AK550"/>
  <c r="AN550"/>
  <c r="AO550" s="1"/>
  <c r="AN33"/>
  <c r="AO33" s="1"/>
  <c r="AJ33"/>
  <c r="AP33" s="1"/>
  <c r="AM33"/>
  <c r="AK33"/>
  <c r="AL33"/>
  <c r="AN52"/>
  <c r="AO52" s="1"/>
  <c r="AJ52"/>
  <c r="AP52" s="1"/>
  <c r="AM52"/>
  <c r="AK52"/>
  <c r="AL52"/>
  <c r="AM464"/>
  <c r="AL464"/>
  <c r="AJ464"/>
  <c r="AP464" s="1"/>
  <c r="AN464"/>
  <c r="AO464" s="1"/>
  <c r="AK464"/>
  <c r="AN68"/>
  <c r="AO68" s="1"/>
  <c r="AJ68"/>
  <c r="AP68" s="1"/>
  <c r="AM68"/>
  <c r="AK68"/>
  <c r="AL68"/>
  <c r="AN63"/>
  <c r="AO63" s="1"/>
  <c r="AJ63"/>
  <c r="AP63" s="1"/>
  <c r="AM63"/>
  <c r="AK63"/>
  <c r="AL63"/>
  <c r="AM346"/>
  <c r="AL346"/>
  <c r="AN346"/>
  <c r="AO346" s="1"/>
  <c r="AJ346"/>
  <c r="AP346" s="1"/>
  <c r="AK346"/>
  <c r="AM541"/>
  <c r="AL541"/>
  <c r="AK541"/>
  <c r="AN541"/>
  <c r="AO541" s="1"/>
  <c r="AJ541"/>
  <c r="AP541" s="1"/>
  <c r="AN40"/>
  <c r="AO40" s="1"/>
  <c r="AM40"/>
  <c r="AJ40"/>
  <c r="AP40" s="1"/>
  <c r="AK40"/>
  <c r="AL40"/>
  <c r="AM50"/>
  <c r="AN50"/>
  <c r="AO50" s="1"/>
  <c r="AJ50"/>
  <c r="AP50" s="1"/>
  <c r="AL50"/>
  <c r="AK50"/>
  <c r="AM57"/>
  <c r="AN57"/>
  <c r="AO57" s="1"/>
  <c r="AJ57"/>
  <c r="AP57" s="1"/>
  <c r="AL57"/>
  <c r="AK57"/>
  <c r="AN64"/>
  <c r="AO64" s="1"/>
  <c r="AM64"/>
  <c r="AJ64"/>
  <c r="AP64" s="1"/>
  <c r="AK64"/>
  <c r="AL64"/>
  <c r="AM306"/>
  <c r="AL306"/>
  <c r="AN306"/>
  <c r="AO306" s="1"/>
  <c r="AJ306"/>
  <c r="AP306" s="1"/>
  <c r="AK306"/>
  <c r="AM441"/>
  <c r="AL441"/>
  <c r="AN441"/>
  <c r="AO441" s="1"/>
  <c r="AJ441"/>
  <c r="AP441" s="1"/>
  <c r="AK441"/>
  <c r="AM548"/>
  <c r="AL548"/>
  <c r="AN548"/>
  <c r="AO548" s="1"/>
  <c r="AJ548"/>
  <c r="AP548" s="1"/>
  <c r="AK548"/>
  <c r="AM49"/>
  <c r="AN49"/>
  <c r="AO49" s="1"/>
  <c r="AJ49"/>
  <c r="AP49" s="1"/>
  <c r="AK49"/>
  <c r="AL49"/>
  <c r="AN13"/>
  <c r="AO13" s="1"/>
  <c r="AJ13"/>
  <c r="AP13" s="1"/>
  <c r="AM13"/>
  <c r="AK13"/>
  <c r="AL13"/>
  <c r="AM12"/>
  <c r="AN12"/>
  <c r="AO12" s="1"/>
  <c r="AJ12"/>
  <c r="AP12" s="1"/>
  <c r="AK12"/>
  <c r="AL12"/>
  <c r="AM60"/>
  <c r="AN60"/>
  <c r="AO60" s="1"/>
  <c r="AJ60"/>
  <c r="AP60" s="1"/>
  <c r="AK60"/>
  <c r="AL60"/>
  <c r="AM65"/>
  <c r="AN65"/>
  <c r="AO65" s="1"/>
  <c r="AJ65"/>
  <c r="AP65" s="1"/>
  <c r="AK65"/>
  <c r="AL65"/>
  <c r="AM67"/>
  <c r="AN67"/>
  <c r="AO67" s="1"/>
  <c r="AJ67"/>
  <c r="AP67" s="1"/>
  <c r="AK67"/>
  <c r="AL67"/>
  <c r="AM343"/>
  <c r="AL343"/>
  <c r="AN343"/>
  <c r="AO343" s="1"/>
  <c r="AK343"/>
  <c r="AJ343"/>
  <c r="AP343" s="1"/>
  <c r="AM323"/>
  <c r="AL323"/>
  <c r="AN323"/>
  <c r="AO323" s="1"/>
  <c r="AK323"/>
  <c r="AJ323"/>
  <c r="AP323" s="1"/>
  <c r="AM355"/>
  <c r="AL355"/>
  <c r="AN355"/>
  <c r="AO355" s="1"/>
  <c r="AK355"/>
  <c r="AJ355"/>
  <c r="AP355" s="1"/>
  <c r="AM327"/>
  <c r="AL327"/>
  <c r="AN327"/>
  <c r="AO327" s="1"/>
  <c r="AK327"/>
  <c r="AJ327"/>
  <c r="AP327" s="1"/>
  <c r="AM367"/>
  <c r="AL367"/>
  <c r="AN367"/>
  <c r="AO367" s="1"/>
  <c r="AK367"/>
  <c r="AJ367"/>
  <c r="AP367" s="1"/>
  <c r="AM438"/>
  <c r="AL438"/>
  <c r="AN438"/>
  <c r="AO438" s="1"/>
  <c r="AK438"/>
  <c r="AJ438"/>
  <c r="AP438" s="1"/>
  <c r="AM304"/>
  <c r="AL304"/>
  <c r="AK304"/>
  <c r="AJ304"/>
  <c r="AP304" s="1"/>
  <c r="AN304"/>
  <c r="AO304" s="1"/>
  <c r="AM320"/>
  <c r="AL320"/>
  <c r="AK320"/>
  <c r="AJ320"/>
  <c r="AP320" s="1"/>
  <c r="AN320"/>
  <c r="AO320" s="1"/>
  <c r="AM332"/>
  <c r="AL332"/>
  <c r="AK332"/>
  <c r="AJ332"/>
  <c r="AP332" s="1"/>
  <c r="AN332"/>
  <c r="AO332" s="1"/>
  <c r="AM352"/>
  <c r="AL352"/>
  <c r="AK352"/>
  <c r="AJ352"/>
  <c r="AP352" s="1"/>
  <c r="AN352"/>
  <c r="AO352" s="1"/>
  <c r="AM368"/>
  <c r="AL368"/>
  <c r="AK368"/>
  <c r="AJ368"/>
  <c r="AP368" s="1"/>
  <c r="AN368"/>
  <c r="AO368" s="1"/>
  <c r="AM442"/>
  <c r="AL442"/>
  <c r="AN442"/>
  <c r="AO442" s="1"/>
  <c r="AK442"/>
  <c r="AJ442"/>
  <c r="AP442" s="1"/>
  <c r="AM301"/>
  <c r="AL301"/>
  <c r="AJ301"/>
  <c r="AP301" s="1"/>
  <c r="AK301"/>
  <c r="AN301"/>
  <c r="AO301" s="1"/>
  <c r="AM313"/>
  <c r="AL313"/>
  <c r="AJ313"/>
  <c r="AP313" s="1"/>
  <c r="AN313"/>
  <c r="AO313" s="1"/>
  <c r="AK313"/>
  <c r="AM333"/>
  <c r="AL333"/>
  <c r="AJ333"/>
  <c r="AP333" s="1"/>
  <c r="AK333"/>
  <c r="AN333"/>
  <c r="AO333" s="1"/>
  <c r="AM349"/>
  <c r="AL349"/>
  <c r="AJ349"/>
  <c r="AP349" s="1"/>
  <c r="AK349"/>
  <c r="AN349"/>
  <c r="AO349" s="1"/>
  <c r="AM365"/>
  <c r="AL365"/>
  <c r="AJ365"/>
  <c r="AP365" s="1"/>
  <c r="AK365"/>
  <c r="AN365"/>
  <c r="AO365" s="1"/>
  <c r="AM423"/>
  <c r="AL423"/>
  <c r="AK423"/>
  <c r="AJ423"/>
  <c r="AP423" s="1"/>
  <c r="AN423"/>
  <c r="AO423" s="1"/>
  <c r="AL439"/>
  <c r="AM455"/>
  <c r="AL455"/>
  <c r="AK455"/>
  <c r="AJ455"/>
  <c r="AP455" s="1"/>
  <c r="AN455"/>
  <c r="AO455" s="1"/>
  <c r="AM471"/>
  <c r="AL471"/>
  <c r="AK471"/>
  <c r="AJ471"/>
  <c r="AP471" s="1"/>
  <c r="AN471"/>
  <c r="AO471" s="1"/>
  <c r="AM428"/>
  <c r="AL428"/>
  <c r="AJ428"/>
  <c r="AP428" s="1"/>
  <c r="AK428"/>
  <c r="AN428"/>
  <c r="AO428" s="1"/>
  <c r="AM456"/>
  <c r="AL456"/>
  <c r="AJ456"/>
  <c r="AP456" s="1"/>
  <c r="AN456"/>
  <c r="AO456" s="1"/>
  <c r="AK456"/>
  <c r="AM547"/>
  <c r="AL547"/>
  <c r="AJ547"/>
  <c r="AP547" s="1"/>
  <c r="AN547"/>
  <c r="AO547" s="1"/>
  <c r="AK547"/>
  <c r="AM542"/>
  <c r="AL542"/>
  <c r="AJ542"/>
  <c r="AP542" s="1"/>
  <c r="AK542"/>
  <c r="AN542"/>
  <c r="AO542" s="1"/>
  <c r="AM554"/>
  <c r="AL554"/>
  <c r="AJ554"/>
  <c r="AP554" s="1"/>
  <c r="AK554"/>
  <c r="AN554"/>
  <c r="AO554" s="1"/>
  <c r="AN29"/>
  <c r="AO29" s="1"/>
  <c r="AM29"/>
  <c r="AJ29"/>
  <c r="AP29" s="1"/>
  <c r="AK29"/>
  <c r="AL29"/>
  <c r="AN19"/>
  <c r="AO19" s="1"/>
  <c r="AJ19"/>
  <c r="AP19" s="1"/>
  <c r="AM19"/>
  <c r="AK19"/>
  <c r="AL19"/>
  <c r="AM314"/>
  <c r="AL314"/>
  <c r="AN314"/>
  <c r="AO314" s="1"/>
  <c r="AJ314"/>
  <c r="AP314" s="1"/>
  <c r="AK314"/>
  <c r="AM545"/>
  <c r="AL545"/>
  <c r="AK545"/>
  <c r="AN545"/>
  <c r="AO545" s="1"/>
  <c r="AJ545"/>
  <c r="AP545" s="1"/>
  <c r="AM449"/>
  <c r="AL449"/>
  <c r="AN449"/>
  <c r="AO449" s="1"/>
  <c r="AJ449"/>
  <c r="AP449" s="1"/>
  <c r="AK449"/>
  <c r="AM556"/>
  <c r="AL556"/>
  <c r="AN556"/>
  <c r="AO556" s="1"/>
  <c r="AJ556"/>
  <c r="AP556" s="1"/>
  <c r="AK556"/>
  <c r="AN53"/>
  <c r="AO53" s="1"/>
  <c r="AM53"/>
  <c r="AJ53"/>
  <c r="AP53" s="1"/>
  <c r="AL53"/>
  <c r="AK53"/>
  <c r="AM31"/>
  <c r="AN31"/>
  <c r="AO31" s="1"/>
  <c r="AJ31"/>
  <c r="AP31" s="1"/>
  <c r="AK31"/>
  <c r="AL31"/>
  <c r="AM66"/>
  <c r="AN66"/>
  <c r="AO66" s="1"/>
  <c r="AJ66"/>
  <c r="AP66" s="1"/>
  <c r="AL66"/>
  <c r="AK66"/>
  <c r="AM432"/>
  <c r="AL432"/>
  <c r="AJ432"/>
  <c r="AP432" s="1"/>
  <c r="AN432"/>
  <c r="AO432" s="1"/>
  <c r="AK432"/>
  <c r="AM338"/>
  <c r="AL338"/>
  <c r="AN338"/>
  <c r="AO338" s="1"/>
  <c r="AJ338"/>
  <c r="AP338" s="1"/>
  <c r="AK338"/>
  <c r="AM473"/>
  <c r="AL473"/>
  <c r="AN473"/>
  <c r="AO473" s="1"/>
  <c r="AJ473"/>
  <c r="AP473" s="1"/>
  <c r="AK473"/>
  <c r="AM354"/>
  <c r="AL354"/>
  <c r="AN354"/>
  <c r="AO354" s="1"/>
  <c r="AJ354"/>
  <c r="AP354" s="1"/>
  <c r="AK354"/>
  <c r="AM433"/>
  <c r="AL433"/>
  <c r="AN433"/>
  <c r="AO433" s="1"/>
  <c r="AJ433"/>
  <c r="AP433" s="1"/>
  <c r="AK433"/>
  <c r="AJ20"/>
  <c r="AP20" s="1"/>
  <c r="AM35"/>
  <c r="AN35"/>
  <c r="AO35" s="1"/>
  <c r="AJ35"/>
  <c r="AP35" s="1"/>
  <c r="AK35"/>
  <c r="AL35"/>
  <c r="AM457"/>
  <c r="AL457"/>
  <c r="AN457"/>
  <c r="AO457" s="1"/>
  <c r="AJ457"/>
  <c r="AP457" s="1"/>
  <c r="AK457"/>
  <c r="AL9"/>
  <c r="AM42"/>
  <c r="AN42"/>
  <c r="AO42" s="1"/>
  <c r="AJ42"/>
  <c r="AP42" s="1"/>
  <c r="AL42"/>
  <c r="AK42"/>
  <c r="AM62"/>
  <c r="AN62"/>
  <c r="AO62" s="1"/>
  <c r="AJ62"/>
  <c r="AP62" s="1"/>
  <c r="AL62"/>
  <c r="AK62"/>
  <c r="AM310"/>
  <c r="AL310"/>
  <c r="AN310"/>
  <c r="AO310" s="1"/>
  <c r="AK310"/>
  <c r="AJ310"/>
  <c r="AP310" s="1"/>
  <c r="AM445"/>
  <c r="AK445"/>
  <c r="AJ445"/>
  <c r="AP445" s="1"/>
  <c r="AM557"/>
  <c r="AL557"/>
  <c r="AK557"/>
  <c r="AN557"/>
  <c r="AO557" s="1"/>
  <c r="AJ557"/>
  <c r="AP557" s="1"/>
  <c r="AM322"/>
  <c r="AL322"/>
  <c r="AN322"/>
  <c r="AO322" s="1"/>
  <c r="AJ322"/>
  <c r="AP322" s="1"/>
  <c r="AK322"/>
  <c r="AN22"/>
  <c r="AO22" s="1"/>
  <c r="AM22"/>
  <c r="AJ22"/>
  <c r="AP22" s="1"/>
  <c r="AL22"/>
  <c r="AK22"/>
  <c r="AM30"/>
  <c r="AN30"/>
  <c r="AO30" s="1"/>
  <c r="AJ30"/>
  <c r="AP30" s="1"/>
  <c r="AL30"/>
  <c r="AK30"/>
  <c r="AM41"/>
  <c r="AN41"/>
  <c r="AO41" s="1"/>
  <c r="AJ41"/>
  <c r="AP41" s="1"/>
  <c r="AL41"/>
  <c r="AK41"/>
  <c r="AM540"/>
  <c r="AL540"/>
  <c r="AN540"/>
  <c r="AO540" s="1"/>
  <c r="AJ540"/>
  <c r="AP540" s="1"/>
  <c r="AK540"/>
  <c r="AM27"/>
  <c r="AN27"/>
  <c r="AO27" s="1"/>
  <c r="AJ27"/>
  <c r="AP27" s="1"/>
  <c r="AK27"/>
  <c r="AL27"/>
  <c r="AN39"/>
  <c r="AO39" s="1"/>
  <c r="AJ39"/>
  <c r="AP39" s="1"/>
  <c r="AM39"/>
  <c r="AK39"/>
  <c r="AL39"/>
  <c r="AM51"/>
  <c r="AN51"/>
  <c r="AO51" s="1"/>
  <c r="AJ51"/>
  <c r="AP51" s="1"/>
  <c r="AK51"/>
  <c r="AL51"/>
  <c r="AN58"/>
  <c r="AO58" s="1"/>
  <c r="AJ58"/>
  <c r="AP58" s="1"/>
  <c r="AM58"/>
  <c r="AL58"/>
  <c r="AK58"/>
  <c r="AM318"/>
  <c r="AL318"/>
  <c r="AN318"/>
  <c r="AO318" s="1"/>
  <c r="AK318"/>
  <c r="AJ318"/>
  <c r="AP318" s="1"/>
  <c r="AM366"/>
  <c r="AL366"/>
  <c r="AN366"/>
  <c r="AO366" s="1"/>
  <c r="AK366"/>
  <c r="AJ366"/>
  <c r="AP366" s="1"/>
  <c r="AM448"/>
  <c r="AL448"/>
  <c r="AJ448"/>
  <c r="AP448" s="1"/>
  <c r="AN448"/>
  <c r="AO448" s="1"/>
  <c r="AK448"/>
  <c r="AM544"/>
  <c r="AL544"/>
  <c r="AN544"/>
  <c r="AO544" s="1"/>
  <c r="AK544"/>
  <c r="AJ544"/>
  <c r="AP544" s="1"/>
  <c r="C3" i="24"/>
  <c r="AM9" i="28" l="1"/>
  <c r="AL434"/>
  <c r="AL454"/>
  <c r="AL356"/>
  <c r="AJ277"/>
  <c r="AP277" s="1"/>
  <c r="AM99"/>
  <c r="AJ405"/>
  <c r="AP405" s="1"/>
  <c r="AK127"/>
  <c r="AL270"/>
  <c r="AN119"/>
  <c r="AO119" s="1"/>
  <c r="AK20"/>
  <c r="AN452"/>
  <c r="AO452" s="1"/>
  <c r="AN434"/>
  <c r="AO434" s="1"/>
  <c r="AN348"/>
  <c r="AO348" s="1"/>
  <c r="AM348"/>
  <c r="AL462"/>
  <c r="AK531"/>
  <c r="AN533"/>
  <c r="AO533" s="1"/>
  <c r="AN265"/>
  <c r="AO265" s="1"/>
  <c r="AL265"/>
  <c r="AK217"/>
  <c r="AJ210"/>
  <c r="AP210" s="1"/>
  <c r="AL210"/>
  <c r="AJ497"/>
  <c r="AP497" s="1"/>
  <c r="AN392"/>
  <c r="AO392" s="1"/>
  <c r="AM171"/>
  <c r="AJ127"/>
  <c r="AP127" s="1"/>
  <c r="AK121"/>
  <c r="AK536"/>
  <c r="AN270"/>
  <c r="AO270" s="1"/>
  <c r="AN477"/>
  <c r="AO477" s="1"/>
  <c r="AN403"/>
  <c r="AO403" s="1"/>
  <c r="AJ235"/>
  <c r="AP235" s="1"/>
  <c r="AM81"/>
  <c r="AJ105"/>
  <c r="AP105" s="1"/>
  <c r="AM166"/>
  <c r="AK9"/>
  <c r="AL20"/>
  <c r="AJ462"/>
  <c r="AP462" s="1"/>
  <c r="AM462"/>
  <c r="AK533"/>
  <c r="AN210"/>
  <c r="AO210" s="1"/>
  <c r="AJ170"/>
  <c r="AP170" s="1"/>
  <c r="AJ142"/>
  <c r="AP142" s="1"/>
  <c r="AL445"/>
  <c r="AN9"/>
  <c r="AO9" s="1"/>
  <c r="AM20"/>
  <c r="AM533"/>
  <c r="AK395"/>
  <c r="AK497"/>
  <c r="AN171"/>
  <c r="AO171" s="1"/>
  <c r="AK461"/>
  <c r="AM321"/>
  <c r="AJ276"/>
  <c r="AP276" s="1"/>
  <c r="AK137"/>
  <c r="AJ89"/>
  <c r="AP89" s="1"/>
  <c r="AN454"/>
  <c r="AO454" s="1"/>
  <c r="AK356"/>
  <c r="AK315"/>
  <c r="AM277"/>
  <c r="AK99"/>
  <c r="AL99"/>
  <c r="AN170"/>
  <c r="AO170" s="1"/>
  <c r="AL170"/>
  <c r="AM392"/>
  <c r="AK270"/>
  <c r="AN276"/>
  <c r="AO276" s="1"/>
  <c r="AK119"/>
  <c r="AK403"/>
  <c r="AN137"/>
  <c r="AO137" s="1"/>
  <c r="AN89"/>
  <c r="AO89" s="1"/>
  <c r="AK81"/>
  <c r="AM105"/>
  <c r="AK454"/>
  <c r="AJ356"/>
  <c r="AP356" s="1"/>
  <c r="AM315"/>
  <c r="AN99"/>
  <c r="AO99" s="1"/>
  <c r="AK170"/>
  <c r="AK392"/>
  <c r="AL392"/>
  <c r="AJ270"/>
  <c r="AP270" s="1"/>
  <c r="AM276"/>
  <c r="AL276"/>
  <c r="AJ119"/>
  <c r="AP119" s="1"/>
  <c r="AM403"/>
  <c r="AL403"/>
  <c r="AM137"/>
  <c r="AM89"/>
  <c r="AJ81"/>
  <c r="AP81" s="1"/>
  <c r="AL81"/>
  <c r="AK105"/>
  <c r="AL105"/>
  <c r="AJ315"/>
  <c r="AP315" s="1"/>
  <c r="AN277"/>
  <c r="AO277" s="1"/>
  <c r="AL277"/>
  <c r="AJ454"/>
  <c r="AP454" s="1"/>
  <c r="AN356"/>
  <c r="AO356" s="1"/>
  <c r="AN524"/>
  <c r="AO524" s="1"/>
  <c r="AK188"/>
  <c r="AN382"/>
  <c r="AO382" s="1"/>
  <c r="AL142"/>
  <c r="AJ137"/>
  <c r="AP137" s="1"/>
  <c r="AK393"/>
  <c r="AJ461"/>
  <c r="AP461" s="1"/>
  <c r="AL321"/>
  <c r="AK452"/>
  <c r="AM452"/>
  <c r="AL193"/>
  <c r="AN222"/>
  <c r="AO222" s="1"/>
  <c r="AN417"/>
  <c r="AO417" s="1"/>
  <c r="AJ439"/>
  <c r="AP439" s="1"/>
  <c r="AL452"/>
  <c r="AL546"/>
  <c r="AK264"/>
  <c r="AJ398"/>
  <c r="AP398" s="1"/>
  <c r="AJ220"/>
  <c r="AP220" s="1"/>
  <c r="AK237"/>
  <c r="AK173"/>
  <c r="AN175"/>
  <c r="AO175" s="1"/>
  <c r="AL143"/>
  <c r="AL234"/>
  <c r="AK103"/>
  <c r="AL461"/>
  <c r="AN38"/>
  <c r="AO38" s="1"/>
  <c r="AJ321"/>
  <c r="AP321" s="1"/>
  <c r="AJ272"/>
  <c r="AP272" s="1"/>
  <c r="AJ193"/>
  <c r="AP193" s="1"/>
  <c r="AJ230"/>
  <c r="AP230" s="1"/>
  <c r="AJ215"/>
  <c r="AP215" s="1"/>
  <c r="AM151"/>
  <c r="AK213"/>
  <c r="AN491"/>
  <c r="AO491" s="1"/>
  <c r="AL239"/>
  <c r="AK439"/>
  <c r="AM461"/>
  <c r="AN439"/>
  <c r="AO439" s="1"/>
  <c r="AJ518"/>
  <c r="AP518" s="1"/>
  <c r="AJ264"/>
  <c r="AP264" s="1"/>
  <c r="AK398"/>
  <c r="AJ237"/>
  <c r="AP237" s="1"/>
  <c r="AM79"/>
  <c r="AN234"/>
  <c r="AO234" s="1"/>
  <c r="AL483"/>
  <c r="AL164"/>
  <c r="AL134"/>
  <c r="AN230"/>
  <c r="AO230" s="1"/>
  <c r="AJ385"/>
  <c r="AP385" s="1"/>
  <c r="AJ213"/>
  <c r="AP213" s="1"/>
  <c r="AN239"/>
  <c r="AO239" s="1"/>
  <c r="AK518"/>
  <c r="AM220"/>
  <c r="AK193"/>
  <c r="AN385"/>
  <c r="AO385" s="1"/>
  <c r="AM215"/>
  <c r="AM417"/>
  <c r="AM114"/>
  <c r="AM516"/>
  <c r="AL516"/>
  <c r="AJ262"/>
  <c r="AP262" s="1"/>
  <c r="AN264"/>
  <c r="AO264" s="1"/>
  <c r="AN398"/>
  <c r="AO398" s="1"/>
  <c r="AN237"/>
  <c r="AO237" s="1"/>
  <c r="AJ175"/>
  <c r="AP175" s="1"/>
  <c r="AN143"/>
  <c r="AO143" s="1"/>
  <c r="AK79"/>
  <c r="AL79"/>
  <c r="AL393"/>
  <c r="AK234"/>
  <c r="AK483"/>
  <c r="AN164"/>
  <c r="AO164" s="1"/>
  <c r="AK125"/>
  <c r="AJ103"/>
  <c r="AP103" s="1"/>
  <c r="AM134"/>
  <c r="AN272"/>
  <c r="AO272" s="1"/>
  <c r="AN193"/>
  <c r="AO193" s="1"/>
  <c r="AM222"/>
  <c r="AM385"/>
  <c r="AN215"/>
  <c r="AO215" s="1"/>
  <c r="AL215"/>
  <c r="AN151"/>
  <c r="AO151" s="1"/>
  <c r="AL151"/>
  <c r="AK417"/>
  <c r="AL417"/>
  <c r="AN213"/>
  <c r="AO213" s="1"/>
  <c r="AM491"/>
  <c r="AJ239"/>
  <c r="AP239" s="1"/>
  <c r="AJ114"/>
  <c r="AP114" s="1"/>
  <c r="AN173"/>
  <c r="AO173" s="1"/>
  <c r="AM143"/>
  <c r="AK376"/>
  <c r="AL125"/>
  <c r="AK222"/>
  <c r="AK239"/>
  <c r="AM262"/>
  <c r="AM264"/>
  <c r="AL220"/>
  <c r="AM393"/>
  <c r="AL376"/>
  <c r="AJ125"/>
  <c r="AP125" s="1"/>
  <c r="AK241"/>
  <c r="AM272"/>
  <c r="AK385"/>
  <c r="AN114"/>
  <c r="AO114" s="1"/>
  <c r="AM524"/>
  <c r="AL524"/>
  <c r="AM395"/>
  <c r="AL395"/>
  <c r="AM157"/>
  <c r="AM382"/>
  <c r="AK142"/>
  <c r="AM518"/>
  <c r="AM531"/>
  <c r="AL531"/>
  <c r="AN262"/>
  <c r="AO262" s="1"/>
  <c r="AL262"/>
  <c r="AJ524"/>
  <c r="AP524" s="1"/>
  <c r="AJ395"/>
  <c r="AP395" s="1"/>
  <c r="AK220"/>
  <c r="AN188"/>
  <c r="AO188" s="1"/>
  <c r="AM173"/>
  <c r="AM389"/>
  <c r="AK143"/>
  <c r="AJ95"/>
  <c r="AP95" s="1"/>
  <c r="AJ393"/>
  <c r="AP393" s="1"/>
  <c r="AJ157"/>
  <c r="AP157" s="1"/>
  <c r="AL157"/>
  <c r="AN376"/>
  <c r="AO376" s="1"/>
  <c r="AK382"/>
  <c r="AL382"/>
  <c r="AN125"/>
  <c r="AO125" s="1"/>
  <c r="AM405"/>
  <c r="AM241"/>
  <c r="AM142"/>
  <c r="AN531"/>
  <c r="AO531" s="1"/>
  <c r="AJ188"/>
  <c r="AP188" s="1"/>
  <c r="AN389"/>
  <c r="AO389" s="1"/>
  <c r="AM95"/>
  <c r="AN405"/>
  <c r="AO405" s="1"/>
  <c r="AN518"/>
  <c r="AO518" s="1"/>
  <c r="AM188"/>
  <c r="AJ173"/>
  <c r="AP173" s="1"/>
  <c r="AK389"/>
  <c r="AK95"/>
  <c r="AK405"/>
  <c r="AJ241"/>
  <c r="AP241" s="1"/>
  <c r="AL474"/>
  <c r="AJ474"/>
  <c r="AP474" s="1"/>
  <c r="AN474"/>
  <c r="AO474" s="1"/>
  <c r="AM474"/>
  <c r="AK474"/>
  <c r="O9" i="27"/>
  <c r="D19" i="29" l="1"/>
  <c r="T16"/>
  <c r="L8"/>
  <c r="BA11"/>
  <c r="F41"/>
  <c r="E18"/>
  <c r="BA24"/>
  <c r="K14"/>
  <c r="AV22"/>
  <c r="AT24"/>
  <c r="BB17"/>
  <c r="D34"/>
  <c r="N14"/>
  <c r="E23"/>
  <c r="G27"/>
  <c r="BA31"/>
  <c r="BB35"/>
  <c r="BD39"/>
  <c r="AT44"/>
  <c r="AU31"/>
  <c r="R40"/>
  <c r="S37"/>
  <c r="M16"/>
  <c r="F13"/>
  <c r="M29"/>
  <c r="N32"/>
  <c r="AW13"/>
  <c r="BB33"/>
  <c r="G7"/>
  <c r="BC8"/>
  <c r="AT39"/>
  <c r="N42"/>
  <c r="L10"/>
  <c r="K6"/>
  <c r="AW8"/>
  <c r="AU19"/>
  <c r="AX46"/>
  <c r="R47"/>
  <c r="AM8"/>
  <c r="BC25"/>
  <c r="BD9"/>
  <c r="S27"/>
  <c r="D46"/>
  <c r="D12"/>
  <c r="G20"/>
  <c r="F29"/>
  <c r="AU46"/>
  <c r="N20"/>
  <c r="BD41"/>
  <c r="N19"/>
  <c r="AF7"/>
  <c r="M15"/>
  <c r="L24"/>
  <c r="N35"/>
  <c r="BB31"/>
  <c r="AT40"/>
  <c r="L6"/>
  <c r="R9"/>
  <c r="S13"/>
  <c r="U17"/>
  <c r="K22"/>
  <c r="L26"/>
  <c r="N30"/>
  <c r="D35"/>
  <c r="E39"/>
  <c r="G43"/>
  <c r="BA47"/>
  <c r="L38"/>
  <c r="D47"/>
  <c r="AX42"/>
  <c r="BE29"/>
  <c r="O20"/>
  <c r="V44"/>
  <c r="H35"/>
  <c r="BE12"/>
  <c r="H30"/>
  <c r="O31"/>
  <c r="V18"/>
  <c r="O7"/>
  <c r="H10"/>
  <c r="O27"/>
  <c r="V42"/>
  <c r="BE35"/>
  <c r="BE45"/>
  <c r="O36"/>
  <c r="AX26"/>
  <c r="H17"/>
  <c r="BE13"/>
  <c r="BE7"/>
  <c r="V38"/>
  <c r="AX25"/>
  <c r="O22"/>
  <c r="V9"/>
  <c r="BE36"/>
  <c r="H44"/>
  <c r="O37"/>
  <c r="BE27"/>
  <c r="H15"/>
  <c r="AX11"/>
  <c r="V33"/>
  <c r="H42"/>
  <c r="BE16"/>
  <c r="H26"/>
  <c r="AX17"/>
  <c r="O42"/>
  <c r="V20"/>
  <c r="H23"/>
  <c r="AX7"/>
  <c r="V39"/>
  <c r="H33"/>
  <c r="V23"/>
  <c r="AX10"/>
  <c r="AX31"/>
  <c r="BE18"/>
  <c r="V46"/>
  <c r="AX40"/>
  <c r="V24"/>
  <c r="H43"/>
  <c r="O26"/>
  <c r="AJ7"/>
  <c r="H11"/>
  <c r="O17"/>
  <c r="S46"/>
  <c r="L43"/>
  <c r="BB40"/>
  <c r="AU37"/>
  <c r="L35"/>
  <c r="E32"/>
  <c r="AU29"/>
  <c r="AU25"/>
  <c r="L23"/>
  <c r="E20"/>
  <c r="BB16"/>
  <c r="AU13"/>
  <c r="L11"/>
  <c r="S8"/>
  <c r="L46"/>
  <c r="BD43"/>
  <c r="D39"/>
  <c r="BA35"/>
  <c r="G31"/>
  <c r="E27"/>
  <c r="AW24"/>
  <c r="BA19"/>
  <c r="AT16"/>
  <c r="R13"/>
  <c r="BB47"/>
  <c r="AU45"/>
  <c r="BB44"/>
  <c r="S42"/>
  <c r="AU41"/>
  <c r="L39"/>
  <c r="BB36"/>
  <c r="E36"/>
  <c r="AU33"/>
  <c r="BB32"/>
  <c r="S30"/>
  <c r="E28"/>
  <c r="L27"/>
  <c r="BB24"/>
  <c r="S22"/>
  <c r="AU21"/>
  <c r="L19"/>
  <c r="S18"/>
  <c r="E16"/>
  <c r="S14"/>
  <c r="BB12"/>
  <c r="S10"/>
  <c r="BB8"/>
  <c r="AU7"/>
  <c r="R45"/>
  <c r="K42"/>
  <c r="AW40"/>
  <c r="U37"/>
  <c r="AU36"/>
  <c r="S33"/>
  <c r="L30"/>
  <c r="R29"/>
  <c r="K26"/>
  <c r="D23"/>
  <c r="U21"/>
  <c r="N18"/>
  <c r="S17"/>
  <c r="L14"/>
  <c r="L47"/>
  <c r="E44"/>
  <c r="E40"/>
  <c r="S38"/>
  <c r="S34"/>
  <c r="L31"/>
  <c r="BB28"/>
  <c r="S26"/>
  <c r="E24"/>
  <c r="BB20"/>
  <c r="AU17"/>
  <c r="L15"/>
  <c r="E12"/>
  <c r="AU9"/>
  <c r="G47"/>
  <c r="E43"/>
  <c r="BB39"/>
  <c r="N34"/>
  <c r="AT32"/>
  <c r="BD27"/>
  <c r="BB23"/>
  <c r="AU20"/>
  <c r="G15"/>
  <c r="BD11"/>
  <c r="AW7"/>
  <c r="L37"/>
  <c r="S6"/>
  <c r="AP7"/>
  <c r="AT23"/>
  <c r="BD25"/>
  <c r="E7"/>
  <c r="AT21"/>
  <c r="BA6"/>
  <c r="N22"/>
  <c r="AW41"/>
  <c r="BC9"/>
  <c r="R18"/>
  <c r="U26"/>
  <c r="U41"/>
  <c r="F16"/>
  <c r="G35"/>
  <c r="T15"/>
  <c r="D6"/>
  <c r="G13"/>
  <c r="AV21"/>
  <c r="E31"/>
  <c r="U29"/>
  <c r="E38"/>
  <c r="BA46"/>
  <c r="N8"/>
  <c r="AT12"/>
  <c r="AU16"/>
  <c r="AW20"/>
  <c r="R25"/>
  <c r="S29"/>
  <c r="U33"/>
  <c r="K38"/>
  <c r="L42"/>
  <c r="N46"/>
  <c r="AV35"/>
  <c r="AU44"/>
  <c r="AM7"/>
  <c r="E11"/>
  <c r="BC28"/>
  <c r="K11"/>
  <c r="BB27"/>
  <c r="S11"/>
  <c r="U19"/>
  <c r="F28"/>
  <c r="BB43"/>
  <c r="BD35"/>
  <c r="S44"/>
  <c r="AN7"/>
  <c r="G11"/>
  <c r="BA15"/>
  <c r="BB19"/>
  <c r="BD23"/>
  <c r="AT28"/>
  <c r="AU32"/>
  <c r="AW36"/>
  <c r="R41"/>
  <c r="S45"/>
  <c r="K34"/>
  <c r="F42"/>
  <c r="D7"/>
  <c r="K10"/>
  <c r="L12"/>
  <c r="S28"/>
  <c r="F9"/>
  <c r="AW25"/>
  <c r="BC40"/>
  <c r="S9"/>
  <c r="BB15"/>
  <c r="R24"/>
  <c r="G32"/>
  <c r="BD44"/>
  <c r="T19"/>
  <c r="T6"/>
  <c r="T18"/>
  <c r="E34"/>
  <c r="D11"/>
  <c r="G19"/>
  <c r="U25"/>
  <c r="AW38"/>
  <c r="G33"/>
  <c r="N39"/>
  <c r="F6"/>
  <c r="F8"/>
  <c r="R12"/>
  <c r="AT15"/>
  <c r="BA18"/>
  <c r="D22"/>
  <c r="K25"/>
  <c r="BC26"/>
  <c r="F30"/>
  <c r="M33"/>
  <c r="AU35"/>
  <c r="BB38"/>
  <c r="K41"/>
  <c r="R44"/>
  <c r="AT47"/>
  <c r="BD32"/>
  <c r="U39"/>
  <c r="L44"/>
  <c r="BB6"/>
  <c r="E8"/>
  <c r="BB10"/>
  <c r="E14"/>
  <c r="R16"/>
  <c r="AT19"/>
  <c r="M21"/>
  <c r="T24"/>
  <c r="BB26"/>
  <c r="E30"/>
  <c r="R32"/>
  <c r="AT35"/>
  <c r="BA38"/>
  <c r="T40"/>
  <c r="AV43"/>
  <c r="E46"/>
  <c r="M8"/>
  <c r="T9"/>
  <c r="BC11"/>
  <c r="T13"/>
  <c r="BC15"/>
  <c r="T17"/>
  <c r="BC19"/>
  <c r="M22"/>
  <c r="BC23"/>
  <c r="F27"/>
  <c r="AU15"/>
  <c r="E25"/>
  <c r="AV37"/>
  <c r="T12"/>
  <c r="S21"/>
  <c r="AU30"/>
  <c r="G45"/>
  <c r="AI7"/>
  <c r="AT11"/>
  <c r="D18"/>
  <c r="AV19"/>
  <c r="F26"/>
  <c r="R36"/>
  <c r="AU40"/>
  <c r="U10"/>
  <c r="BC22"/>
  <c r="D28"/>
  <c r="L40"/>
  <c r="U9"/>
  <c r="AW22"/>
  <c r="D27"/>
  <c r="AN8"/>
  <c r="BB14"/>
  <c r="R17"/>
  <c r="BA23"/>
  <c r="AU27"/>
  <c r="T34"/>
  <c r="M47"/>
  <c r="S31"/>
  <c r="AT37"/>
  <c r="D44"/>
  <c r="AW45"/>
  <c r="AH7"/>
  <c r="K9"/>
  <c r="BC10"/>
  <c r="F14"/>
  <c r="S16"/>
  <c r="M17"/>
  <c r="T20"/>
  <c r="BB22"/>
  <c r="AV23"/>
  <c r="E26"/>
  <c r="R28"/>
  <c r="L29"/>
  <c r="AT31"/>
  <c r="S32"/>
  <c r="BA34"/>
  <c r="T36"/>
  <c r="D38"/>
  <c r="AV39"/>
  <c r="E42"/>
  <c r="BC42"/>
  <c r="L45"/>
  <c r="F46"/>
  <c r="K31"/>
  <c r="M35"/>
  <c r="BB37"/>
  <c r="AV41"/>
  <c r="BD45"/>
  <c r="E6"/>
  <c r="AG7"/>
  <c r="AO8"/>
  <c r="D10"/>
  <c r="AV11"/>
  <c r="K13"/>
  <c r="BC14"/>
  <c r="L17"/>
  <c r="F18"/>
  <c r="S20"/>
  <c r="BA22"/>
  <c r="AU23"/>
  <c r="D26"/>
  <c r="AV27"/>
  <c r="K29"/>
  <c r="BC30"/>
  <c r="L33"/>
  <c r="F34"/>
  <c r="S36"/>
  <c r="M37"/>
  <c r="AU39"/>
  <c r="D42"/>
  <c r="BB42"/>
  <c r="K45"/>
  <c r="BC46"/>
  <c r="AO7"/>
  <c r="AV8"/>
  <c r="M10"/>
  <c r="F11"/>
  <c r="AV12"/>
  <c r="M14"/>
  <c r="F15"/>
  <c r="AV16"/>
  <c r="M18"/>
  <c r="F19"/>
  <c r="AV20"/>
  <c r="T21"/>
  <c r="F23"/>
  <c r="AV24"/>
  <c r="T25"/>
  <c r="M26"/>
  <c r="BC27"/>
  <c r="AV28"/>
  <c r="T29"/>
  <c r="M30"/>
  <c r="F31"/>
  <c r="BC31"/>
  <c r="AV32"/>
  <c r="T33"/>
  <c r="M34"/>
  <c r="F35"/>
  <c r="BC35"/>
  <c r="AV36"/>
  <c r="T37"/>
  <c r="M38"/>
  <c r="F39"/>
  <c r="BC39"/>
  <c r="AV40"/>
  <c r="T41"/>
  <c r="M42"/>
  <c r="F43"/>
  <c r="BC43"/>
  <c r="AV44"/>
  <c r="T45"/>
  <c r="M46"/>
  <c r="F47"/>
  <c r="BC47"/>
  <c r="O11"/>
  <c r="V32"/>
  <c r="H6"/>
  <c r="AX19"/>
  <c r="H39"/>
  <c r="V8"/>
  <c r="V17"/>
  <c r="BE26"/>
  <c r="BE38"/>
  <c r="O14"/>
  <c r="O45"/>
  <c r="H20"/>
  <c r="AQ7"/>
  <c r="V16"/>
  <c r="O23"/>
  <c r="H36"/>
  <c r="V30"/>
  <c r="H40"/>
  <c r="V6"/>
  <c r="BE8"/>
  <c r="BE14"/>
  <c r="O18"/>
  <c r="AX21"/>
  <c r="AX27"/>
  <c r="H31"/>
  <c r="V34"/>
  <c r="V40"/>
  <c r="BE43"/>
  <c r="O47"/>
  <c r="V36"/>
  <c r="O43"/>
  <c r="O9"/>
  <c r="AX12"/>
  <c r="H16"/>
  <c r="H22"/>
  <c r="V25"/>
  <c r="BE28"/>
  <c r="BE34"/>
  <c r="O38"/>
  <c r="AX41"/>
  <c r="AX47"/>
  <c r="BE9"/>
  <c r="H13"/>
  <c r="O16"/>
  <c r="V19"/>
  <c r="AX22"/>
  <c r="BE25"/>
  <c r="H29"/>
  <c r="O32"/>
  <c r="V35"/>
  <c r="AX38"/>
  <c r="BE41"/>
  <c r="H45"/>
  <c r="BD6"/>
  <c r="F10"/>
  <c r="BA14"/>
  <c r="E19"/>
  <c r="N23"/>
  <c r="AT27"/>
  <c r="L34"/>
  <c r="T44"/>
  <c r="AG8"/>
  <c r="AU11"/>
  <c r="BD15"/>
  <c r="AT20"/>
  <c r="BC24"/>
  <c r="G29"/>
  <c r="BC34"/>
  <c r="D40"/>
  <c r="M44"/>
  <c r="AV47"/>
  <c r="R7"/>
  <c r="E9"/>
  <c r="AW10"/>
  <c r="BC12"/>
  <c r="S15"/>
  <c r="G17"/>
  <c r="M19"/>
  <c r="BB21"/>
  <c r="U23"/>
  <c r="AV25"/>
  <c r="L28"/>
  <c r="M31"/>
  <c r="U35"/>
  <c r="BA39"/>
  <c r="F44"/>
  <c r="AT6"/>
  <c r="AV9"/>
  <c r="U13"/>
  <c r="AU18"/>
  <c r="E22"/>
  <c r="N26"/>
  <c r="AV31"/>
  <c r="U38"/>
  <c r="E47"/>
  <c r="AU8"/>
  <c r="BD12"/>
  <c r="K17"/>
  <c r="BC21"/>
  <c r="M25"/>
  <c r="T31"/>
  <c r="AU6"/>
  <c r="R8"/>
  <c r="AW9"/>
  <c r="M12"/>
  <c r="R14"/>
  <c r="G16"/>
  <c r="AV18"/>
  <c r="BA20"/>
  <c r="U22"/>
  <c r="F25"/>
  <c r="K27"/>
  <c r="BD28"/>
  <c r="AT33"/>
  <c r="BC37"/>
  <c r="M41"/>
  <c r="R46"/>
  <c r="D31"/>
  <c r="AW32"/>
  <c r="E35"/>
  <c r="K37"/>
  <c r="BC38"/>
  <c r="S41"/>
  <c r="AT43"/>
  <c r="M45"/>
  <c r="AU47"/>
  <c r="AW6"/>
  <c r="U7"/>
  <c r="BC7"/>
  <c r="AI8"/>
  <c r="BB9"/>
  <c r="AV10"/>
  <c r="U11"/>
  <c r="E13"/>
  <c r="BC13"/>
  <c r="AW14"/>
  <c r="L16"/>
  <c r="F17"/>
  <c r="BD17"/>
  <c r="S19"/>
  <c r="M20"/>
  <c r="G21"/>
  <c r="AU22"/>
  <c r="T23"/>
  <c r="N24"/>
  <c r="BB25"/>
  <c r="AV26"/>
  <c r="U27"/>
  <c r="E29"/>
  <c r="BC29"/>
  <c r="AW30"/>
  <c r="L32"/>
  <c r="F33"/>
  <c r="BD33"/>
  <c r="S35"/>
  <c r="M36"/>
  <c r="G37"/>
  <c r="AU38"/>
  <c r="T39"/>
  <c r="N40"/>
  <c r="BB41"/>
  <c r="AV42"/>
  <c r="U43"/>
  <c r="E45"/>
  <c r="BC45"/>
  <c r="AW46"/>
  <c r="BA30"/>
  <c r="T32"/>
  <c r="BB34"/>
  <c r="R37"/>
  <c r="G39"/>
  <c r="L41"/>
  <c r="BA43"/>
  <c r="U45"/>
  <c r="BD47"/>
  <c r="AV6"/>
  <c r="T7"/>
  <c r="BB7"/>
  <c r="AH8"/>
  <c r="G9"/>
  <c r="AU10"/>
  <c r="T11"/>
  <c r="N12"/>
  <c r="BB13"/>
  <c r="AV14"/>
  <c r="U15"/>
  <c r="E17"/>
  <c r="BC17"/>
  <c r="AW18"/>
  <c r="L20"/>
  <c r="F21"/>
  <c r="BD21"/>
  <c r="S23"/>
  <c r="M24"/>
  <c r="G25"/>
  <c r="AU26"/>
  <c r="T27"/>
  <c r="N28"/>
  <c r="BB29"/>
  <c r="AV30"/>
  <c r="U31"/>
  <c r="E33"/>
  <c r="BC33"/>
  <c r="AW34"/>
  <c r="L36"/>
  <c r="F37"/>
  <c r="BD37"/>
  <c r="S39"/>
  <c r="M40"/>
  <c r="G41"/>
  <c r="AU42"/>
  <c r="T43"/>
  <c r="N44"/>
  <c r="BB45"/>
  <c r="AV46"/>
  <c r="U47"/>
  <c r="G8"/>
  <c r="AP8"/>
  <c r="N9"/>
  <c r="G10"/>
  <c r="BD10"/>
  <c r="AW11"/>
  <c r="U12"/>
  <c r="N13"/>
  <c r="G14"/>
  <c r="BD14"/>
  <c r="AW15"/>
  <c r="U16"/>
  <c r="N17"/>
  <c r="G18"/>
  <c r="BD18"/>
  <c r="AW19"/>
  <c r="U20"/>
  <c r="N21"/>
  <c r="G22"/>
  <c r="BD22"/>
  <c r="AW23"/>
  <c r="U24"/>
  <c r="N25"/>
  <c r="G26"/>
  <c r="BD26"/>
  <c r="AW27"/>
  <c r="U28"/>
  <c r="N29"/>
  <c r="G30"/>
  <c r="BD30"/>
  <c r="AW31"/>
  <c r="U32"/>
  <c r="N33"/>
  <c r="G34"/>
  <c r="BD34"/>
  <c r="AW35"/>
  <c r="U36"/>
  <c r="N37"/>
  <c r="G38"/>
  <c r="BD38"/>
  <c r="AW39"/>
  <c r="U40"/>
  <c r="N41"/>
  <c r="G42"/>
  <c r="BD42"/>
  <c r="AW43"/>
  <c r="U44"/>
  <c r="N45"/>
  <c r="G46"/>
  <c r="BD46"/>
  <c r="AW47"/>
  <c r="BE10"/>
  <c r="H24"/>
  <c r="BE47"/>
  <c r="AX16"/>
  <c r="AX35"/>
  <c r="H8"/>
  <c r="V14"/>
  <c r="BE23"/>
  <c r="BE32"/>
  <c r="O8"/>
  <c r="H27"/>
  <c r="AX13"/>
  <c r="BE6"/>
  <c r="V13"/>
  <c r="BE22"/>
  <c r="AX32"/>
  <c r="O30"/>
  <c r="AX39"/>
  <c r="O46"/>
  <c r="AX8"/>
  <c r="H12"/>
  <c r="H18"/>
  <c r="V21"/>
  <c r="BE24"/>
  <c r="BE30"/>
  <c r="O34"/>
  <c r="AX37"/>
  <c r="AX43"/>
  <c r="H47"/>
  <c r="AX33"/>
  <c r="BE42"/>
  <c r="H7"/>
  <c r="V12"/>
  <c r="BE15"/>
  <c r="O19"/>
  <c r="O25"/>
  <c r="AX28"/>
  <c r="H32"/>
  <c r="H38"/>
  <c r="V41"/>
  <c r="BE44"/>
  <c r="H9"/>
  <c r="O12"/>
  <c r="V15"/>
  <c r="AX18"/>
  <c r="BE21"/>
  <c r="H25"/>
  <c r="O28"/>
  <c r="V31"/>
  <c r="AX34"/>
  <c r="BE37"/>
  <c r="H41"/>
  <c r="O44"/>
  <c r="V47"/>
  <c r="BD7"/>
  <c r="BD19"/>
  <c r="K46"/>
  <c r="AT17"/>
  <c r="AT36"/>
  <c r="G6"/>
  <c r="M13"/>
  <c r="L22"/>
  <c r="AU28"/>
  <c r="L7"/>
  <c r="K15"/>
  <c r="R33"/>
  <c r="AU14"/>
  <c r="M7"/>
  <c r="AW12"/>
  <c r="L21"/>
  <c r="K30"/>
  <c r="D43"/>
  <c r="T35"/>
  <c r="BC41"/>
  <c r="BC6"/>
  <c r="E10"/>
  <c r="L13"/>
  <c r="M6"/>
  <c r="L9"/>
  <c r="BD13"/>
  <c r="K18"/>
  <c r="T22"/>
  <c r="AW26"/>
  <c r="BB30"/>
  <c r="BA42"/>
  <c r="S7"/>
  <c r="BA10"/>
  <c r="E15"/>
  <c r="BC18"/>
  <c r="D24"/>
  <c r="M28"/>
  <c r="K33"/>
  <c r="N38"/>
  <c r="S43"/>
  <c r="BB46"/>
  <c r="F7"/>
  <c r="AT8"/>
  <c r="N10"/>
  <c r="S12"/>
  <c r="D15"/>
  <c r="AW16"/>
  <c r="BB18"/>
  <c r="R21"/>
  <c r="G23"/>
  <c r="L25"/>
  <c r="BA27"/>
  <c r="R30"/>
  <c r="AV34"/>
  <c r="F38"/>
  <c r="K43"/>
  <c r="T47"/>
  <c r="BA8"/>
  <c r="AU12"/>
  <c r="BD16"/>
  <c r="K21"/>
  <c r="S25"/>
  <c r="D30"/>
  <c r="BA36"/>
  <c r="AU43"/>
  <c r="K8"/>
  <c r="F12"/>
  <c r="N16"/>
  <c r="E21"/>
  <c r="S24"/>
  <c r="AW28"/>
  <c r="N6"/>
  <c r="D8"/>
  <c r="M9"/>
  <c r="BB11"/>
  <c r="D14"/>
  <c r="AV15"/>
  <c r="L18"/>
  <c r="R20"/>
  <c r="F22"/>
  <c r="AU24"/>
  <c r="BA26"/>
  <c r="T28"/>
  <c r="BD31"/>
  <c r="E37"/>
  <c r="S40"/>
  <c r="AW44"/>
  <c r="BD29"/>
  <c r="M32"/>
  <c r="AU34"/>
  <c r="N36"/>
  <c r="T38"/>
  <c r="E41"/>
  <c r="AW42"/>
  <c r="BC44"/>
  <c r="K47"/>
  <c r="R6"/>
  <c r="K7"/>
  <c r="AV7"/>
  <c r="U8"/>
  <c r="AT9"/>
  <c r="T10"/>
  <c r="N11"/>
  <c r="BA12"/>
  <c r="AV13"/>
  <c r="U14"/>
  <c r="D16"/>
  <c r="BC16"/>
  <c r="AW17"/>
  <c r="K19"/>
  <c r="F20"/>
  <c r="BD20"/>
  <c r="R22"/>
  <c r="M23"/>
  <c r="G24"/>
  <c r="AT25"/>
  <c r="T26"/>
  <c r="N27"/>
  <c r="BA28"/>
  <c r="AV29"/>
  <c r="U30"/>
  <c r="D32"/>
  <c r="BC32"/>
  <c r="AW33"/>
  <c r="K35"/>
  <c r="F36"/>
  <c r="BD36"/>
  <c r="R38"/>
  <c r="M39"/>
  <c r="G40"/>
  <c r="AT41"/>
  <c r="T42"/>
  <c r="N43"/>
  <c r="BA44"/>
  <c r="AV45"/>
  <c r="U46"/>
  <c r="AW29"/>
  <c r="F32"/>
  <c r="R34"/>
  <c r="G36"/>
  <c r="AV38"/>
  <c r="BA40"/>
  <c r="U42"/>
  <c r="F45"/>
  <c r="S47"/>
  <c r="U6"/>
  <c r="N7"/>
  <c r="AT7"/>
  <c r="T8"/>
  <c r="BD8"/>
  <c r="R10"/>
  <c r="M11"/>
  <c r="G12"/>
  <c r="AT13"/>
  <c r="T14"/>
  <c r="N15"/>
  <c r="BA16"/>
  <c r="AV17"/>
  <c r="U18"/>
  <c r="D20"/>
  <c r="BC20"/>
  <c r="AW21"/>
  <c r="K23"/>
  <c r="F24"/>
  <c r="BD24"/>
  <c r="R26"/>
  <c r="M27"/>
  <c r="G28"/>
  <c r="AT29"/>
  <c r="T30"/>
  <c r="N31"/>
  <c r="BA32"/>
  <c r="AV33"/>
  <c r="U34"/>
  <c r="D36"/>
  <c r="BC36"/>
  <c r="AW37"/>
  <c r="K39"/>
  <c r="F40"/>
  <c r="BD40"/>
  <c r="R42"/>
  <c r="M43"/>
  <c r="G44"/>
  <c r="AT45"/>
  <c r="T46"/>
  <c r="N47"/>
  <c r="BA7"/>
  <c r="AF8"/>
  <c r="D9"/>
  <c r="BA9"/>
  <c r="AT10"/>
  <c r="R11"/>
  <c r="K12"/>
  <c r="D13"/>
  <c r="BA13"/>
  <c r="AT14"/>
  <c r="R15"/>
  <c r="K16"/>
  <c r="D17"/>
  <c r="BA17"/>
  <c r="AT18"/>
  <c r="R19"/>
  <c r="K20"/>
  <c r="D21"/>
  <c r="BA21"/>
  <c r="AT22"/>
  <c r="R23"/>
  <c r="K24"/>
  <c r="D25"/>
  <c r="BA25"/>
  <c r="AT26"/>
  <c r="R27"/>
  <c r="K28"/>
  <c r="D29"/>
  <c r="BA29"/>
  <c r="AT30"/>
  <c r="R31"/>
  <c r="K32"/>
  <c r="D33"/>
  <c r="BA33"/>
  <c r="AT34"/>
  <c r="R35"/>
  <c r="K36"/>
  <c r="D37"/>
  <c r="BA37"/>
  <c r="AT38"/>
  <c r="R39"/>
  <c r="K40"/>
  <c r="D41"/>
  <c r="BA41"/>
  <c r="AT42"/>
  <c r="R43"/>
  <c r="K44"/>
  <c r="D45"/>
  <c r="BA45"/>
  <c r="AT46"/>
  <c r="V7"/>
  <c r="AX20"/>
  <c r="O39"/>
  <c r="O13"/>
  <c r="V26"/>
  <c r="AX6"/>
  <c r="H14"/>
  <c r="BE20"/>
  <c r="V29"/>
  <c r="AX45"/>
  <c r="AX23"/>
  <c r="O10"/>
  <c r="AX29"/>
  <c r="V10"/>
  <c r="BE19"/>
  <c r="O29"/>
  <c r="V45"/>
  <c r="AX36"/>
  <c r="H46"/>
  <c r="AQ8"/>
  <c r="BE11"/>
  <c r="O15"/>
  <c r="O21"/>
  <c r="AX24"/>
  <c r="H28"/>
  <c r="H34"/>
  <c r="V37"/>
  <c r="BE40"/>
  <c r="BE46"/>
  <c r="O33"/>
  <c r="BE39"/>
  <c r="O6"/>
  <c r="AX9"/>
  <c r="AX15"/>
  <c r="H19"/>
  <c r="V22"/>
  <c r="V28"/>
  <c r="BE31"/>
  <c r="O35"/>
  <c r="O41"/>
  <c r="AX44"/>
  <c r="AJ8"/>
  <c r="V11"/>
  <c r="AX14"/>
  <c r="BE17"/>
  <c r="H21"/>
  <c r="O24"/>
  <c r="V27"/>
  <c r="AX30"/>
  <c r="BE33"/>
  <c r="H37"/>
  <c r="O40"/>
  <c r="V43"/>
  <c r="B76" i="35"/>
  <c r="H34" i="40" s="1"/>
  <c r="B75" i="35"/>
  <c r="H33" i="40" s="1"/>
  <c r="B46" i="34"/>
  <c r="H17" i="40" s="1"/>
  <c r="B45" i="34"/>
  <c r="H16" i="40" s="1"/>
  <c r="D159" i="35"/>
  <c r="A158" s="1"/>
  <c r="D120"/>
  <c r="X119"/>
  <c r="X120" s="1"/>
  <c r="W119"/>
  <c r="W120" s="1"/>
  <c r="V119"/>
  <c r="V120" s="1"/>
  <c r="U119"/>
  <c r="U120" s="1"/>
  <c r="T119"/>
  <c r="T120" s="1"/>
  <c r="S119"/>
  <c r="S120" s="1"/>
  <c r="R119"/>
  <c r="R120" s="1"/>
  <c r="Q119"/>
  <c r="Q120" s="1"/>
  <c r="P119"/>
  <c r="P120" s="1"/>
  <c r="O119"/>
  <c r="O120" s="1"/>
  <c r="N119"/>
  <c r="N120" s="1"/>
  <c r="M119"/>
  <c r="M120" s="1"/>
  <c r="L119"/>
  <c r="L120" s="1"/>
  <c r="K119"/>
  <c r="K120" s="1"/>
  <c r="J119"/>
  <c r="J120" s="1"/>
  <c r="I119"/>
  <c r="I120" s="1"/>
  <c r="H119"/>
  <c r="H120" s="1"/>
  <c r="G119"/>
  <c r="G120" s="1"/>
  <c r="F119"/>
  <c r="F120" s="1"/>
  <c r="E119"/>
  <c r="E120" s="1"/>
  <c r="D119"/>
  <c r="X82"/>
  <c r="X83" s="1"/>
  <c r="W82"/>
  <c r="W83" s="1"/>
  <c r="V82"/>
  <c r="V83" s="1"/>
  <c r="U82"/>
  <c r="U83" s="1"/>
  <c r="T82"/>
  <c r="T83" s="1"/>
  <c r="S82"/>
  <c r="S83" s="1"/>
  <c r="R82"/>
  <c r="R83" s="1"/>
  <c r="Q82"/>
  <c r="Q83" s="1"/>
  <c r="P82"/>
  <c r="P83" s="1"/>
  <c r="O82"/>
  <c r="O83" s="1"/>
  <c r="N82"/>
  <c r="N83" s="1"/>
  <c r="M82"/>
  <c r="M83" s="1"/>
  <c r="L82"/>
  <c r="L83" s="1"/>
  <c r="K82"/>
  <c r="K83" s="1"/>
  <c r="J82"/>
  <c r="J83" s="1"/>
  <c r="I82"/>
  <c r="I83" s="1"/>
  <c r="H82"/>
  <c r="H83" s="1"/>
  <c r="G82"/>
  <c r="G83" s="1"/>
  <c r="F82"/>
  <c r="F83" s="1"/>
  <c r="E82"/>
  <c r="E83" s="1"/>
  <c r="C76"/>
  <c r="C75"/>
  <c r="C74"/>
  <c r="B74"/>
  <c r="H32" i="40" s="1"/>
  <c r="C73" i="35"/>
  <c r="B73"/>
  <c r="H31" i="40" s="1"/>
  <c r="X71" i="35"/>
  <c r="X72" s="1"/>
  <c r="W71"/>
  <c r="W72" s="1"/>
  <c r="V71"/>
  <c r="V72" s="1"/>
  <c r="U71"/>
  <c r="U72" s="1"/>
  <c r="T71"/>
  <c r="T72" s="1"/>
  <c r="S71"/>
  <c r="S72" s="1"/>
  <c r="R71"/>
  <c r="R72" s="1"/>
  <c r="Q71"/>
  <c r="Q72" s="1"/>
  <c r="P71"/>
  <c r="P72" s="1"/>
  <c r="O71"/>
  <c r="O72" s="1"/>
  <c r="N71"/>
  <c r="N72" s="1"/>
  <c r="M71"/>
  <c r="M72" s="1"/>
  <c r="L71"/>
  <c r="L72" s="1"/>
  <c r="K71"/>
  <c r="K72" s="1"/>
  <c r="J71"/>
  <c r="J72" s="1"/>
  <c r="I71"/>
  <c r="I72" s="1"/>
  <c r="H71"/>
  <c r="H72" s="1"/>
  <c r="G71"/>
  <c r="G72" s="1"/>
  <c r="F71"/>
  <c r="F72" s="1"/>
  <c r="E71"/>
  <c r="E72" s="1"/>
  <c r="D50"/>
  <c r="D46"/>
  <c r="D45"/>
  <c r="D44"/>
  <c r="D43"/>
  <c r="D42"/>
  <c r="C36"/>
  <c r="C35"/>
  <c r="C34"/>
  <c r="C33"/>
  <c r="C26"/>
  <c r="D63" s="1"/>
  <c r="C25"/>
  <c r="D62" s="1"/>
  <c r="C24"/>
  <c r="D61" s="1"/>
  <c r="C23"/>
  <c r="D60" s="1"/>
  <c r="X12"/>
  <c r="W12"/>
  <c r="V12"/>
  <c r="U12"/>
  <c r="T12"/>
  <c r="S12"/>
  <c r="R12"/>
  <c r="Q12"/>
  <c r="P12"/>
  <c r="O12"/>
  <c r="N12"/>
  <c r="M12"/>
  <c r="L12"/>
  <c r="K12"/>
  <c r="J12"/>
  <c r="I12"/>
  <c r="H12"/>
  <c r="G12"/>
  <c r="F12"/>
  <c r="E12"/>
  <c r="C139" i="34"/>
  <c r="C138"/>
  <c r="C137"/>
  <c r="C136"/>
  <c r="C91"/>
  <c r="X90"/>
  <c r="W90"/>
  <c r="V90"/>
  <c r="U90"/>
  <c r="T90"/>
  <c r="S90"/>
  <c r="R90"/>
  <c r="Q90"/>
  <c r="P90"/>
  <c r="O90"/>
  <c r="N90"/>
  <c r="M90"/>
  <c r="L90"/>
  <c r="K90"/>
  <c r="J90"/>
  <c r="I90"/>
  <c r="H90"/>
  <c r="G90"/>
  <c r="F90"/>
  <c r="E90"/>
  <c r="X53"/>
  <c r="W53"/>
  <c r="V53"/>
  <c r="U53"/>
  <c r="T53"/>
  <c r="S53"/>
  <c r="R53"/>
  <c r="Q53"/>
  <c r="P53"/>
  <c r="O53"/>
  <c r="N53"/>
  <c r="M53"/>
  <c r="L53"/>
  <c r="K53"/>
  <c r="J53"/>
  <c r="I53"/>
  <c r="H53"/>
  <c r="G53"/>
  <c r="F53"/>
  <c r="E53"/>
  <c r="C47"/>
  <c r="B47"/>
  <c r="H18" i="40" s="1"/>
  <c r="C46" i="34"/>
  <c r="C45"/>
  <c r="C44"/>
  <c r="B44"/>
  <c r="H15" i="40" s="1"/>
  <c r="X42" i="34"/>
  <c r="W42"/>
  <c r="V42"/>
  <c r="U42"/>
  <c r="T42"/>
  <c r="S42"/>
  <c r="R42"/>
  <c r="Q42"/>
  <c r="P42"/>
  <c r="O42"/>
  <c r="N42"/>
  <c r="M42"/>
  <c r="L42"/>
  <c r="K42"/>
  <c r="J42"/>
  <c r="I42"/>
  <c r="H42"/>
  <c r="G42"/>
  <c r="F42"/>
  <c r="E42"/>
  <c r="C41"/>
  <c r="C36"/>
  <c r="C32"/>
  <c r="C25"/>
  <c r="C24"/>
  <c r="C23"/>
  <c r="C33" s="1"/>
  <c r="C22"/>
  <c r="A11"/>
  <c r="B82" i="7"/>
  <c r="H20" i="40" s="1"/>
  <c r="B83" i="7"/>
  <c r="H21" i="40" s="1"/>
  <c r="B84" i="7"/>
  <c r="H22" i="40" s="1"/>
  <c r="B85" i="7"/>
  <c r="H23" i="40" s="1"/>
  <c r="B86" i="7"/>
  <c r="H24" i="40" s="1"/>
  <c r="B87" i="7"/>
  <c r="H25" i="40" s="1"/>
  <c r="B88" i="7"/>
  <c r="H26" i="40" s="1"/>
  <c r="B89" i="7"/>
  <c r="H27" i="40" s="1"/>
  <c r="B90" i="7"/>
  <c r="H28" i="40" s="1"/>
  <c r="B91" i="7"/>
  <c r="H29" i="40" s="1"/>
  <c r="B92" i="7"/>
  <c r="H30" i="40" s="1"/>
  <c r="B81" i="7"/>
  <c r="H19" i="40" s="1"/>
  <c r="C90" i="7"/>
  <c r="C87"/>
  <c r="C84"/>
  <c r="B45" i="6"/>
  <c r="H4" i="40" s="1"/>
  <c r="B46" i="6"/>
  <c r="H5" i="40" s="1"/>
  <c r="B47" i="6"/>
  <c r="H6" i="40" s="1"/>
  <c r="B48" i="6"/>
  <c r="H7" i="40" s="1"/>
  <c r="B49" i="6"/>
  <c r="H8" i="40" s="1"/>
  <c r="B50" i="6"/>
  <c r="H9" i="40" s="1"/>
  <c r="B51" i="6"/>
  <c r="H10" i="40" s="1"/>
  <c r="B52" i="6"/>
  <c r="H11" i="40" s="1"/>
  <c r="B53" i="6"/>
  <c r="H12" i="40" s="1"/>
  <c r="B54" i="6"/>
  <c r="H13" i="40" s="1"/>
  <c r="B55" i="6"/>
  <c r="H14" i="40" s="1"/>
  <c r="B44" i="6"/>
  <c r="H3" i="40" s="1"/>
  <c r="C55" i="6"/>
  <c r="C54"/>
  <c r="C53"/>
  <c r="C50"/>
  <c r="C51" s="1"/>
  <c r="C48"/>
  <c r="C47"/>
  <c r="C49" s="1"/>
  <c r="A10" i="3"/>
  <c r="A13"/>
  <c r="A14"/>
  <c r="A8"/>
  <c r="B8"/>
  <c r="B11"/>
  <c r="B14"/>
  <c r="B9"/>
  <c r="B10"/>
  <c r="B12"/>
  <c r="B13"/>
  <c r="B15"/>
  <c r="A15"/>
  <c r="A12"/>
  <c r="A11"/>
  <c r="A9"/>
  <c r="J10" i="2"/>
  <c r="J40" s="1"/>
  <c r="H11" i="3" s="1"/>
  <c r="Q9" i="17"/>
  <c r="Q8" i="2" s="1"/>
  <c r="Q38" s="1"/>
  <c r="Q10" i="17"/>
  <c r="Q9" i="2" s="1"/>
  <c r="Q11" i="17"/>
  <c r="Q12"/>
  <c r="Q10" i="2" s="1"/>
  <c r="Q40" s="1"/>
  <c r="Q13" i="17"/>
  <c r="Q14"/>
  <c r="Q15"/>
  <c r="Q16"/>
  <c r="Q17"/>
  <c r="Q8"/>
  <c r="Q7" i="2" s="1"/>
  <c r="Q37" s="1"/>
  <c r="H8" i="17"/>
  <c r="H7" i="2" s="1"/>
  <c r="H37" s="1"/>
  <c r="F8" i="3" s="1"/>
  <c r="I8" i="17"/>
  <c r="I7" i="2" s="1"/>
  <c r="I37" s="1"/>
  <c r="J8" i="17"/>
  <c r="J7" i="2" s="1"/>
  <c r="J37" s="1"/>
  <c r="H8" i="3" s="1"/>
  <c r="K8" i="17"/>
  <c r="K7" i="2" s="1"/>
  <c r="K37" s="1"/>
  <c r="I8" i="3" s="1"/>
  <c r="L8" i="17"/>
  <c r="L7" i="2" s="1"/>
  <c r="L37" s="1"/>
  <c r="J8" i="3" s="1"/>
  <c r="M8" i="17"/>
  <c r="M7" i="2" s="1"/>
  <c r="M37" s="1"/>
  <c r="K8" i="3" s="1"/>
  <c r="N8" i="17"/>
  <c r="N7" i="2" s="1"/>
  <c r="N37" s="1"/>
  <c r="L8" i="3" s="1"/>
  <c r="O8" i="17"/>
  <c r="O7" i="2" s="1"/>
  <c r="O37" s="1"/>
  <c r="M8" i="3" s="1"/>
  <c r="P8" i="17"/>
  <c r="P7" i="2" s="1"/>
  <c r="P37" s="1"/>
  <c r="N8" i="3" s="1"/>
  <c r="R8" i="17"/>
  <c r="R7" i="2" s="1"/>
  <c r="R37" s="1"/>
  <c r="H9" i="17"/>
  <c r="H8" i="2" s="1"/>
  <c r="I9" i="17"/>
  <c r="I8" i="2" s="1"/>
  <c r="I38" s="1"/>
  <c r="J9" i="17"/>
  <c r="J8" i="2" s="1"/>
  <c r="J38" s="1"/>
  <c r="H9" i="3" s="1"/>
  <c r="K9" i="17"/>
  <c r="K8" i="2" s="1"/>
  <c r="K38" s="1"/>
  <c r="I9" i="3" s="1"/>
  <c r="L9" i="17"/>
  <c r="L8" i="2" s="1"/>
  <c r="L38" s="1"/>
  <c r="J9" i="3" s="1"/>
  <c r="M9" i="17"/>
  <c r="M8" i="2" s="1"/>
  <c r="M38" s="1"/>
  <c r="K9" i="3" s="1"/>
  <c r="N9" i="17"/>
  <c r="N8" i="2" s="1"/>
  <c r="N38" s="1"/>
  <c r="L9" i="3" s="1"/>
  <c r="O9" i="17"/>
  <c r="O8" i="2" s="1"/>
  <c r="O38" s="1"/>
  <c r="M9" i="3" s="1"/>
  <c r="P9" i="17"/>
  <c r="P8" i="2" s="1"/>
  <c r="P38" s="1"/>
  <c r="N9" i="3" s="1"/>
  <c r="R9" i="17"/>
  <c r="R8" i="2" s="1"/>
  <c r="R38" s="1"/>
  <c r="H10" i="17"/>
  <c r="H9" i="2" s="1"/>
  <c r="I10" i="17"/>
  <c r="I9" i="2" s="1"/>
  <c r="I39" s="1"/>
  <c r="J10" i="17"/>
  <c r="J9" i="2" s="1"/>
  <c r="K10" i="17"/>
  <c r="K9" i="2" s="1"/>
  <c r="L10" i="17"/>
  <c r="L9" i="2" s="1"/>
  <c r="M10" i="17"/>
  <c r="M9" i="2" s="1"/>
  <c r="N10" i="17"/>
  <c r="N9" i="2" s="1"/>
  <c r="O10" i="17"/>
  <c r="O9" i="2" s="1"/>
  <c r="P10" i="17"/>
  <c r="P9" i="2" s="1"/>
  <c r="R10" i="17"/>
  <c r="R9" i="2" s="1"/>
  <c r="R39" s="1"/>
  <c r="H11" i="17"/>
  <c r="I11"/>
  <c r="J11"/>
  <c r="K11"/>
  <c r="L11"/>
  <c r="M11"/>
  <c r="N11"/>
  <c r="O11"/>
  <c r="P11"/>
  <c r="R11"/>
  <c r="H12"/>
  <c r="H10" i="2" s="1"/>
  <c r="H40" s="1"/>
  <c r="F11" i="3" s="1"/>
  <c r="I12" i="17"/>
  <c r="I10" i="2" s="1"/>
  <c r="I40" s="1"/>
  <c r="J12" i="17"/>
  <c r="K12"/>
  <c r="K10" i="2" s="1"/>
  <c r="K40" s="1"/>
  <c r="I11" i="3" s="1"/>
  <c r="L12" i="17"/>
  <c r="L10" i="2" s="1"/>
  <c r="L40" s="1"/>
  <c r="J11" i="3" s="1"/>
  <c r="M12" i="17"/>
  <c r="M10" i="2" s="1"/>
  <c r="M40" s="1"/>
  <c r="K11" i="3" s="1"/>
  <c r="N12" i="17"/>
  <c r="N10" i="2" s="1"/>
  <c r="N40" s="1"/>
  <c r="L11" i="3" s="1"/>
  <c r="O12" i="17"/>
  <c r="O10" i="2" s="1"/>
  <c r="O40" s="1"/>
  <c r="M11" i="3" s="1"/>
  <c r="P12" i="17"/>
  <c r="P10" i="2" s="1"/>
  <c r="P40" s="1"/>
  <c r="N11" i="3" s="1"/>
  <c r="R12" i="17"/>
  <c r="R10" i="2" s="1"/>
  <c r="R40" s="1"/>
  <c r="H13" i="17"/>
  <c r="I13"/>
  <c r="J13"/>
  <c r="K13"/>
  <c r="L13"/>
  <c r="M13"/>
  <c r="N13"/>
  <c r="O13"/>
  <c r="P13"/>
  <c r="R13"/>
  <c r="H14"/>
  <c r="I14"/>
  <c r="J14"/>
  <c r="K14"/>
  <c r="L14"/>
  <c r="M14"/>
  <c r="N14"/>
  <c r="O14"/>
  <c r="P14"/>
  <c r="R14"/>
  <c r="H15"/>
  <c r="I15"/>
  <c r="J15"/>
  <c r="K15"/>
  <c r="L15"/>
  <c r="M15"/>
  <c r="N15"/>
  <c r="O15"/>
  <c r="P15"/>
  <c r="R15"/>
  <c r="H16"/>
  <c r="I16"/>
  <c r="J16"/>
  <c r="K16"/>
  <c r="L16"/>
  <c r="M16"/>
  <c r="N16"/>
  <c r="O16"/>
  <c r="P16"/>
  <c r="R16"/>
  <c r="H17"/>
  <c r="I17"/>
  <c r="J17"/>
  <c r="K17"/>
  <c r="L17"/>
  <c r="M17"/>
  <c r="N17"/>
  <c r="O17"/>
  <c r="P17"/>
  <c r="R17"/>
  <c r="G18"/>
  <c r="G11" i="2" s="1"/>
  <c r="G41" s="1"/>
  <c r="E12" i="3" s="1"/>
  <c r="H18" i="17"/>
  <c r="H11" i="2" s="1"/>
  <c r="H41" s="1"/>
  <c r="F12" i="3" s="1"/>
  <c r="I18" i="17"/>
  <c r="I11" i="2" s="1"/>
  <c r="I41" s="1"/>
  <c r="J18" i="17"/>
  <c r="J11" i="2" s="1"/>
  <c r="J41" s="1"/>
  <c r="H12" i="3" s="1"/>
  <c r="K18" i="17"/>
  <c r="K11" i="2" s="1"/>
  <c r="K41" s="1"/>
  <c r="I12" i="3" s="1"/>
  <c r="L18" i="17"/>
  <c r="L11" i="2" s="1"/>
  <c r="L41" s="1"/>
  <c r="J12" i="3" s="1"/>
  <c r="M18" i="17"/>
  <c r="M11" i="2" s="1"/>
  <c r="M41" s="1"/>
  <c r="K12" i="3" s="1"/>
  <c r="N18" i="17"/>
  <c r="N11" i="2" s="1"/>
  <c r="N41" s="1"/>
  <c r="L12" i="3" s="1"/>
  <c r="O18" i="17"/>
  <c r="O11" i="2" s="1"/>
  <c r="O41" s="1"/>
  <c r="M12" i="3" s="1"/>
  <c r="P18" i="17"/>
  <c r="P11" i="2" s="1"/>
  <c r="P41" s="1"/>
  <c r="N12" i="3" s="1"/>
  <c r="R18" i="17"/>
  <c r="R11" i="2" s="1"/>
  <c r="R41" s="1"/>
  <c r="G19" i="17"/>
  <c r="G12" i="2" s="1"/>
  <c r="H19" i="17"/>
  <c r="H12" i="2" s="1"/>
  <c r="I19" i="17"/>
  <c r="I12" i="2" s="1"/>
  <c r="I42" s="1"/>
  <c r="J19" i="17"/>
  <c r="J12" i="2" s="1"/>
  <c r="J42" s="1"/>
  <c r="H13" i="3" s="1"/>
  <c r="K19" i="17"/>
  <c r="K12" i="2" s="1"/>
  <c r="K42" s="1"/>
  <c r="I13" i="3" s="1"/>
  <c r="L19" i="17"/>
  <c r="L12" i="2" s="1"/>
  <c r="L42" s="1"/>
  <c r="J13" i="3" s="1"/>
  <c r="M19" i="17"/>
  <c r="M12" i="2" s="1"/>
  <c r="M42" s="1"/>
  <c r="K13" i="3" s="1"/>
  <c r="N19" i="17"/>
  <c r="N12" i="2" s="1"/>
  <c r="N42" s="1"/>
  <c r="L13" i="3" s="1"/>
  <c r="O19" i="17"/>
  <c r="O12" i="2" s="1"/>
  <c r="O42" s="1"/>
  <c r="M13" i="3" s="1"/>
  <c r="P19" i="17"/>
  <c r="P12" i="2" s="1"/>
  <c r="P42" s="1"/>
  <c r="N13" i="3" s="1"/>
  <c r="R19" i="17"/>
  <c r="R12" i="2" s="1"/>
  <c r="R42" s="1"/>
  <c r="G20" i="17"/>
  <c r="G13" i="2" s="1"/>
  <c r="H20" i="17"/>
  <c r="H13" i="2" s="1"/>
  <c r="I20" i="17"/>
  <c r="I13" i="2" s="1"/>
  <c r="I43" s="1"/>
  <c r="J20" i="17"/>
  <c r="J13" i="2" s="1"/>
  <c r="K20" i="17"/>
  <c r="K13" i="2" s="1"/>
  <c r="L20" i="17"/>
  <c r="L13" i="2" s="1"/>
  <c r="M20" i="17"/>
  <c r="M13" i="2" s="1"/>
  <c r="N20" i="17"/>
  <c r="N13" i="2" s="1"/>
  <c r="O20" i="17"/>
  <c r="O13" i="2" s="1"/>
  <c r="P20" i="17"/>
  <c r="P13" i="2" s="1"/>
  <c r="R20" i="17"/>
  <c r="R13" i="2" s="1"/>
  <c r="R43" s="1"/>
  <c r="G21" i="17"/>
  <c r="H21"/>
  <c r="I21"/>
  <c r="J21"/>
  <c r="K21"/>
  <c r="L21"/>
  <c r="M21"/>
  <c r="N21"/>
  <c r="O21"/>
  <c r="P21"/>
  <c r="R21"/>
  <c r="G22"/>
  <c r="G14" i="2" s="1"/>
  <c r="G44" s="1"/>
  <c r="E15" i="3" s="1"/>
  <c r="H22" i="17"/>
  <c r="H14" i="2" s="1"/>
  <c r="H44" s="1"/>
  <c r="F15" i="3" s="1"/>
  <c r="I22" i="17"/>
  <c r="I14" i="2" s="1"/>
  <c r="I44" s="1"/>
  <c r="J22" i="17"/>
  <c r="J14" i="2" s="1"/>
  <c r="J44" s="1"/>
  <c r="H15" i="3" s="1"/>
  <c r="K22" i="17"/>
  <c r="K14" i="2" s="1"/>
  <c r="K44" s="1"/>
  <c r="I15" i="3" s="1"/>
  <c r="L22" i="17"/>
  <c r="L14" i="2" s="1"/>
  <c r="L44" s="1"/>
  <c r="J15" i="3" s="1"/>
  <c r="M22" i="17"/>
  <c r="M14" i="2" s="1"/>
  <c r="M44" s="1"/>
  <c r="K15" i="3" s="1"/>
  <c r="N22" i="17"/>
  <c r="N14" i="2" s="1"/>
  <c r="N44" s="1"/>
  <c r="L15" i="3" s="1"/>
  <c r="O22" i="17"/>
  <c r="O14" i="2" s="1"/>
  <c r="O44" s="1"/>
  <c r="M15" i="3" s="1"/>
  <c r="P22" i="17"/>
  <c r="P14" i="2" s="1"/>
  <c r="P44" s="1"/>
  <c r="N15" i="3" s="1"/>
  <c r="R22" i="17"/>
  <c r="R14" i="2" s="1"/>
  <c r="R44" s="1"/>
  <c r="G23" i="17"/>
  <c r="H23"/>
  <c r="I23"/>
  <c r="J23"/>
  <c r="K23"/>
  <c r="L23"/>
  <c r="M23"/>
  <c r="N23"/>
  <c r="O23"/>
  <c r="P23"/>
  <c r="R23"/>
  <c r="G24"/>
  <c r="H24"/>
  <c r="I24"/>
  <c r="J24"/>
  <c r="K24"/>
  <c r="L24"/>
  <c r="M24"/>
  <c r="N24"/>
  <c r="O24"/>
  <c r="P24"/>
  <c r="R24"/>
  <c r="G25"/>
  <c r="H25"/>
  <c r="I25"/>
  <c r="J25"/>
  <c r="K25"/>
  <c r="L25"/>
  <c r="M25"/>
  <c r="N25"/>
  <c r="O25"/>
  <c r="P25"/>
  <c r="R25"/>
  <c r="G26"/>
  <c r="H26"/>
  <c r="I26"/>
  <c r="J26"/>
  <c r="K26"/>
  <c r="L26"/>
  <c r="M26"/>
  <c r="N26"/>
  <c r="O26"/>
  <c r="P26"/>
  <c r="R26"/>
  <c r="G27"/>
  <c r="H27"/>
  <c r="I27"/>
  <c r="J27"/>
  <c r="K27"/>
  <c r="L27"/>
  <c r="M27"/>
  <c r="N27"/>
  <c r="O27"/>
  <c r="P27"/>
  <c r="R27"/>
  <c r="D8"/>
  <c r="D7" i="2" s="1"/>
  <c r="D9" i="17"/>
  <c r="D8" i="2" s="1"/>
  <c r="D10" i="17"/>
  <c r="D9" i="2" s="1"/>
  <c r="D11" i="17"/>
  <c r="D12"/>
  <c r="D10" i="2" s="1"/>
  <c r="D13" i="17"/>
  <c r="D14"/>
  <c r="D15"/>
  <c r="D16"/>
  <c r="D17"/>
  <c r="D18"/>
  <c r="D11" i="2" s="1"/>
  <c r="D19" i="17"/>
  <c r="D12" i="2" s="1"/>
  <c r="D20" i="17"/>
  <c r="D13" i="2" s="1"/>
  <c r="D21" i="17"/>
  <c r="D22"/>
  <c r="D14" i="2" s="1"/>
  <c r="D23" i="17"/>
  <c r="D24"/>
  <c r="D25"/>
  <c r="D26"/>
  <c r="D27"/>
  <c r="C23"/>
  <c r="C24"/>
  <c r="C25"/>
  <c r="C26"/>
  <c r="C27"/>
  <c r="C9"/>
  <c r="C8" i="2" s="1"/>
  <c r="C10" i="17"/>
  <c r="C9" i="2" s="1"/>
  <c r="C11" i="17"/>
  <c r="C12"/>
  <c r="C10" i="2" s="1"/>
  <c r="C13" i="17"/>
  <c r="C14"/>
  <c r="C15"/>
  <c r="C16"/>
  <c r="C17"/>
  <c r="C18"/>
  <c r="C11" i="2" s="1"/>
  <c r="C19" i="17"/>
  <c r="C12" i="2" s="1"/>
  <c r="C20" i="17"/>
  <c r="C13" i="2" s="1"/>
  <c r="C21" i="17"/>
  <c r="C22"/>
  <c r="C14" i="2" s="1"/>
  <c r="C8" i="17"/>
  <c r="C7" i="2" s="1"/>
  <c r="C46" i="35" l="1"/>
  <c r="W59"/>
  <c r="S59"/>
  <c r="O59"/>
  <c r="K59"/>
  <c r="G59"/>
  <c r="U59"/>
  <c r="M59"/>
  <c r="V59"/>
  <c r="N59"/>
  <c r="J59"/>
  <c r="X59"/>
  <c r="T59"/>
  <c r="P59"/>
  <c r="L59"/>
  <c r="H59"/>
  <c r="Q59"/>
  <c r="I59"/>
  <c r="E59"/>
  <c r="R59"/>
  <c r="F59"/>
  <c r="C52"/>
  <c r="C53"/>
  <c r="C54"/>
  <c r="C51"/>
  <c r="A26" i="34"/>
  <c r="A25"/>
  <c r="A24"/>
  <c r="W32"/>
  <c r="S32"/>
  <c r="O32"/>
  <c r="K32"/>
  <c r="G32"/>
  <c r="V32"/>
  <c r="R32"/>
  <c r="N32"/>
  <c r="J32"/>
  <c r="F32"/>
  <c r="X32"/>
  <c r="T32"/>
  <c r="P32"/>
  <c r="L32"/>
  <c r="H32"/>
  <c r="U32"/>
  <c r="Q32"/>
  <c r="M32"/>
  <c r="I32"/>
  <c r="E32"/>
  <c r="I25" i="29"/>
  <c r="P25" s="1"/>
  <c r="C50" i="26"/>
  <c r="D50"/>
  <c r="C70"/>
  <c r="I70" s="1"/>
  <c r="D70"/>
  <c r="C72"/>
  <c r="I72" s="1"/>
  <c r="D72"/>
  <c r="D53"/>
  <c r="C53"/>
  <c r="D34"/>
  <c r="C34"/>
  <c r="I34" s="1"/>
  <c r="D31"/>
  <c r="C31"/>
  <c r="I31" s="1"/>
  <c r="C51"/>
  <c r="D51"/>
  <c r="D32"/>
  <c r="C32"/>
  <c r="I32" s="1"/>
  <c r="D30"/>
  <c r="C30"/>
  <c r="I30" s="1"/>
  <c r="C74"/>
  <c r="I74" s="1"/>
  <c r="D74"/>
  <c r="C54"/>
  <c r="D54"/>
  <c r="C73"/>
  <c r="I73" s="1"/>
  <c r="D73"/>
  <c r="D33"/>
  <c r="C33"/>
  <c r="I33" s="1"/>
  <c r="C52"/>
  <c r="D52"/>
  <c r="C71"/>
  <c r="I71" s="1"/>
  <c r="D71"/>
  <c r="BH45" i="29"/>
  <c r="I16"/>
  <c r="AY16" s="1"/>
  <c r="I13"/>
  <c r="P13" s="1"/>
  <c r="I43"/>
  <c r="W43" s="1"/>
  <c r="AD43" s="1"/>
  <c r="I33"/>
  <c r="BF33" s="1"/>
  <c r="I17"/>
  <c r="W17" s="1"/>
  <c r="AD17" s="1"/>
  <c r="I36"/>
  <c r="BF36" s="1"/>
  <c r="I30"/>
  <c r="AY30" s="1"/>
  <c r="AP45"/>
  <c r="I19"/>
  <c r="AY19" s="1"/>
  <c r="I18"/>
  <c r="W18" s="1"/>
  <c r="I22"/>
  <c r="AY22" s="1"/>
  <c r="I8"/>
  <c r="BF8" s="1"/>
  <c r="I31"/>
  <c r="AY31" s="1"/>
  <c r="I41"/>
  <c r="AY41" s="1"/>
  <c r="I29"/>
  <c r="AY29" s="1"/>
  <c r="I15"/>
  <c r="AY15" s="1"/>
  <c r="I27"/>
  <c r="AY27" s="1"/>
  <c r="BH28"/>
  <c r="BJ28"/>
  <c r="I23"/>
  <c r="BH35"/>
  <c r="BL45"/>
  <c r="I35"/>
  <c r="I12"/>
  <c r="I34"/>
  <c r="AQ6"/>
  <c r="I37"/>
  <c r="I21"/>
  <c r="I20"/>
  <c r="I14"/>
  <c r="AP6"/>
  <c r="I24"/>
  <c r="AO6"/>
  <c r="BJ45"/>
  <c r="AO45"/>
  <c r="BK28"/>
  <c r="I40"/>
  <c r="BL28"/>
  <c r="BJ35"/>
  <c r="AM45"/>
  <c r="I10"/>
  <c r="BK45"/>
  <c r="I44"/>
  <c r="BI6"/>
  <c r="I11"/>
  <c r="I7"/>
  <c r="BH6"/>
  <c r="I47"/>
  <c r="AN6"/>
  <c r="BI35"/>
  <c r="AQ35"/>
  <c r="BL6"/>
  <c r="AM28"/>
  <c r="I9"/>
  <c r="AM35"/>
  <c r="AO28"/>
  <c r="BJ6"/>
  <c r="BI45"/>
  <c r="AP28"/>
  <c r="AN28"/>
  <c r="BK6"/>
  <c r="I26"/>
  <c r="AO35"/>
  <c r="AP35"/>
  <c r="AM6"/>
  <c r="W29"/>
  <c r="AD29" s="1"/>
  <c r="P29"/>
  <c r="BF43"/>
  <c r="AY43"/>
  <c r="I45"/>
  <c r="I32"/>
  <c r="AQ28"/>
  <c r="AQ45"/>
  <c r="I42"/>
  <c r="AN45"/>
  <c r="I38"/>
  <c r="I28"/>
  <c r="BK35"/>
  <c r="I6"/>
  <c r="BI28"/>
  <c r="I39"/>
  <c r="AN35"/>
  <c r="BL35"/>
  <c r="I46"/>
  <c r="Y102" i="7"/>
  <c r="Y106"/>
  <c r="Y110"/>
  <c r="Y114"/>
  <c r="Y105"/>
  <c r="Y113"/>
  <c r="Y112"/>
  <c r="Y103"/>
  <c r="Y107"/>
  <c r="Y111"/>
  <c r="Y100"/>
  <c r="Y137" s="1"/>
  <c r="Y101"/>
  <c r="Y109"/>
  <c r="Y104"/>
  <c r="Y108"/>
  <c r="E63" i="6"/>
  <c r="Y76"/>
  <c r="Y74"/>
  <c r="Y72"/>
  <c r="Y70"/>
  <c r="Y68"/>
  <c r="X66"/>
  <c r="X64"/>
  <c r="X77"/>
  <c r="X71"/>
  <c r="X67"/>
  <c r="Y64"/>
  <c r="Y77"/>
  <c r="Y66"/>
  <c r="X76"/>
  <c r="X74"/>
  <c r="X72"/>
  <c r="X70"/>
  <c r="X68"/>
  <c r="Y65"/>
  <c r="Y102" s="1"/>
  <c r="Y63"/>
  <c r="Y100" s="1"/>
  <c r="X75"/>
  <c r="X73"/>
  <c r="X69"/>
  <c r="Y75"/>
  <c r="Y73"/>
  <c r="Y71"/>
  <c r="Y69"/>
  <c r="Y67"/>
  <c r="X65"/>
  <c r="X63"/>
  <c r="Y87" i="35"/>
  <c r="Y91"/>
  <c r="Y95"/>
  <c r="Y84"/>
  <c r="Y121" s="1"/>
  <c r="Y86"/>
  <c r="Y94"/>
  <c r="Y89"/>
  <c r="Y88"/>
  <c r="Y92"/>
  <c r="Y96"/>
  <c r="Y90"/>
  <c r="Y85"/>
  <c r="Y122" s="1"/>
  <c r="Y93"/>
  <c r="X66" i="34"/>
  <c r="X62"/>
  <c r="X58"/>
  <c r="X63"/>
  <c r="X59"/>
  <c r="X60"/>
  <c r="X65"/>
  <c r="X61"/>
  <c r="X57"/>
  <c r="X67"/>
  <c r="X55"/>
  <c r="X64"/>
  <c r="X56"/>
  <c r="M43" i="2"/>
  <c r="K14" i="3" s="1"/>
  <c r="H42" i="2"/>
  <c r="F13" i="3" s="1"/>
  <c r="P43" i="2"/>
  <c r="N14" i="3" s="1"/>
  <c r="L43" i="2"/>
  <c r="J14" i="3" s="1"/>
  <c r="F14"/>
  <c r="H43" i="2"/>
  <c r="G42"/>
  <c r="E13" i="3" s="1"/>
  <c r="O43" i="2"/>
  <c r="M14" i="3" s="1"/>
  <c r="E14"/>
  <c r="G43" i="2"/>
  <c r="P39"/>
  <c r="N10" i="3" s="1"/>
  <c r="L39" i="2"/>
  <c r="J10" i="3" s="1"/>
  <c r="H39" i="2"/>
  <c r="F10" i="3" s="1"/>
  <c r="K43" i="2"/>
  <c r="I14" i="3" s="1"/>
  <c r="N39" i="2"/>
  <c r="L10" i="3" s="1"/>
  <c r="J39" i="2"/>
  <c r="H10" i="3" s="1"/>
  <c r="M39" i="2"/>
  <c r="K10" i="3" s="1"/>
  <c r="N43" i="2"/>
  <c r="L14" i="3" s="1"/>
  <c r="K39" i="2"/>
  <c r="I10" i="3" s="1"/>
  <c r="H38" i="2"/>
  <c r="F9" i="3" s="1"/>
  <c r="O39" i="2"/>
  <c r="M10" i="3" s="1"/>
  <c r="J43" i="2"/>
  <c r="H14" i="3" s="1"/>
  <c r="C88" i="7"/>
  <c r="C91"/>
  <c r="C85"/>
  <c r="A43" i="35"/>
  <c r="A44"/>
  <c r="A46"/>
  <c r="A45"/>
  <c r="A23" i="34"/>
  <c r="C43" i="35"/>
  <c r="E25" s="1"/>
  <c r="C45"/>
  <c r="C86" i="7"/>
  <c r="C89"/>
  <c r="C52" i="6"/>
  <c r="C92" i="7"/>
  <c r="D54" i="35"/>
  <c r="A54" s="1"/>
  <c r="C44"/>
  <c r="D52"/>
  <c r="A52" s="1"/>
  <c r="A21" i="34"/>
  <c r="C34"/>
  <c r="F86" i="35"/>
  <c r="K85"/>
  <c r="M91"/>
  <c r="N93"/>
  <c r="V86"/>
  <c r="X90"/>
  <c r="X92"/>
  <c r="A31" i="34"/>
  <c r="H92" i="35"/>
  <c r="P84"/>
  <c r="P121" s="1"/>
  <c r="T96"/>
  <c r="K84"/>
  <c r="K121" s="1"/>
  <c r="L86"/>
  <c r="L88"/>
  <c r="M90"/>
  <c r="N92"/>
  <c r="N94"/>
  <c r="O96"/>
  <c r="R90"/>
  <c r="L87"/>
  <c r="M89"/>
  <c r="O95"/>
  <c r="V84"/>
  <c r="V121" s="1"/>
  <c r="W88"/>
  <c r="V85"/>
  <c r="W87"/>
  <c r="W89"/>
  <c r="X91"/>
  <c r="D53"/>
  <c r="A53" s="1"/>
  <c r="J95"/>
  <c r="J91"/>
  <c r="J87"/>
  <c r="J90"/>
  <c r="J89"/>
  <c r="J88"/>
  <c r="J85"/>
  <c r="J84"/>
  <c r="J121" s="1"/>
  <c r="J86"/>
  <c r="N95"/>
  <c r="N91"/>
  <c r="N87"/>
  <c r="N86"/>
  <c r="N85"/>
  <c r="N84"/>
  <c r="N121" s="1"/>
  <c r="N96"/>
  <c r="V95"/>
  <c r="V91"/>
  <c r="V87"/>
  <c r="V94"/>
  <c r="V93"/>
  <c r="V92"/>
  <c r="V90"/>
  <c r="V89"/>
  <c r="V88"/>
  <c r="E96"/>
  <c r="E92"/>
  <c r="E88"/>
  <c r="E84"/>
  <c r="E121" s="1"/>
  <c r="W96"/>
  <c r="G96"/>
  <c r="W95"/>
  <c r="G95"/>
  <c r="K93"/>
  <c r="K92"/>
  <c r="K91"/>
  <c r="E91"/>
  <c r="E90"/>
  <c r="O89"/>
  <c r="E89"/>
  <c r="O88"/>
  <c r="O87"/>
  <c r="S85"/>
  <c r="S84"/>
  <c r="S121" s="1"/>
  <c r="G93"/>
  <c r="S96"/>
  <c r="S95"/>
  <c r="W93"/>
  <c r="W92"/>
  <c r="G92"/>
  <c r="W91"/>
  <c r="G91"/>
  <c r="K89"/>
  <c r="K88"/>
  <c r="K87"/>
  <c r="E87"/>
  <c r="E86"/>
  <c r="O85"/>
  <c r="E85"/>
  <c r="O84"/>
  <c r="O121" s="1"/>
  <c r="I96"/>
  <c r="I92"/>
  <c r="I88"/>
  <c r="I84"/>
  <c r="I121" s="1"/>
  <c r="I87"/>
  <c r="I86"/>
  <c r="I85"/>
  <c r="M96"/>
  <c r="M92"/>
  <c r="M88"/>
  <c r="M84"/>
  <c r="M121" s="1"/>
  <c r="M95"/>
  <c r="M94"/>
  <c r="M93"/>
  <c r="Q96"/>
  <c r="Q92"/>
  <c r="Q88"/>
  <c r="Q84"/>
  <c r="Q121" s="1"/>
  <c r="Q95"/>
  <c r="Q94"/>
  <c r="Q93"/>
  <c r="Q91"/>
  <c r="Q90"/>
  <c r="Q89"/>
  <c r="U96"/>
  <c r="U92"/>
  <c r="U88"/>
  <c r="U84"/>
  <c r="U121" s="1"/>
  <c r="U91"/>
  <c r="U90"/>
  <c r="U89"/>
  <c r="U87"/>
  <c r="U86"/>
  <c r="U85"/>
  <c r="G85"/>
  <c r="R85"/>
  <c r="R86"/>
  <c r="S87"/>
  <c r="S88"/>
  <c r="S89"/>
  <c r="T90"/>
  <c r="T91"/>
  <c r="J92"/>
  <c r="U93"/>
  <c r="J94"/>
  <c r="K95"/>
  <c r="K96"/>
  <c r="V96"/>
  <c r="F84"/>
  <c r="F121" s="1"/>
  <c r="F85"/>
  <c r="Q85"/>
  <c r="Q86"/>
  <c r="G87"/>
  <c r="Q87"/>
  <c r="G88"/>
  <c r="R88"/>
  <c r="G89"/>
  <c r="R89"/>
  <c r="H90"/>
  <c r="H91"/>
  <c r="S91"/>
  <c r="S92"/>
  <c r="I93"/>
  <c r="S93"/>
  <c r="I94"/>
  <c r="T94"/>
  <c r="I95"/>
  <c r="T95"/>
  <c r="J96"/>
  <c r="F95"/>
  <c r="F91"/>
  <c r="F87"/>
  <c r="F94"/>
  <c r="F93"/>
  <c r="F92"/>
  <c r="F129" s="1"/>
  <c r="F90"/>
  <c r="F89"/>
  <c r="F88"/>
  <c r="R95"/>
  <c r="R91"/>
  <c r="R87"/>
  <c r="R96"/>
  <c r="R94"/>
  <c r="R93"/>
  <c r="R92"/>
  <c r="D59"/>
  <c r="H93"/>
  <c r="H89"/>
  <c r="H85"/>
  <c r="H84"/>
  <c r="H121" s="1"/>
  <c r="H96"/>
  <c r="H95"/>
  <c r="H94"/>
  <c r="L93"/>
  <c r="L89"/>
  <c r="L85"/>
  <c r="L96"/>
  <c r="L95"/>
  <c r="L94"/>
  <c r="L92"/>
  <c r="L91"/>
  <c r="L90"/>
  <c r="P93"/>
  <c r="P89"/>
  <c r="P85"/>
  <c r="P92"/>
  <c r="P91"/>
  <c r="P90"/>
  <c r="P88"/>
  <c r="P87"/>
  <c r="P86"/>
  <c r="T93"/>
  <c r="T89"/>
  <c r="T85"/>
  <c r="T88"/>
  <c r="T87"/>
  <c r="T86"/>
  <c r="T84"/>
  <c r="T121" s="1"/>
  <c r="X93"/>
  <c r="X89"/>
  <c r="X85"/>
  <c r="X84"/>
  <c r="X121" s="1"/>
  <c r="X96"/>
  <c r="X95"/>
  <c r="X94"/>
  <c r="G84"/>
  <c r="G121" s="1"/>
  <c r="R84"/>
  <c r="R121" s="1"/>
  <c r="H86"/>
  <c r="H87"/>
  <c r="H88"/>
  <c r="I89"/>
  <c r="I90"/>
  <c r="I91"/>
  <c r="T92"/>
  <c r="J93"/>
  <c r="U94"/>
  <c r="U95"/>
  <c r="D51"/>
  <c r="A51" s="1"/>
  <c r="L84"/>
  <c r="L121" s="1"/>
  <c r="W84"/>
  <c r="W121" s="1"/>
  <c r="M85"/>
  <c r="W85"/>
  <c r="M86"/>
  <c r="X86"/>
  <c r="M87"/>
  <c r="X87"/>
  <c r="N88"/>
  <c r="X88"/>
  <c r="N89"/>
  <c r="N90"/>
  <c r="O91"/>
  <c r="O92"/>
  <c r="E93"/>
  <c r="O93"/>
  <c r="E94"/>
  <c r="P94"/>
  <c r="E95"/>
  <c r="P95"/>
  <c r="F96"/>
  <c r="P96"/>
  <c r="G86"/>
  <c r="K86"/>
  <c r="O86"/>
  <c r="S86"/>
  <c r="W86"/>
  <c r="G90"/>
  <c r="K90"/>
  <c r="O90"/>
  <c r="S90"/>
  <c r="W90"/>
  <c r="G94"/>
  <c r="K94"/>
  <c r="O94"/>
  <c r="S94"/>
  <c r="W94"/>
  <c r="P30" i="29" l="1"/>
  <c r="Y108" i="6"/>
  <c r="W16" i="29"/>
  <c r="AB16" s="1"/>
  <c r="AY17"/>
  <c r="AY25"/>
  <c r="W30"/>
  <c r="AD30" s="1"/>
  <c r="BF25"/>
  <c r="W25"/>
  <c r="AD25" s="1"/>
  <c r="P43"/>
  <c r="W22"/>
  <c r="AD22" s="1"/>
  <c r="BF29"/>
  <c r="Y30"/>
  <c r="P22"/>
  <c r="P27"/>
  <c r="P31"/>
  <c r="W19"/>
  <c r="AD19" s="1"/>
  <c r="BF27"/>
  <c r="W31"/>
  <c r="AA31" s="1"/>
  <c r="P17"/>
  <c r="W27"/>
  <c r="AD27" s="1"/>
  <c r="BF17"/>
  <c r="BF16"/>
  <c r="BF31"/>
  <c r="P16"/>
  <c r="AC30"/>
  <c r="BF22"/>
  <c r="BF30"/>
  <c r="W13"/>
  <c r="AD13" s="1"/>
  <c r="AY13"/>
  <c r="P36"/>
  <c r="W36"/>
  <c r="Z36" s="1"/>
  <c r="BF41"/>
  <c r="P41"/>
  <c r="P18"/>
  <c r="AY8"/>
  <c r="Z29"/>
  <c r="BF19"/>
  <c r="AY18"/>
  <c r="P19"/>
  <c r="AD18"/>
  <c r="AC18"/>
  <c r="Y18"/>
  <c r="AC17"/>
  <c r="P15"/>
  <c r="BF13"/>
  <c r="W41"/>
  <c r="Y41" s="1"/>
  <c r="AY33"/>
  <c r="BF18"/>
  <c r="AY36"/>
  <c r="BF15"/>
  <c r="AA17"/>
  <c r="P8"/>
  <c r="W33"/>
  <c r="AD33" s="1"/>
  <c r="W15"/>
  <c r="AA15" s="1"/>
  <c r="W8"/>
  <c r="Z8" s="1"/>
  <c r="P33"/>
  <c r="AB17"/>
  <c r="BF40"/>
  <c r="P40"/>
  <c r="W40"/>
  <c r="AY40"/>
  <c r="BF23"/>
  <c r="AY23"/>
  <c r="P23"/>
  <c r="W23"/>
  <c r="AY24"/>
  <c r="W24"/>
  <c r="P24"/>
  <c r="BF24"/>
  <c r="BF38"/>
  <c r="AY38"/>
  <c r="W38"/>
  <c r="P38"/>
  <c r="P44"/>
  <c r="BF44"/>
  <c r="W44"/>
  <c r="AY44"/>
  <c r="AY10"/>
  <c r="BF10"/>
  <c r="P10"/>
  <c r="W10"/>
  <c r="W14"/>
  <c r="P14"/>
  <c r="BF14"/>
  <c r="AY14"/>
  <c r="BF21"/>
  <c r="AY21"/>
  <c r="W21"/>
  <c r="P21"/>
  <c r="AY12"/>
  <c r="BF12"/>
  <c r="W12"/>
  <c r="P12"/>
  <c r="AB31"/>
  <c r="AC22"/>
  <c r="AB29"/>
  <c r="AA18"/>
  <c r="AB43"/>
  <c r="Y17"/>
  <c r="AB22"/>
  <c r="Z30"/>
  <c r="AB18"/>
  <c r="AY46"/>
  <c r="P46"/>
  <c r="BF46"/>
  <c r="W46"/>
  <c r="P28"/>
  <c r="AY28"/>
  <c r="W28"/>
  <c r="BF28"/>
  <c r="W32"/>
  <c r="AY32"/>
  <c r="P32"/>
  <c r="BF32"/>
  <c r="W20"/>
  <c r="P20"/>
  <c r="BF20"/>
  <c r="AY20"/>
  <c r="W37"/>
  <c r="P37"/>
  <c r="BF37"/>
  <c r="AY37"/>
  <c r="AY35"/>
  <c r="P35"/>
  <c r="W35"/>
  <c r="BF35"/>
  <c r="P39"/>
  <c r="AY39"/>
  <c r="W39"/>
  <c r="BF39"/>
  <c r="P45"/>
  <c r="AY45"/>
  <c r="BF45"/>
  <c r="W45"/>
  <c r="W9"/>
  <c r="AY9"/>
  <c r="BF9"/>
  <c r="P9"/>
  <c r="AD31"/>
  <c r="BF11"/>
  <c r="W11"/>
  <c r="P11"/>
  <c r="AY11"/>
  <c r="BF6"/>
  <c r="AY6"/>
  <c r="W6"/>
  <c r="P6"/>
  <c r="W42"/>
  <c r="P42"/>
  <c r="AY42"/>
  <c r="BF42"/>
  <c r="AY26"/>
  <c r="BF26"/>
  <c r="P26"/>
  <c r="W26"/>
  <c r="AY47"/>
  <c r="BF47"/>
  <c r="W47"/>
  <c r="P47"/>
  <c r="W7"/>
  <c r="P7"/>
  <c r="AY7"/>
  <c r="BF7"/>
  <c r="BF34"/>
  <c r="W34"/>
  <c r="AY34"/>
  <c r="P34"/>
  <c r="AC43"/>
  <c r="Z43"/>
  <c r="AA30"/>
  <c r="Y29"/>
  <c r="Y22"/>
  <c r="Z22"/>
  <c r="Z17"/>
  <c r="AB30"/>
  <c r="AC29"/>
  <c r="AA43"/>
  <c r="AA29"/>
  <c r="AC13"/>
  <c r="Y43"/>
  <c r="Z18"/>
  <c r="Y130" i="35"/>
  <c r="Y148" i="7"/>
  <c r="L127" i="35"/>
  <c r="Y129"/>
  <c r="Y142" i="7"/>
  <c r="Y106" i="6"/>
  <c r="Y133" i="35"/>
  <c r="Y132"/>
  <c r="Y110" i="6"/>
  <c r="P123" i="35"/>
  <c r="R129"/>
  <c r="M130"/>
  <c r="Y112" i="6"/>
  <c r="Y127" i="35"/>
  <c r="Y107" i="6"/>
  <c r="Y143" i="7"/>
  <c r="Y105" i="6"/>
  <c r="Y113"/>
  <c r="Y147" i="7"/>
  <c r="Y104" i="6"/>
  <c r="Y145" i="7"/>
  <c r="Y144"/>
  <c r="Y141"/>
  <c r="Y140"/>
  <c r="Y103" i="6"/>
  <c r="Y109"/>
  <c r="Y146" i="7"/>
  <c r="Y150"/>
  <c r="Y139"/>
  <c r="Y125" i="35"/>
  <c r="Y124"/>
  <c r="Y126"/>
  <c r="Y123"/>
  <c r="Y149" i="7"/>
  <c r="Y131" i="35"/>
  <c r="Y128"/>
  <c r="Y114" i="6"/>
  <c r="Y101"/>
  <c r="Y111"/>
  <c r="Y138" i="7"/>
  <c r="Y151"/>
  <c r="J130" i="35"/>
  <c r="U126"/>
  <c r="M122"/>
  <c r="E124"/>
  <c r="W130"/>
  <c r="N133"/>
  <c r="Q24"/>
  <c r="G23"/>
  <c r="O25"/>
  <c r="I26"/>
  <c r="P25"/>
  <c r="F24"/>
  <c r="H23"/>
  <c r="G123"/>
  <c r="H26"/>
  <c r="J26"/>
  <c r="I25"/>
  <c r="K26"/>
  <c r="N25"/>
  <c r="F23"/>
  <c r="E23"/>
  <c r="S24"/>
  <c r="S23"/>
  <c r="R23"/>
  <c r="M24"/>
  <c r="L25"/>
  <c r="G26"/>
  <c r="Q23"/>
  <c r="P24"/>
  <c r="K25"/>
  <c r="F26"/>
  <c r="O24"/>
  <c r="J25"/>
  <c r="E26"/>
  <c r="J24"/>
  <c r="K127"/>
  <c r="K23"/>
  <c r="R24"/>
  <c r="Q25"/>
  <c r="P26"/>
  <c r="N23"/>
  <c r="I24"/>
  <c r="H25"/>
  <c r="S26"/>
  <c r="M23"/>
  <c r="L24"/>
  <c r="G25"/>
  <c r="R26"/>
  <c r="P23"/>
  <c r="K24"/>
  <c r="F25"/>
  <c r="Q26"/>
  <c r="N24"/>
  <c r="M25"/>
  <c r="L26"/>
  <c r="J23"/>
  <c r="E24"/>
  <c r="O26"/>
  <c r="I23"/>
  <c r="H24"/>
  <c r="S25"/>
  <c r="N26"/>
  <c r="L23"/>
  <c r="G24"/>
  <c r="R25"/>
  <c r="M26"/>
  <c r="O23"/>
  <c r="V129"/>
  <c r="P127"/>
  <c r="M129"/>
  <c r="N122"/>
  <c r="J125"/>
  <c r="T125"/>
  <c r="P129"/>
  <c r="L129"/>
  <c r="L133"/>
  <c r="O133"/>
  <c r="I126"/>
  <c r="X127"/>
  <c r="X128"/>
  <c r="U131"/>
  <c r="M128"/>
  <c r="O132"/>
  <c r="S127"/>
  <c r="W123"/>
  <c r="X129"/>
  <c r="P125"/>
  <c r="P128"/>
  <c r="L128"/>
  <c r="L132"/>
  <c r="H132"/>
  <c r="L124"/>
  <c r="V124"/>
  <c r="V122"/>
  <c r="W125"/>
  <c r="N130"/>
  <c r="F123"/>
  <c r="R127"/>
  <c r="M127"/>
  <c r="N131"/>
  <c r="S131"/>
  <c r="G131"/>
  <c r="R128"/>
  <c r="P131"/>
  <c r="T129"/>
  <c r="R133"/>
  <c r="R124"/>
  <c r="Q122"/>
  <c r="U127"/>
  <c r="Q126"/>
  <c r="Q131"/>
  <c r="Q129"/>
  <c r="E122"/>
  <c r="E126"/>
  <c r="E129"/>
  <c r="V125"/>
  <c r="V130"/>
  <c r="N123"/>
  <c r="J126"/>
  <c r="H123"/>
  <c r="X123"/>
  <c r="V123"/>
  <c r="X132"/>
  <c r="F126"/>
  <c r="F130"/>
  <c r="Q128"/>
  <c r="M132"/>
  <c r="I125"/>
  <c r="K126"/>
  <c r="K130"/>
  <c r="V127"/>
  <c r="J122"/>
  <c r="J124"/>
  <c r="N129"/>
  <c r="F124"/>
  <c r="V132"/>
  <c r="K122"/>
  <c r="O123"/>
  <c r="H130"/>
  <c r="R131"/>
  <c r="F127"/>
  <c r="F131"/>
  <c r="J131"/>
  <c r="U124"/>
  <c r="M125"/>
  <c r="I122"/>
  <c r="V128"/>
  <c r="J128"/>
  <c r="W126"/>
  <c r="L125"/>
  <c r="I61" i="34"/>
  <c r="I129" i="35"/>
  <c r="T123"/>
  <c r="L126"/>
  <c r="I132"/>
  <c r="I130"/>
  <c r="H127"/>
  <c r="G125"/>
  <c r="K132"/>
  <c r="S124"/>
  <c r="E123"/>
  <c r="W129"/>
  <c r="O124"/>
  <c r="E127"/>
  <c r="W133"/>
  <c r="N132"/>
  <c r="W127"/>
  <c r="G127"/>
  <c r="K123"/>
  <c r="X133"/>
  <c r="X130"/>
  <c r="T127"/>
  <c r="R123"/>
  <c r="Q125"/>
  <c r="E132"/>
  <c r="E130"/>
  <c r="X125"/>
  <c r="H125"/>
  <c r="P132"/>
  <c r="O130"/>
  <c r="O128"/>
  <c r="N126"/>
  <c r="M124"/>
  <c r="X122"/>
  <c r="P122"/>
  <c r="L123"/>
  <c r="F125"/>
  <c r="T132"/>
  <c r="S130"/>
  <c r="U122"/>
  <c r="U128"/>
  <c r="U133"/>
  <c r="I124"/>
  <c r="K125"/>
  <c r="S133"/>
  <c r="S122"/>
  <c r="O126"/>
  <c r="K129"/>
  <c r="G133"/>
  <c r="W124"/>
  <c r="G128"/>
  <c r="T130"/>
  <c r="R125"/>
  <c r="Q123"/>
  <c r="T128"/>
  <c r="Q130"/>
  <c r="M126"/>
  <c r="F133"/>
  <c r="E131"/>
  <c r="X124"/>
  <c r="W122"/>
  <c r="I127"/>
  <c r="X131"/>
  <c r="T126"/>
  <c r="P130"/>
  <c r="L131"/>
  <c r="H122"/>
  <c r="R132"/>
  <c r="F128"/>
  <c r="J133"/>
  <c r="I131"/>
  <c r="S128"/>
  <c r="G126"/>
  <c r="G124"/>
  <c r="K133"/>
  <c r="J129"/>
  <c r="S125"/>
  <c r="G122"/>
  <c r="U125"/>
  <c r="M133"/>
  <c r="O122"/>
  <c r="G129"/>
  <c r="K128"/>
  <c r="W132"/>
  <c r="E125"/>
  <c r="T133"/>
  <c r="E160"/>
  <c r="E133"/>
  <c r="N124"/>
  <c r="J132"/>
  <c r="W131"/>
  <c r="X126"/>
  <c r="L130"/>
  <c r="H131"/>
  <c r="H126"/>
  <c r="F132"/>
  <c r="H128"/>
  <c r="U129"/>
  <c r="K131"/>
  <c r="O127"/>
  <c r="S123"/>
  <c r="O131"/>
  <c r="P133"/>
  <c r="O129"/>
  <c r="N127"/>
  <c r="N125"/>
  <c r="M123"/>
  <c r="U132"/>
  <c r="I128"/>
  <c r="H124"/>
  <c r="T124"/>
  <c r="T122"/>
  <c r="P124"/>
  <c r="P126"/>
  <c r="L122"/>
  <c r="H133"/>
  <c r="R130"/>
  <c r="T131"/>
  <c r="S129"/>
  <c r="R126"/>
  <c r="Q124"/>
  <c r="F122"/>
  <c r="V133"/>
  <c r="U130"/>
  <c r="S126"/>
  <c r="R122"/>
  <c r="U123"/>
  <c r="Q127"/>
  <c r="Q132"/>
  <c r="Q133"/>
  <c r="M131"/>
  <c r="I123"/>
  <c r="I133"/>
  <c r="K124"/>
  <c r="W128"/>
  <c r="S132"/>
  <c r="G130"/>
  <c r="O125"/>
  <c r="E128"/>
  <c r="G132"/>
  <c r="V126"/>
  <c r="V131"/>
  <c r="N128"/>
  <c r="J123"/>
  <c r="J127"/>
  <c r="H129"/>
  <c r="M66" i="34"/>
  <c r="M62"/>
  <c r="M67"/>
  <c r="M63"/>
  <c r="M59"/>
  <c r="M61"/>
  <c r="M55"/>
  <c r="M92" s="1"/>
  <c r="M60"/>
  <c r="M56"/>
  <c r="M64"/>
  <c r="M58"/>
  <c r="M65"/>
  <c r="M57"/>
  <c r="X92"/>
  <c r="P67"/>
  <c r="P63"/>
  <c r="P59"/>
  <c r="P64"/>
  <c r="P60"/>
  <c r="P62"/>
  <c r="P56"/>
  <c r="P61"/>
  <c r="P57"/>
  <c r="P66"/>
  <c r="P55"/>
  <c r="P92" s="1"/>
  <c r="P58"/>
  <c r="P65"/>
  <c r="H67"/>
  <c r="H63"/>
  <c r="H59"/>
  <c r="H64"/>
  <c r="H60"/>
  <c r="H62"/>
  <c r="H56"/>
  <c r="H61"/>
  <c r="H57"/>
  <c r="H65"/>
  <c r="H66"/>
  <c r="H58"/>
  <c r="H55"/>
  <c r="H92" s="1"/>
  <c r="K64"/>
  <c r="K60"/>
  <c r="K65"/>
  <c r="K61"/>
  <c r="K63"/>
  <c r="K57"/>
  <c r="K62"/>
  <c r="K58"/>
  <c r="K67"/>
  <c r="K55"/>
  <c r="K92" s="1"/>
  <c r="K66"/>
  <c r="K56"/>
  <c r="K59"/>
  <c r="F65"/>
  <c r="F61"/>
  <c r="F66"/>
  <c r="F62"/>
  <c r="F64"/>
  <c r="F58"/>
  <c r="F63"/>
  <c r="F55"/>
  <c r="F92" s="1"/>
  <c r="F56"/>
  <c r="F57"/>
  <c r="F59"/>
  <c r="F60"/>
  <c r="F67"/>
  <c r="U66"/>
  <c r="U62"/>
  <c r="U58"/>
  <c r="U67"/>
  <c r="U63"/>
  <c r="U59"/>
  <c r="U61"/>
  <c r="U55"/>
  <c r="U92" s="1"/>
  <c r="U60"/>
  <c r="U56"/>
  <c r="U65"/>
  <c r="U64"/>
  <c r="U57"/>
  <c r="W64"/>
  <c r="W60"/>
  <c r="W65"/>
  <c r="W61"/>
  <c r="W67"/>
  <c r="W59"/>
  <c r="W57"/>
  <c r="W66"/>
  <c r="W58"/>
  <c r="W62"/>
  <c r="W56"/>
  <c r="W63"/>
  <c r="W55"/>
  <c r="W92" s="1"/>
  <c r="N65"/>
  <c r="N61"/>
  <c r="N66"/>
  <c r="N62"/>
  <c r="N64"/>
  <c r="N58"/>
  <c r="N63"/>
  <c r="N55"/>
  <c r="N92" s="1"/>
  <c r="N60"/>
  <c r="N56"/>
  <c r="N57"/>
  <c r="N67"/>
  <c r="N59"/>
  <c r="S64"/>
  <c r="S60"/>
  <c r="S65"/>
  <c r="S61"/>
  <c r="S63"/>
  <c r="S57"/>
  <c r="S62"/>
  <c r="S59"/>
  <c r="S55"/>
  <c r="S92" s="1"/>
  <c r="S58"/>
  <c r="S66"/>
  <c r="S103" s="1"/>
  <c r="S67"/>
  <c r="S56"/>
  <c r="T67"/>
  <c r="T63"/>
  <c r="T59"/>
  <c r="T64"/>
  <c r="T60"/>
  <c r="T66"/>
  <c r="T58"/>
  <c r="T56"/>
  <c r="T65"/>
  <c r="T57"/>
  <c r="T62"/>
  <c r="T61"/>
  <c r="T55"/>
  <c r="T92" s="1"/>
  <c r="L67"/>
  <c r="L63"/>
  <c r="L59"/>
  <c r="L64"/>
  <c r="L60"/>
  <c r="L66"/>
  <c r="L56"/>
  <c r="L65"/>
  <c r="L57"/>
  <c r="L58"/>
  <c r="L61"/>
  <c r="L55"/>
  <c r="L92" s="1"/>
  <c r="L62"/>
  <c r="V65"/>
  <c r="V61"/>
  <c r="V66"/>
  <c r="V62"/>
  <c r="V58"/>
  <c r="V64"/>
  <c r="V63"/>
  <c r="V55"/>
  <c r="V92" s="1"/>
  <c r="V56"/>
  <c r="V57"/>
  <c r="V59"/>
  <c r="V60"/>
  <c r="V67"/>
  <c r="Q60"/>
  <c r="R64"/>
  <c r="Q59"/>
  <c r="I59"/>
  <c r="R59"/>
  <c r="R66"/>
  <c r="R65"/>
  <c r="J59"/>
  <c r="J60"/>
  <c r="J66"/>
  <c r="J65"/>
  <c r="I57"/>
  <c r="R63"/>
  <c r="J56"/>
  <c r="Q64"/>
  <c r="Q66"/>
  <c r="I64"/>
  <c r="R55"/>
  <c r="R92" s="1"/>
  <c r="R60"/>
  <c r="R62"/>
  <c r="R61"/>
  <c r="J55"/>
  <c r="J92" s="1"/>
  <c r="J58"/>
  <c r="J62"/>
  <c r="J61"/>
  <c r="J64"/>
  <c r="Q57"/>
  <c r="J63"/>
  <c r="J57"/>
  <c r="R56"/>
  <c r="Q56"/>
  <c r="Q65"/>
  <c r="Q67"/>
  <c r="Q62"/>
  <c r="I56"/>
  <c r="I65"/>
  <c r="I67"/>
  <c r="I66"/>
  <c r="R58"/>
  <c r="E66"/>
  <c r="E62"/>
  <c r="E67"/>
  <c r="E63"/>
  <c r="E59"/>
  <c r="E61"/>
  <c r="E55"/>
  <c r="E60"/>
  <c r="E56"/>
  <c r="E65"/>
  <c r="I60"/>
  <c r="E58"/>
  <c r="E57"/>
  <c r="E64"/>
  <c r="I58"/>
  <c r="O64"/>
  <c r="O60"/>
  <c r="O65"/>
  <c r="O61"/>
  <c r="O67"/>
  <c r="O59"/>
  <c r="O57"/>
  <c r="O66"/>
  <c r="O58"/>
  <c r="O63"/>
  <c r="O56"/>
  <c r="O55"/>
  <c r="O92" s="1"/>
  <c r="O62"/>
  <c r="G64"/>
  <c r="G60"/>
  <c r="G65"/>
  <c r="G61"/>
  <c r="G67"/>
  <c r="G59"/>
  <c r="G57"/>
  <c r="G66"/>
  <c r="G58"/>
  <c r="G62"/>
  <c r="G56"/>
  <c r="G63"/>
  <c r="G55"/>
  <c r="G92" s="1"/>
  <c r="R57"/>
  <c r="Q61"/>
  <c r="Q55"/>
  <c r="Q92" s="1"/>
  <c r="Q63"/>
  <c r="Q58"/>
  <c r="I55"/>
  <c r="I92" s="1"/>
  <c r="I63"/>
  <c r="I62"/>
  <c r="R67"/>
  <c r="J67"/>
  <c r="Z16" i="29" l="1"/>
  <c r="AD16"/>
  <c r="Y16"/>
  <c r="AA16"/>
  <c r="AC25"/>
  <c r="AC16"/>
  <c r="AB25"/>
  <c r="AC27"/>
  <c r="AA25"/>
  <c r="AA27"/>
  <c r="AB27"/>
  <c r="AC19"/>
  <c r="AA19"/>
  <c r="Y27"/>
  <c r="AB19"/>
  <c r="Z27"/>
  <c r="Z25"/>
  <c r="Y25"/>
  <c r="Z19"/>
  <c r="Y19"/>
  <c r="Y15"/>
  <c r="AA41"/>
  <c r="AC31"/>
  <c r="AA22"/>
  <c r="Z31"/>
  <c r="Y31"/>
  <c r="AR28"/>
  <c r="AA13"/>
  <c r="Y13"/>
  <c r="AB36"/>
  <c r="AC36"/>
  <c r="AA36"/>
  <c r="AB13"/>
  <c r="Z13"/>
  <c r="AD36"/>
  <c r="Y36"/>
  <c r="AB15"/>
  <c r="AC15"/>
  <c r="AC8"/>
  <c r="Y8"/>
  <c r="AD41"/>
  <c r="Z41"/>
  <c r="AC41"/>
  <c r="AB41"/>
  <c r="Z15"/>
  <c r="AD15"/>
  <c r="AC33"/>
  <c r="Y33"/>
  <c r="Z33"/>
  <c r="BM28"/>
  <c r="AD8"/>
  <c r="AB8"/>
  <c r="AA8"/>
  <c r="AB33"/>
  <c r="AA33"/>
  <c r="AD6"/>
  <c r="AA6"/>
  <c r="AB6"/>
  <c r="AC6"/>
  <c r="Y6"/>
  <c r="Z6"/>
  <c r="AD37"/>
  <c r="AC37"/>
  <c r="AB37"/>
  <c r="Z37"/>
  <c r="AA37"/>
  <c r="Y37"/>
  <c r="AD20"/>
  <c r="AA20"/>
  <c r="Z20"/>
  <c r="Y20"/>
  <c r="AC20"/>
  <c r="AB20"/>
  <c r="AD12"/>
  <c r="AA12"/>
  <c r="AB12"/>
  <c r="AC12"/>
  <c r="Y12"/>
  <c r="Z12"/>
  <c r="AD21"/>
  <c r="Y21"/>
  <c r="AC21"/>
  <c r="AB21"/>
  <c r="AA21"/>
  <c r="Z21"/>
  <c r="AB44"/>
  <c r="AD44"/>
  <c r="Y44"/>
  <c r="Z44"/>
  <c r="AC44"/>
  <c r="AA44"/>
  <c r="AC38"/>
  <c r="AD38"/>
  <c r="Z38"/>
  <c r="Y38"/>
  <c r="AB38"/>
  <c r="AA38"/>
  <c r="AD26"/>
  <c r="AC26"/>
  <c r="AB26"/>
  <c r="Z26"/>
  <c r="Y26"/>
  <c r="AA26"/>
  <c r="AD46"/>
  <c r="Z46"/>
  <c r="AC46"/>
  <c r="AA46"/>
  <c r="AB46"/>
  <c r="Y46"/>
  <c r="AD10"/>
  <c r="Y10"/>
  <c r="AB10"/>
  <c r="AC10"/>
  <c r="Z10"/>
  <c r="AA10"/>
  <c r="BM6"/>
  <c r="AR45"/>
  <c r="AR35"/>
  <c r="AR6"/>
  <c r="AD9"/>
  <c r="AA9"/>
  <c r="Y9"/>
  <c r="AB9"/>
  <c r="AC9"/>
  <c r="Z9"/>
  <c r="AD42"/>
  <c r="Y42"/>
  <c r="AC42"/>
  <c r="Z42"/>
  <c r="AA42"/>
  <c r="AB42"/>
  <c r="AD39"/>
  <c r="Z39"/>
  <c r="Y39"/>
  <c r="AA39"/>
  <c r="AC39"/>
  <c r="AB39"/>
  <c r="AD35"/>
  <c r="AC35"/>
  <c r="AB35"/>
  <c r="AA35"/>
  <c r="Y35"/>
  <c r="Z35"/>
  <c r="AD32"/>
  <c r="AB32"/>
  <c r="Y32"/>
  <c r="AA32"/>
  <c r="Z32"/>
  <c r="AC32"/>
  <c r="AD14"/>
  <c r="Y14"/>
  <c r="Z14"/>
  <c r="AA14"/>
  <c r="AC14"/>
  <c r="AB14"/>
  <c r="AC40"/>
  <c r="AD40"/>
  <c r="AB40"/>
  <c r="Z40"/>
  <c r="Y40"/>
  <c r="AA40"/>
  <c r="BM45"/>
  <c r="AD47"/>
  <c r="AA47"/>
  <c r="Z47"/>
  <c r="Y47"/>
  <c r="AB47"/>
  <c r="AC47"/>
  <c r="AB28"/>
  <c r="AD28"/>
  <c r="Z28"/>
  <c r="AA28"/>
  <c r="AC28"/>
  <c r="Y28"/>
  <c r="AD7"/>
  <c r="AC7"/>
  <c r="Y7"/>
  <c r="Z7"/>
  <c r="AB7"/>
  <c r="AA7"/>
  <c r="AD34"/>
  <c r="AA34"/>
  <c r="Z34"/>
  <c r="Y34"/>
  <c r="AB34"/>
  <c r="AC34"/>
  <c r="AD11"/>
  <c r="Y11"/>
  <c r="AA11"/>
  <c r="AC11"/>
  <c r="Z11"/>
  <c r="AB11"/>
  <c r="AD45"/>
  <c r="Z45"/>
  <c r="AB45"/>
  <c r="Y45"/>
  <c r="AC45"/>
  <c r="AA45"/>
  <c r="AD24"/>
  <c r="AC24"/>
  <c r="AB24"/>
  <c r="Y24"/>
  <c r="AA24"/>
  <c r="Z24"/>
  <c r="AD23"/>
  <c r="Z23"/>
  <c r="Y23"/>
  <c r="AA23"/>
  <c r="AB23"/>
  <c r="AC23"/>
  <c r="BM35"/>
  <c r="V103" i="34"/>
  <c r="L101"/>
  <c r="W98"/>
  <c r="H101"/>
  <c r="F96"/>
  <c r="F103"/>
  <c r="M100"/>
  <c r="L97"/>
  <c r="Y56"/>
  <c r="Y57"/>
  <c r="Y60"/>
  <c r="E104"/>
  <c r="Y67"/>
  <c r="Y64"/>
  <c r="Y61"/>
  <c r="Y66"/>
  <c r="E92"/>
  <c r="Y92" s="1"/>
  <c r="Y55"/>
  <c r="E100"/>
  <c r="Y63"/>
  <c r="Y58"/>
  <c r="Y65"/>
  <c r="Y62"/>
  <c r="Y59"/>
  <c r="N99"/>
  <c r="E172" i="35"/>
  <c r="F172" s="1"/>
  <c r="G172" s="1"/>
  <c r="H172" s="1"/>
  <c r="I172" s="1"/>
  <c r="J172" s="1"/>
  <c r="K172" s="1"/>
  <c r="L172" s="1"/>
  <c r="M172" s="1"/>
  <c r="N172" s="1"/>
  <c r="O172" s="1"/>
  <c r="P172" s="1"/>
  <c r="Q172" s="1"/>
  <c r="R172" s="1"/>
  <c r="S172" s="1"/>
  <c r="T172" s="1"/>
  <c r="U172" s="1"/>
  <c r="V172" s="1"/>
  <c r="W172" s="1"/>
  <c r="X172" s="1"/>
  <c r="E169"/>
  <c r="F169" s="1"/>
  <c r="G169" s="1"/>
  <c r="H169" s="1"/>
  <c r="I169" s="1"/>
  <c r="J169" s="1"/>
  <c r="K169" s="1"/>
  <c r="L169" s="1"/>
  <c r="M169" s="1"/>
  <c r="N169" s="1"/>
  <c r="O169" s="1"/>
  <c r="P169" s="1"/>
  <c r="Q169" s="1"/>
  <c r="R169" s="1"/>
  <c r="S169" s="1"/>
  <c r="T169" s="1"/>
  <c r="U169" s="1"/>
  <c r="V169" s="1"/>
  <c r="W169" s="1"/>
  <c r="X169" s="1"/>
  <c r="E168"/>
  <c r="F168" s="1"/>
  <c r="G168" s="1"/>
  <c r="H168" s="1"/>
  <c r="I168" s="1"/>
  <c r="J168" s="1"/>
  <c r="K168" s="1"/>
  <c r="L168" s="1"/>
  <c r="M168" s="1"/>
  <c r="N168" s="1"/>
  <c r="O168" s="1"/>
  <c r="P168" s="1"/>
  <c r="Q168" s="1"/>
  <c r="R168" s="1"/>
  <c r="S168" s="1"/>
  <c r="T168" s="1"/>
  <c r="U168" s="1"/>
  <c r="V168" s="1"/>
  <c r="W168" s="1"/>
  <c r="X168" s="1"/>
  <c r="E164"/>
  <c r="F164" s="1"/>
  <c r="G164" s="1"/>
  <c r="H164" s="1"/>
  <c r="I164" s="1"/>
  <c r="J164" s="1"/>
  <c r="K164" s="1"/>
  <c r="L164" s="1"/>
  <c r="M164" s="1"/>
  <c r="N164" s="1"/>
  <c r="O164" s="1"/>
  <c r="P164" s="1"/>
  <c r="Q164" s="1"/>
  <c r="R164" s="1"/>
  <c r="S164" s="1"/>
  <c r="T164" s="1"/>
  <c r="U164" s="1"/>
  <c r="V164" s="1"/>
  <c r="W164" s="1"/>
  <c r="X164" s="1"/>
  <c r="E166"/>
  <c r="F166" s="1"/>
  <c r="G166" s="1"/>
  <c r="H166" s="1"/>
  <c r="I166" s="1"/>
  <c r="J166" s="1"/>
  <c r="K166" s="1"/>
  <c r="L166" s="1"/>
  <c r="M166" s="1"/>
  <c r="N166" s="1"/>
  <c r="O166" s="1"/>
  <c r="P166" s="1"/>
  <c r="Q166" s="1"/>
  <c r="R166" s="1"/>
  <c r="S166" s="1"/>
  <c r="T166" s="1"/>
  <c r="U166" s="1"/>
  <c r="V166" s="1"/>
  <c r="W166" s="1"/>
  <c r="X166" s="1"/>
  <c r="E162"/>
  <c r="F162" s="1"/>
  <c r="G162" s="1"/>
  <c r="H162" s="1"/>
  <c r="I162" s="1"/>
  <c r="J162" s="1"/>
  <c r="K162" s="1"/>
  <c r="L162" s="1"/>
  <c r="M162" s="1"/>
  <c r="N162" s="1"/>
  <c r="O162" s="1"/>
  <c r="P162" s="1"/>
  <c r="Q162" s="1"/>
  <c r="R162" s="1"/>
  <c r="S162" s="1"/>
  <c r="T162" s="1"/>
  <c r="U162" s="1"/>
  <c r="V162" s="1"/>
  <c r="W162" s="1"/>
  <c r="X162" s="1"/>
  <c r="E161"/>
  <c r="F161" s="1"/>
  <c r="G161" s="1"/>
  <c r="H161" s="1"/>
  <c r="I161" s="1"/>
  <c r="J161" s="1"/>
  <c r="K161" s="1"/>
  <c r="L161" s="1"/>
  <c r="M161" s="1"/>
  <c r="N161" s="1"/>
  <c r="O161" s="1"/>
  <c r="P161" s="1"/>
  <c r="Q161" s="1"/>
  <c r="R161" s="1"/>
  <c r="S161" s="1"/>
  <c r="T161" s="1"/>
  <c r="U161" s="1"/>
  <c r="V161" s="1"/>
  <c r="W161" s="1"/>
  <c r="X161" s="1"/>
  <c r="E167"/>
  <c r="F167" s="1"/>
  <c r="G167" s="1"/>
  <c r="H167" s="1"/>
  <c r="I167" s="1"/>
  <c r="J167" s="1"/>
  <c r="K167" s="1"/>
  <c r="L167" s="1"/>
  <c r="M167" s="1"/>
  <c r="N167" s="1"/>
  <c r="O167" s="1"/>
  <c r="P167" s="1"/>
  <c r="Q167" s="1"/>
  <c r="R167" s="1"/>
  <c r="S167" s="1"/>
  <c r="T167" s="1"/>
  <c r="U167" s="1"/>
  <c r="V167" s="1"/>
  <c r="W167" s="1"/>
  <c r="X167" s="1"/>
  <c r="E170"/>
  <c r="F170" s="1"/>
  <c r="G170" s="1"/>
  <c r="H170" s="1"/>
  <c r="I170" s="1"/>
  <c r="J170" s="1"/>
  <c r="K170" s="1"/>
  <c r="L170" s="1"/>
  <c r="M170" s="1"/>
  <c r="N170" s="1"/>
  <c r="O170" s="1"/>
  <c r="P170" s="1"/>
  <c r="Q170" s="1"/>
  <c r="R170" s="1"/>
  <c r="S170" s="1"/>
  <c r="T170" s="1"/>
  <c r="U170" s="1"/>
  <c r="V170" s="1"/>
  <c r="W170" s="1"/>
  <c r="X170" s="1"/>
  <c r="E171"/>
  <c r="F171" s="1"/>
  <c r="G171" s="1"/>
  <c r="H171" s="1"/>
  <c r="I171" s="1"/>
  <c r="J171" s="1"/>
  <c r="K171" s="1"/>
  <c r="L171" s="1"/>
  <c r="M171" s="1"/>
  <c r="N171" s="1"/>
  <c r="O171" s="1"/>
  <c r="P171" s="1"/>
  <c r="Q171" s="1"/>
  <c r="R171" s="1"/>
  <c r="S171" s="1"/>
  <c r="T171" s="1"/>
  <c r="U171" s="1"/>
  <c r="V171" s="1"/>
  <c r="W171" s="1"/>
  <c r="X171" s="1"/>
  <c r="E165"/>
  <c r="F165" s="1"/>
  <c r="G165" s="1"/>
  <c r="H165" s="1"/>
  <c r="I165" s="1"/>
  <c r="J165" s="1"/>
  <c r="K165" s="1"/>
  <c r="L165" s="1"/>
  <c r="M165" s="1"/>
  <c r="N165" s="1"/>
  <c r="O165" s="1"/>
  <c r="P165" s="1"/>
  <c r="Q165" s="1"/>
  <c r="R165" s="1"/>
  <c r="S165" s="1"/>
  <c r="T165" s="1"/>
  <c r="U165" s="1"/>
  <c r="V165" s="1"/>
  <c r="W165" s="1"/>
  <c r="X165" s="1"/>
  <c r="E163"/>
  <c r="F163" s="1"/>
  <c r="G163" s="1"/>
  <c r="H163" s="1"/>
  <c r="I163" s="1"/>
  <c r="J163" s="1"/>
  <c r="K163" s="1"/>
  <c r="L163" s="1"/>
  <c r="M163" s="1"/>
  <c r="N163" s="1"/>
  <c r="O163" s="1"/>
  <c r="P163" s="1"/>
  <c r="Q163" s="1"/>
  <c r="R163" s="1"/>
  <c r="S163" s="1"/>
  <c r="T163" s="1"/>
  <c r="U163" s="1"/>
  <c r="V163" s="1"/>
  <c r="W163" s="1"/>
  <c r="X163" s="1"/>
  <c r="F99" i="34"/>
  <c r="X101"/>
  <c r="E28" i="35"/>
  <c r="G102" i="34"/>
  <c r="K28" i="35"/>
  <c r="S28"/>
  <c r="N28"/>
  <c r="F28"/>
  <c r="O28"/>
  <c r="H28"/>
  <c r="I28"/>
  <c r="G28"/>
  <c r="M28"/>
  <c r="R28"/>
  <c r="Q28"/>
  <c r="P28"/>
  <c r="J28"/>
  <c r="L28"/>
  <c r="O102" i="34"/>
  <c r="K102"/>
  <c r="M104"/>
  <c r="O98"/>
  <c r="V99"/>
  <c r="S102"/>
  <c r="S98"/>
  <c r="I98"/>
  <c r="K98"/>
  <c r="I99"/>
  <c r="P94"/>
  <c r="P104"/>
  <c r="X93"/>
  <c r="W102"/>
  <c r="G98"/>
  <c r="R102"/>
  <c r="V104"/>
  <c r="L102"/>
  <c r="U102"/>
  <c r="H93"/>
  <c r="J94"/>
  <c r="L94"/>
  <c r="T94"/>
  <c r="T100"/>
  <c r="N97"/>
  <c r="U93"/>
  <c r="G93"/>
  <c r="G95"/>
  <c r="G101"/>
  <c r="O100"/>
  <c r="O94"/>
  <c r="E101"/>
  <c r="E93"/>
  <c r="E103"/>
  <c r="J101"/>
  <c r="J103"/>
  <c r="R103"/>
  <c r="T102"/>
  <c r="U104"/>
  <c r="G100"/>
  <c r="E95"/>
  <c r="J98"/>
  <c r="R98"/>
  <c r="N93"/>
  <c r="K104"/>
  <c r="H95"/>
  <c r="M94"/>
  <c r="J96"/>
  <c r="T99"/>
  <c r="W103"/>
  <c r="L104"/>
  <c r="W99"/>
  <c r="U95"/>
  <c r="P98"/>
  <c r="M101"/>
  <c r="M96"/>
  <c r="Q101"/>
  <c r="R96"/>
  <c r="N96"/>
  <c r="W93"/>
  <c r="F97"/>
  <c r="F160" i="35"/>
  <c r="N103" i="34"/>
  <c r="J104"/>
  <c r="Q103"/>
  <c r="R100"/>
  <c r="R104"/>
  <c r="I103"/>
  <c r="Q99"/>
  <c r="J100"/>
  <c r="I101"/>
  <c r="S93"/>
  <c r="S99"/>
  <c r="R94"/>
  <c r="O95"/>
  <c r="O101"/>
  <c r="E94"/>
  <c r="E97"/>
  <c r="I96"/>
  <c r="Q96"/>
  <c r="V97"/>
  <c r="V93"/>
  <c r="V98"/>
  <c r="L95"/>
  <c r="T98"/>
  <c r="S95"/>
  <c r="N104"/>
  <c r="W95"/>
  <c r="U97"/>
  <c r="F104"/>
  <c r="F94"/>
  <c r="F100"/>
  <c r="K93"/>
  <c r="K95"/>
  <c r="K100"/>
  <c r="H104"/>
  <c r="P103"/>
  <c r="P93"/>
  <c r="X95"/>
  <c r="X96"/>
  <c r="M93"/>
  <c r="O96"/>
  <c r="N98"/>
  <c r="G96"/>
  <c r="T103"/>
  <c r="V94"/>
  <c r="V95"/>
  <c r="T95"/>
  <c r="S100"/>
  <c r="P99"/>
  <c r="P100"/>
  <c r="X97"/>
  <c r="I100"/>
  <c r="Q100"/>
  <c r="O99"/>
  <c r="I95"/>
  <c r="I97"/>
  <c r="E99"/>
  <c r="R95"/>
  <c r="I102"/>
  <c r="Q102"/>
  <c r="R93"/>
  <c r="J95"/>
  <c r="R97"/>
  <c r="L103"/>
  <c r="L100"/>
  <c r="T93"/>
  <c r="T97"/>
  <c r="S96"/>
  <c r="S94"/>
  <c r="S101"/>
  <c r="N94"/>
  <c r="N101"/>
  <c r="W100"/>
  <c r="W96"/>
  <c r="W101"/>
  <c r="U94"/>
  <c r="U96"/>
  <c r="F95"/>
  <c r="F102"/>
  <c r="K97"/>
  <c r="H102"/>
  <c r="H98"/>
  <c r="P95"/>
  <c r="P101"/>
  <c r="P96"/>
  <c r="X102"/>
  <c r="X98"/>
  <c r="X104"/>
  <c r="M95"/>
  <c r="M97"/>
  <c r="M98"/>
  <c r="M103"/>
  <c r="U98"/>
  <c r="U99"/>
  <c r="H96"/>
  <c r="G94"/>
  <c r="G97"/>
  <c r="O97"/>
  <c r="E98"/>
  <c r="I93"/>
  <c r="Q93"/>
  <c r="Q94"/>
  <c r="I94"/>
  <c r="J97"/>
  <c r="Q97"/>
  <c r="V100"/>
  <c r="L98"/>
  <c r="T101"/>
  <c r="T96"/>
  <c r="N100"/>
  <c r="W104"/>
  <c r="U100"/>
  <c r="F101"/>
  <c r="K94"/>
  <c r="K101"/>
  <c r="H97"/>
  <c r="Q95"/>
  <c r="Q98"/>
  <c r="G99"/>
  <c r="G103"/>
  <c r="G104"/>
  <c r="O93"/>
  <c r="O103"/>
  <c r="O104"/>
  <c r="E102"/>
  <c r="E96"/>
  <c r="I104"/>
  <c r="Q104"/>
  <c r="J99"/>
  <c r="R99"/>
  <c r="J93"/>
  <c r="J102"/>
  <c r="R101"/>
  <c r="V96"/>
  <c r="V101"/>
  <c r="V102"/>
  <c r="L99"/>
  <c r="L93"/>
  <c r="L96"/>
  <c r="T104"/>
  <c r="S104"/>
  <c r="S97"/>
  <c r="N95"/>
  <c r="N102"/>
  <c r="W94"/>
  <c r="W97"/>
  <c r="U101"/>
  <c r="U103"/>
  <c r="F93"/>
  <c r="F98"/>
  <c r="K96"/>
  <c r="K103"/>
  <c r="K99"/>
  <c r="H103"/>
  <c r="H94"/>
  <c r="H99"/>
  <c r="H100"/>
  <c r="P102"/>
  <c r="P97"/>
  <c r="X103"/>
  <c r="X94"/>
  <c r="X99"/>
  <c r="X100"/>
  <c r="M102"/>
  <c r="M99"/>
  <c r="AK45" i="29" l="1"/>
  <c r="AJ28"/>
  <c r="F6" i="15" s="1"/>
  <c r="AH45" i="29"/>
  <c r="AH28"/>
  <c r="AF35"/>
  <c r="AI28"/>
  <c r="AK35"/>
  <c r="AI6"/>
  <c r="E5" i="15" s="1"/>
  <c r="AI45" i="29"/>
  <c r="AG28"/>
  <c r="AI35"/>
  <c r="E7" i="15" s="1"/>
  <c r="F14"/>
  <c r="K17" s="1"/>
  <c r="F30"/>
  <c r="W17" s="1"/>
  <c r="K7"/>
  <c r="AG45" i="29"/>
  <c r="AK6"/>
  <c r="AF45"/>
  <c r="AJ45"/>
  <c r="F8" i="15" s="1"/>
  <c r="AH35" i="29"/>
  <c r="D7" i="15" s="1"/>
  <c r="AJ6" i="29"/>
  <c r="F5" i="15" s="1"/>
  <c r="AG6" i="29"/>
  <c r="C5" i="15" s="1"/>
  <c r="AH6" i="29"/>
  <c r="D5" i="15" s="1"/>
  <c r="AF28" i="29"/>
  <c r="AK28"/>
  <c r="AG35"/>
  <c r="C7" i="15" s="1"/>
  <c r="AJ35" i="29"/>
  <c r="F7" i="15" s="1"/>
  <c r="AF6" i="29"/>
  <c r="Y102" i="34"/>
  <c r="Y97"/>
  <c r="Y100"/>
  <c r="Y104"/>
  <c r="Y98"/>
  <c r="Y93"/>
  <c r="Y96"/>
  <c r="Y95"/>
  <c r="Y99"/>
  <c r="Y103"/>
  <c r="Y94"/>
  <c r="Y101"/>
  <c r="G160" i="35"/>
  <c r="F13" i="15" l="1"/>
  <c r="K16" s="1"/>
  <c r="F29"/>
  <c r="W16" s="1"/>
  <c r="K6"/>
  <c r="C13"/>
  <c r="K13" s="1"/>
  <c r="C29"/>
  <c r="W13" s="1"/>
  <c r="K3"/>
  <c r="K41"/>
  <c r="K31"/>
  <c r="W41"/>
  <c r="D31"/>
  <c r="W19" s="1"/>
  <c r="D15"/>
  <c r="K19" s="1"/>
  <c r="K9"/>
  <c r="E29"/>
  <c r="W15" s="1"/>
  <c r="E13"/>
  <c r="K15" s="1"/>
  <c r="K5"/>
  <c r="C31"/>
  <c r="W18" s="1"/>
  <c r="C15"/>
  <c r="K18" s="1"/>
  <c r="K8"/>
  <c r="F15"/>
  <c r="K21" s="1"/>
  <c r="F31"/>
  <c r="W21" s="1"/>
  <c r="K11"/>
  <c r="D29"/>
  <c r="W14" s="1"/>
  <c r="D13"/>
  <c r="K14" s="1"/>
  <c r="K4"/>
  <c r="F32"/>
  <c r="W22" s="1"/>
  <c r="F16"/>
  <c r="K22" s="1"/>
  <c r="K12"/>
  <c r="E15"/>
  <c r="K20" s="1"/>
  <c r="E31"/>
  <c r="W20" s="1"/>
  <c r="K10"/>
  <c r="F22"/>
  <c r="H160" i="35"/>
  <c r="F23" i="15" l="1"/>
  <c r="E23"/>
  <c r="E21"/>
  <c r="C21"/>
  <c r="F21"/>
  <c r="W44"/>
  <c r="K44"/>
  <c r="K34"/>
  <c r="W45"/>
  <c r="K35"/>
  <c r="K45"/>
  <c r="W39"/>
  <c r="K39"/>
  <c r="K29"/>
  <c r="K46"/>
  <c r="K42"/>
  <c r="F24"/>
  <c r="D21"/>
  <c r="C23"/>
  <c r="D23"/>
  <c r="K36"/>
  <c r="W46"/>
  <c r="K28"/>
  <c r="K38"/>
  <c r="W38"/>
  <c r="K32"/>
  <c r="W42"/>
  <c r="W43"/>
  <c r="K33"/>
  <c r="K43"/>
  <c r="W37"/>
  <c r="K27"/>
  <c r="K37"/>
  <c r="K40"/>
  <c r="K30"/>
  <c r="W40"/>
  <c r="I160" i="35"/>
  <c r="J160" l="1"/>
  <c r="K160" l="1"/>
  <c r="L160" l="1"/>
  <c r="M160" l="1"/>
  <c r="N160" l="1"/>
  <c r="O160" l="1"/>
  <c r="P160" l="1"/>
  <c r="Q160" l="1"/>
  <c r="R160" l="1"/>
  <c r="S160" l="1"/>
  <c r="T160" l="1"/>
  <c r="U160" l="1"/>
  <c r="V160" l="1"/>
  <c r="W160" l="1"/>
  <c r="X160" l="1"/>
  <c r="B8" i="30" l="1"/>
  <c r="B15" s="1"/>
  <c r="B29" s="1"/>
  <c r="B7"/>
  <c r="B6"/>
  <c r="B5"/>
  <c r="B19" s="1"/>
  <c r="B4"/>
  <c r="E13" i="26"/>
  <c r="D13"/>
  <c r="C13"/>
  <c r="E12"/>
  <c r="D12"/>
  <c r="C12"/>
  <c r="D117" i="31"/>
  <c r="C117"/>
  <c r="D116"/>
  <c r="K116" s="1"/>
  <c r="J7" i="30" s="1"/>
  <c r="C116" i="31"/>
  <c r="D115"/>
  <c r="C115"/>
  <c r="D114"/>
  <c r="K114" s="1"/>
  <c r="J5" i="30" s="1"/>
  <c r="C114" i="31"/>
  <c r="D113"/>
  <c r="C113"/>
  <c r="G7"/>
  <c r="F7"/>
  <c r="E7"/>
  <c r="D7"/>
  <c r="D8" s="1"/>
  <c r="N36" s="1"/>
  <c r="M47" s="1"/>
  <c r="M48" s="1"/>
  <c r="M49" s="1"/>
  <c r="M50" s="1"/>
  <c r="M51" s="1"/>
  <c r="C7"/>
  <c r="G6"/>
  <c r="F6"/>
  <c r="E6"/>
  <c r="D6"/>
  <c r="C6"/>
  <c r="H9" i="32"/>
  <c r="G9"/>
  <c r="F9"/>
  <c r="E9"/>
  <c r="D9"/>
  <c r="C9"/>
  <c r="H8"/>
  <c r="G8"/>
  <c r="F8"/>
  <c r="E8"/>
  <c r="D8"/>
  <c r="C8"/>
  <c r="E7" i="33"/>
  <c r="D7"/>
  <c r="C7"/>
  <c r="E6"/>
  <c r="D6"/>
  <c r="C6"/>
  <c r="I85"/>
  <c r="H85"/>
  <c r="G85"/>
  <c r="F85"/>
  <c r="E85"/>
  <c r="M81"/>
  <c r="M80"/>
  <c r="M79"/>
  <c r="M78"/>
  <c r="G78"/>
  <c r="F78"/>
  <c r="E78"/>
  <c r="H78" s="1"/>
  <c r="M77"/>
  <c r="G77"/>
  <c r="F77"/>
  <c r="E77"/>
  <c r="H76"/>
  <c r="G76"/>
  <c r="M76" s="1"/>
  <c r="F76"/>
  <c r="E76"/>
  <c r="M75"/>
  <c r="H75"/>
  <c r="G75"/>
  <c r="F75"/>
  <c r="E75"/>
  <c r="H74"/>
  <c r="G74"/>
  <c r="M74" s="1"/>
  <c r="F74"/>
  <c r="E74"/>
  <c r="M73"/>
  <c r="H73"/>
  <c r="G73"/>
  <c r="F73"/>
  <c r="E73"/>
  <c r="M72"/>
  <c r="G72"/>
  <c r="F72"/>
  <c r="E72"/>
  <c r="M71"/>
  <c r="H71"/>
  <c r="G71"/>
  <c r="F71"/>
  <c r="E71"/>
  <c r="M69"/>
  <c r="I59"/>
  <c r="H59"/>
  <c r="G59"/>
  <c r="F59"/>
  <c r="E59"/>
  <c r="M55"/>
  <c r="M54"/>
  <c r="M53"/>
  <c r="M52"/>
  <c r="G52"/>
  <c r="F52"/>
  <c r="E52"/>
  <c r="M51"/>
  <c r="H51"/>
  <c r="G51"/>
  <c r="F51"/>
  <c r="E51"/>
  <c r="H50"/>
  <c r="G50"/>
  <c r="M50" s="1"/>
  <c r="F50"/>
  <c r="E50"/>
  <c r="H49"/>
  <c r="G49"/>
  <c r="M49" s="1"/>
  <c r="F49"/>
  <c r="E49"/>
  <c r="M48"/>
  <c r="H48"/>
  <c r="G48"/>
  <c r="F48"/>
  <c r="E48"/>
  <c r="H47"/>
  <c r="G47"/>
  <c r="M47" s="1"/>
  <c r="F47"/>
  <c r="E47"/>
  <c r="M46"/>
  <c r="G46"/>
  <c r="F46"/>
  <c r="E46"/>
  <c r="H46" s="1"/>
  <c r="M45"/>
  <c r="G45"/>
  <c r="F45"/>
  <c r="E45"/>
  <c r="M43"/>
  <c r="I33"/>
  <c r="H33"/>
  <c r="G33"/>
  <c r="F33"/>
  <c r="E33"/>
  <c r="M29"/>
  <c r="M28"/>
  <c r="M27"/>
  <c r="H26"/>
  <c r="G26"/>
  <c r="M26" s="1"/>
  <c r="F26"/>
  <c r="E26"/>
  <c r="M25"/>
  <c r="G25"/>
  <c r="F25"/>
  <c r="E25"/>
  <c r="H25" s="1"/>
  <c r="M24"/>
  <c r="G24"/>
  <c r="F24"/>
  <c r="E24"/>
  <c r="H24" s="1"/>
  <c r="H23"/>
  <c r="G23"/>
  <c r="M23" s="1"/>
  <c r="F23"/>
  <c r="E23"/>
  <c r="H22"/>
  <c r="G22"/>
  <c r="M22" s="1"/>
  <c r="F22"/>
  <c r="E22"/>
  <c r="H21"/>
  <c r="G21"/>
  <c r="F21"/>
  <c r="E21"/>
  <c r="M20"/>
  <c r="H20"/>
  <c r="G20"/>
  <c r="C23" s="1"/>
  <c r="O34" s="1"/>
  <c r="O35" s="1"/>
  <c r="O36" s="1"/>
  <c r="O37" s="1"/>
  <c r="O38" s="1"/>
  <c r="F20"/>
  <c r="E20"/>
  <c r="M19"/>
  <c r="G19"/>
  <c r="F19"/>
  <c r="E19"/>
  <c r="M17"/>
  <c r="I165" i="32"/>
  <c r="H165"/>
  <c r="G165"/>
  <c r="F165"/>
  <c r="E165"/>
  <c r="M161"/>
  <c r="G161"/>
  <c r="F161"/>
  <c r="E161"/>
  <c r="G160"/>
  <c r="M160" s="1"/>
  <c r="F160"/>
  <c r="E160"/>
  <c r="G159"/>
  <c r="M159" s="1"/>
  <c r="F159"/>
  <c r="E159"/>
  <c r="M158"/>
  <c r="G158"/>
  <c r="F158"/>
  <c r="E158"/>
  <c r="H158" s="1"/>
  <c r="M157"/>
  <c r="G157"/>
  <c r="F157"/>
  <c r="E157"/>
  <c r="H157" s="1"/>
  <c r="H156"/>
  <c r="G156"/>
  <c r="M156" s="1"/>
  <c r="F156"/>
  <c r="E156"/>
  <c r="H155"/>
  <c r="G155"/>
  <c r="M155" s="1"/>
  <c r="F155"/>
  <c r="E155"/>
  <c r="M154"/>
  <c r="H154"/>
  <c r="G154"/>
  <c r="F154"/>
  <c r="E154"/>
  <c r="H153"/>
  <c r="G153"/>
  <c r="M153" s="1"/>
  <c r="F153"/>
  <c r="E153"/>
  <c r="M152"/>
  <c r="G152"/>
  <c r="F152"/>
  <c r="E152"/>
  <c r="H152" s="1"/>
  <c r="M151"/>
  <c r="G151"/>
  <c r="F151"/>
  <c r="E151"/>
  <c r="M149"/>
  <c r="I139"/>
  <c r="H139"/>
  <c r="G139"/>
  <c r="F139"/>
  <c r="E139"/>
  <c r="G135"/>
  <c r="M135" s="1"/>
  <c r="F135"/>
  <c r="E135"/>
  <c r="G134"/>
  <c r="M134" s="1"/>
  <c r="F134"/>
  <c r="E134"/>
  <c r="M133"/>
  <c r="G133"/>
  <c r="F133"/>
  <c r="E133"/>
  <c r="H132"/>
  <c r="G132"/>
  <c r="M132" s="1"/>
  <c r="F132"/>
  <c r="E132"/>
  <c r="M131"/>
  <c r="G131"/>
  <c r="F131"/>
  <c r="E131"/>
  <c r="H131" s="1"/>
  <c r="M130"/>
  <c r="G130"/>
  <c r="F130"/>
  <c r="E130"/>
  <c r="H129"/>
  <c r="G129"/>
  <c r="M129" s="1"/>
  <c r="F129"/>
  <c r="E129"/>
  <c r="H128"/>
  <c r="G128"/>
  <c r="M128" s="1"/>
  <c r="F128"/>
  <c r="E128"/>
  <c r="H127"/>
  <c r="G127"/>
  <c r="F127"/>
  <c r="E127"/>
  <c r="M126"/>
  <c r="H126"/>
  <c r="G126"/>
  <c r="F126"/>
  <c r="E126"/>
  <c r="M125"/>
  <c r="G125"/>
  <c r="F125"/>
  <c r="E125"/>
  <c r="H125" s="1"/>
  <c r="M123"/>
  <c r="I113"/>
  <c r="H113"/>
  <c r="G113"/>
  <c r="F113"/>
  <c r="E113"/>
  <c r="G109"/>
  <c r="M109" s="1"/>
  <c r="F109"/>
  <c r="E109"/>
  <c r="G108"/>
  <c r="M108" s="1"/>
  <c r="F108"/>
  <c r="E108"/>
  <c r="M107"/>
  <c r="G107"/>
  <c r="F107"/>
  <c r="E107"/>
  <c r="H106"/>
  <c r="G106"/>
  <c r="M106" s="1"/>
  <c r="F106"/>
  <c r="E106"/>
  <c r="H105"/>
  <c r="G105"/>
  <c r="M105" s="1"/>
  <c r="F105"/>
  <c r="E105"/>
  <c r="M104"/>
  <c r="G104"/>
  <c r="F104"/>
  <c r="E104"/>
  <c r="H104" s="1"/>
  <c r="M103"/>
  <c r="G103"/>
  <c r="F103"/>
  <c r="E103"/>
  <c r="H103" s="1"/>
  <c r="M102"/>
  <c r="G102"/>
  <c r="F102"/>
  <c r="E102"/>
  <c r="H102" s="1"/>
  <c r="M101"/>
  <c r="H101"/>
  <c r="G101"/>
  <c r="F101"/>
  <c r="E101"/>
  <c r="H100"/>
  <c r="G100"/>
  <c r="M100" s="1"/>
  <c r="F100"/>
  <c r="E100"/>
  <c r="H99"/>
  <c r="G99"/>
  <c r="M99" s="1"/>
  <c r="F99"/>
  <c r="E99"/>
  <c r="M97"/>
  <c r="I87"/>
  <c r="H87"/>
  <c r="G87"/>
  <c r="F87"/>
  <c r="E87"/>
  <c r="M83"/>
  <c r="G83"/>
  <c r="F83"/>
  <c r="E83"/>
  <c r="M82"/>
  <c r="G82"/>
  <c r="F82"/>
  <c r="E82"/>
  <c r="G81"/>
  <c r="M81" s="1"/>
  <c r="F81"/>
  <c r="E81"/>
  <c r="M80"/>
  <c r="H80"/>
  <c r="G80"/>
  <c r="F80"/>
  <c r="E80"/>
  <c r="H79"/>
  <c r="G79"/>
  <c r="M79" s="1"/>
  <c r="F79"/>
  <c r="E79"/>
  <c r="H78"/>
  <c r="G78"/>
  <c r="M78" s="1"/>
  <c r="F78"/>
  <c r="E78"/>
  <c r="M77"/>
  <c r="G77"/>
  <c r="F77"/>
  <c r="E77"/>
  <c r="H77" s="1"/>
  <c r="M76"/>
  <c r="G76"/>
  <c r="F76"/>
  <c r="E76"/>
  <c r="H76" s="1"/>
  <c r="M75"/>
  <c r="G75"/>
  <c r="F75"/>
  <c r="E75"/>
  <c r="M74"/>
  <c r="H74"/>
  <c r="G74"/>
  <c r="F74"/>
  <c r="E74"/>
  <c r="H73"/>
  <c r="G73"/>
  <c r="M73" s="1"/>
  <c r="F73"/>
  <c r="E73"/>
  <c r="M71"/>
  <c r="I61"/>
  <c r="H61"/>
  <c r="G61"/>
  <c r="F61"/>
  <c r="E61"/>
  <c r="H57"/>
  <c r="G57"/>
  <c r="M57" s="1"/>
  <c r="F57"/>
  <c r="E57"/>
  <c r="M56"/>
  <c r="G56"/>
  <c r="F56"/>
  <c r="E56"/>
  <c r="H56" s="1"/>
  <c r="M55"/>
  <c r="G55"/>
  <c r="F55"/>
  <c r="E55"/>
  <c r="H54"/>
  <c r="G54"/>
  <c r="M54" s="1"/>
  <c r="F54"/>
  <c r="E54"/>
  <c r="M53"/>
  <c r="H53"/>
  <c r="G53"/>
  <c r="F53"/>
  <c r="E53"/>
  <c r="M52"/>
  <c r="G52"/>
  <c r="F52"/>
  <c r="E52"/>
  <c r="H52" s="1"/>
  <c r="M51"/>
  <c r="H51"/>
  <c r="G51"/>
  <c r="F51"/>
  <c r="E51"/>
  <c r="M50"/>
  <c r="H50"/>
  <c r="G50"/>
  <c r="F50"/>
  <c r="E50"/>
  <c r="M49"/>
  <c r="G49"/>
  <c r="F49"/>
  <c r="E49"/>
  <c r="H48"/>
  <c r="G48"/>
  <c r="M48" s="1"/>
  <c r="F48"/>
  <c r="E48"/>
  <c r="M47"/>
  <c r="H47"/>
  <c r="G47"/>
  <c r="F47"/>
  <c r="E47"/>
  <c r="M45"/>
  <c r="I35"/>
  <c r="H35"/>
  <c r="G35"/>
  <c r="F35"/>
  <c r="E35"/>
  <c r="M31"/>
  <c r="G31"/>
  <c r="F31"/>
  <c r="E31"/>
  <c r="H31" s="1"/>
  <c r="M30"/>
  <c r="G30"/>
  <c r="F30"/>
  <c r="E30"/>
  <c r="H29"/>
  <c r="G29"/>
  <c r="M29" s="1"/>
  <c r="F29"/>
  <c r="E29"/>
  <c r="M28"/>
  <c r="H28"/>
  <c r="G28"/>
  <c r="F28"/>
  <c r="E28"/>
  <c r="M27"/>
  <c r="G27"/>
  <c r="F27"/>
  <c r="E27"/>
  <c r="H27" s="1"/>
  <c r="M26"/>
  <c r="G26"/>
  <c r="F26"/>
  <c r="E26"/>
  <c r="H26" s="1"/>
  <c r="H25"/>
  <c r="G25"/>
  <c r="M25" s="1"/>
  <c r="F25"/>
  <c r="E25"/>
  <c r="H24"/>
  <c r="G24"/>
  <c r="F24"/>
  <c r="E24"/>
  <c r="H23"/>
  <c r="G23"/>
  <c r="M23" s="1"/>
  <c r="F23"/>
  <c r="E23"/>
  <c r="H22"/>
  <c r="G22"/>
  <c r="M22" s="1"/>
  <c r="F22"/>
  <c r="E22"/>
  <c r="M21"/>
  <c r="G21"/>
  <c r="F21"/>
  <c r="E21"/>
  <c r="H21" s="1"/>
  <c r="M19"/>
  <c r="I117" i="31"/>
  <c r="H117"/>
  <c r="I116"/>
  <c r="H116"/>
  <c r="K115"/>
  <c r="J6" i="30" s="1"/>
  <c r="G115" i="31"/>
  <c r="E115"/>
  <c r="I114"/>
  <c r="H114"/>
  <c r="I113"/>
  <c r="E113"/>
  <c r="I112"/>
  <c r="H112"/>
  <c r="G112"/>
  <c r="F112"/>
  <c r="E112"/>
  <c r="G110"/>
  <c r="M110" s="1"/>
  <c r="F110"/>
  <c r="E110"/>
  <c r="M109"/>
  <c r="G109"/>
  <c r="F109"/>
  <c r="E109"/>
  <c r="M108"/>
  <c r="G108"/>
  <c r="F108"/>
  <c r="E108"/>
  <c r="M107"/>
  <c r="M106"/>
  <c r="G106"/>
  <c r="F106"/>
  <c r="E106"/>
  <c r="H106" s="1"/>
  <c r="M105"/>
  <c r="G105"/>
  <c r="F105"/>
  <c r="E105"/>
  <c r="H105" s="1"/>
  <c r="M104"/>
  <c r="G104"/>
  <c r="F104"/>
  <c r="E104"/>
  <c r="G103"/>
  <c r="M103" s="1"/>
  <c r="F103"/>
  <c r="E103"/>
  <c r="H102"/>
  <c r="G102"/>
  <c r="M102" s="1"/>
  <c r="F102"/>
  <c r="E102"/>
  <c r="M100"/>
  <c r="I90"/>
  <c r="H90"/>
  <c r="G90"/>
  <c r="F90"/>
  <c r="E90"/>
  <c r="M88"/>
  <c r="G88"/>
  <c r="F88"/>
  <c r="E88"/>
  <c r="M87"/>
  <c r="G87"/>
  <c r="F87"/>
  <c r="E87"/>
  <c r="M86"/>
  <c r="G86"/>
  <c r="F86"/>
  <c r="E86"/>
  <c r="H86" s="1"/>
  <c r="H85"/>
  <c r="G85"/>
  <c r="M85" s="1"/>
  <c r="F85"/>
  <c r="E85"/>
  <c r="H84"/>
  <c r="G84"/>
  <c r="M84" s="1"/>
  <c r="F84"/>
  <c r="E84"/>
  <c r="H83"/>
  <c r="G83"/>
  <c r="M83" s="1"/>
  <c r="F83"/>
  <c r="E83"/>
  <c r="H82"/>
  <c r="G82"/>
  <c r="M82" s="1"/>
  <c r="F82"/>
  <c r="E82"/>
  <c r="M81"/>
  <c r="G81"/>
  <c r="F81"/>
  <c r="E81"/>
  <c r="M80"/>
  <c r="G80"/>
  <c r="F80"/>
  <c r="E80"/>
  <c r="H80" s="1"/>
  <c r="M78"/>
  <c r="I68"/>
  <c r="H68"/>
  <c r="G68"/>
  <c r="F68"/>
  <c r="E68"/>
  <c r="M66"/>
  <c r="M65"/>
  <c r="G65"/>
  <c r="F65"/>
  <c r="E65"/>
  <c r="M64"/>
  <c r="G64"/>
  <c r="F64"/>
  <c r="E64"/>
  <c r="H64" s="1"/>
  <c r="H63"/>
  <c r="G63"/>
  <c r="M63" s="1"/>
  <c r="F63"/>
  <c r="E63"/>
  <c r="H62"/>
  <c r="G62"/>
  <c r="M62" s="1"/>
  <c r="F62"/>
  <c r="E62"/>
  <c r="H61"/>
  <c r="G61"/>
  <c r="M61" s="1"/>
  <c r="F61"/>
  <c r="E61"/>
  <c r="H60"/>
  <c r="G60"/>
  <c r="M60" s="1"/>
  <c r="F60"/>
  <c r="E60"/>
  <c r="M59"/>
  <c r="G59"/>
  <c r="F59"/>
  <c r="E59"/>
  <c r="M58"/>
  <c r="G58"/>
  <c r="F58"/>
  <c r="E58"/>
  <c r="H58" s="1"/>
  <c r="M56"/>
  <c r="I46"/>
  <c r="H46"/>
  <c r="G46"/>
  <c r="F46"/>
  <c r="E46"/>
  <c r="H44"/>
  <c r="G44"/>
  <c r="M44" s="1"/>
  <c r="F44"/>
  <c r="E44"/>
  <c r="H43"/>
  <c r="G43"/>
  <c r="M43" s="1"/>
  <c r="F43"/>
  <c r="E43"/>
  <c r="G42"/>
  <c r="M42" s="1"/>
  <c r="F42"/>
  <c r="E42"/>
  <c r="M41"/>
  <c r="G41"/>
  <c r="F41"/>
  <c r="E41"/>
  <c r="H41" s="1"/>
  <c r="G40"/>
  <c r="M40" s="1"/>
  <c r="F40"/>
  <c r="E40"/>
  <c r="G39"/>
  <c r="M39" s="1"/>
  <c r="F39"/>
  <c r="E39"/>
  <c r="H39" s="1"/>
  <c r="H38"/>
  <c r="G38"/>
  <c r="M38" s="1"/>
  <c r="F38"/>
  <c r="E38"/>
  <c r="H37"/>
  <c r="G37"/>
  <c r="M37" s="1"/>
  <c r="F37"/>
  <c r="E37"/>
  <c r="G36"/>
  <c r="M36" s="1"/>
  <c r="F36"/>
  <c r="E36"/>
  <c r="M34"/>
  <c r="I24"/>
  <c r="H24"/>
  <c r="G24"/>
  <c r="F24"/>
  <c r="E24"/>
  <c r="M21"/>
  <c r="G21"/>
  <c r="F21"/>
  <c r="E21"/>
  <c r="G20"/>
  <c r="M20" s="1"/>
  <c r="F20"/>
  <c r="E20"/>
  <c r="H20" s="1"/>
  <c r="H19"/>
  <c r="G19"/>
  <c r="M19" s="1"/>
  <c r="F19"/>
  <c r="E19"/>
  <c r="M18"/>
  <c r="G18"/>
  <c r="F18"/>
  <c r="E18"/>
  <c r="M17"/>
  <c r="G17"/>
  <c r="F17"/>
  <c r="E17"/>
  <c r="G16"/>
  <c r="M16" s="1"/>
  <c r="F16"/>
  <c r="E16"/>
  <c r="M15"/>
  <c r="G15"/>
  <c r="F15"/>
  <c r="E15"/>
  <c r="H15" s="1"/>
  <c r="H14"/>
  <c r="G14"/>
  <c r="M14" s="1"/>
  <c r="F14"/>
  <c r="E14"/>
  <c r="M12"/>
  <c r="E5"/>
  <c r="D5"/>
  <c r="G4"/>
  <c r="G5" s="1"/>
  <c r="G8" s="1"/>
  <c r="N102" s="1"/>
  <c r="F4"/>
  <c r="F5" s="1"/>
  <c r="F8" s="1"/>
  <c r="N80" s="1"/>
  <c r="E4"/>
  <c r="D4"/>
  <c r="C4"/>
  <c r="C5" s="1"/>
  <c r="C8" s="1"/>
  <c r="N14" s="1"/>
  <c r="B12" i="30"/>
  <c r="B26" s="1"/>
  <c r="B14"/>
  <c r="B28" s="1"/>
  <c r="B21"/>
  <c r="M25"/>
  <c r="S26"/>
  <c r="O27"/>
  <c r="O28"/>
  <c r="P29"/>
  <c r="P50" i="27"/>
  <c r="O50"/>
  <c r="N50"/>
  <c r="M50"/>
  <c r="P49"/>
  <c r="O49"/>
  <c r="N49"/>
  <c r="M49"/>
  <c r="P48"/>
  <c r="O48"/>
  <c r="N48"/>
  <c r="M48"/>
  <c r="P47"/>
  <c r="O47"/>
  <c r="N47"/>
  <c r="P46"/>
  <c r="O46"/>
  <c r="N46"/>
  <c r="P45"/>
  <c r="O45"/>
  <c r="N45"/>
  <c r="P44"/>
  <c r="O44"/>
  <c r="N44"/>
  <c r="P43"/>
  <c r="O43"/>
  <c r="N43"/>
  <c r="M43"/>
  <c r="P42"/>
  <c r="O42"/>
  <c r="N42"/>
  <c r="P41"/>
  <c r="O41"/>
  <c r="N41"/>
  <c r="P40"/>
  <c r="O40"/>
  <c r="N40"/>
  <c r="P39"/>
  <c r="O39"/>
  <c r="N39"/>
  <c r="M39"/>
  <c r="P38"/>
  <c r="O38"/>
  <c r="N38"/>
  <c r="P37"/>
  <c r="O37"/>
  <c r="N37"/>
  <c r="M37"/>
  <c r="P36"/>
  <c r="O36"/>
  <c r="N36"/>
  <c r="M36"/>
  <c r="P35"/>
  <c r="O35"/>
  <c r="N35"/>
  <c r="M35"/>
  <c r="P34"/>
  <c r="O34"/>
  <c r="N34"/>
  <c r="M34"/>
  <c r="P33"/>
  <c r="O33"/>
  <c r="N33"/>
  <c r="M33"/>
  <c r="P32"/>
  <c r="O32"/>
  <c r="N32"/>
  <c r="M32"/>
  <c r="P31"/>
  <c r="O31"/>
  <c r="N31"/>
  <c r="M31"/>
  <c r="P30"/>
  <c r="O30"/>
  <c r="N30"/>
  <c r="M30"/>
  <c r="P29"/>
  <c r="O29"/>
  <c r="N29"/>
  <c r="M29"/>
  <c r="P28"/>
  <c r="O28"/>
  <c r="N28"/>
  <c r="M28"/>
  <c r="P27"/>
  <c r="O27"/>
  <c r="N27"/>
  <c r="M27"/>
  <c r="P26"/>
  <c r="O26"/>
  <c r="N26"/>
  <c r="M26"/>
  <c r="P25"/>
  <c r="O25"/>
  <c r="N25"/>
  <c r="M25"/>
  <c r="P24"/>
  <c r="O24"/>
  <c r="N24"/>
  <c r="M24"/>
  <c r="P23"/>
  <c r="O23"/>
  <c r="N23"/>
  <c r="M23"/>
  <c r="P22"/>
  <c r="O22"/>
  <c r="N22"/>
  <c r="M22"/>
  <c r="P21"/>
  <c r="O21"/>
  <c r="N21"/>
  <c r="M21"/>
  <c r="P20"/>
  <c r="O20"/>
  <c r="N20"/>
  <c r="M20"/>
  <c r="P19"/>
  <c r="O19"/>
  <c r="N19"/>
  <c r="M19"/>
  <c r="P18"/>
  <c r="O18"/>
  <c r="N18"/>
  <c r="M18"/>
  <c r="P17"/>
  <c r="O17"/>
  <c r="N17"/>
  <c r="P16"/>
  <c r="O16"/>
  <c r="N16"/>
  <c r="P15"/>
  <c r="O15"/>
  <c r="N15"/>
  <c r="M15"/>
  <c r="P14"/>
  <c r="O14"/>
  <c r="N14"/>
  <c r="M14"/>
  <c r="P13"/>
  <c r="O13"/>
  <c r="N13"/>
  <c r="M13"/>
  <c r="P12"/>
  <c r="O12"/>
  <c r="N12"/>
  <c r="M12"/>
  <c r="P11"/>
  <c r="O11"/>
  <c r="N11"/>
  <c r="P10"/>
  <c r="O10"/>
  <c r="N10"/>
  <c r="P9"/>
  <c r="N9"/>
  <c r="L85" i="26"/>
  <c r="L84"/>
  <c r="L83"/>
  <c r="L82"/>
  <c r="L81"/>
  <c r="I69"/>
  <c r="H69"/>
  <c r="G69"/>
  <c r="F69"/>
  <c r="E69"/>
  <c r="L67"/>
  <c r="L66"/>
  <c r="H66"/>
  <c r="G66"/>
  <c r="K67" s="1"/>
  <c r="M67" s="1"/>
  <c r="F66"/>
  <c r="E66"/>
  <c r="H65"/>
  <c r="G65"/>
  <c r="F65"/>
  <c r="E65"/>
  <c r="L64"/>
  <c r="H64"/>
  <c r="G64"/>
  <c r="K64" s="1"/>
  <c r="M64" s="1"/>
  <c r="F64"/>
  <c r="E64"/>
  <c r="L65" s="1"/>
  <c r="M63"/>
  <c r="K63"/>
  <c r="H63"/>
  <c r="G63"/>
  <c r="F63"/>
  <c r="E63"/>
  <c r="K62"/>
  <c r="G62"/>
  <c r="F62"/>
  <c r="E62"/>
  <c r="L63" s="1"/>
  <c r="G61"/>
  <c r="F61"/>
  <c r="E61"/>
  <c r="I49"/>
  <c r="H49"/>
  <c r="G49"/>
  <c r="F49"/>
  <c r="E49"/>
  <c r="L47"/>
  <c r="H47"/>
  <c r="G47"/>
  <c r="K47" s="1"/>
  <c r="M47" s="1"/>
  <c r="F47"/>
  <c r="E47"/>
  <c r="L46"/>
  <c r="H46"/>
  <c r="G46"/>
  <c r="K46" s="1"/>
  <c r="M46" s="1"/>
  <c r="F46"/>
  <c r="E46"/>
  <c r="K45"/>
  <c r="H45"/>
  <c r="G45"/>
  <c r="F45"/>
  <c r="E45"/>
  <c r="G44"/>
  <c r="K44" s="1"/>
  <c r="F44"/>
  <c r="E44"/>
  <c r="H44" s="1"/>
  <c r="K43"/>
  <c r="G43"/>
  <c r="F43"/>
  <c r="E43"/>
  <c r="H43" s="1"/>
  <c r="H42"/>
  <c r="G42"/>
  <c r="F42"/>
  <c r="E42"/>
  <c r="G41"/>
  <c r="K42" s="1"/>
  <c r="F41"/>
  <c r="E41"/>
  <c r="I29"/>
  <c r="H29"/>
  <c r="G29"/>
  <c r="F29"/>
  <c r="E29"/>
  <c r="K27"/>
  <c r="H27"/>
  <c r="G27"/>
  <c r="F27"/>
  <c r="E27"/>
  <c r="M26"/>
  <c r="K26"/>
  <c r="H26"/>
  <c r="G26"/>
  <c r="F26"/>
  <c r="E26"/>
  <c r="K25"/>
  <c r="G25"/>
  <c r="F25"/>
  <c r="E25"/>
  <c r="L26" s="1"/>
  <c r="K24"/>
  <c r="G24"/>
  <c r="F24"/>
  <c r="E24"/>
  <c r="L24" s="1"/>
  <c r="L23"/>
  <c r="H23"/>
  <c r="G23"/>
  <c r="F23"/>
  <c r="E23"/>
  <c r="H22"/>
  <c r="G22"/>
  <c r="K23" s="1"/>
  <c r="M23" s="1"/>
  <c r="F22"/>
  <c r="E22"/>
  <c r="H21"/>
  <c r="G21"/>
  <c r="F21"/>
  <c r="E21"/>
  <c r="L22" s="1"/>
  <c r="E11"/>
  <c r="C11"/>
  <c r="E10"/>
  <c r="D10"/>
  <c r="D11" s="1"/>
  <c r="D14" s="1"/>
  <c r="C10"/>
  <c r="E7" i="25"/>
  <c r="D7"/>
  <c r="C7"/>
  <c r="B7"/>
  <c r="Q2577" i="24"/>
  <c r="P2577"/>
  <c r="O2577"/>
  <c r="Q2576"/>
  <c r="P2576"/>
  <c r="O2576"/>
  <c r="Q2575"/>
  <c r="P2575"/>
  <c r="O2575"/>
  <c r="Q2574"/>
  <c r="P2574"/>
  <c r="O2574"/>
  <c r="Q2573"/>
  <c r="P2573"/>
  <c r="O2573"/>
  <c r="Q2572"/>
  <c r="P2572"/>
  <c r="O2572"/>
  <c r="Q2571"/>
  <c r="P2571"/>
  <c r="O2571"/>
  <c r="Q2570"/>
  <c r="P2570"/>
  <c r="O2570"/>
  <c r="Q2569"/>
  <c r="P2569"/>
  <c r="O2569"/>
  <c r="Q2568"/>
  <c r="P2568"/>
  <c r="O2568"/>
  <c r="Q2567"/>
  <c r="P2567"/>
  <c r="O2567"/>
  <c r="Q2566"/>
  <c r="P2566"/>
  <c r="O2566"/>
  <c r="Q2565"/>
  <c r="P2565"/>
  <c r="O2565"/>
  <c r="Q2564"/>
  <c r="P2564"/>
  <c r="O2564"/>
  <c r="Q2563"/>
  <c r="P2563"/>
  <c r="O2563"/>
  <c r="Q2562"/>
  <c r="P2562"/>
  <c r="O2562"/>
  <c r="Q2561"/>
  <c r="P2561"/>
  <c r="O2561"/>
  <c r="Q2560"/>
  <c r="P2560"/>
  <c r="O2560"/>
  <c r="Q2559"/>
  <c r="P2559"/>
  <c r="O2559"/>
  <c r="Q2558"/>
  <c r="P2558"/>
  <c r="O2558"/>
  <c r="Q2557"/>
  <c r="P2557"/>
  <c r="O2557"/>
  <c r="Q2556"/>
  <c r="P2556"/>
  <c r="O2556"/>
  <c r="Q2555"/>
  <c r="P2555"/>
  <c r="O2555"/>
  <c r="Q2554"/>
  <c r="P2554"/>
  <c r="O2554"/>
  <c r="Q2553"/>
  <c r="P2553"/>
  <c r="O2553"/>
  <c r="Q2552"/>
  <c r="P2552"/>
  <c r="O2552"/>
  <c r="Q2551"/>
  <c r="P2551"/>
  <c r="O2551"/>
  <c r="Q2550"/>
  <c r="P2550"/>
  <c r="O2550"/>
  <c r="Q2549"/>
  <c r="P2549"/>
  <c r="O2549"/>
  <c r="Q2548"/>
  <c r="P2548"/>
  <c r="O2548"/>
  <c r="Q2547"/>
  <c r="P2547"/>
  <c r="O2547"/>
  <c r="Q2546"/>
  <c r="P2546"/>
  <c r="O2546"/>
  <c r="Q2545"/>
  <c r="P2545"/>
  <c r="O2545"/>
  <c r="Q2544"/>
  <c r="P2544"/>
  <c r="O2544"/>
  <c r="Q2543"/>
  <c r="P2543"/>
  <c r="O2543"/>
  <c r="Q2542"/>
  <c r="P2542"/>
  <c r="O2542"/>
  <c r="Q2541"/>
  <c r="P2541"/>
  <c r="O2541"/>
  <c r="Q2540"/>
  <c r="P2540"/>
  <c r="O2540"/>
  <c r="Q2539"/>
  <c r="P2539"/>
  <c r="O2539"/>
  <c r="Q2538"/>
  <c r="P2538"/>
  <c r="O2538"/>
  <c r="Q2537"/>
  <c r="P2537"/>
  <c r="O2537"/>
  <c r="Q2536"/>
  <c r="P2536"/>
  <c r="O2536"/>
  <c r="Q2535"/>
  <c r="P2535"/>
  <c r="O2535"/>
  <c r="Q2534"/>
  <c r="P2534"/>
  <c r="O2534"/>
  <c r="Q2533"/>
  <c r="P2533"/>
  <c r="O2533"/>
  <c r="Q2532"/>
  <c r="P2532"/>
  <c r="O2532"/>
  <c r="Q2531"/>
  <c r="P2531"/>
  <c r="O2531"/>
  <c r="Q2530"/>
  <c r="P2530"/>
  <c r="O2530"/>
  <c r="Q2529"/>
  <c r="P2529"/>
  <c r="O2529"/>
  <c r="Q2528"/>
  <c r="P2528"/>
  <c r="O2528"/>
  <c r="Q2527"/>
  <c r="P2527"/>
  <c r="O2527"/>
  <c r="Q2526"/>
  <c r="P2526"/>
  <c r="O2526"/>
  <c r="Q2525"/>
  <c r="P2525"/>
  <c r="O2525"/>
  <c r="Q2524"/>
  <c r="P2524"/>
  <c r="O2524"/>
  <c r="Q2523"/>
  <c r="P2523"/>
  <c r="O2523"/>
  <c r="Q2522"/>
  <c r="P2522"/>
  <c r="O2522"/>
  <c r="Q2521"/>
  <c r="P2521"/>
  <c r="O2521"/>
  <c r="Q2520"/>
  <c r="P2520"/>
  <c r="O2520"/>
  <c r="Q2519"/>
  <c r="P2519"/>
  <c r="O2519"/>
  <c r="Q2518"/>
  <c r="P2518"/>
  <c r="O2518"/>
  <c r="Q2517"/>
  <c r="P2517"/>
  <c r="O2517"/>
  <c r="Q2516"/>
  <c r="P2516"/>
  <c r="O2516"/>
  <c r="Q2515"/>
  <c r="P2515"/>
  <c r="O2515"/>
  <c r="Q2514"/>
  <c r="P2514"/>
  <c r="O2514"/>
  <c r="Q2513"/>
  <c r="P2513"/>
  <c r="O2513"/>
  <c r="Q2512"/>
  <c r="P2512"/>
  <c r="O2512"/>
  <c r="Q2511"/>
  <c r="P2511"/>
  <c r="O2511"/>
  <c r="Q2510"/>
  <c r="P2510"/>
  <c r="O2510"/>
  <c r="Q2509"/>
  <c r="P2509"/>
  <c r="O2509"/>
  <c r="Q2508"/>
  <c r="P2508"/>
  <c r="O2508"/>
  <c r="Q2507"/>
  <c r="P2507"/>
  <c r="O2507"/>
  <c r="Q2506"/>
  <c r="P2506"/>
  <c r="O2506"/>
  <c r="Q2505"/>
  <c r="P2505"/>
  <c r="O2505"/>
  <c r="Q2504"/>
  <c r="P2504"/>
  <c r="O2504"/>
  <c r="Q2503"/>
  <c r="P2503"/>
  <c r="O2503"/>
  <c r="Q2502"/>
  <c r="P2502"/>
  <c r="O2502"/>
  <c r="Q2501"/>
  <c r="P2501"/>
  <c r="O2501"/>
  <c r="Q2500"/>
  <c r="P2500"/>
  <c r="O2500"/>
  <c r="Q2499"/>
  <c r="P2499"/>
  <c r="O2499"/>
  <c r="Q2498"/>
  <c r="P2498"/>
  <c r="O2498"/>
  <c r="Q2497"/>
  <c r="P2497"/>
  <c r="O2497"/>
  <c r="Q2496"/>
  <c r="P2496"/>
  <c r="O2496"/>
  <c r="Q2495"/>
  <c r="P2495"/>
  <c r="O2495"/>
  <c r="Q2494"/>
  <c r="P2494"/>
  <c r="O2494"/>
  <c r="Q2493"/>
  <c r="P2493"/>
  <c r="O2493"/>
  <c r="Q2492"/>
  <c r="P2492"/>
  <c r="O2492"/>
  <c r="Q2491"/>
  <c r="P2491"/>
  <c r="O2491"/>
  <c r="Q2490"/>
  <c r="P2490"/>
  <c r="O2490"/>
  <c r="Q2489"/>
  <c r="P2489"/>
  <c r="O2489"/>
  <c r="Q2488"/>
  <c r="P2488"/>
  <c r="O2488"/>
  <c r="Q2487"/>
  <c r="P2487"/>
  <c r="O2487"/>
  <c r="Q2486"/>
  <c r="P2486"/>
  <c r="O2486"/>
  <c r="Q2485"/>
  <c r="P2485"/>
  <c r="O2485"/>
  <c r="Q2484"/>
  <c r="P2484"/>
  <c r="O2484"/>
  <c r="Q2483"/>
  <c r="P2483"/>
  <c r="O2483"/>
  <c r="Q2482"/>
  <c r="P2482"/>
  <c r="O2482"/>
  <c r="Q2481"/>
  <c r="P2481"/>
  <c r="O2481"/>
  <c r="Q2480"/>
  <c r="P2480"/>
  <c r="O2480"/>
  <c r="Q2479"/>
  <c r="P2479"/>
  <c r="O2479"/>
  <c r="Q2478"/>
  <c r="P2478"/>
  <c r="O2478"/>
  <c r="Q2477"/>
  <c r="P2477"/>
  <c r="O2477"/>
  <c r="Q2476"/>
  <c r="P2476"/>
  <c r="O2476"/>
  <c r="Q2475"/>
  <c r="P2475"/>
  <c r="O2475"/>
  <c r="Q2474"/>
  <c r="P2474"/>
  <c r="O2474"/>
  <c r="Q2473"/>
  <c r="P2473"/>
  <c r="O2473"/>
  <c r="Q2472"/>
  <c r="P2472"/>
  <c r="O2472"/>
  <c r="Q2471"/>
  <c r="P2471"/>
  <c r="O2471"/>
  <c r="Q2470"/>
  <c r="P2470"/>
  <c r="O2470"/>
  <c r="Q2469"/>
  <c r="P2469"/>
  <c r="O2469"/>
  <c r="Q2468"/>
  <c r="P2468"/>
  <c r="O2468"/>
  <c r="Q2467"/>
  <c r="P2467"/>
  <c r="O2467"/>
  <c r="Q2466"/>
  <c r="P2466"/>
  <c r="O2466"/>
  <c r="Q2465"/>
  <c r="P2465"/>
  <c r="O2465"/>
  <c r="Q2464"/>
  <c r="P2464"/>
  <c r="O2464"/>
  <c r="Q2463"/>
  <c r="P2463"/>
  <c r="O2463"/>
  <c r="Q2462"/>
  <c r="P2462"/>
  <c r="O2462"/>
  <c r="Q2461"/>
  <c r="P2461"/>
  <c r="O2461"/>
  <c r="Q2460"/>
  <c r="P2460"/>
  <c r="O2460"/>
  <c r="Q2459"/>
  <c r="P2459"/>
  <c r="O2459"/>
  <c r="Q2458"/>
  <c r="P2458"/>
  <c r="O2458"/>
  <c r="Q2457"/>
  <c r="P2457"/>
  <c r="O2457"/>
  <c r="Q2456"/>
  <c r="P2456"/>
  <c r="O2456"/>
  <c r="Q2455"/>
  <c r="P2455"/>
  <c r="O2455"/>
  <c r="Q2454"/>
  <c r="P2454"/>
  <c r="O2454"/>
  <c r="Q2453"/>
  <c r="P2453"/>
  <c r="O2453"/>
  <c r="Q2452"/>
  <c r="P2452"/>
  <c r="O2452"/>
  <c r="Q2451"/>
  <c r="P2451"/>
  <c r="O2451"/>
  <c r="Q2450"/>
  <c r="P2450"/>
  <c r="O2450"/>
  <c r="Q2449"/>
  <c r="P2449"/>
  <c r="O2449"/>
  <c r="Q2448"/>
  <c r="P2448"/>
  <c r="O2448"/>
  <c r="Q2447"/>
  <c r="P2447"/>
  <c r="O2447"/>
  <c r="Q2446"/>
  <c r="P2446"/>
  <c r="O2446"/>
  <c r="Q2445"/>
  <c r="P2445"/>
  <c r="O2445"/>
  <c r="Q2444"/>
  <c r="P2444"/>
  <c r="O2444"/>
  <c r="Q2443"/>
  <c r="P2443"/>
  <c r="O2443"/>
  <c r="Q2442"/>
  <c r="P2442"/>
  <c r="O2442"/>
  <c r="Q2441"/>
  <c r="P2441"/>
  <c r="O2441"/>
  <c r="Q2440"/>
  <c r="P2440"/>
  <c r="O2440"/>
  <c r="Q2439"/>
  <c r="P2439"/>
  <c r="O2439"/>
  <c r="Q2438"/>
  <c r="P2438"/>
  <c r="O2438"/>
  <c r="Q2437"/>
  <c r="P2437"/>
  <c r="O2437"/>
  <c r="Q2436"/>
  <c r="P2436"/>
  <c r="O2436"/>
  <c r="Q2435"/>
  <c r="P2435"/>
  <c r="O2435"/>
  <c r="Q2434"/>
  <c r="P2434"/>
  <c r="O2434"/>
  <c r="Q2433"/>
  <c r="P2433"/>
  <c r="O2433"/>
  <c r="Q2432"/>
  <c r="P2432"/>
  <c r="O2432"/>
  <c r="Q2431"/>
  <c r="P2431"/>
  <c r="O2431"/>
  <c r="Q2430"/>
  <c r="P2430"/>
  <c r="O2430"/>
  <c r="Q2429"/>
  <c r="P2429"/>
  <c r="O2429"/>
  <c r="Q2428"/>
  <c r="P2428"/>
  <c r="O2428"/>
  <c r="Q2427"/>
  <c r="P2427"/>
  <c r="O2427"/>
  <c r="Q2426"/>
  <c r="P2426"/>
  <c r="O2426"/>
  <c r="Q2425"/>
  <c r="P2425"/>
  <c r="O2425"/>
  <c r="Q2424"/>
  <c r="P2424"/>
  <c r="O2424"/>
  <c r="Q2423"/>
  <c r="P2423"/>
  <c r="O2423"/>
  <c r="Q2422"/>
  <c r="P2422"/>
  <c r="O2422"/>
  <c r="Q2421"/>
  <c r="P2421"/>
  <c r="O2421"/>
  <c r="Q2420"/>
  <c r="P2420"/>
  <c r="O2420"/>
  <c r="Q2419"/>
  <c r="P2419"/>
  <c r="O2419"/>
  <c r="Q2418"/>
  <c r="P2418"/>
  <c r="O2418"/>
  <c r="Q2417"/>
  <c r="P2417"/>
  <c r="O2417"/>
  <c r="Q2416"/>
  <c r="P2416"/>
  <c r="O2416"/>
  <c r="Q2415"/>
  <c r="P2415"/>
  <c r="O2415"/>
  <c r="Q2414"/>
  <c r="P2414"/>
  <c r="O2414"/>
  <c r="Q2413"/>
  <c r="P2413"/>
  <c r="O2413"/>
  <c r="Q2412"/>
  <c r="P2412"/>
  <c r="O2412"/>
  <c r="Q2411"/>
  <c r="P2411"/>
  <c r="O2411"/>
  <c r="Q2410"/>
  <c r="P2410"/>
  <c r="O2410"/>
  <c r="Q2409"/>
  <c r="P2409"/>
  <c r="O2409"/>
  <c r="Q2408"/>
  <c r="P2408"/>
  <c r="O2408"/>
  <c r="Q2407"/>
  <c r="P2407"/>
  <c r="O2407"/>
  <c r="Q2406"/>
  <c r="P2406"/>
  <c r="O2406"/>
  <c r="Q2405"/>
  <c r="P2405"/>
  <c r="O2405"/>
  <c r="Q2404"/>
  <c r="P2404"/>
  <c r="O2404"/>
  <c r="Q2403"/>
  <c r="P2403"/>
  <c r="O2403"/>
  <c r="Q2402"/>
  <c r="P2402"/>
  <c r="O2402"/>
  <c r="Q2401"/>
  <c r="P2401"/>
  <c r="O2401"/>
  <c r="Q2400"/>
  <c r="P2400"/>
  <c r="O2400"/>
  <c r="Q2399"/>
  <c r="P2399"/>
  <c r="O2399"/>
  <c r="Q2398"/>
  <c r="P2398"/>
  <c r="O2398"/>
  <c r="Q2397"/>
  <c r="P2397"/>
  <c r="O2397"/>
  <c r="Q2396"/>
  <c r="P2396"/>
  <c r="O2396"/>
  <c r="Q2395"/>
  <c r="P2395"/>
  <c r="O2395"/>
  <c r="Q2394"/>
  <c r="P2394"/>
  <c r="O2394"/>
  <c r="Q2393"/>
  <c r="P2393"/>
  <c r="O2393"/>
  <c r="Q2392"/>
  <c r="P2392"/>
  <c r="O2392"/>
  <c r="Q2391"/>
  <c r="P2391"/>
  <c r="O2391"/>
  <c r="Q2390"/>
  <c r="P2390"/>
  <c r="O2390"/>
  <c r="Q2389"/>
  <c r="P2389"/>
  <c r="O2389"/>
  <c r="Q2388"/>
  <c r="P2388"/>
  <c r="O2388"/>
  <c r="Q2387"/>
  <c r="P2387"/>
  <c r="O2387"/>
  <c r="Q2386"/>
  <c r="P2386"/>
  <c r="O2386"/>
  <c r="Q2385"/>
  <c r="P2385"/>
  <c r="O2385"/>
  <c r="Q2384"/>
  <c r="P2384"/>
  <c r="O2384"/>
  <c r="Q2383"/>
  <c r="P2383"/>
  <c r="O2383"/>
  <c r="Q2382"/>
  <c r="P2382"/>
  <c r="O2382"/>
  <c r="Q2381"/>
  <c r="P2381"/>
  <c r="O2381"/>
  <c r="Q2380"/>
  <c r="P2380"/>
  <c r="O2380"/>
  <c r="Q2379"/>
  <c r="P2379"/>
  <c r="O2379"/>
  <c r="Q2378"/>
  <c r="P2378"/>
  <c r="O2378"/>
  <c r="Q2377"/>
  <c r="P2377"/>
  <c r="O2377"/>
  <c r="Q2376"/>
  <c r="P2376"/>
  <c r="O2376"/>
  <c r="Q2375"/>
  <c r="P2375"/>
  <c r="O2375"/>
  <c r="Q2374"/>
  <c r="P2374"/>
  <c r="O2374"/>
  <c r="Q2373"/>
  <c r="P2373"/>
  <c r="O2373"/>
  <c r="Q2372"/>
  <c r="P2372"/>
  <c r="O2372"/>
  <c r="Q2371"/>
  <c r="P2371"/>
  <c r="O2371"/>
  <c r="Q2370"/>
  <c r="P2370"/>
  <c r="O2370"/>
  <c r="Q2369"/>
  <c r="P2369"/>
  <c r="O2369"/>
  <c r="Q2368"/>
  <c r="P2368"/>
  <c r="O2368"/>
  <c r="Q2367"/>
  <c r="P2367"/>
  <c r="O2367"/>
  <c r="Q2366"/>
  <c r="P2366"/>
  <c r="O2366"/>
  <c r="Q2365"/>
  <c r="P2365"/>
  <c r="O2365"/>
  <c r="Q2364"/>
  <c r="P2364"/>
  <c r="O2364"/>
  <c r="Q2363"/>
  <c r="P2363"/>
  <c r="O2363"/>
  <c r="Q2362"/>
  <c r="P2362"/>
  <c r="O2362"/>
  <c r="Q2361"/>
  <c r="P2361"/>
  <c r="O2361"/>
  <c r="Q2360"/>
  <c r="P2360"/>
  <c r="O2360"/>
  <c r="Q2359"/>
  <c r="P2359"/>
  <c r="O2359"/>
  <c r="Q2358"/>
  <c r="P2358"/>
  <c r="O2358"/>
  <c r="Q2357"/>
  <c r="P2357"/>
  <c r="O2357"/>
  <c r="Q2356"/>
  <c r="P2356"/>
  <c r="O2356"/>
  <c r="Q2355"/>
  <c r="P2355"/>
  <c r="O2355"/>
  <c r="Q2354"/>
  <c r="P2354"/>
  <c r="O2354"/>
  <c r="Q2353"/>
  <c r="P2353"/>
  <c r="O2353"/>
  <c r="Q2352"/>
  <c r="P2352"/>
  <c r="O2352"/>
  <c r="Q2351"/>
  <c r="P2351"/>
  <c r="O2351"/>
  <c r="Q2350"/>
  <c r="P2350"/>
  <c r="O2350"/>
  <c r="Q2349"/>
  <c r="P2349"/>
  <c r="O2349"/>
  <c r="Q2348"/>
  <c r="P2348"/>
  <c r="O2348"/>
  <c r="Q2347"/>
  <c r="P2347"/>
  <c r="O2347"/>
  <c r="Q2346"/>
  <c r="P2346"/>
  <c r="O2346"/>
  <c r="Q2345"/>
  <c r="P2345"/>
  <c r="O2345"/>
  <c r="Q2344"/>
  <c r="P2344"/>
  <c r="O2344"/>
  <c r="Q2343"/>
  <c r="P2343"/>
  <c r="O2343"/>
  <c r="Q2342"/>
  <c r="P2342"/>
  <c r="O2342"/>
  <c r="Q2341"/>
  <c r="P2341"/>
  <c r="O2341"/>
  <c r="Q2340"/>
  <c r="P2340"/>
  <c r="O2340"/>
  <c r="Q2339"/>
  <c r="P2339"/>
  <c r="O2339"/>
  <c r="Q2338"/>
  <c r="P2338"/>
  <c r="O2338"/>
  <c r="Q2337"/>
  <c r="P2337"/>
  <c r="O2337"/>
  <c r="Q2336"/>
  <c r="P2336"/>
  <c r="O2336"/>
  <c r="Q2335"/>
  <c r="P2335"/>
  <c r="O2335"/>
  <c r="Q2334"/>
  <c r="P2334"/>
  <c r="O2334"/>
  <c r="Q2333"/>
  <c r="P2333"/>
  <c r="O2333"/>
  <c r="Q2332"/>
  <c r="P2332"/>
  <c r="O2332"/>
  <c r="Q2331"/>
  <c r="P2331"/>
  <c r="O2331"/>
  <c r="Q2330"/>
  <c r="P2330"/>
  <c r="O2330"/>
  <c r="Q2329"/>
  <c r="P2329"/>
  <c r="O2329"/>
  <c r="Q2328"/>
  <c r="P2328"/>
  <c r="O2328"/>
  <c r="Q2327"/>
  <c r="P2327"/>
  <c r="O2327"/>
  <c r="Q2326"/>
  <c r="P2326"/>
  <c r="O2326"/>
  <c r="Q2325"/>
  <c r="P2325"/>
  <c r="O2325"/>
  <c r="Q2324"/>
  <c r="P2324"/>
  <c r="O2324"/>
  <c r="Q2323"/>
  <c r="P2323"/>
  <c r="O2323"/>
  <c r="Q2322"/>
  <c r="P2322"/>
  <c r="O2322"/>
  <c r="Q2321"/>
  <c r="P2321"/>
  <c r="O2321"/>
  <c r="Q2320"/>
  <c r="P2320"/>
  <c r="O2320"/>
  <c r="Q2319"/>
  <c r="P2319"/>
  <c r="O2319"/>
  <c r="Q2318"/>
  <c r="P2318"/>
  <c r="O2318"/>
  <c r="Q2317"/>
  <c r="P2317"/>
  <c r="O2317"/>
  <c r="Q2316"/>
  <c r="P2316"/>
  <c r="O2316"/>
  <c r="Q2315"/>
  <c r="P2315"/>
  <c r="O2315"/>
  <c r="Q2314"/>
  <c r="P2314"/>
  <c r="O2314"/>
  <c r="Q2313"/>
  <c r="P2313"/>
  <c r="O2313"/>
  <c r="Q2312"/>
  <c r="P2312"/>
  <c r="O2312"/>
  <c r="Q2311"/>
  <c r="P2311"/>
  <c r="O2311"/>
  <c r="Q2310"/>
  <c r="P2310"/>
  <c r="O2310"/>
  <c r="Q2309"/>
  <c r="P2309"/>
  <c r="O2309"/>
  <c r="Q2308"/>
  <c r="P2308"/>
  <c r="O2308"/>
  <c r="Q2307"/>
  <c r="P2307"/>
  <c r="O2307"/>
  <c r="Q2306"/>
  <c r="P2306"/>
  <c r="O2306"/>
  <c r="Q2305"/>
  <c r="P2305"/>
  <c r="O2305"/>
  <c r="Q2304"/>
  <c r="P2304"/>
  <c r="O2304"/>
  <c r="Q2303"/>
  <c r="P2303"/>
  <c r="O2303"/>
  <c r="Q2302"/>
  <c r="P2302"/>
  <c r="O2302"/>
  <c r="Q2301"/>
  <c r="P2301"/>
  <c r="O2301"/>
  <c r="Q2300"/>
  <c r="P2300"/>
  <c r="O2300"/>
  <c r="Q2299"/>
  <c r="P2299"/>
  <c r="O2299"/>
  <c r="Q2298"/>
  <c r="P2298"/>
  <c r="O2298"/>
  <c r="Q2297"/>
  <c r="P2297"/>
  <c r="O2297"/>
  <c r="Q2296"/>
  <c r="P2296"/>
  <c r="O2296"/>
  <c r="Q2295"/>
  <c r="P2295"/>
  <c r="O2295"/>
  <c r="Q2294"/>
  <c r="P2294"/>
  <c r="O2294"/>
  <c r="Q2293"/>
  <c r="P2293"/>
  <c r="O2293"/>
  <c r="Q2292"/>
  <c r="P2292"/>
  <c r="O2292"/>
  <c r="Q2291"/>
  <c r="P2291"/>
  <c r="O2291"/>
  <c r="Q2290"/>
  <c r="P2290"/>
  <c r="O2290"/>
  <c r="Q2289"/>
  <c r="P2289"/>
  <c r="O2289"/>
  <c r="Q2288"/>
  <c r="P2288"/>
  <c r="O2288"/>
  <c r="Q2287"/>
  <c r="P2287"/>
  <c r="O2287"/>
  <c r="Q2286"/>
  <c r="P2286"/>
  <c r="O2286"/>
  <c r="Q2285"/>
  <c r="P2285"/>
  <c r="O2285"/>
  <c r="Q2284"/>
  <c r="P2284"/>
  <c r="O2284"/>
  <c r="Q2283"/>
  <c r="P2283"/>
  <c r="O2283"/>
  <c r="Q2282"/>
  <c r="P2282"/>
  <c r="O2282"/>
  <c r="Q2281"/>
  <c r="P2281"/>
  <c r="O2281"/>
  <c r="Q2280"/>
  <c r="P2280"/>
  <c r="O2280"/>
  <c r="Q2279"/>
  <c r="P2279"/>
  <c r="O2279"/>
  <c r="Q2278"/>
  <c r="P2278"/>
  <c r="O2278"/>
  <c r="Q2277"/>
  <c r="P2277"/>
  <c r="O2277"/>
  <c r="Q2276"/>
  <c r="P2276"/>
  <c r="O2276"/>
  <c r="Q2275"/>
  <c r="P2275"/>
  <c r="O2275"/>
  <c r="Q2274"/>
  <c r="P2274"/>
  <c r="O2274"/>
  <c r="Q2273"/>
  <c r="P2273"/>
  <c r="O2273"/>
  <c r="Q2272"/>
  <c r="P2272"/>
  <c r="O2272"/>
  <c r="Q2271"/>
  <c r="P2271"/>
  <c r="O2271"/>
  <c r="Q2270"/>
  <c r="P2270"/>
  <c r="O2270"/>
  <c r="Q2269"/>
  <c r="P2269"/>
  <c r="O2269"/>
  <c r="Q2268"/>
  <c r="P2268"/>
  <c r="O2268"/>
  <c r="Q2267"/>
  <c r="P2267"/>
  <c r="O2267"/>
  <c r="Q2266"/>
  <c r="P2266"/>
  <c r="O2266"/>
  <c r="Q2265"/>
  <c r="P2265"/>
  <c r="O2265"/>
  <c r="Q2264"/>
  <c r="P2264"/>
  <c r="O2264"/>
  <c r="Q2263"/>
  <c r="P2263"/>
  <c r="O2263"/>
  <c r="Q2262"/>
  <c r="P2262"/>
  <c r="O2262"/>
  <c r="Q2261"/>
  <c r="P2261"/>
  <c r="O2261"/>
  <c r="Q2260"/>
  <c r="P2260"/>
  <c r="O2260"/>
  <c r="Q2259"/>
  <c r="P2259"/>
  <c r="O2259"/>
  <c r="Q2258"/>
  <c r="P2258"/>
  <c r="O2258"/>
  <c r="Q2257"/>
  <c r="P2257"/>
  <c r="O2257"/>
  <c r="Q2256"/>
  <c r="P2256"/>
  <c r="O2256"/>
  <c r="Q2255"/>
  <c r="P2255"/>
  <c r="O2255"/>
  <c r="Q2254"/>
  <c r="P2254"/>
  <c r="O2254"/>
  <c r="Q2253"/>
  <c r="P2253"/>
  <c r="O2253"/>
  <c r="Q2252"/>
  <c r="P2252"/>
  <c r="O2252"/>
  <c r="Q2251"/>
  <c r="P2251"/>
  <c r="O2251"/>
  <c r="Q2250"/>
  <c r="P2250"/>
  <c r="O2250"/>
  <c r="Q2249"/>
  <c r="P2249"/>
  <c r="O2249"/>
  <c r="Q2248"/>
  <c r="P2248"/>
  <c r="O2248"/>
  <c r="Q2247"/>
  <c r="P2247"/>
  <c r="O2247"/>
  <c r="Q2246"/>
  <c r="P2246"/>
  <c r="O2246"/>
  <c r="Q2245"/>
  <c r="P2245"/>
  <c r="O2245"/>
  <c r="Q2244"/>
  <c r="P2244"/>
  <c r="O2244"/>
  <c r="Q2243"/>
  <c r="P2243"/>
  <c r="O2243"/>
  <c r="Q2242"/>
  <c r="P2242"/>
  <c r="O2242"/>
  <c r="Q2241"/>
  <c r="P2241"/>
  <c r="O2241"/>
  <c r="Q2240"/>
  <c r="P2240"/>
  <c r="O2240"/>
  <c r="Q2239"/>
  <c r="P2239"/>
  <c r="O2239"/>
  <c r="Q2238"/>
  <c r="P2238"/>
  <c r="O2238"/>
  <c r="Q2237"/>
  <c r="P2237"/>
  <c r="O2237"/>
  <c r="Q2236"/>
  <c r="P2236"/>
  <c r="O2236"/>
  <c r="Q2235"/>
  <c r="P2235"/>
  <c r="O2235"/>
  <c r="Q2234"/>
  <c r="P2234"/>
  <c r="O2234"/>
  <c r="Q2233"/>
  <c r="P2233"/>
  <c r="O2233"/>
  <c r="Q2232"/>
  <c r="P2232"/>
  <c r="O2232"/>
  <c r="Q2231"/>
  <c r="P2231"/>
  <c r="O2231"/>
  <c r="Q2230"/>
  <c r="P2230"/>
  <c r="O2230"/>
  <c r="Q2229"/>
  <c r="P2229"/>
  <c r="O2229"/>
  <c r="Q2228"/>
  <c r="P2228"/>
  <c r="O2228"/>
  <c r="Q2227"/>
  <c r="P2227"/>
  <c r="O2227"/>
  <c r="Q2226"/>
  <c r="P2226"/>
  <c r="O2226"/>
  <c r="Q2225"/>
  <c r="P2225"/>
  <c r="O2225"/>
  <c r="Q2224"/>
  <c r="P2224"/>
  <c r="O2224"/>
  <c r="Q2223"/>
  <c r="P2223"/>
  <c r="O2223"/>
  <c r="Q2222"/>
  <c r="P2222"/>
  <c r="O2222"/>
  <c r="Q2221"/>
  <c r="P2221"/>
  <c r="O2221"/>
  <c r="Q2220"/>
  <c r="P2220"/>
  <c r="O2220"/>
  <c r="Q2219"/>
  <c r="P2219"/>
  <c r="O2219"/>
  <c r="Q2218"/>
  <c r="P2218"/>
  <c r="O2218"/>
  <c r="Q2217"/>
  <c r="P2217"/>
  <c r="O2217"/>
  <c r="Q2216"/>
  <c r="P2216"/>
  <c r="O2216"/>
  <c r="Q2215"/>
  <c r="P2215"/>
  <c r="O2215"/>
  <c r="Q2214"/>
  <c r="P2214"/>
  <c r="O2214"/>
  <c r="Q2213"/>
  <c r="P2213"/>
  <c r="O2213"/>
  <c r="Q2212"/>
  <c r="P2212"/>
  <c r="O2212"/>
  <c r="Q2211"/>
  <c r="P2211"/>
  <c r="O2211"/>
  <c r="Q2210"/>
  <c r="P2210"/>
  <c r="O2210"/>
  <c r="Q2209"/>
  <c r="P2209"/>
  <c r="O2209"/>
  <c r="Q2208"/>
  <c r="P2208"/>
  <c r="O2208"/>
  <c r="Q2207"/>
  <c r="P2207"/>
  <c r="O2207"/>
  <c r="Q2206"/>
  <c r="P2206"/>
  <c r="O2206"/>
  <c r="Q2205"/>
  <c r="P2205"/>
  <c r="O2205"/>
  <c r="Q2204"/>
  <c r="P2204"/>
  <c r="O2204"/>
  <c r="Q2203"/>
  <c r="P2203"/>
  <c r="O2203"/>
  <c r="Q2202"/>
  <c r="P2202"/>
  <c r="O2202"/>
  <c r="Q2201"/>
  <c r="P2201"/>
  <c r="O2201"/>
  <c r="Q2200"/>
  <c r="P2200"/>
  <c r="O2200"/>
  <c r="Q2199"/>
  <c r="P2199"/>
  <c r="O2199"/>
  <c r="Q2198"/>
  <c r="P2198"/>
  <c r="O2198"/>
  <c r="Q2197"/>
  <c r="P2197"/>
  <c r="O2197"/>
  <c r="Q2196"/>
  <c r="P2196"/>
  <c r="O2196"/>
  <c r="Q2195"/>
  <c r="P2195"/>
  <c r="O2195"/>
  <c r="Q2194"/>
  <c r="P2194"/>
  <c r="O2194"/>
  <c r="Q2193"/>
  <c r="P2193"/>
  <c r="O2193"/>
  <c r="Q2192"/>
  <c r="P2192"/>
  <c r="O2192"/>
  <c r="Q2191"/>
  <c r="P2191"/>
  <c r="O2191"/>
  <c r="Q2190"/>
  <c r="P2190"/>
  <c r="O2190"/>
  <c r="Q2189"/>
  <c r="P2189"/>
  <c r="O2189"/>
  <c r="Q2188"/>
  <c r="P2188"/>
  <c r="O2188"/>
  <c r="Q2187"/>
  <c r="P2187"/>
  <c r="O2187"/>
  <c r="Q2186"/>
  <c r="P2186"/>
  <c r="O2186"/>
  <c r="Q2185"/>
  <c r="P2185"/>
  <c r="O2185"/>
  <c r="Q2184"/>
  <c r="P2184"/>
  <c r="O2184"/>
  <c r="Q2183"/>
  <c r="P2183"/>
  <c r="O2183"/>
  <c r="Q2182"/>
  <c r="P2182"/>
  <c r="O2182"/>
  <c r="Q2181"/>
  <c r="P2181"/>
  <c r="O2181"/>
  <c r="Q2180"/>
  <c r="P2180"/>
  <c r="O2180"/>
  <c r="Q2179"/>
  <c r="P2179"/>
  <c r="O2179"/>
  <c r="Q2178"/>
  <c r="P2178"/>
  <c r="O2178"/>
  <c r="Q2177"/>
  <c r="P2177"/>
  <c r="O2177"/>
  <c r="Q2176"/>
  <c r="P2176"/>
  <c r="O2176"/>
  <c r="Q2175"/>
  <c r="P2175"/>
  <c r="O2175"/>
  <c r="Q2174"/>
  <c r="P2174"/>
  <c r="O2174"/>
  <c r="Q2173"/>
  <c r="P2173"/>
  <c r="O2173"/>
  <c r="Q2172"/>
  <c r="P2172"/>
  <c r="O2172"/>
  <c r="Q2171"/>
  <c r="P2171"/>
  <c r="O2171"/>
  <c r="Q2170"/>
  <c r="P2170"/>
  <c r="O2170"/>
  <c r="Q2169"/>
  <c r="P2169"/>
  <c r="O2169"/>
  <c r="Q2168"/>
  <c r="P2168"/>
  <c r="O2168"/>
  <c r="Q2167"/>
  <c r="P2167"/>
  <c r="O2167"/>
  <c r="Q2166"/>
  <c r="P2166"/>
  <c r="O2166"/>
  <c r="Q2165"/>
  <c r="P2165"/>
  <c r="O2165"/>
  <c r="Q2164"/>
  <c r="P2164"/>
  <c r="O2164"/>
  <c r="Q2163"/>
  <c r="P2163"/>
  <c r="O2163"/>
  <c r="Q2162"/>
  <c r="P2162"/>
  <c r="O2162"/>
  <c r="Q2161"/>
  <c r="P2161"/>
  <c r="O2161"/>
  <c r="Q2160"/>
  <c r="P2160"/>
  <c r="O2160"/>
  <c r="Q2159"/>
  <c r="P2159"/>
  <c r="O2159"/>
  <c r="Q2158"/>
  <c r="P2158"/>
  <c r="O2158"/>
  <c r="Q2157"/>
  <c r="P2157"/>
  <c r="O2157"/>
  <c r="Q2156"/>
  <c r="P2156"/>
  <c r="O2156"/>
  <c r="Q2155"/>
  <c r="P2155"/>
  <c r="O2155"/>
  <c r="Q2154"/>
  <c r="P2154"/>
  <c r="O2154"/>
  <c r="Q2153"/>
  <c r="P2153"/>
  <c r="O2153"/>
  <c r="Q2152"/>
  <c r="P2152"/>
  <c r="O2152"/>
  <c r="Q2151"/>
  <c r="P2151"/>
  <c r="O2151"/>
  <c r="Q2150"/>
  <c r="P2150"/>
  <c r="O2150"/>
  <c r="Q2149"/>
  <c r="P2149"/>
  <c r="O2149"/>
  <c r="Q2148"/>
  <c r="P2148"/>
  <c r="O2148"/>
  <c r="Q2147"/>
  <c r="P2147"/>
  <c r="O2147"/>
  <c r="Q2146"/>
  <c r="P2146"/>
  <c r="O2146"/>
  <c r="Q2145"/>
  <c r="P2145"/>
  <c r="O2145"/>
  <c r="Q2144"/>
  <c r="P2144"/>
  <c r="O2144"/>
  <c r="Q2143"/>
  <c r="P2143"/>
  <c r="O2143"/>
  <c r="Q2142"/>
  <c r="P2142"/>
  <c r="O2142"/>
  <c r="Q2141"/>
  <c r="P2141"/>
  <c r="O2141"/>
  <c r="Q2140"/>
  <c r="P2140"/>
  <c r="O2140"/>
  <c r="Q2139"/>
  <c r="P2139"/>
  <c r="O2139"/>
  <c r="Q2138"/>
  <c r="P2138"/>
  <c r="O2138"/>
  <c r="Q2137"/>
  <c r="P2137"/>
  <c r="O2137"/>
  <c r="Q2136"/>
  <c r="P2136"/>
  <c r="O2136"/>
  <c r="Q2135"/>
  <c r="P2135"/>
  <c r="O2135"/>
  <c r="Q2134"/>
  <c r="P2134"/>
  <c r="O2134"/>
  <c r="Q2133"/>
  <c r="P2133"/>
  <c r="O2133"/>
  <c r="Q2132"/>
  <c r="P2132"/>
  <c r="O2132"/>
  <c r="Q2131"/>
  <c r="P2131"/>
  <c r="O2131"/>
  <c r="Q2130"/>
  <c r="P2130"/>
  <c r="O2130"/>
  <c r="Q2129"/>
  <c r="P2129"/>
  <c r="O2129"/>
  <c r="Q2128"/>
  <c r="P2128"/>
  <c r="O2128"/>
  <c r="Q2127"/>
  <c r="P2127"/>
  <c r="O2127"/>
  <c r="Q2126"/>
  <c r="P2126"/>
  <c r="O2126"/>
  <c r="Q2125"/>
  <c r="P2125"/>
  <c r="O2125"/>
  <c r="Q2124"/>
  <c r="P2124"/>
  <c r="O2124"/>
  <c r="Q2123"/>
  <c r="P2123"/>
  <c r="O2123"/>
  <c r="Q2122"/>
  <c r="P2122"/>
  <c r="O2122"/>
  <c r="Q2121"/>
  <c r="P2121"/>
  <c r="O2121"/>
  <c r="Q2120"/>
  <c r="P2120"/>
  <c r="O2120"/>
  <c r="Q2119"/>
  <c r="P2119"/>
  <c r="O2119"/>
  <c r="Q2118"/>
  <c r="P2118"/>
  <c r="O2118"/>
  <c r="Q2117"/>
  <c r="P2117"/>
  <c r="O2117"/>
  <c r="Q2116"/>
  <c r="P2116"/>
  <c r="O2116"/>
  <c r="Q2115"/>
  <c r="P2115"/>
  <c r="O2115"/>
  <c r="Q2114"/>
  <c r="P2114"/>
  <c r="O2114"/>
  <c r="Q2113"/>
  <c r="P2113"/>
  <c r="O2113"/>
  <c r="Q2112"/>
  <c r="P2112"/>
  <c r="O2112"/>
  <c r="Q2111"/>
  <c r="P2111"/>
  <c r="O2111"/>
  <c r="Q2110"/>
  <c r="P2110"/>
  <c r="O2110"/>
  <c r="Q2109"/>
  <c r="P2109"/>
  <c r="O2109"/>
  <c r="Q2108"/>
  <c r="P2108"/>
  <c r="O2108"/>
  <c r="Q2107"/>
  <c r="P2107"/>
  <c r="O2107"/>
  <c r="Q2106"/>
  <c r="P2106"/>
  <c r="O2106"/>
  <c r="Q2105"/>
  <c r="P2105"/>
  <c r="O2105"/>
  <c r="Q2104"/>
  <c r="P2104"/>
  <c r="O2104"/>
  <c r="Q2103"/>
  <c r="P2103"/>
  <c r="O2103"/>
  <c r="Q2102"/>
  <c r="P2102"/>
  <c r="O2102"/>
  <c r="Q2101"/>
  <c r="P2101"/>
  <c r="O2101"/>
  <c r="Q2100"/>
  <c r="P2100"/>
  <c r="O2100"/>
  <c r="Q2099"/>
  <c r="P2099"/>
  <c r="O2099"/>
  <c r="Q2098"/>
  <c r="P2098"/>
  <c r="O2098"/>
  <c r="Q2097"/>
  <c r="P2097"/>
  <c r="O2097"/>
  <c r="Q2096"/>
  <c r="P2096"/>
  <c r="O2096"/>
  <c r="Q2095"/>
  <c r="P2095"/>
  <c r="O2095"/>
  <c r="Q2094"/>
  <c r="P2094"/>
  <c r="O2094"/>
  <c r="Q2093"/>
  <c r="P2093"/>
  <c r="O2093"/>
  <c r="Q2092"/>
  <c r="P2092"/>
  <c r="O2092"/>
  <c r="Q2091"/>
  <c r="P2091"/>
  <c r="O2091"/>
  <c r="Q2090"/>
  <c r="P2090"/>
  <c r="O2090"/>
  <c r="Q2089"/>
  <c r="P2089"/>
  <c r="O2089"/>
  <c r="Q2088"/>
  <c r="P2088"/>
  <c r="O2088"/>
  <c r="Q2087"/>
  <c r="P2087"/>
  <c r="O2087"/>
  <c r="Q2086"/>
  <c r="P2086"/>
  <c r="O2086"/>
  <c r="Q2085"/>
  <c r="P2085"/>
  <c r="O2085"/>
  <c r="Q2084"/>
  <c r="P2084"/>
  <c r="O2084"/>
  <c r="Q2083"/>
  <c r="P2083"/>
  <c r="O2083"/>
  <c r="Q2082"/>
  <c r="P2082"/>
  <c r="O2082"/>
  <c r="Q2081"/>
  <c r="P2081"/>
  <c r="O2081"/>
  <c r="Q2080"/>
  <c r="P2080"/>
  <c r="O2080"/>
  <c r="Q2079"/>
  <c r="P2079"/>
  <c r="O2079"/>
  <c r="Q2078"/>
  <c r="P2078"/>
  <c r="O2078"/>
  <c r="Q2077"/>
  <c r="P2077"/>
  <c r="O2077"/>
  <c r="Q2076"/>
  <c r="P2076"/>
  <c r="O2076"/>
  <c r="Q2075"/>
  <c r="P2075"/>
  <c r="O2075"/>
  <c r="Q2074"/>
  <c r="P2074"/>
  <c r="O2074"/>
  <c r="Q2073"/>
  <c r="P2073"/>
  <c r="O2073"/>
  <c r="Q2072"/>
  <c r="P2072"/>
  <c r="O2072"/>
  <c r="Q2071"/>
  <c r="P2071"/>
  <c r="O2071"/>
  <c r="Q2070"/>
  <c r="P2070"/>
  <c r="O2070"/>
  <c r="Q2069"/>
  <c r="P2069"/>
  <c r="O2069"/>
  <c r="Q2068"/>
  <c r="P2068"/>
  <c r="O2068"/>
  <c r="Q2067"/>
  <c r="P2067"/>
  <c r="O2067"/>
  <c r="Q2066"/>
  <c r="P2066"/>
  <c r="O2066"/>
  <c r="Q2065"/>
  <c r="P2065"/>
  <c r="O2065"/>
  <c r="Q2064"/>
  <c r="P2064"/>
  <c r="O2064"/>
  <c r="Q2063"/>
  <c r="P2063"/>
  <c r="O2063"/>
  <c r="Q2062"/>
  <c r="P2062"/>
  <c r="O2062"/>
  <c r="Q2061"/>
  <c r="P2061"/>
  <c r="O2061"/>
  <c r="Q2060"/>
  <c r="P2060"/>
  <c r="O2060"/>
  <c r="Q2059"/>
  <c r="P2059"/>
  <c r="O2059"/>
  <c r="Q2058"/>
  <c r="P2058"/>
  <c r="O2058"/>
  <c r="Q2057"/>
  <c r="P2057"/>
  <c r="O2057"/>
  <c r="Q2056"/>
  <c r="P2056"/>
  <c r="O2056"/>
  <c r="Q2055"/>
  <c r="P2055"/>
  <c r="O2055"/>
  <c r="Q2054"/>
  <c r="P2054"/>
  <c r="O2054"/>
  <c r="Q2053"/>
  <c r="P2053"/>
  <c r="O2053"/>
  <c r="Q2052"/>
  <c r="P2052"/>
  <c r="O2052"/>
  <c r="Q2051"/>
  <c r="P2051"/>
  <c r="O2051"/>
  <c r="Q2050"/>
  <c r="P2050"/>
  <c r="O2050"/>
  <c r="Q2049"/>
  <c r="P2049"/>
  <c r="O2049"/>
  <c r="Q2048"/>
  <c r="P2048"/>
  <c r="O2048"/>
  <c r="Q2047"/>
  <c r="P2047"/>
  <c r="O2047"/>
  <c r="Q2046"/>
  <c r="P2046"/>
  <c r="O2046"/>
  <c r="Q2045"/>
  <c r="P2045"/>
  <c r="O2045"/>
  <c r="Q2044"/>
  <c r="P2044"/>
  <c r="O2044"/>
  <c r="Q2043"/>
  <c r="P2043"/>
  <c r="O2043"/>
  <c r="Q2042"/>
  <c r="P2042"/>
  <c r="O2042"/>
  <c r="Q2041"/>
  <c r="P2041"/>
  <c r="O2041"/>
  <c r="Q2040"/>
  <c r="P2040"/>
  <c r="O2040"/>
  <c r="Q2039"/>
  <c r="P2039"/>
  <c r="O2039"/>
  <c r="Q2038"/>
  <c r="P2038"/>
  <c r="O2038"/>
  <c r="Q2037"/>
  <c r="P2037"/>
  <c r="O2037"/>
  <c r="Q2036"/>
  <c r="P2036"/>
  <c r="O2036"/>
  <c r="Q2035"/>
  <c r="P2035"/>
  <c r="O2035"/>
  <c r="Q2034"/>
  <c r="P2034"/>
  <c r="O2034"/>
  <c r="Q2033"/>
  <c r="P2033"/>
  <c r="O2033"/>
  <c r="Q2032"/>
  <c r="P2032"/>
  <c r="O2032"/>
  <c r="Q2031"/>
  <c r="P2031"/>
  <c r="O2031"/>
  <c r="Q2030"/>
  <c r="P2030"/>
  <c r="O2030"/>
  <c r="Q2029"/>
  <c r="P2029"/>
  <c r="O2029"/>
  <c r="Q2028"/>
  <c r="P2028"/>
  <c r="O2028"/>
  <c r="Q2027"/>
  <c r="P2027"/>
  <c r="O2027"/>
  <c r="Q2026"/>
  <c r="P2026"/>
  <c r="O2026"/>
  <c r="Q2025"/>
  <c r="P2025"/>
  <c r="O2025"/>
  <c r="Q2024"/>
  <c r="P2024"/>
  <c r="O2024"/>
  <c r="Q2023"/>
  <c r="P2023"/>
  <c r="O2023"/>
  <c r="Q2022"/>
  <c r="P2022"/>
  <c r="O2022"/>
  <c r="Q2021"/>
  <c r="P2021"/>
  <c r="O2021"/>
  <c r="Q2020"/>
  <c r="P2020"/>
  <c r="O2020"/>
  <c r="Q2019"/>
  <c r="P2019"/>
  <c r="O2019"/>
  <c r="Q2018"/>
  <c r="P2018"/>
  <c r="O2018"/>
  <c r="Q2017"/>
  <c r="P2017"/>
  <c r="O2017"/>
  <c r="Q2016"/>
  <c r="P2016"/>
  <c r="O2016"/>
  <c r="Q2015"/>
  <c r="P2015"/>
  <c r="O2015"/>
  <c r="Q2014"/>
  <c r="P2014"/>
  <c r="O2014"/>
  <c r="Q2013"/>
  <c r="P2013"/>
  <c r="O2013"/>
  <c r="Q2012"/>
  <c r="P2012"/>
  <c r="O2012"/>
  <c r="Q2011"/>
  <c r="P2011"/>
  <c r="O2011"/>
  <c r="Q2010"/>
  <c r="P2010"/>
  <c r="O2010"/>
  <c r="Q2009"/>
  <c r="P2009"/>
  <c r="O2009"/>
  <c r="Q2008"/>
  <c r="P2008"/>
  <c r="O2008"/>
  <c r="Q2007"/>
  <c r="P2007"/>
  <c r="O2007"/>
  <c r="Q2006"/>
  <c r="P2006"/>
  <c r="O2006"/>
  <c r="Q2005"/>
  <c r="P2005"/>
  <c r="O2005"/>
  <c r="Q2004"/>
  <c r="P2004"/>
  <c r="O2004"/>
  <c r="Q2003"/>
  <c r="P2003"/>
  <c r="O2003"/>
  <c r="Q2002"/>
  <c r="P2002"/>
  <c r="O2002"/>
  <c r="Q2001"/>
  <c r="P2001"/>
  <c r="O2001"/>
  <c r="Q2000"/>
  <c r="P2000"/>
  <c r="O2000"/>
  <c r="Q1999"/>
  <c r="P1999"/>
  <c r="O1999"/>
  <c r="Q1998"/>
  <c r="P1998"/>
  <c r="O1998"/>
  <c r="Q1997"/>
  <c r="P1997"/>
  <c r="O1997"/>
  <c r="Q1996"/>
  <c r="P1996"/>
  <c r="O1996"/>
  <c r="Q1995"/>
  <c r="P1995"/>
  <c r="O1995"/>
  <c r="Q1994"/>
  <c r="P1994"/>
  <c r="O1994"/>
  <c r="Q1993"/>
  <c r="P1993"/>
  <c r="O1993"/>
  <c r="Q1992"/>
  <c r="P1992"/>
  <c r="O1992"/>
  <c r="Q1991"/>
  <c r="P1991"/>
  <c r="O1991"/>
  <c r="Q1990"/>
  <c r="P1990"/>
  <c r="O1990"/>
  <c r="Q1989"/>
  <c r="P1989"/>
  <c r="O1989"/>
  <c r="Q1988"/>
  <c r="P1988"/>
  <c r="O1988"/>
  <c r="Q1987"/>
  <c r="P1987"/>
  <c r="O1987"/>
  <c r="Q1986"/>
  <c r="P1986"/>
  <c r="O1986"/>
  <c r="Q1985"/>
  <c r="P1985"/>
  <c r="O1985"/>
  <c r="Q1984"/>
  <c r="P1984"/>
  <c r="O1984"/>
  <c r="Q1983"/>
  <c r="P1983"/>
  <c r="O1983"/>
  <c r="Q1982"/>
  <c r="P1982"/>
  <c r="O1982"/>
  <c r="Q1981"/>
  <c r="P1981"/>
  <c r="O1981"/>
  <c r="Q1980"/>
  <c r="P1980"/>
  <c r="O1980"/>
  <c r="Q1979"/>
  <c r="P1979"/>
  <c r="O1979"/>
  <c r="Q1978"/>
  <c r="P1978"/>
  <c r="O1978"/>
  <c r="Q1977"/>
  <c r="P1977"/>
  <c r="O1977"/>
  <c r="Q1976"/>
  <c r="P1976"/>
  <c r="O1976"/>
  <c r="Q1975"/>
  <c r="P1975"/>
  <c r="O1975"/>
  <c r="Q1974"/>
  <c r="P1974"/>
  <c r="O1974"/>
  <c r="Q1973"/>
  <c r="P1973"/>
  <c r="O1973"/>
  <c r="Q1972"/>
  <c r="P1972"/>
  <c r="O1972"/>
  <c r="Q1971"/>
  <c r="P1971"/>
  <c r="O1971"/>
  <c r="Q1970"/>
  <c r="P1970"/>
  <c r="O1970"/>
  <c r="Q1969"/>
  <c r="P1969"/>
  <c r="O1969"/>
  <c r="Q1968"/>
  <c r="P1968"/>
  <c r="O1968"/>
  <c r="Q1967"/>
  <c r="P1967"/>
  <c r="O1967"/>
  <c r="Q1966"/>
  <c r="P1966"/>
  <c r="O1966"/>
  <c r="Q1965"/>
  <c r="P1965"/>
  <c r="O1965"/>
  <c r="Q1964"/>
  <c r="P1964"/>
  <c r="O1964"/>
  <c r="Q1963"/>
  <c r="P1963"/>
  <c r="O1963"/>
  <c r="Q1962"/>
  <c r="P1962"/>
  <c r="O1962"/>
  <c r="Q1961"/>
  <c r="P1961"/>
  <c r="O1961"/>
  <c r="Q1960"/>
  <c r="P1960"/>
  <c r="O1960"/>
  <c r="Q1959"/>
  <c r="P1959"/>
  <c r="O1959"/>
  <c r="Q1958"/>
  <c r="P1958"/>
  <c r="O1958"/>
  <c r="Q1957"/>
  <c r="P1957"/>
  <c r="O1957"/>
  <c r="Q1956"/>
  <c r="P1956"/>
  <c r="O1956"/>
  <c r="Q1955"/>
  <c r="P1955"/>
  <c r="O1955"/>
  <c r="Q1954"/>
  <c r="P1954"/>
  <c r="O1954"/>
  <c r="Q1953"/>
  <c r="P1953"/>
  <c r="O1953"/>
  <c r="Q1952"/>
  <c r="P1952"/>
  <c r="O1952"/>
  <c r="Q1951"/>
  <c r="P1951"/>
  <c r="O1951"/>
  <c r="Q1950"/>
  <c r="P1950"/>
  <c r="O1950"/>
  <c r="Q1949"/>
  <c r="P1949"/>
  <c r="O1949"/>
  <c r="Q1948"/>
  <c r="P1948"/>
  <c r="O1948"/>
  <c r="Q1947"/>
  <c r="P1947"/>
  <c r="O1947"/>
  <c r="Q1946"/>
  <c r="P1946"/>
  <c r="O1946"/>
  <c r="Q1945"/>
  <c r="P1945"/>
  <c r="O1945"/>
  <c r="Q1944"/>
  <c r="P1944"/>
  <c r="O1944"/>
  <c r="Q1943"/>
  <c r="P1943"/>
  <c r="O1943"/>
  <c r="Q1942"/>
  <c r="P1942"/>
  <c r="O1942"/>
  <c r="Q1941"/>
  <c r="P1941"/>
  <c r="O1941"/>
  <c r="Q1940"/>
  <c r="P1940"/>
  <c r="O1940"/>
  <c r="Q1939"/>
  <c r="P1939"/>
  <c r="O1939"/>
  <c r="Q1938"/>
  <c r="P1938"/>
  <c r="O1938"/>
  <c r="Q1937"/>
  <c r="P1937"/>
  <c r="O1937"/>
  <c r="Q1936"/>
  <c r="P1936"/>
  <c r="O1936"/>
  <c r="Q1935"/>
  <c r="P1935"/>
  <c r="O1935"/>
  <c r="Q1934"/>
  <c r="P1934"/>
  <c r="O1934"/>
  <c r="Q1933"/>
  <c r="P1933"/>
  <c r="O1933"/>
  <c r="Q1932"/>
  <c r="P1932"/>
  <c r="O1932"/>
  <c r="Q1931"/>
  <c r="P1931"/>
  <c r="O1931"/>
  <c r="Q1930"/>
  <c r="P1930"/>
  <c r="O1930"/>
  <c r="Q1929"/>
  <c r="P1929"/>
  <c r="O1929"/>
  <c r="Q1928"/>
  <c r="P1928"/>
  <c r="O1928"/>
  <c r="Q1927"/>
  <c r="P1927"/>
  <c r="O1927"/>
  <c r="Q1926"/>
  <c r="P1926"/>
  <c r="O1926"/>
  <c r="Q1925"/>
  <c r="P1925"/>
  <c r="O1925"/>
  <c r="Q1924"/>
  <c r="P1924"/>
  <c r="O1924"/>
  <c r="Q1923"/>
  <c r="P1923"/>
  <c r="O1923"/>
  <c r="Q1922"/>
  <c r="P1922"/>
  <c r="O1922"/>
  <c r="Q1921"/>
  <c r="P1921"/>
  <c r="O1921"/>
  <c r="Q1920"/>
  <c r="P1920"/>
  <c r="O1920"/>
  <c r="Q1919"/>
  <c r="P1919"/>
  <c r="O1919"/>
  <c r="Q1918"/>
  <c r="P1918"/>
  <c r="O1918"/>
  <c r="Q1917"/>
  <c r="P1917"/>
  <c r="O1917"/>
  <c r="Q1916"/>
  <c r="P1916"/>
  <c r="O1916"/>
  <c r="Q1915"/>
  <c r="P1915"/>
  <c r="O1915"/>
  <c r="Q1914"/>
  <c r="P1914"/>
  <c r="O1914"/>
  <c r="Q1913"/>
  <c r="P1913"/>
  <c r="O1913"/>
  <c r="Q1912"/>
  <c r="P1912"/>
  <c r="O1912"/>
  <c r="Q1911"/>
  <c r="P1911"/>
  <c r="O1911"/>
  <c r="Q1910"/>
  <c r="P1910"/>
  <c r="O1910"/>
  <c r="Q1909"/>
  <c r="P1909"/>
  <c r="O1909"/>
  <c r="Q1908"/>
  <c r="P1908"/>
  <c r="O1908"/>
  <c r="Q1907"/>
  <c r="P1907"/>
  <c r="O1907"/>
  <c r="Q1906"/>
  <c r="P1906"/>
  <c r="O1906"/>
  <c r="Q1905"/>
  <c r="P1905"/>
  <c r="O1905"/>
  <c r="Q1904"/>
  <c r="P1904"/>
  <c r="O1904"/>
  <c r="Q1903"/>
  <c r="P1903"/>
  <c r="O1903"/>
  <c r="Q1902"/>
  <c r="P1902"/>
  <c r="O1902"/>
  <c r="Q1901"/>
  <c r="P1901"/>
  <c r="O1901"/>
  <c r="Q1900"/>
  <c r="P1900"/>
  <c r="O1900"/>
  <c r="Q1899"/>
  <c r="P1899"/>
  <c r="O1899"/>
  <c r="Q1898"/>
  <c r="P1898"/>
  <c r="O1898"/>
  <c r="Q1897"/>
  <c r="P1897"/>
  <c r="O1897"/>
  <c r="Q1896"/>
  <c r="P1896"/>
  <c r="O1896"/>
  <c r="Q1895"/>
  <c r="P1895"/>
  <c r="O1895"/>
  <c r="Q1894"/>
  <c r="P1894"/>
  <c r="O1894"/>
  <c r="Q1893"/>
  <c r="P1893"/>
  <c r="O1893"/>
  <c r="Q1892"/>
  <c r="P1892"/>
  <c r="O1892"/>
  <c r="Q1891"/>
  <c r="P1891"/>
  <c r="O1891"/>
  <c r="Q1890"/>
  <c r="P1890"/>
  <c r="O1890"/>
  <c r="Q1889"/>
  <c r="P1889"/>
  <c r="O1889"/>
  <c r="Q1888"/>
  <c r="P1888"/>
  <c r="O1888"/>
  <c r="Q1887"/>
  <c r="P1887"/>
  <c r="O1887"/>
  <c r="Q1886"/>
  <c r="P1886"/>
  <c r="O1886"/>
  <c r="Q1885"/>
  <c r="P1885"/>
  <c r="O1885"/>
  <c r="Q1884"/>
  <c r="P1884"/>
  <c r="O1884"/>
  <c r="Q1883"/>
  <c r="P1883"/>
  <c r="O1883"/>
  <c r="Q1882"/>
  <c r="P1882"/>
  <c r="O1882"/>
  <c r="Q1881"/>
  <c r="P1881"/>
  <c r="O1881"/>
  <c r="Q1880"/>
  <c r="P1880"/>
  <c r="O1880"/>
  <c r="Q1879"/>
  <c r="P1879"/>
  <c r="O1879"/>
  <c r="Q1878"/>
  <c r="P1878"/>
  <c r="O1878"/>
  <c r="Q1877"/>
  <c r="P1877"/>
  <c r="O1877"/>
  <c r="Q1876"/>
  <c r="P1876"/>
  <c r="O1876"/>
  <c r="Q1875"/>
  <c r="P1875"/>
  <c r="O1875"/>
  <c r="Q1874"/>
  <c r="P1874"/>
  <c r="O1874"/>
  <c r="Q1873"/>
  <c r="P1873"/>
  <c r="O1873"/>
  <c r="Q1872"/>
  <c r="P1872"/>
  <c r="O1872"/>
  <c r="Q1871"/>
  <c r="P1871"/>
  <c r="O1871"/>
  <c r="Q1870"/>
  <c r="P1870"/>
  <c r="O1870"/>
  <c r="Q1869"/>
  <c r="P1869"/>
  <c r="O1869"/>
  <c r="Q1868"/>
  <c r="P1868"/>
  <c r="O1868"/>
  <c r="Q1867"/>
  <c r="P1867"/>
  <c r="O1867"/>
  <c r="Q1866"/>
  <c r="P1866"/>
  <c r="O1866"/>
  <c r="Q1865"/>
  <c r="P1865"/>
  <c r="O1865"/>
  <c r="Q1864"/>
  <c r="P1864"/>
  <c r="O1864"/>
  <c r="Q1863"/>
  <c r="P1863"/>
  <c r="O1863"/>
  <c r="Q1862"/>
  <c r="P1862"/>
  <c r="O1862"/>
  <c r="Q1861"/>
  <c r="P1861"/>
  <c r="O1861"/>
  <c r="Q1860"/>
  <c r="P1860"/>
  <c r="O1860"/>
  <c r="Q1859"/>
  <c r="P1859"/>
  <c r="O1859"/>
  <c r="Q1858"/>
  <c r="P1858"/>
  <c r="O1858"/>
  <c r="Q1857"/>
  <c r="P1857"/>
  <c r="O1857"/>
  <c r="Q1856"/>
  <c r="P1856"/>
  <c r="O1856"/>
  <c r="Q1855"/>
  <c r="P1855"/>
  <c r="O1855"/>
  <c r="Q1854"/>
  <c r="P1854"/>
  <c r="O1854"/>
  <c r="Q1853"/>
  <c r="P1853"/>
  <c r="O1853"/>
  <c r="Q1852"/>
  <c r="P1852"/>
  <c r="O1852"/>
  <c r="Q1851"/>
  <c r="P1851"/>
  <c r="O1851"/>
  <c r="Q1850"/>
  <c r="P1850"/>
  <c r="O1850"/>
  <c r="Q1849"/>
  <c r="P1849"/>
  <c r="O1849"/>
  <c r="Q1848"/>
  <c r="P1848"/>
  <c r="O1848"/>
  <c r="Q1847"/>
  <c r="P1847"/>
  <c r="O1847"/>
  <c r="Q1846"/>
  <c r="P1846"/>
  <c r="O1846"/>
  <c r="Q1845"/>
  <c r="P1845"/>
  <c r="O1845"/>
  <c r="Q1844"/>
  <c r="P1844"/>
  <c r="O1844"/>
  <c r="Q1843"/>
  <c r="P1843"/>
  <c r="O1843"/>
  <c r="Q1842"/>
  <c r="P1842"/>
  <c r="O1842"/>
  <c r="Q1841"/>
  <c r="P1841"/>
  <c r="O1841"/>
  <c r="Q1840"/>
  <c r="P1840"/>
  <c r="O1840"/>
  <c r="Q1839"/>
  <c r="P1839"/>
  <c r="O1839"/>
  <c r="Q1838"/>
  <c r="P1838"/>
  <c r="O1838"/>
  <c r="Q1837"/>
  <c r="P1837"/>
  <c r="O1837"/>
  <c r="Q1836"/>
  <c r="P1836"/>
  <c r="O1836"/>
  <c r="Q1835"/>
  <c r="P1835"/>
  <c r="O1835"/>
  <c r="Q1834"/>
  <c r="P1834"/>
  <c r="O1834"/>
  <c r="Q1833"/>
  <c r="P1833"/>
  <c r="O1833"/>
  <c r="Q1832"/>
  <c r="P1832"/>
  <c r="O1832"/>
  <c r="Q1831"/>
  <c r="P1831"/>
  <c r="O1831"/>
  <c r="Q1830"/>
  <c r="P1830"/>
  <c r="O1830"/>
  <c r="Q1829"/>
  <c r="P1829"/>
  <c r="O1829"/>
  <c r="Q1828"/>
  <c r="P1828"/>
  <c r="O1828"/>
  <c r="Q1827"/>
  <c r="P1827"/>
  <c r="O1827"/>
  <c r="Q1826"/>
  <c r="P1826"/>
  <c r="O1826"/>
  <c r="Q1825"/>
  <c r="P1825"/>
  <c r="O1825"/>
  <c r="Q1824"/>
  <c r="P1824"/>
  <c r="O1824"/>
  <c r="Q1823"/>
  <c r="P1823"/>
  <c r="O1823"/>
  <c r="Q1822"/>
  <c r="P1822"/>
  <c r="O1822"/>
  <c r="Q1821"/>
  <c r="P1821"/>
  <c r="O1821"/>
  <c r="Q1820"/>
  <c r="P1820"/>
  <c r="O1820"/>
  <c r="Q1819"/>
  <c r="P1819"/>
  <c r="O1819"/>
  <c r="Q1818"/>
  <c r="P1818"/>
  <c r="O1818"/>
  <c r="Q1817"/>
  <c r="P1817"/>
  <c r="O1817"/>
  <c r="Q1816"/>
  <c r="P1816"/>
  <c r="O1816"/>
  <c r="Q1815"/>
  <c r="P1815"/>
  <c r="O1815"/>
  <c r="Q1814"/>
  <c r="P1814"/>
  <c r="O1814"/>
  <c r="Q1813"/>
  <c r="P1813"/>
  <c r="O1813"/>
  <c r="Q1812"/>
  <c r="P1812"/>
  <c r="O1812"/>
  <c r="Q1811"/>
  <c r="P1811"/>
  <c r="O1811"/>
  <c r="Q1810"/>
  <c r="P1810"/>
  <c r="O1810"/>
  <c r="Q1809"/>
  <c r="P1809"/>
  <c r="O1809"/>
  <c r="Q1808"/>
  <c r="P1808"/>
  <c r="O1808"/>
  <c r="Q1807"/>
  <c r="P1807"/>
  <c r="O1807"/>
  <c r="Q1806"/>
  <c r="P1806"/>
  <c r="O1806"/>
  <c r="Q1805"/>
  <c r="P1805"/>
  <c r="O1805"/>
  <c r="Q1804"/>
  <c r="P1804"/>
  <c r="O1804"/>
  <c r="Q1803"/>
  <c r="P1803"/>
  <c r="O1803"/>
  <c r="Q1802"/>
  <c r="P1802"/>
  <c r="O1802"/>
  <c r="Q1801"/>
  <c r="P1801"/>
  <c r="O1801"/>
  <c r="Q1800"/>
  <c r="P1800"/>
  <c r="O1800"/>
  <c r="Q1799"/>
  <c r="P1799"/>
  <c r="O1799"/>
  <c r="Q1798"/>
  <c r="P1798"/>
  <c r="O1798"/>
  <c r="Q1797"/>
  <c r="P1797"/>
  <c r="O1797"/>
  <c r="Q1796"/>
  <c r="P1796"/>
  <c r="O1796"/>
  <c r="Q1795"/>
  <c r="P1795"/>
  <c r="O1795"/>
  <c r="Q1794"/>
  <c r="P1794"/>
  <c r="O1794"/>
  <c r="Q1793"/>
  <c r="P1793"/>
  <c r="O1793"/>
  <c r="Q1792"/>
  <c r="P1792"/>
  <c r="O1792"/>
  <c r="Q1791"/>
  <c r="P1791"/>
  <c r="O1791"/>
  <c r="Q1790"/>
  <c r="P1790"/>
  <c r="O1790"/>
  <c r="Q1789"/>
  <c r="P1789"/>
  <c r="O1789"/>
  <c r="Q1788"/>
  <c r="P1788"/>
  <c r="O1788"/>
  <c r="Q1787"/>
  <c r="P1787"/>
  <c r="O1787"/>
  <c r="Q1786"/>
  <c r="P1786"/>
  <c r="O1786"/>
  <c r="Q1785"/>
  <c r="P1785"/>
  <c r="O1785"/>
  <c r="Q1784"/>
  <c r="P1784"/>
  <c r="O1784"/>
  <c r="Q1783"/>
  <c r="P1783"/>
  <c r="O1783"/>
  <c r="Q1782"/>
  <c r="P1782"/>
  <c r="O1782"/>
  <c r="Q1781"/>
  <c r="P1781"/>
  <c r="O1781"/>
  <c r="Q1780"/>
  <c r="P1780"/>
  <c r="O1780"/>
  <c r="Q1779"/>
  <c r="P1779"/>
  <c r="O1779"/>
  <c r="Q1778"/>
  <c r="P1778"/>
  <c r="O1778"/>
  <c r="Q1777"/>
  <c r="P1777"/>
  <c r="O1777"/>
  <c r="Q1776"/>
  <c r="P1776"/>
  <c r="O1776"/>
  <c r="Q1775"/>
  <c r="P1775"/>
  <c r="O1775"/>
  <c r="Q1774"/>
  <c r="P1774"/>
  <c r="O1774"/>
  <c r="Q1773"/>
  <c r="P1773"/>
  <c r="O1773"/>
  <c r="Q1772"/>
  <c r="P1772"/>
  <c r="O1772"/>
  <c r="Q1771"/>
  <c r="P1771"/>
  <c r="O1771"/>
  <c r="Q1770"/>
  <c r="P1770"/>
  <c r="O1770"/>
  <c r="Q1769"/>
  <c r="P1769"/>
  <c r="O1769"/>
  <c r="Q1768"/>
  <c r="P1768"/>
  <c r="O1768"/>
  <c r="Q1767"/>
  <c r="P1767"/>
  <c r="O1767"/>
  <c r="Q1766"/>
  <c r="P1766"/>
  <c r="O1766"/>
  <c r="Q1765"/>
  <c r="P1765"/>
  <c r="O1765"/>
  <c r="Q1764"/>
  <c r="P1764"/>
  <c r="O1764"/>
  <c r="Q1763"/>
  <c r="P1763"/>
  <c r="O1763"/>
  <c r="Q1762"/>
  <c r="P1762"/>
  <c r="O1762"/>
  <c r="Q1761"/>
  <c r="P1761"/>
  <c r="O1761"/>
  <c r="Q1760"/>
  <c r="P1760"/>
  <c r="O1760"/>
  <c r="Q1759"/>
  <c r="P1759"/>
  <c r="O1759"/>
  <c r="Q1758"/>
  <c r="P1758"/>
  <c r="O1758"/>
  <c r="Q1757"/>
  <c r="P1757"/>
  <c r="O1757"/>
  <c r="Q1756"/>
  <c r="P1756"/>
  <c r="O1756"/>
  <c r="Q1755"/>
  <c r="P1755"/>
  <c r="O1755"/>
  <c r="Q1754"/>
  <c r="P1754"/>
  <c r="O1754"/>
  <c r="Q1753"/>
  <c r="P1753"/>
  <c r="O1753"/>
  <c r="Q1752"/>
  <c r="P1752"/>
  <c r="O1752"/>
  <c r="Q1751"/>
  <c r="P1751"/>
  <c r="O1751"/>
  <c r="Q1750"/>
  <c r="P1750"/>
  <c r="O1750"/>
  <c r="Q1749"/>
  <c r="P1749"/>
  <c r="O1749"/>
  <c r="Q1748"/>
  <c r="P1748"/>
  <c r="O1748"/>
  <c r="Q1747"/>
  <c r="P1747"/>
  <c r="O1747"/>
  <c r="Q1746"/>
  <c r="P1746"/>
  <c r="O1746"/>
  <c r="Q1745"/>
  <c r="P1745"/>
  <c r="O1745"/>
  <c r="Q1744"/>
  <c r="P1744"/>
  <c r="O1744"/>
  <c r="Q1743"/>
  <c r="P1743"/>
  <c r="O1743"/>
  <c r="Q1742"/>
  <c r="P1742"/>
  <c r="O1742"/>
  <c r="Q1741"/>
  <c r="P1741"/>
  <c r="O1741"/>
  <c r="Q1740"/>
  <c r="P1740"/>
  <c r="O1740"/>
  <c r="Q1739"/>
  <c r="P1739"/>
  <c r="O1739"/>
  <c r="Q1738"/>
  <c r="P1738"/>
  <c r="O1738"/>
  <c r="Q1737"/>
  <c r="P1737"/>
  <c r="O1737"/>
  <c r="Q1736"/>
  <c r="P1736"/>
  <c r="O1736"/>
  <c r="Q1735"/>
  <c r="P1735"/>
  <c r="O1735"/>
  <c r="Q1734"/>
  <c r="P1734"/>
  <c r="O1734"/>
  <c r="Q1733"/>
  <c r="P1733"/>
  <c r="O1733"/>
  <c r="Q1732"/>
  <c r="P1732"/>
  <c r="O1732"/>
  <c r="Q1731"/>
  <c r="P1731"/>
  <c r="O1731"/>
  <c r="Q1730"/>
  <c r="P1730"/>
  <c r="O1730"/>
  <c r="Q1729"/>
  <c r="P1729"/>
  <c r="O1729"/>
  <c r="Q1728"/>
  <c r="P1728"/>
  <c r="O1728"/>
  <c r="Q1727"/>
  <c r="P1727"/>
  <c r="O1727"/>
  <c r="Q1726"/>
  <c r="P1726"/>
  <c r="O1726"/>
  <c r="Q1725"/>
  <c r="P1725"/>
  <c r="O1725"/>
  <c r="Q1724"/>
  <c r="P1724"/>
  <c r="O1724"/>
  <c r="Q1723"/>
  <c r="P1723"/>
  <c r="O1723"/>
  <c r="Q1722"/>
  <c r="P1722"/>
  <c r="O1722"/>
  <c r="Q1721"/>
  <c r="P1721"/>
  <c r="O1721"/>
  <c r="Q1720"/>
  <c r="P1720"/>
  <c r="O1720"/>
  <c r="Q1719"/>
  <c r="P1719"/>
  <c r="O1719"/>
  <c r="Q1718"/>
  <c r="P1718"/>
  <c r="O1718"/>
  <c r="Q1717"/>
  <c r="P1717"/>
  <c r="O1717"/>
  <c r="Q1716"/>
  <c r="P1716"/>
  <c r="O1716"/>
  <c r="Q1715"/>
  <c r="P1715"/>
  <c r="O1715"/>
  <c r="Q1714"/>
  <c r="P1714"/>
  <c r="O1714"/>
  <c r="Q1713"/>
  <c r="P1713"/>
  <c r="O1713"/>
  <c r="Q1712"/>
  <c r="P1712"/>
  <c r="O1712"/>
  <c r="Q1711"/>
  <c r="P1711"/>
  <c r="O1711"/>
  <c r="Q1710"/>
  <c r="P1710"/>
  <c r="O1710"/>
  <c r="Q1709"/>
  <c r="P1709"/>
  <c r="O1709"/>
  <c r="Q1708"/>
  <c r="P1708"/>
  <c r="O1708"/>
  <c r="Q1707"/>
  <c r="P1707"/>
  <c r="O1707"/>
  <c r="Q1706"/>
  <c r="P1706"/>
  <c r="O1706"/>
  <c r="Q1705"/>
  <c r="P1705"/>
  <c r="O1705"/>
  <c r="Q1704"/>
  <c r="P1704"/>
  <c r="O1704"/>
  <c r="Q1703"/>
  <c r="P1703"/>
  <c r="O1703"/>
  <c r="Q1702"/>
  <c r="P1702"/>
  <c r="O1702"/>
  <c r="Q1701"/>
  <c r="P1701"/>
  <c r="O1701"/>
  <c r="Q1700"/>
  <c r="P1700"/>
  <c r="O1700"/>
  <c r="Q1699"/>
  <c r="P1699"/>
  <c r="O1699"/>
  <c r="Q1698"/>
  <c r="P1698"/>
  <c r="O1698"/>
  <c r="Q1697"/>
  <c r="P1697"/>
  <c r="O1697"/>
  <c r="Q1696"/>
  <c r="P1696"/>
  <c r="O1696"/>
  <c r="Q1695"/>
  <c r="P1695"/>
  <c r="O1695"/>
  <c r="Q1694"/>
  <c r="P1694"/>
  <c r="O1694"/>
  <c r="Q1693"/>
  <c r="P1693"/>
  <c r="O1693"/>
  <c r="Q1692"/>
  <c r="P1692"/>
  <c r="O1692"/>
  <c r="Q1691"/>
  <c r="P1691"/>
  <c r="O1691"/>
  <c r="Q1690"/>
  <c r="P1690"/>
  <c r="O1690"/>
  <c r="Q1689"/>
  <c r="P1689"/>
  <c r="O1689"/>
  <c r="Q1688"/>
  <c r="P1688"/>
  <c r="O1688"/>
  <c r="Q1687"/>
  <c r="P1687"/>
  <c r="O1687"/>
  <c r="Q1686"/>
  <c r="P1686"/>
  <c r="O1686"/>
  <c r="Q1685"/>
  <c r="P1685"/>
  <c r="O1685"/>
  <c r="Q1684"/>
  <c r="P1684"/>
  <c r="O1684"/>
  <c r="Q1683"/>
  <c r="P1683"/>
  <c r="O1683"/>
  <c r="Q1682"/>
  <c r="P1682"/>
  <c r="O1682"/>
  <c r="Q1681"/>
  <c r="P1681"/>
  <c r="O1681"/>
  <c r="Q1680"/>
  <c r="P1680"/>
  <c r="O1680"/>
  <c r="Q1679"/>
  <c r="P1679"/>
  <c r="O1679"/>
  <c r="Q1678"/>
  <c r="P1678"/>
  <c r="O1678"/>
  <c r="Q1677"/>
  <c r="P1677"/>
  <c r="O1677"/>
  <c r="Q1676"/>
  <c r="P1676"/>
  <c r="O1676"/>
  <c r="Q1675"/>
  <c r="P1675"/>
  <c r="O1675"/>
  <c r="Q1674"/>
  <c r="P1674"/>
  <c r="O1674"/>
  <c r="Q1673"/>
  <c r="P1673"/>
  <c r="O1673"/>
  <c r="Q1672"/>
  <c r="P1672"/>
  <c r="O1672"/>
  <c r="Q1671"/>
  <c r="P1671"/>
  <c r="O1671"/>
  <c r="Q1670"/>
  <c r="P1670"/>
  <c r="O1670"/>
  <c r="Q1669"/>
  <c r="P1669"/>
  <c r="O1669"/>
  <c r="Q1668"/>
  <c r="P1668"/>
  <c r="O1668"/>
  <c r="Q1667"/>
  <c r="P1667"/>
  <c r="O1667"/>
  <c r="Q1666"/>
  <c r="P1666"/>
  <c r="O1666"/>
  <c r="Q1665"/>
  <c r="P1665"/>
  <c r="O1665"/>
  <c r="Q1664"/>
  <c r="P1664"/>
  <c r="O1664"/>
  <c r="Q1663"/>
  <c r="P1663"/>
  <c r="O1663"/>
  <c r="Q1662"/>
  <c r="P1662"/>
  <c r="O1662"/>
  <c r="Q1661"/>
  <c r="P1661"/>
  <c r="O1661"/>
  <c r="Q1660"/>
  <c r="P1660"/>
  <c r="O1660"/>
  <c r="Q1659"/>
  <c r="P1659"/>
  <c r="O1659"/>
  <c r="Q1658"/>
  <c r="P1658"/>
  <c r="O1658"/>
  <c r="Q1657"/>
  <c r="P1657"/>
  <c r="O1657"/>
  <c r="Q1656"/>
  <c r="P1656"/>
  <c r="O1656"/>
  <c r="Q1655"/>
  <c r="P1655"/>
  <c r="O1655"/>
  <c r="Q1654"/>
  <c r="P1654"/>
  <c r="O1654"/>
  <c r="Q1653"/>
  <c r="P1653"/>
  <c r="O1653"/>
  <c r="Q1652"/>
  <c r="P1652"/>
  <c r="O1652"/>
  <c r="Q1651"/>
  <c r="P1651"/>
  <c r="O1651"/>
  <c r="Q1650"/>
  <c r="P1650"/>
  <c r="O1650"/>
  <c r="Q1649"/>
  <c r="P1649"/>
  <c r="O1649"/>
  <c r="Q1648"/>
  <c r="P1648"/>
  <c r="O1648"/>
  <c r="Q1647"/>
  <c r="P1647"/>
  <c r="O1647"/>
  <c r="Q1646"/>
  <c r="P1646"/>
  <c r="O1646"/>
  <c r="Q1645"/>
  <c r="P1645"/>
  <c r="O1645"/>
  <c r="Q1644"/>
  <c r="P1644"/>
  <c r="O1644"/>
  <c r="Q1643"/>
  <c r="P1643"/>
  <c r="O1643"/>
  <c r="Q1642"/>
  <c r="P1642"/>
  <c r="O1642"/>
  <c r="Q1641"/>
  <c r="P1641"/>
  <c r="O1641"/>
  <c r="Q1640"/>
  <c r="P1640"/>
  <c r="O1640"/>
  <c r="Q1639"/>
  <c r="P1639"/>
  <c r="O1639"/>
  <c r="Q1638"/>
  <c r="P1638"/>
  <c r="O1638"/>
  <c r="Q1637"/>
  <c r="P1637"/>
  <c r="O1637"/>
  <c r="Q1636"/>
  <c r="P1636"/>
  <c r="O1636"/>
  <c r="Q1635"/>
  <c r="P1635"/>
  <c r="O1635"/>
  <c r="Q1634"/>
  <c r="P1634"/>
  <c r="O1634"/>
  <c r="Q1633"/>
  <c r="P1633"/>
  <c r="O1633"/>
  <c r="Q1632"/>
  <c r="P1632"/>
  <c r="O1632"/>
  <c r="Q1631"/>
  <c r="P1631"/>
  <c r="O1631"/>
  <c r="Q1630"/>
  <c r="P1630"/>
  <c r="O1630"/>
  <c r="Q1629"/>
  <c r="P1629"/>
  <c r="O1629"/>
  <c r="Q1628"/>
  <c r="P1628"/>
  <c r="O1628"/>
  <c r="Q1627"/>
  <c r="P1627"/>
  <c r="O1627"/>
  <c r="Q1626"/>
  <c r="P1626"/>
  <c r="O1626"/>
  <c r="Q1625"/>
  <c r="P1625"/>
  <c r="O1625"/>
  <c r="Q1624"/>
  <c r="P1624"/>
  <c r="O1624"/>
  <c r="Q1623"/>
  <c r="P1623"/>
  <c r="O1623"/>
  <c r="Q1622"/>
  <c r="P1622"/>
  <c r="O1622"/>
  <c r="Q1621"/>
  <c r="P1621"/>
  <c r="O1621"/>
  <c r="Q1620"/>
  <c r="P1620"/>
  <c r="O1620"/>
  <c r="Q1619"/>
  <c r="P1619"/>
  <c r="O1619"/>
  <c r="Q1618"/>
  <c r="P1618"/>
  <c r="O1618"/>
  <c r="Q1617"/>
  <c r="P1617"/>
  <c r="O1617"/>
  <c r="Q1616"/>
  <c r="P1616"/>
  <c r="O1616"/>
  <c r="Q1615"/>
  <c r="P1615"/>
  <c r="O1615"/>
  <c r="Q1614"/>
  <c r="P1614"/>
  <c r="O1614"/>
  <c r="Q1613"/>
  <c r="P1613"/>
  <c r="O1613"/>
  <c r="Q1612"/>
  <c r="P1612"/>
  <c r="O1612"/>
  <c r="Q1611"/>
  <c r="P1611"/>
  <c r="O1611"/>
  <c r="Q1610"/>
  <c r="P1610"/>
  <c r="O1610"/>
  <c r="Q1609"/>
  <c r="P1609"/>
  <c r="O1609"/>
  <c r="Q1608"/>
  <c r="P1608"/>
  <c r="O1608"/>
  <c r="Q1607"/>
  <c r="P1607"/>
  <c r="O1607"/>
  <c r="Q1606"/>
  <c r="P1606"/>
  <c r="O1606"/>
  <c r="Q1605"/>
  <c r="P1605"/>
  <c r="O1605"/>
  <c r="Q1604"/>
  <c r="P1604"/>
  <c r="O1604"/>
  <c r="Q1603"/>
  <c r="P1603"/>
  <c r="O1603"/>
  <c r="Q1602"/>
  <c r="P1602"/>
  <c r="O1602"/>
  <c r="Q1601"/>
  <c r="P1601"/>
  <c r="O1601"/>
  <c r="Q1600"/>
  <c r="P1600"/>
  <c r="O1600"/>
  <c r="Q1599"/>
  <c r="P1599"/>
  <c r="O1599"/>
  <c r="Q1598"/>
  <c r="P1598"/>
  <c r="O1598"/>
  <c r="Q1597"/>
  <c r="P1597"/>
  <c r="O1597"/>
  <c r="Q1596"/>
  <c r="P1596"/>
  <c r="O1596"/>
  <c r="Q1595"/>
  <c r="P1595"/>
  <c r="O1595"/>
  <c r="Q1594"/>
  <c r="P1594"/>
  <c r="O1594"/>
  <c r="Q1593"/>
  <c r="P1593"/>
  <c r="O1593"/>
  <c r="Q1592"/>
  <c r="P1592"/>
  <c r="O1592"/>
  <c r="Q1591"/>
  <c r="P1591"/>
  <c r="O1591"/>
  <c r="Q1590"/>
  <c r="P1590"/>
  <c r="O1590"/>
  <c r="Q1589"/>
  <c r="P1589"/>
  <c r="O1589"/>
  <c r="Q1588"/>
  <c r="P1588"/>
  <c r="O1588"/>
  <c r="Q1587"/>
  <c r="P1587"/>
  <c r="O1587"/>
  <c r="Q1586"/>
  <c r="P1586"/>
  <c r="O1586"/>
  <c r="Q1585"/>
  <c r="P1585"/>
  <c r="O1585"/>
  <c r="Q1584"/>
  <c r="P1584"/>
  <c r="O1584"/>
  <c r="Q1583"/>
  <c r="P1583"/>
  <c r="O1583"/>
  <c r="Q1582"/>
  <c r="P1582"/>
  <c r="O1582"/>
  <c r="Q1581"/>
  <c r="P1581"/>
  <c r="O1581"/>
  <c r="Q1580"/>
  <c r="P1580"/>
  <c r="O1580"/>
  <c r="Q1579"/>
  <c r="P1579"/>
  <c r="O1579"/>
  <c r="Q1578"/>
  <c r="P1578"/>
  <c r="O1578"/>
  <c r="Q1577"/>
  <c r="P1577"/>
  <c r="O1577"/>
  <c r="Q1576"/>
  <c r="P1576"/>
  <c r="O1576"/>
  <c r="Q1575"/>
  <c r="P1575"/>
  <c r="O1575"/>
  <c r="Q1574"/>
  <c r="P1574"/>
  <c r="O1574"/>
  <c r="Q1573"/>
  <c r="P1573"/>
  <c r="O1573"/>
  <c r="Q1572"/>
  <c r="P1572"/>
  <c r="O1572"/>
  <c r="Q1571"/>
  <c r="P1571"/>
  <c r="O1571"/>
  <c r="Q1570"/>
  <c r="P1570"/>
  <c r="O1570"/>
  <c r="Q1569"/>
  <c r="P1569"/>
  <c r="O1569"/>
  <c r="Q1568"/>
  <c r="P1568"/>
  <c r="O1568"/>
  <c r="Q1567"/>
  <c r="P1567"/>
  <c r="O1567"/>
  <c r="Q1566"/>
  <c r="P1566"/>
  <c r="O1566"/>
  <c r="Q1565"/>
  <c r="P1565"/>
  <c r="O1565"/>
  <c r="Q1564"/>
  <c r="P1564"/>
  <c r="O1564"/>
  <c r="Q1563"/>
  <c r="P1563"/>
  <c r="O1563"/>
  <c r="Q1562"/>
  <c r="P1562"/>
  <c r="O1562"/>
  <c r="Q1561"/>
  <c r="P1561"/>
  <c r="O1561"/>
  <c r="Q1560"/>
  <c r="P1560"/>
  <c r="O1560"/>
  <c r="Q1559"/>
  <c r="P1559"/>
  <c r="O1559"/>
  <c r="Q1558"/>
  <c r="P1558"/>
  <c r="O1558"/>
  <c r="Q1557"/>
  <c r="P1557"/>
  <c r="O1557"/>
  <c r="Q1556"/>
  <c r="P1556"/>
  <c r="O1556"/>
  <c r="Q1555"/>
  <c r="P1555"/>
  <c r="O1555"/>
  <c r="Q1554"/>
  <c r="P1554"/>
  <c r="O1554"/>
  <c r="Q1553"/>
  <c r="P1553"/>
  <c r="O1553"/>
  <c r="Q1552"/>
  <c r="P1552"/>
  <c r="O1552"/>
  <c r="Q1551"/>
  <c r="P1551"/>
  <c r="O1551"/>
  <c r="Q1550"/>
  <c r="P1550"/>
  <c r="O1550"/>
  <c r="Q1549"/>
  <c r="P1549"/>
  <c r="O1549"/>
  <c r="Q1548"/>
  <c r="P1548"/>
  <c r="O1548"/>
  <c r="Q1547"/>
  <c r="P1547"/>
  <c r="O1547"/>
  <c r="Q1546"/>
  <c r="P1546"/>
  <c r="O1546"/>
  <c r="Q1545"/>
  <c r="P1545"/>
  <c r="O1545"/>
  <c r="Q1544"/>
  <c r="P1544"/>
  <c r="O1544"/>
  <c r="Q1543"/>
  <c r="P1543"/>
  <c r="O1543"/>
  <c r="Q1542"/>
  <c r="P1542"/>
  <c r="O1542"/>
  <c r="Q1541"/>
  <c r="P1541"/>
  <c r="O1541"/>
  <c r="Q1540"/>
  <c r="P1540"/>
  <c r="O1540"/>
  <c r="Q1539"/>
  <c r="P1539"/>
  <c r="O1539"/>
  <c r="Q1538"/>
  <c r="P1538"/>
  <c r="O1538"/>
  <c r="Q1537"/>
  <c r="P1537"/>
  <c r="O1537"/>
  <c r="Q1536"/>
  <c r="P1536"/>
  <c r="O1536"/>
  <c r="Q1535"/>
  <c r="P1535"/>
  <c r="O1535"/>
  <c r="Q1534"/>
  <c r="P1534"/>
  <c r="O1534"/>
  <c r="Q1533"/>
  <c r="P1533"/>
  <c r="O1533"/>
  <c r="Q1532"/>
  <c r="P1532"/>
  <c r="O1532"/>
  <c r="Q1531"/>
  <c r="P1531"/>
  <c r="O1531"/>
  <c r="Q1530"/>
  <c r="P1530"/>
  <c r="O1530"/>
  <c r="Q1529"/>
  <c r="P1529"/>
  <c r="O1529"/>
  <c r="Q1528"/>
  <c r="P1528"/>
  <c r="O1528"/>
  <c r="Q1527"/>
  <c r="P1527"/>
  <c r="O1527"/>
  <c r="Q1526"/>
  <c r="P1526"/>
  <c r="O1526"/>
  <c r="Q1525"/>
  <c r="P1525"/>
  <c r="O1525"/>
  <c r="Q1524"/>
  <c r="P1524"/>
  <c r="O1524"/>
  <c r="Q1523"/>
  <c r="P1523"/>
  <c r="O1523"/>
  <c r="Q1522"/>
  <c r="P1522"/>
  <c r="O1522"/>
  <c r="Q1521"/>
  <c r="P1521"/>
  <c r="O1521"/>
  <c r="Q1520"/>
  <c r="P1520"/>
  <c r="O1520"/>
  <c r="Q1519"/>
  <c r="P1519"/>
  <c r="O1519"/>
  <c r="Q1518"/>
  <c r="P1518"/>
  <c r="O1518"/>
  <c r="Q1517"/>
  <c r="P1517"/>
  <c r="O1517"/>
  <c r="Q1516"/>
  <c r="P1516"/>
  <c r="O1516"/>
  <c r="Q1515"/>
  <c r="P1515"/>
  <c r="O1515"/>
  <c r="Q1514"/>
  <c r="P1514"/>
  <c r="O1514"/>
  <c r="Q1513"/>
  <c r="P1513"/>
  <c r="O1513"/>
  <c r="Q1512"/>
  <c r="P1512"/>
  <c r="O1512"/>
  <c r="Q1511"/>
  <c r="P1511"/>
  <c r="O1511"/>
  <c r="Q1510"/>
  <c r="P1510"/>
  <c r="O1510"/>
  <c r="Q1509"/>
  <c r="P1509"/>
  <c r="O1509"/>
  <c r="Q1508"/>
  <c r="P1508"/>
  <c r="O1508"/>
  <c r="Q1507"/>
  <c r="P1507"/>
  <c r="O1507"/>
  <c r="Q1506"/>
  <c r="P1506"/>
  <c r="O1506"/>
  <c r="Q1505"/>
  <c r="P1505"/>
  <c r="O1505"/>
  <c r="Q1504"/>
  <c r="P1504"/>
  <c r="O1504"/>
  <c r="Q1503"/>
  <c r="P1503"/>
  <c r="O1503"/>
  <c r="Q1502"/>
  <c r="P1502"/>
  <c r="O1502"/>
  <c r="Q1501"/>
  <c r="P1501"/>
  <c r="O1501"/>
  <c r="Q1500"/>
  <c r="P1500"/>
  <c r="O1500"/>
  <c r="Q1499"/>
  <c r="P1499"/>
  <c r="O1499"/>
  <c r="Q1498"/>
  <c r="P1498"/>
  <c r="O1498"/>
  <c r="Q1497"/>
  <c r="P1497"/>
  <c r="O1497"/>
  <c r="Q1496"/>
  <c r="P1496"/>
  <c r="O1496"/>
  <c r="Q1495"/>
  <c r="P1495"/>
  <c r="O1495"/>
  <c r="Q1494"/>
  <c r="P1494"/>
  <c r="O1494"/>
  <c r="Q1493"/>
  <c r="P1493"/>
  <c r="O1493"/>
  <c r="Q1492"/>
  <c r="P1492"/>
  <c r="O1492"/>
  <c r="Q1491"/>
  <c r="P1491"/>
  <c r="O1491"/>
  <c r="Q1490"/>
  <c r="P1490"/>
  <c r="O1490"/>
  <c r="Q1489"/>
  <c r="P1489"/>
  <c r="O1489"/>
  <c r="Q1488"/>
  <c r="P1488"/>
  <c r="O1488"/>
  <c r="Q1487"/>
  <c r="P1487"/>
  <c r="O1487"/>
  <c r="Q1486"/>
  <c r="P1486"/>
  <c r="O1486"/>
  <c r="Q1485"/>
  <c r="P1485"/>
  <c r="O1485"/>
  <c r="Q1484"/>
  <c r="P1484"/>
  <c r="O1484"/>
  <c r="Q1483"/>
  <c r="P1483"/>
  <c r="O1483"/>
  <c r="Q1482"/>
  <c r="P1482"/>
  <c r="O1482"/>
  <c r="Q1481"/>
  <c r="P1481"/>
  <c r="O1481"/>
  <c r="Q1480"/>
  <c r="P1480"/>
  <c r="O1480"/>
  <c r="Q1479"/>
  <c r="P1479"/>
  <c r="O1479"/>
  <c r="Q1478"/>
  <c r="P1478"/>
  <c r="O1478"/>
  <c r="Q1477"/>
  <c r="P1477"/>
  <c r="O1477"/>
  <c r="Q1476"/>
  <c r="P1476"/>
  <c r="O1476"/>
  <c r="Q1475"/>
  <c r="P1475"/>
  <c r="O1475"/>
  <c r="Q1474"/>
  <c r="P1474"/>
  <c r="O1474"/>
  <c r="Q1473"/>
  <c r="P1473"/>
  <c r="O1473"/>
  <c r="Q1472"/>
  <c r="P1472"/>
  <c r="O1472"/>
  <c r="Q1471"/>
  <c r="P1471"/>
  <c r="O1471"/>
  <c r="Q1470"/>
  <c r="P1470"/>
  <c r="O1470"/>
  <c r="Q1469"/>
  <c r="P1469"/>
  <c r="O1469"/>
  <c r="Q1468"/>
  <c r="P1468"/>
  <c r="O1468"/>
  <c r="Q1467"/>
  <c r="P1467"/>
  <c r="O1467"/>
  <c r="Q1466"/>
  <c r="P1466"/>
  <c r="O1466"/>
  <c r="Q1465"/>
  <c r="P1465"/>
  <c r="O1465"/>
  <c r="Q1464"/>
  <c r="P1464"/>
  <c r="O1464"/>
  <c r="Q1463"/>
  <c r="P1463"/>
  <c r="O1463"/>
  <c r="Q1462"/>
  <c r="P1462"/>
  <c r="O1462"/>
  <c r="Q1461"/>
  <c r="P1461"/>
  <c r="O1461"/>
  <c r="Q1460"/>
  <c r="P1460"/>
  <c r="O1460"/>
  <c r="Q1459"/>
  <c r="P1459"/>
  <c r="O1459"/>
  <c r="Q1458"/>
  <c r="P1458"/>
  <c r="O1458"/>
  <c r="Q1457"/>
  <c r="P1457"/>
  <c r="O1457"/>
  <c r="Q1456"/>
  <c r="P1456"/>
  <c r="O1456"/>
  <c r="Q1455"/>
  <c r="P1455"/>
  <c r="O1455"/>
  <c r="Q1454"/>
  <c r="P1454"/>
  <c r="O1454"/>
  <c r="Q1453"/>
  <c r="P1453"/>
  <c r="O1453"/>
  <c r="Q1452"/>
  <c r="P1452"/>
  <c r="O1452"/>
  <c r="Q1451"/>
  <c r="P1451"/>
  <c r="O1451"/>
  <c r="Q1450"/>
  <c r="P1450"/>
  <c r="O1450"/>
  <c r="Q1449"/>
  <c r="P1449"/>
  <c r="O1449"/>
  <c r="Q1448"/>
  <c r="P1448"/>
  <c r="O1448"/>
  <c r="Q1447"/>
  <c r="P1447"/>
  <c r="O1447"/>
  <c r="Q1446"/>
  <c r="P1446"/>
  <c r="O1446"/>
  <c r="Q1445"/>
  <c r="P1445"/>
  <c r="O1445"/>
  <c r="Q1444"/>
  <c r="P1444"/>
  <c r="O1444"/>
  <c r="Q1443"/>
  <c r="P1443"/>
  <c r="O1443"/>
  <c r="Q1442"/>
  <c r="P1442"/>
  <c r="O1442"/>
  <c r="Q1441"/>
  <c r="P1441"/>
  <c r="O1441"/>
  <c r="Q1440"/>
  <c r="P1440"/>
  <c r="O1440"/>
  <c r="Q1439"/>
  <c r="P1439"/>
  <c r="O1439"/>
  <c r="Q1438"/>
  <c r="P1438"/>
  <c r="O1438"/>
  <c r="Q1437"/>
  <c r="P1437"/>
  <c r="O1437"/>
  <c r="Q1436"/>
  <c r="P1436"/>
  <c r="O1436"/>
  <c r="Q1435"/>
  <c r="P1435"/>
  <c r="O1435"/>
  <c r="Q1434"/>
  <c r="P1434"/>
  <c r="O1434"/>
  <c r="Q1433"/>
  <c r="P1433"/>
  <c r="O1433"/>
  <c r="Q1432"/>
  <c r="P1432"/>
  <c r="O1432"/>
  <c r="Q1431"/>
  <c r="P1431"/>
  <c r="O1431"/>
  <c r="Q1430"/>
  <c r="P1430"/>
  <c r="O1430"/>
  <c r="Q1429"/>
  <c r="P1429"/>
  <c r="O1429"/>
  <c r="Q1428"/>
  <c r="P1428"/>
  <c r="O1428"/>
  <c r="Q1427"/>
  <c r="P1427"/>
  <c r="O1427"/>
  <c r="Q1426"/>
  <c r="P1426"/>
  <c r="O1426"/>
  <c r="Q1425"/>
  <c r="P1425"/>
  <c r="O1425"/>
  <c r="Q1424"/>
  <c r="P1424"/>
  <c r="O1424"/>
  <c r="Q1423"/>
  <c r="P1423"/>
  <c r="O1423"/>
  <c r="Q1422"/>
  <c r="P1422"/>
  <c r="O1422"/>
  <c r="Q1421"/>
  <c r="P1421"/>
  <c r="O1421"/>
  <c r="Q1420"/>
  <c r="P1420"/>
  <c r="O1420"/>
  <c r="Q1419"/>
  <c r="P1419"/>
  <c r="O1419"/>
  <c r="Q1418"/>
  <c r="P1418"/>
  <c r="O1418"/>
  <c r="Q1417"/>
  <c r="P1417"/>
  <c r="O1417"/>
  <c r="Q1416"/>
  <c r="P1416"/>
  <c r="O1416"/>
  <c r="Q1415"/>
  <c r="P1415"/>
  <c r="O1415"/>
  <c r="Q1414"/>
  <c r="P1414"/>
  <c r="O1414"/>
  <c r="Q1413"/>
  <c r="P1413"/>
  <c r="O1413"/>
  <c r="Q1412"/>
  <c r="P1412"/>
  <c r="O1412"/>
  <c r="Q1411"/>
  <c r="P1411"/>
  <c r="O1411"/>
  <c r="Q1410"/>
  <c r="P1410"/>
  <c r="O1410"/>
  <c r="Q1409"/>
  <c r="P1409"/>
  <c r="O1409"/>
  <c r="Q1408"/>
  <c r="P1408"/>
  <c r="O1408"/>
  <c r="Q1407"/>
  <c r="P1407"/>
  <c r="O1407"/>
  <c r="Q1406"/>
  <c r="P1406"/>
  <c r="O1406"/>
  <c r="Q1405"/>
  <c r="P1405"/>
  <c r="O1405"/>
  <c r="Q1404"/>
  <c r="P1404"/>
  <c r="O1404"/>
  <c r="Q1403"/>
  <c r="P1403"/>
  <c r="O1403"/>
  <c r="Q1402"/>
  <c r="P1402"/>
  <c r="O1402"/>
  <c r="Q1401"/>
  <c r="P1401"/>
  <c r="O1401"/>
  <c r="Q1400"/>
  <c r="P1400"/>
  <c r="O1400"/>
  <c r="Q1399"/>
  <c r="P1399"/>
  <c r="O1399"/>
  <c r="Q1398"/>
  <c r="P1398"/>
  <c r="O1398"/>
  <c r="Q1397"/>
  <c r="P1397"/>
  <c r="O1397"/>
  <c r="Q1396"/>
  <c r="P1396"/>
  <c r="O1396"/>
  <c r="Q1395"/>
  <c r="P1395"/>
  <c r="O1395"/>
  <c r="Q1394"/>
  <c r="P1394"/>
  <c r="O1394"/>
  <c r="Q1393"/>
  <c r="P1393"/>
  <c r="O1393"/>
  <c r="Q1392"/>
  <c r="P1392"/>
  <c r="O1392"/>
  <c r="Q1391"/>
  <c r="P1391"/>
  <c r="O1391"/>
  <c r="Q1390"/>
  <c r="P1390"/>
  <c r="O1390"/>
  <c r="Q1389"/>
  <c r="P1389"/>
  <c r="O1389"/>
  <c r="Q1388"/>
  <c r="P1388"/>
  <c r="O1388"/>
  <c r="Q1387"/>
  <c r="P1387"/>
  <c r="O1387"/>
  <c r="Q1386"/>
  <c r="P1386"/>
  <c r="O1386"/>
  <c r="Q1385"/>
  <c r="P1385"/>
  <c r="O1385"/>
  <c r="Q1384"/>
  <c r="P1384"/>
  <c r="O1384"/>
  <c r="Q1383"/>
  <c r="P1383"/>
  <c r="O1383"/>
  <c r="Q1382"/>
  <c r="P1382"/>
  <c r="O1382"/>
  <c r="Q1381"/>
  <c r="P1381"/>
  <c r="O1381"/>
  <c r="Q1380"/>
  <c r="P1380"/>
  <c r="O1380"/>
  <c r="Q1379"/>
  <c r="P1379"/>
  <c r="O1379"/>
  <c r="Q1378"/>
  <c r="P1378"/>
  <c r="O1378"/>
  <c r="Q1377"/>
  <c r="P1377"/>
  <c r="O1377"/>
  <c r="Q1376"/>
  <c r="P1376"/>
  <c r="O1376"/>
  <c r="Q1375"/>
  <c r="P1375"/>
  <c r="O1375"/>
  <c r="Q1374"/>
  <c r="P1374"/>
  <c r="O1374"/>
  <c r="Q1373"/>
  <c r="P1373"/>
  <c r="O1373"/>
  <c r="Q1372"/>
  <c r="P1372"/>
  <c r="O1372"/>
  <c r="Q1371"/>
  <c r="P1371"/>
  <c r="O1371"/>
  <c r="Q1370"/>
  <c r="P1370"/>
  <c r="O1370"/>
  <c r="Q1369"/>
  <c r="P1369"/>
  <c r="O1369"/>
  <c r="Q1368"/>
  <c r="P1368"/>
  <c r="O1368"/>
  <c r="Q1367"/>
  <c r="P1367"/>
  <c r="O1367"/>
  <c r="Q1366"/>
  <c r="P1366"/>
  <c r="O1366"/>
  <c r="Q1365"/>
  <c r="P1365"/>
  <c r="O1365"/>
  <c r="Q1364"/>
  <c r="P1364"/>
  <c r="O1364"/>
  <c r="Q1363"/>
  <c r="P1363"/>
  <c r="O1363"/>
  <c r="Q1362"/>
  <c r="P1362"/>
  <c r="O1362"/>
  <c r="Q1361"/>
  <c r="P1361"/>
  <c r="O1361"/>
  <c r="Q1360"/>
  <c r="P1360"/>
  <c r="O1360"/>
  <c r="Q1359"/>
  <c r="P1359"/>
  <c r="O1359"/>
  <c r="Q1358"/>
  <c r="P1358"/>
  <c r="O1358"/>
  <c r="Q1357"/>
  <c r="P1357"/>
  <c r="O1357"/>
  <c r="Q1356"/>
  <c r="P1356"/>
  <c r="O1356"/>
  <c r="Q1355"/>
  <c r="P1355"/>
  <c r="O1355"/>
  <c r="Q1354"/>
  <c r="P1354"/>
  <c r="O1354"/>
  <c r="Q1353"/>
  <c r="P1353"/>
  <c r="O1353"/>
  <c r="Q1352"/>
  <c r="P1352"/>
  <c r="O1352"/>
  <c r="Q1351"/>
  <c r="P1351"/>
  <c r="O1351"/>
  <c r="Q1350"/>
  <c r="P1350"/>
  <c r="O1350"/>
  <c r="Q1349"/>
  <c r="P1349"/>
  <c r="O1349"/>
  <c r="Q1348"/>
  <c r="P1348"/>
  <c r="O1348"/>
  <c r="Q1347"/>
  <c r="P1347"/>
  <c r="O1347"/>
  <c r="Q1346"/>
  <c r="P1346"/>
  <c r="O1346"/>
  <c r="Q1345"/>
  <c r="P1345"/>
  <c r="O1345"/>
  <c r="Q1344"/>
  <c r="P1344"/>
  <c r="O1344"/>
  <c r="Q1343"/>
  <c r="P1343"/>
  <c r="O1343"/>
  <c r="Q1342"/>
  <c r="P1342"/>
  <c r="O1342"/>
  <c r="Q1341"/>
  <c r="P1341"/>
  <c r="O1341"/>
  <c r="Q1340"/>
  <c r="P1340"/>
  <c r="O1340"/>
  <c r="Q1339"/>
  <c r="P1339"/>
  <c r="O1339"/>
  <c r="Q1338"/>
  <c r="P1338"/>
  <c r="O1338"/>
  <c r="Q1337"/>
  <c r="P1337"/>
  <c r="O1337"/>
  <c r="Q1336"/>
  <c r="P1336"/>
  <c r="O1336"/>
  <c r="Q1335"/>
  <c r="P1335"/>
  <c r="O1335"/>
  <c r="Q1334"/>
  <c r="P1334"/>
  <c r="O1334"/>
  <c r="Q1333"/>
  <c r="P1333"/>
  <c r="O1333"/>
  <c r="Q1332"/>
  <c r="P1332"/>
  <c r="O1332"/>
  <c r="Q1331"/>
  <c r="P1331"/>
  <c r="O1331"/>
  <c r="Q1330"/>
  <c r="P1330"/>
  <c r="O1330"/>
  <c r="Q1329"/>
  <c r="P1329"/>
  <c r="O1329"/>
  <c r="Q1328"/>
  <c r="P1328"/>
  <c r="O1328"/>
  <c r="Q1327"/>
  <c r="P1327"/>
  <c r="O1327"/>
  <c r="Q1326"/>
  <c r="P1326"/>
  <c r="O1326"/>
  <c r="Q1325"/>
  <c r="P1325"/>
  <c r="O1325"/>
  <c r="Q1324"/>
  <c r="P1324"/>
  <c r="O1324"/>
  <c r="Q1323"/>
  <c r="P1323"/>
  <c r="O1323"/>
  <c r="Q1322"/>
  <c r="P1322"/>
  <c r="O1322"/>
  <c r="Q1321"/>
  <c r="P1321"/>
  <c r="O1321"/>
  <c r="Q1320"/>
  <c r="P1320"/>
  <c r="O1320"/>
  <c r="Q1319"/>
  <c r="P1319"/>
  <c r="O1319"/>
  <c r="Q1318"/>
  <c r="P1318"/>
  <c r="O1318"/>
  <c r="Q1317"/>
  <c r="P1317"/>
  <c r="O1317"/>
  <c r="Q1316"/>
  <c r="P1316"/>
  <c r="O1316"/>
  <c r="Q1315"/>
  <c r="P1315"/>
  <c r="O1315"/>
  <c r="Q1314"/>
  <c r="P1314"/>
  <c r="O1314"/>
  <c r="Q1313"/>
  <c r="P1313"/>
  <c r="O1313"/>
  <c r="Q1312"/>
  <c r="P1312"/>
  <c r="O1312"/>
  <c r="Q1311"/>
  <c r="P1311"/>
  <c r="O1311"/>
  <c r="Q1310"/>
  <c r="P1310"/>
  <c r="O1310"/>
  <c r="Q1309"/>
  <c r="P1309"/>
  <c r="O1309"/>
  <c r="Q1308"/>
  <c r="P1308"/>
  <c r="O1308"/>
  <c r="Q1307"/>
  <c r="P1307"/>
  <c r="O1307"/>
  <c r="Q1306"/>
  <c r="P1306"/>
  <c r="O1306"/>
  <c r="Q1305"/>
  <c r="P1305"/>
  <c r="O1305"/>
  <c r="Q1304"/>
  <c r="P1304"/>
  <c r="O1304"/>
  <c r="Q1303"/>
  <c r="P1303"/>
  <c r="O1303"/>
  <c r="Q1302"/>
  <c r="P1302"/>
  <c r="O1302"/>
  <c r="Q1301"/>
  <c r="P1301"/>
  <c r="O1301"/>
  <c r="Q1300"/>
  <c r="P1300"/>
  <c r="O1300"/>
  <c r="Q1299"/>
  <c r="P1299"/>
  <c r="O1299"/>
  <c r="Q1298"/>
  <c r="P1298"/>
  <c r="O1298"/>
  <c r="Q1297"/>
  <c r="P1297"/>
  <c r="O1297"/>
  <c r="Q1296"/>
  <c r="P1296"/>
  <c r="O1296"/>
  <c r="Q1295"/>
  <c r="P1295"/>
  <c r="O1295"/>
  <c r="Q1294"/>
  <c r="P1294"/>
  <c r="O1294"/>
  <c r="Q1293"/>
  <c r="P1293"/>
  <c r="O1293"/>
  <c r="Q1292"/>
  <c r="P1292"/>
  <c r="O1292"/>
  <c r="Q1291"/>
  <c r="P1291"/>
  <c r="O1291"/>
  <c r="Q1290"/>
  <c r="P1290"/>
  <c r="O1290"/>
  <c r="Q1289"/>
  <c r="P1289"/>
  <c r="O1289"/>
  <c r="Q1288"/>
  <c r="P1288"/>
  <c r="O1288"/>
  <c r="Q1287"/>
  <c r="P1287"/>
  <c r="O1287"/>
  <c r="Q1286"/>
  <c r="P1286"/>
  <c r="O1286"/>
  <c r="Q1285"/>
  <c r="P1285"/>
  <c r="O1285"/>
  <c r="Q1284"/>
  <c r="P1284"/>
  <c r="O1284"/>
  <c r="Q1283"/>
  <c r="P1283"/>
  <c r="O1283"/>
  <c r="Q1282"/>
  <c r="P1282"/>
  <c r="O1282"/>
  <c r="Q1281"/>
  <c r="P1281"/>
  <c r="O1281"/>
  <c r="Q1280"/>
  <c r="P1280"/>
  <c r="O1280"/>
  <c r="Q1279"/>
  <c r="P1279"/>
  <c r="O1279"/>
  <c r="Q1278"/>
  <c r="P1278"/>
  <c r="O1278"/>
  <c r="Q1277"/>
  <c r="P1277"/>
  <c r="O1277"/>
  <c r="Q1276"/>
  <c r="P1276"/>
  <c r="O1276"/>
  <c r="Q1275"/>
  <c r="P1275"/>
  <c r="O1275"/>
  <c r="Q1274"/>
  <c r="P1274"/>
  <c r="O1274"/>
  <c r="Q1273"/>
  <c r="P1273"/>
  <c r="O1273"/>
  <c r="Q1272"/>
  <c r="P1272"/>
  <c r="O1272"/>
  <c r="Q1271"/>
  <c r="P1271"/>
  <c r="O1271"/>
  <c r="Q1270"/>
  <c r="P1270"/>
  <c r="O1270"/>
  <c r="Q1269"/>
  <c r="P1269"/>
  <c r="O1269"/>
  <c r="Q1268"/>
  <c r="P1268"/>
  <c r="O1268"/>
  <c r="Q1267"/>
  <c r="P1267"/>
  <c r="O1267"/>
  <c r="Q1266"/>
  <c r="P1266"/>
  <c r="O1266"/>
  <c r="Q1265"/>
  <c r="P1265"/>
  <c r="O1265"/>
  <c r="Q1264"/>
  <c r="P1264"/>
  <c r="O1264"/>
  <c r="Q1263"/>
  <c r="P1263"/>
  <c r="O1263"/>
  <c r="Q1262"/>
  <c r="P1262"/>
  <c r="O1262"/>
  <c r="Q1261"/>
  <c r="P1261"/>
  <c r="O1261"/>
  <c r="Q1260"/>
  <c r="P1260"/>
  <c r="O1260"/>
  <c r="Q1259"/>
  <c r="P1259"/>
  <c r="O1259"/>
  <c r="Q1258"/>
  <c r="P1258"/>
  <c r="O1258"/>
  <c r="Q1257"/>
  <c r="P1257"/>
  <c r="O1257"/>
  <c r="Q1256"/>
  <c r="P1256"/>
  <c r="O1256"/>
  <c r="Q1255"/>
  <c r="P1255"/>
  <c r="O1255"/>
  <c r="Q1254"/>
  <c r="P1254"/>
  <c r="O1254"/>
  <c r="Q1253"/>
  <c r="P1253"/>
  <c r="O1253"/>
  <c r="Q1252"/>
  <c r="P1252"/>
  <c r="O1252"/>
  <c r="Q1251"/>
  <c r="P1251"/>
  <c r="O1251"/>
  <c r="Q1250"/>
  <c r="P1250"/>
  <c r="O1250"/>
  <c r="Q1249"/>
  <c r="P1249"/>
  <c r="O1249"/>
  <c r="Q1248"/>
  <c r="P1248"/>
  <c r="O1248"/>
  <c r="Q1247"/>
  <c r="P1247"/>
  <c r="O1247"/>
  <c r="Q1246"/>
  <c r="P1246"/>
  <c r="O1246"/>
  <c r="Q1245"/>
  <c r="P1245"/>
  <c r="O1245"/>
  <c r="Q1244"/>
  <c r="P1244"/>
  <c r="O1244"/>
  <c r="Q1243"/>
  <c r="P1243"/>
  <c r="O1243"/>
  <c r="Q1242"/>
  <c r="P1242"/>
  <c r="O1242"/>
  <c r="Q1241"/>
  <c r="P1241"/>
  <c r="O1241"/>
  <c r="Q1240"/>
  <c r="P1240"/>
  <c r="O1240"/>
  <c r="Q1239"/>
  <c r="P1239"/>
  <c r="O1239"/>
  <c r="Q1238"/>
  <c r="P1238"/>
  <c r="O1238"/>
  <c r="Q1237"/>
  <c r="P1237"/>
  <c r="O1237"/>
  <c r="Q1236"/>
  <c r="P1236"/>
  <c r="O1236"/>
  <c r="Q1235"/>
  <c r="P1235"/>
  <c r="O1235"/>
  <c r="Q1234"/>
  <c r="P1234"/>
  <c r="O1234"/>
  <c r="Q1233"/>
  <c r="P1233"/>
  <c r="O1233"/>
  <c r="Q1232"/>
  <c r="P1232"/>
  <c r="O1232"/>
  <c r="Q1231"/>
  <c r="P1231"/>
  <c r="O1231"/>
  <c r="Q1230"/>
  <c r="P1230"/>
  <c r="O1230"/>
  <c r="Q1229"/>
  <c r="P1229"/>
  <c r="O1229"/>
  <c r="Q1228"/>
  <c r="P1228"/>
  <c r="O1228"/>
  <c r="Q1227"/>
  <c r="P1227"/>
  <c r="O1227"/>
  <c r="Q1226"/>
  <c r="P1226"/>
  <c r="O1226"/>
  <c r="Q1225"/>
  <c r="P1225"/>
  <c r="O1225"/>
  <c r="Q1224"/>
  <c r="P1224"/>
  <c r="O1224"/>
  <c r="Q1223"/>
  <c r="P1223"/>
  <c r="O1223"/>
  <c r="Q1222"/>
  <c r="P1222"/>
  <c r="O1222"/>
  <c r="Q1221"/>
  <c r="P1221"/>
  <c r="O1221"/>
  <c r="Q1220"/>
  <c r="P1220"/>
  <c r="O1220"/>
  <c r="Q1219"/>
  <c r="P1219"/>
  <c r="O1219"/>
  <c r="Q1218"/>
  <c r="P1218"/>
  <c r="O1218"/>
  <c r="Q1217"/>
  <c r="P1217"/>
  <c r="O1217"/>
  <c r="Q1216"/>
  <c r="P1216"/>
  <c r="O1216"/>
  <c r="Q1215"/>
  <c r="P1215"/>
  <c r="O1215"/>
  <c r="Q1214"/>
  <c r="P1214"/>
  <c r="O1214"/>
  <c r="Q1213"/>
  <c r="P1213"/>
  <c r="O1213"/>
  <c r="Q1212"/>
  <c r="P1212"/>
  <c r="O1212"/>
  <c r="Q1211"/>
  <c r="P1211"/>
  <c r="O1211"/>
  <c r="Q1210"/>
  <c r="P1210"/>
  <c r="O1210"/>
  <c r="Q1209"/>
  <c r="P1209"/>
  <c r="O1209"/>
  <c r="Q1208"/>
  <c r="P1208"/>
  <c r="O1208"/>
  <c r="Q1207"/>
  <c r="P1207"/>
  <c r="O1207"/>
  <c r="Q1206"/>
  <c r="P1206"/>
  <c r="O1206"/>
  <c r="Q1205"/>
  <c r="P1205"/>
  <c r="O1205"/>
  <c r="Q1204"/>
  <c r="P1204"/>
  <c r="O1204"/>
  <c r="Q1203"/>
  <c r="P1203"/>
  <c r="O1203"/>
  <c r="Q1202"/>
  <c r="P1202"/>
  <c r="O1202"/>
  <c r="Q1201"/>
  <c r="P1201"/>
  <c r="O1201"/>
  <c r="Q1200"/>
  <c r="P1200"/>
  <c r="O1200"/>
  <c r="Q1199"/>
  <c r="P1199"/>
  <c r="O1199"/>
  <c r="Q1198"/>
  <c r="P1198"/>
  <c r="O1198"/>
  <c r="Q1197"/>
  <c r="P1197"/>
  <c r="O1197"/>
  <c r="Q1196"/>
  <c r="P1196"/>
  <c r="O1196"/>
  <c r="Q1195"/>
  <c r="P1195"/>
  <c r="O1195"/>
  <c r="Q1194"/>
  <c r="P1194"/>
  <c r="O1194"/>
  <c r="Q1193"/>
  <c r="P1193"/>
  <c r="O1193"/>
  <c r="Q1192"/>
  <c r="P1192"/>
  <c r="O1192"/>
  <c r="Q1191"/>
  <c r="P1191"/>
  <c r="O1191"/>
  <c r="Q1190"/>
  <c r="P1190"/>
  <c r="O1190"/>
  <c r="Q1189"/>
  <c r="P1189"/>
  <c r="O1189"/>
  <c r="Q1188"/>
  <c r="P1188"/>
  <c r="O1188"/>
  <c r="Q1187"/>
  <c r="P1187"/>
  <c r="O1187"/>
  <c r="Q1186"/>
  <c r="P1186"/>
  <c r="O1186"/>
  <c r="Q1185"/>
  <c r="P1185"/>
  <c r="O1185"/>
  <c r="Q1184"/>
  <c r="P1184"/>
  <c r="O1184"/>
  <c r="Q1183"/>
  <c r="P1183"/>
  <c r="O1183"/>
  <c r="Q1182"/>
  <c r="P1182"/>
  <c r="O1182"/>
  <c r="Q1181"/>
  <c r="P1181"/>
  <c r="O1181"/>
  <c r="Q1180"/>
  <c r="P1180"/>
  <c r="O1180"/>
  <c r="Q1179"/>
  <c r="P1179"/>
  <c r="O1179"/>
  <c r="Q1178"/>
  <c r="P1178"/>
  <c r="O1178"/>
  <c r="Q1177"/>
  <c r="P1177"/>
  <c r="O1177"/>
  <c r="Q1176"/>
  <c r="P1176"/>
  <c r="O1176"/>
  <c r="Q1175"/>
  <c r="P1175"/>
  <c r="O1175"/>
  <c r="Q1174"/>
  <c r="P1174"/>
  <c r="O1174"/>
  <c r="Q1173"/>
  <c r="P1173"/>
  <c r="O1173"/>
  <c r="Q1172"/>
  <c r="P1172"/>
  <c r="O1172"/>
  <c r="Q1171"/>
  <c r="P1171"/>
  <c r="O1171"/>
  <c r="Q1170"/>
  <c r="P1170"/>
  <c r="O1170"/>
  <c r="Q1169"/>
  <c r="P1169"/>
  <c r="O1169"/>
  <c r="Q1168"/>
  <c r="P1168"/>
  <c r="O1168"/>
  <c r="Q1167"/>
  <c r="P1167"/>
  <c r="O1167"/>
  <c r="Q1166"/>
  <c r="P1166"/>
  <c r="O1166"/>
  <c r="Q1165"/>
  <c r="P1165"/>
  <c r="O1165"/>
  <c r="Q1164"/>
  <c r="P1164"/>
  <c r="O1164"/>
  <c r="Q1163"/>
  <c r="P1163"/>
  <c r="O1163"/>
  <c r="Q1162"/>
  <c r="P1162"/>
  <c r="O1162"/>
  <c r="Q1161"/>
  <c r="P1161"/>
  <c r="O1161"/>
  <c r="Q1160"/>
  <c r="P1160"/>
  <c r="O1160"/>
  <c r="Q1159"/>
  <c r="P1159"/>
  <c r="O1159"/>
  <c r="Q1158"/>
  <c r="P1158"/>
  <c r="O1158"/>
  <c r="Q1157"/>
  <c r="P1157"/>
  <c r="O1157"/>
  <c r="Q1156"/>
  <c r="P1156"/>
  <c r="O1156"/>
  <c r="Q1155"/>
  <c r="P1155"/>
  <c r="O1155"/>
  <c r="Q1154"/>
  <c r="P1154"/>
  <c r="O1154"/>
  <c r="Q1153"/>
  <c r="P1153"/>
  <c r="O1153"/>
  <c r="Q1152"/>
  <c r="P1152"/>
  <c r="O1152"/>
  <c r="Q1151"/>
  <c r="P1151"/>
  <c r="O1151"/>
  <c r="Q1150"/>
  <c r="P1150"/>
  <c r="O1150"/>
  <c r="Q1149"/>
  <c r="P1149"/>
  <c r="O1149"/>
  <c r="Q1148"/>
  <c r="P1148"/>
  <c r="O1148"/>
  <c r="Q1147"/>
  <c r="P1147"/>
  <c r="O1147"/>
  <c r="Q1146"/>
  <c r="P1146"/>
  <c r="O1146"/>
  <c r="Q1145"/>
  <c r="P1145"/>
  <c r="O1145"/>
  <c r="Q1144"/>
  <c r="P1144"/>
  <c r="O1144"/>
  <c r="Q1143"/>
  <c r="P1143"/>
  <c r="O1143"/>
  <c r="Q1142"/>
  <c r="P1142"/>
  <c r="O1142"/>
  <c r="Q1141"/>
  <c r="P1141"/>
  <c r="O1141"/>
  <c r="Q1140"/>
  <c r="P1140"/>
  <c r="O1140"/>
  <c r="Q1139"/>
  <c r="P1139"/>
  <c r="O1139"/>
  <c r="Q1138"/>
  <c r="P1138"/>
  <c r="O1138"/>
  <c r="Q1137"/>
  <c r="P1137"/>
  <c r="O1137"/>
  <c r="Q1136"/>
  <c r="P1136"/>
  <c r="O1136"/>
  <c r="Q1135"/>
  <c r="P1135"/>
  <c r="O1135"/>
  <c r="Q1134"/>
  <c r="P1134"/>
  <c r="O1134"/>
  <c r="Q1133"/>
  <c r="P1133"/>
  <c r="O1133"/>
  <c r="Q1132"/>
  <c r="P1132"/>
  <c r="O1132"/>
  <c r="Q1131"/>
  <c r="P1131"/>
  <c r="O1131"/>
  <c r="Q1130"/>
  <c r="P1130"/>
  <c r="O1130"/>
  <c r="Q1129"/>
  <c r="P1129"/>
  <c r="O1129"/>
  <c r="Q1128"/>
  <c r="P1128"/>
  <c r="O1128"/>
  <c r="Q1127"/>
  <c r="P1127"/>
  <c r="O1127"/>
  <c r="Q1126"/>
  <c r="P1126"/>
  <c r="O1126"/>
  <c r="Q1125"/>
  <c r="P1125"/>
  <c r="O1125"/>
  <c r="Q1124"/>
  <c r="P1124"/>
  <c r="O1124"/>
  <c r="Q1123"/>
  <c r="P1123"/>
  <c r="O1123"/>
  <c r="Q1122"/>
  <c r="P1122"/>
  <c r="O1122"/>
  <c r="Q1121"/>
  <c r="P1121"/>
  <c r="O1121"/>
  <c r="Q1120"/>
  <c r="P1120"/>
  <c r="O1120"/>
  <c r="Q1119"/>
  <c r="P1119"/>
  <c r="O1119"/>
  <c r="Q1118"/>
  <c r="P1118"/>
  <c r="O1118"/>
  <c r="Q1117"/>
  <c r="P1117"/>
  <c r="O1117"/>
  <c r="Q1116"/>
  <c r="P1116"/>
  <c r="O1116"/>
  <c r="Q1115"/>
  <c r="P1115"/>
  <c r="O1115"/>
  <c r="Q1114"/>
  <c r="P1114"/>
  <c r="O1114"/>
  <c r="Q1113"/>
  <c r="P1113"/>
  <c r="O1113"/>
  <c r="Q1112"/>
  <c r="P1112"/>
  <c r="O1112"/>
  <c r="Q1111"/>
  <c r="P1111"/>
  <c r="O1111"/>
  <c r="Q1110"/>
  <c r="P1110"/>
  <c r="O1110"/>
  <c r="Q1109"/>
  <c r="P1109"/>
  <c r="O1109"/>
  <c r="Q1108"/>
  <c r="P1108"/>
  <c r="O1108"/>
  <c r="Q1107"/>
  <c r="P1107"/>
  <c r="O1107"/>
  <c r="Q1106"/>
  <c r="P1106"/>
  <c r="O1106"/>
  <c r="Q1105"/>
  <c r="P1105"/>
  <c r="O1105"/>
  <c r="Q1104"/>
  <c r="P1104"/>
  <c r="O1104"/>
  <c r="Q1103"/>
  <c r="P1103"/>
  <c r="O1103"/>
  <c r="Q1102"/>
  <c r="P1102"/>
  <c r="O1102"/>
  <c r="Q1101"/>
  <c r="P1101"/>
  <c r="O1101"/>
  <c r="Q1100"/>
  <c r="P1100"/>
  <c r="O1100"/>
  <c r="Q1099"/>
  <c r="P1099"/>
  <c r="O1099"/>
  <c r="Q1098"/>
  <c r="P1098"/>
  <c r="O1098"/>
  <c r="Q1097"/>
  <c r="P1097"/>
  <c r="O1097"/>
  <c r="Q1096"/>
  <c r="P1096"/>
  <c r="O1096"/>
  <c r="Q1095"/>
  <c r="P1095"/>
  <c r="O1095"/>
  <c r="Q1094"/>
  <c r="P1094"/>
  <c r="O1094"/>
  <c r="Q1093"/>
  <c r="P1093"/>
  <c r="O1093"/>
  <c r="Q1092"/>
  <c r="P1092"/>
  <c r="O1092"/>
  <c r="Q1091"/>
  <c r="P1091"/>
  <c r="O1091"/>
  <c r="Q1090"/>
  <c r="P1090"/>
  <c r="O1090"/>
  <c r="Q1089"/>
  <c r="P1089"/>
  <c r="O1089"/>
  <c r="Q1088"/>
  <c r="P1088"/>
  <c r="O1088"/>
  <c r="Q1087"/>
  <c r="P1087"/>
  <c r="O1087"/>
  <c r="Q1086"/>
  <c r="P1086"/>
  <c r="O1086"/>
  <c r="Q1085"/>
  <c r="P1085"/>
  <c r="O1085"/>
  <c r="Q1084"/>
  <c r="P1084"/>
  <c r="O1084"/>
  <c r="Q1083"/>
  <c r="P1083"/>
  <c r="O1083"/>
  <c r="Q1082"/>
  <c r="P1082"/>
  <c r="O1082"/>
  <c r="Q1081"/>
  <c r="P1081"/>
  <c r="O1081"/>
  <c r="Q1080"/>
  <c r="P1080"/>
  <c r="O1080"/>
  <c r="Q1079"/>
  <c r="P1079"/>
  <c r="O1079"/>
  <c r="Q1078"/>
  <c r="P1078"/>
  <c r="O1078"/>
  <c r="Q1077"/>
  <c r="P1077"/>
  <c r="O1077"/>
  <c r="Q1076"/>
  <c r="P1076"/>
  <c r="O1076"/>
  <c r="Q1075"/>
  <c r="P1075"/>
  <c r="O1075"/>
  <c r="Q1074"/>
  <c r="P1074"/>
  <c r="O1074"/>
  <c r="Q1073"/>
  <c r="P1073"/>
  <c r="O1073"/>
  <c r="Q1072"/>
  <c r="P1072"/>
  <c r="O1072"/>
  <c r="Q1071"/>
  <c r="P1071"/>
  <c r="O1071"/>
  <c r="Q1070"/>
  <c r="P1070"/>
  <c r="O1070"/>
  <c r="Q1069"/>
  <c r="P1069"/>
  <c r="O1069"/>
  <c r="Q1068"/>
  <c r="P1068"/>
  <c r="O1068"/>
  <c r="Q1067"/>
  <c r="P1067"/>
  <c r="O1067"/>
  <c r="Q1066"/>
  <c r="P1066"/>
  <c r="O1066"/>
  <c r="Q1065"/>
  <c r="P1065"/>
  <c r="O1065"/>
  <c r="Q1064"/>
  <c r="P1064"/>
  <c r="O1064"/>
  <c r="Q1063"/>
  <c r="P1063"/>
  <c r="O1063"/>
  <c r="Q1062"/>
  <c r="P1062"/>
  <c r="O1062"/>
  <c r="Q1061"/>
  <c r="P1061"/>
  <c r="O1061"/>
  <c r="Q1060"/>
  <c r="P1060"/>
  <c r="O1060"/>
  <c r="Q1059"/>
  <c r="P1059"/>
  <c r="O1059"/>
  <c r="Q1058"/>
  <c r="P1058"/>
  <c r="O1058"/>
  <c r="Q1057"/>
  <c r="P1057"/>
  <c r="O1057"/>
  <c r="Q1056"/>
  <c r="P1056"/>
  <c r="O1056"/>
  <c r="Q1055"/>
  <c r="P1055"/>
  <c r="O1055"/>
  <c r="Q1054"/>
  <c r="P1054"/>
  <c r="O1054"/>
  <c r="Q1053"/>
  <c r="P1053"/>
  <c r="O1053"/>
  <c r="Q1052"/>
  <c r="P1052"/>
  <c r="O1052"/>
  <c r="Q1051"/>
  <c r="P1051"/>
  <c r="O1051"/>
  <c r="Q1050"/>
  <c r="P1050"/>
  <c r="O1050"/>
  <c r="Q1049"/>
  <c r="P1049"/>
  <c r="O1049"/>
  <c r="Q1048"/>
  <c r="P1048"/>
  <c r="O1048"/>
  <c r="Q1047"/>
  <c r="P1047"/>
  <c r="O1047"/>
  <c r="Q1046"/>
  <c r="P1046"/>
  <c r="O1046"/>
  <c r="Q1045"/>
  <c r="P1045"/>
  <c r="O1045"/>
  <c r="Q1044"/>
  <c r="P1044"/>
  <c r="O1044"/>
  <c r="Q1043"/>
  <c r="P1043"/>
  <c r="O1043"/>
  <c r="Q1042"/>
  <c r="P1042"/>
  <c r="O1042"/>
  <c r="Q1041"/>
  <c r="P1041"/>
  <c r="O1041"/>
  <c r="Q1040"/>
  <c r="P1040"/>
  <c r="O1040"/>
  <c r="Q1039"/>
  <c r="P1039"/>
  <c r="O1039"/>
  <c r="Q1038"/>
  <c r="P1038"/>
  <c r="O1038"/>
  <c r="Q1037"/>
  <c r="P1037"/>
  <c r="O1037"/>
  <c r="Q1036"/>
  <c r="P1036"/>
  <c r="O1036"/>
  <c r="Q1035"/>
  <c r="P1035"/>
  <c r="O1035"/>
  <c r="Q1034"/>
  <c r="P1034"/>
  <c r="O1034"/>
  <c r="Q1033"/>
  <c r="P1033"/>
  <c r="O1033"/>
  <c r="Q1032"/>
  <c r="P1032"/>
  <c r="O1032"/>
  <c r="Q1031"/>
  <c r="P1031"/>
  <c r="O1031"/>
  <c r="Q1030"/>
  <c r="P1030"/>
  <c r="O1030"/>
  <c r="Q1029"/>
  <c r="P1029"/>
  <c r="O1029"/>
  <c r="Q1028"/>
  <c r="P1028"/>
  <c r="O1028"/>
  <c r="Q1027"/>
  <c r="P1027"/>
  <c r="O1027"/>
  <c r="Q1026"/>
  <c r="P1026"/>
  <c r="O1026"/>
  <c r="Q1025"/>
  <c r="P1025"/>
  <c r="O1025"/>
  <c r="Q1024"/>
  <c r="P1024"/>
  <c r="O1024"/>
  <c r="Q1023"/>
  <c r="P1023"/>
  <c r="O1023"/>
  <c r="Q1022"/>
  <c r="P1022"/>
  <c r="O1022"/>
  <c r="Q1021"/>
  <c r="P1021"/>
  <c r="O1021"/>
  <c r="Q1020"/>
  <c r="P1020"/>
  <c r="O1020"/>
  <c r="Q1019"/>
  <c r="P1019"/>
  <c r="O1019"/>
  <c r="Q1018"/>
  <c r="P1018"/>
  <c r="O1018"/>
  <c r="Q1017"/>
  <c r="P1017"/>
  <c r="O1017"/>
  <c r="Q1016"/>
  <c r="P1016"/>
  <c r="O1016"/>
  <c r="Q1015"/>
  <c r="P1015"/>
  <c r="O1015"/>
  <c r="Q1014"/>
  <c r="P1014"/>
  <c r="O1014"/>
  <c r="Q1013"/>
  <c r="P1013"/>
  <c r="O1013"/>
  <c r="Q1012"/>
  <c r="P1012"/>
  <c r="O1012"/>
  <c r="Q1011"/>
  <c r="P1011"/>
  <c r="O1011"/>
  <c r="Q1010"/>
  <c r="P1010"/>
  <c r="O1010"/>
  <c r="Q1009"/>
  <c r="P1009"/>
  <c r="O1009"/>
  <c r="Q1008"/>
  <c r="P1008"/>
  <c r="O1008"/>
  <c r="Q1007"/>
  <c r="P1007"/>
  <c r="O1007"/>
  <c r="Q1006"/>
  <c r="P1006"/>
  <c r="O1006"/>
  <c r="Q1005"/>
  <c r="P1005"/>
  <c r="O1005"/>
  <c r="Q1004"/>
  <c r="P1004"/>
  <c r="O1004"/>
  <c r="Q1003"/>
  <c r="P1003"/>
  <c r="O1003"/>
  <c r="Q1002"/>
  <c r="P1002"/>
  <c r="O1002"/>
  <c r="Q1001"/>
  <c r="P1001"/>
  <c r="O1001"/>
  <c r="Q1000"/>
  <c r="P1000"/>
  <c r="O1000"/>
  <c r="Q999"/>
  <c r="P999"/>
  <c r="O999"/>
  <c r="Q998"/>
  <c r="P998"/>
  <c r="O998"/>
  <c r="Q997"/>
  <c r="P997"/>
  <c r="O997"/>
  <c r="Q996"/>
  <c r="P996"/>
  <c r="O996"/>
  <c r="Q995"/>
  <c r="P995"/>
  <c r="O995"/>
  <c r="Q994"/>
  <c r="P994"/>
  <c r="O994"/>
  <c r="Q993"/>
  <c r="P993"/>
  <c r="O993"/>
  <c r="Q992"/>
  <c r="P992"/>
  <c r="O992"/>
  <c r="Q991"/>
  <c r="P991"/>
  <c r="O991"/>
  <c r="Q990"/>
  <c r="P990"/>
  <c r="O990"/>
  <c r="Q989"/>
  <c r="P989"/>
  <c r="O989"/>
  <c r="Q988"/>
  <c r="P988"/>
  <c r="O988"/>
  <c r="Q987"/>
  <c r="P987"/>
  <c r="O987"/>
  <c r="Q986"/>
  <c r="P986"/>
  <c r="O986"/>
  <c r="Q985"/>
  <c r="P985"/>
  <c r="O985"/>
  <c r="Q984"/>
  <c r="P984"/>
  <c r="O984"/>
  <c r="Q983"/>
  <c r="P983"/>
  <c r="O983"/>
  <c r="Q982"/>
  <c r="P982"/>
  <c r="O982"/>
  <c r="Q981"/>
  <c r="P981"/>
  <c r="O981"/>
  <c r="Q980"/>
  <c r="P980"/>
  <c r="O980"/>
  <c r="Q979"/>
  <c r="P979"/>
  <c r="O979"/>
  <c r="Q978"/>
  <c r="P978"/>
  <c r="O978"/>
  <c r="Q977"/>
  <c r="P977"/>
  <c r="O977"/>
  <c r="Q976"/>
  <c r="P976"/>
  <c r="O976"/>
  <c r="Q975"/>
  <c r="P975"/>
  <c r="O975"/>
  <c r="Q974"/>
  <c r="P974"/>
  <c r="O974"/>
  <c r="Q973"/>
  <c r="P973"/>
  <c r="O973"/>
  <c r="Q972"/>
  <c r="P972"/>
  <c r="O972"/>
  <c r="Q971"/>
  <c r="P971"/>
  <c r="O971"/>
  <c r="Q970"/>
  <c r="P970"/>
  <c r="O970"/>
  <c r="Q969"/>
  <c r="P969"/>
  <c r="O969"/>
  <c r="Q968"/>
  <c r="P968"/>
  <c r="O968"/>
  <c r="Q967"/>
  <c r="P967"/>
  <c r="O967"/>
  <c r="Q966"/>
  <c r="P966"/>
  <c r="O966"/>
  <c r="Q965"/>
  <c r="P965"/>
  <c r="O965"/>
  <c r="Q964"/>
  <c r="P964"/>
  <c r="O964"/>
  <c r="Q963"/>
  <c r="P963"/>
  <c r="O963"/>
  <c r="Q962"/>
  <c r="P962"/>
  <c r="O962"/>
  <c r="Q961"/>
  <c r="P961"/>
  <c r="O961"/>
  <c r="Q960"/>
  <c r="P960"/>
  <c r="O960"/>
  <c r="Q959"/>
  <c r="P959"/>
  <c r="O959"/>
  <c r="Q958"/>
  <c r="P958"/>
  <c r="O958"/>
  <c r="Q957"/>
  <c r="P957"/>
  <c r="O957"/>
  <c r="Q956"/>
  <c r="P956"/>
  <c r="O956"/>
  <c r="Q955"/>
  <c r="P955"/>
  <c r="O955"/>
  <c r="Q954"/>
  <c r="P954"/>
  <c r="O954"/>
  <c r="Q953"/>
  <c r="P953"/>
  <c r="O953"/>
  <c r="Q952"/>
  <c r="P952"/>
  <c r="O952"/>
  <c r="Q951"/>
  <c r="P951"/>
  <c r="O951"/>
  <c r="Q950"/>
  <c r="P950"/>
  <c r="O950"/>
  <c r="Q949"/>
  <c r="P949"/>
  <c r="O949"/>
  <c r="Q948"/>
  <c r="P948"/>
  <c r="O948"/>
  <c r="Q947"/>
  <c r="P947"/>
  <c r="O947"/>
  <c r="Q946"/>
  <c r="P946"/>
  <c r="O946"/>
  <c r="Q945"/>
  <c r="P945"/>
  <c r="O945"/>
  <c r="Q944"/>
  <c r="P944"/>
  <c r="O944"/>
  <c r="Q943"/>
  <c r="P943"/>
  <c r="O943"/>
  <c r="Q942"/>
  <c r="P942"/>
  <c r="O942"/>
  <c r="Q941"/>
  <c r="P941"/>
  <c r="O941"/>
  <c r="Q940"/>
  <c r="P940"/>
  <c r="O940"/>
  <c r="Q939"/>
  <c r="P939"/>
  <c r="O939"/>
  <c r="Q938"/>
  <c r="P938"/>
  <c r="O938"/>
  <c r="Q937"/>
  <c r="P937"/>
  <c r="O937"/>
  <c r="Q936"/>
  <c r="P936"/>
  <c r="O936"/>
  <c r="Q935"/>
  <c r="P935"/>
  <c r="O935"/>
  <c r="Q934"/>
  <c r="P934"/>
  <c r="O934"/>
  <c r="Q933"/>
  <c r="P933"/>
  <c r="O933"/>
  <c r="Q932"/>
  <c r="P932"/>
  <c r="O932"/>
  <c r="Q931"/>
  <c r="P931"/>
  <c r="O931"/>
  <c r="Q930"/>
  <c r="P930"/>
  <c r="O930"/>
  <c r="Q929"/>
  <c r="P929"/>
  <c r="O929"/>
  <c r="Q928"/>
  <c r="P928"/>
  <c r="O928"/>
  <c r="Q927"/>
  <c r="P927"/>
  <c r="O927"/>
  <c r="Q926"/>
  <c r="P926"/>
  <c r="O926"/>
  <c r="Q925"/>
  <c r="P925"/>
  <c r="O925"/>
  <c r="Q924"/>
  <c r="P924"/>
  <c r="O924"/>
  <c r="Q923"/>
  <c r="P923"/>
  <c r="O923"/>
  <c r="Q922"/>
  <c r="P922"/>
  <c r="O922"/>
  <c r="Q921"/>
  <c r="P921"/>
  <c r="O921"/>
  <c r="Q920"/>
  <c r="P920"/>
  <c r="O920"/>
  <c r="Q919"/>
  <c r="P919"/>
  <c r="O919"/>
  <c r="Q918"/>
  <c r="P918"/>
  <c r="O918"/>
  <c r="Q917"/>
  <c r="P917"/>
  <c r="O917"/>
  <c r="Q916"/>
  <c r="P916"/>
  <c r="O916"/>
  <c r="Q915"/>
  <c r="P915"/>
  <c r="O915"/>
  <c r="Q914"/>
  <c r="P914"/>
  <c r="O914"/>
  <c r="Q913"/>
  <c r="P913"/>
  <c r="O913"/>
  <c r="Q912"/>
  <c r="P912"/>
  <c r="O912"/>
  <c r="Q911"/>
  <c r="P911"/>
  <c r="O911"/>
  <c r="Q910"/>
  <c r="P910"/>
  <c r="O910"/>
  <c r="Q909"/>
  <c r="P909"/>
  <c r="O909"/>
  <c r="Q908"/>
  <c r="P908"/>
  <c r="O908"/>
  <c r="Q907"/>
  <c r="P907"/>
  <c r="O907"/>
  <c r="Q906"/>
  <c r="P906"/>
  <c r="O906"/>
  <c r="Q905"/>
  <c r="P905"/>
  <c r="O905"/>
  <c r="Q904"/>
  <c r="P904"/>
  <c r="O904"/>
  <c r="Q903"/>
  <c r="P903"/>
  <c r="O903"/>
  <c r="Q902"/>
  <c r="P902"/>
  <c r="O902"/>
  <c r="Q901"/>
  <c r="P901"/>
  <c r="O901"/>
  <c r="Q900"/>
  <c r="P900"/>
  <c r="O900"/>
  <c r="Q899"/>
  <c r="P899"/>
  <c r="O899"/>
  <c r="Q898"/>
  <c r="P898"/>
  <c r="O898"/>
  <c r="Q897"/>
  <c r="P897"/>
  <c r="O897"/>
  <c r="Q896"/>
  <c r="P896"/>
  <c r="O896"/>
  <c r="Q895"/>
  <c r="P895"/>
  <c r="O895"/>
  <c r="Q894"/>
  <c r="P894"/>
  <c r="O894"/>
  <c r="Q893"/>
  <c r="P893"/>
  <c r="O893"/>
  <c r="Q892"/>
  <c r="P892"/>
  <c r="O892"/>
  <c r="Q891"/>
  <c r="P891"/>
  <c r="O891"/>
  <c r="Q890"/>
  <c r="P890"/>
  <c r="O890"/>
  <c r="Q889"/>
  <c r="P889"/>
  <c r="O889"/>
  <c r="Q888"/>
  <c r="P888"/>
  <c r="O888"/>
  <c r="Q887"/>
  <c r="P887"/>
  <c r="O887"/>
  <c r="Q886"/>
  <c r="P886"/>
  <c r="O886"/>
  <c r="Q885"/>
  <c r="P885"/>
  <c r="O885"/>
  <c r="Q884"/>
  <c r="P884"/>
  <c r="O884"/>
  <c r="Q883"/>
  <c r="P883"/>
  <c r="O883"/>
  <c r="Q882"/>
  <c r="P882"/>
  <c r="O882"/>
  <c r="Q881"/>
  <c r="P881"/>
  <c r="O881"/>
  <c r="Q880"/>
  <c r="P880"/>
  <c r="O880"/>
  <c r="Q879"/>
  <c r="P879"/>
  <c r="O879"/>
  <c r="Q878"/>
  <c r="P878"/>
  <c r="O878"/>
  <c r="Q877"/>
  <c r="P877"/>
  <c r="O877"/>
  <c r="Q876"/>
  <c r="P876"/>
  <c r="O876"/>
  <c r="Q875"/>
  <c r="P875"/>
  <c r="O875"/>
  <c r="Q874"/>
  <c r="P874"/>
  <c r="O874"/>
  <c r="Q873"/>
  <c r="P873"/>
  <c r="O873"/>
  <c r="Q872"/>
  <c r="P872"/>
  <c r="O872"/>
  <c r="Q871"/>
  <c r="P871"/>
  <c r="O871"/>
  <c r="Q870"/>
  <c r="P870"/>
  <c r="O870"/>
  <c r="Q869"/>
  <c r="P869"/>
  <c r="O869"/>
  <c r="Q868"/>
  <c r="P868"/>
  <c r="O868"/>
  <c r="Q867"/>
  <c r="P867"/>
  <c r="O867"/>
  <c r="Q866"/>
  <c r="P866"/>
  <c r="O866"/>
  <c r="Q865"/>
  <c r="P865"/>
  <c r="O865"/>
  <c r="Q864"/>
  <c r="P864"/>
  <c r="O864"/>
  <c r="Q863"/>
  <c r="P863"/>
  <c r="O863"/>
  <c r="Q862"/>
  <c r="P862"/>
  <c r="O862"/>
  <c r="Q861"/>
  <c r="P861"/>
  <c r="O861"/>
  <c r="Q860"/>
  <c r="P860"/>
  <c r="O860"/>
  <c r="Q859"/>
  <c r="P859"/>
  <c r="O859"/>
  <c r="Q858"/>
  <c r="P858"/>
  <c r="O858"/>
  <c r="Q857"/>
  <c r="P857"/>
  <c r="O857"/>
  <c r="Q856"/>
  <c r="P856"/>
  <c r="O856"/>
  <c r="Q855"/>
  <c r="P855"/>
  <c r="O855"/>
  <c r="Q854"/>
  <c r="P854"/>
  <c r="O854"/>
  <c r="Q853"/>
  <c r="P853"/>
  <c r="O853"/>
  <c r="Q852"/>
  <c r="P852"/>
  <c r="O852"/>
  <c r="Q851"/>
  <c r="P851"/>
  <c r="O851"/>
  <c r="Q850"/>
  <c r="P850"/>
  <c r="O850"/>
  <c r="Q849"/>
  <c r="P849"/>
  <c r="O849"/>
  <c r="Q848"/>
  <c r="P848"/>
  <c r="O848"/>
  <c r="Q847"/>
  <c r="P847"/>
  <c r="O847"/>
  <c r="Q846"/>
  <c r="P846"/>
  <c r="O846"/>
  <c r="Q845"/>
  <c r="P845"/>
  <c r="O845"/>
  <c r="Q844"/>
  <c r="P844"/>
  <c r="O844"/>
  <c r="Q843"/>
  <c r="P843"/>
  <c r="O843"/>
  <c r="Q842"/>
  <c r="P842"/>
  <c r="O842"/>
  <c r="Q841"/>
  <c r="P841"/>
  <c r="O841"/>
  <c r="Q840"/>
  <c r="P840"/>
  <c r="O840"/>
  <c r="Q839"/>
  <c r="P839"/>
  <c r="O839"/>
  <c r="Q838"/>
  <c r="P838"/>
  <c r="O838"/>
  <c r="Q837"/>
  <c r="P837"/>
  <c r="O837"/>
  <c r="Q836"/>
  <c r="P836"/>
  <c r="O836"/>
  <c r="Q835"/>
  <c r="P835"/>
  <c r="O835"/>
  <c r="Q834"/>
  <c r="P834"/>
  <c r="O834"/>
  <c r="Q833"/>
  <c r="P833"/>
  <c r="O833"/>
  <c r="Q832"/>
  <c r="P832"/>
  <c r="O832"/>
  <c r="Q831"/>
  <c r="P831"/>
  <c r="O831"/>
  <c r="Q830"/>
  <c r="P830"/>
  <c r="O830"/>
  <c r="Q829"/>
  <c r="P829"/>
  <c r="O829"/>
  <c r="Q828"/>
  <c r="P828"/>
  <c r="O828"/>
  <c r="Q827"/>
  <c r="P827"/>
  <c r="O827"/>
  <c r="Q826"/>
  <c r="P826"/>
  <c r="O826"/>
  <c r="Q825"/>
  <c r="P825"/>
  <c r="O825"/>
  <c r="Q824"/>
  <c r="P824"/>
  <c r="O824"/>
  <c r="Q823"/>
  <c r="P823"/>
  <c r="O823"/>
  <c r="Q822"/>
  <c r="P822"/>
  <c r="O822"/>
  <c r="Q821"/>
  <c r="P821"/>
  <c r="O821"/>
  <c r="Q820"/>
  <c r="P820"/>
  <c r="O820"/>
  <c r="Q819"/>
  <c r="P819"/>
  <c r="O819"/>
  <c r="Q818"/>
  <c r="P818"/>
  <c r="O818"/>
  <c r="Q817"/>
  <c r="P817"/>
  <c r="O817"/>
  <c r="Q816"/>
  <c r="P816"/>
  <c r="O816"/>
  <c r="Q815"/>
  <c r="P815"/>
  <c r="O815"/>
  <c r="Q814"/>
  <c r="P814"/>
  <c r="O814"/>
  <c r="Q813"/>
  <c r="P813"/>
  <c r="O813"/>
  <c r="Q812"/>
  <c r="P812"/>
  <c r="O812"/>
  <c r="Q811"/>
  <c r="P811"/>
  <c r="O811"/>
  <c r="Q810"/>
  <c r="P810"/>
  <c r="O810"/>
  <c r="Q809"/>
  <c r="P809"/>
  <c r="O809"/>
  <c r="Q808"/>
  <c r="P808"/>
  <c r="O808"/>
  <c r="Q807"/>
  <c r="P807"/>
  <c r="O807"/>
  <c r="Q806"/>
  <c r="P806"/>
  <c r="O806"/>
  <c r="Q805"/>
  <c r="P805"/>
  <c r="O805"/>
  <c r="Q804"/>
  <c r="P804"/>
  <c r="O804"/>
  <c r="Q803"/>
  <c r="P803"/>
  <c r="O803"/>
  <c r="Q802"/>
  <c r="P802"/>
  <c r="O802"/>
  <c r="Q801"/>
  <c r="P801"/>
  <c r="O801"/>
  <c r="Q800"/>
  <c r="P800"/>
  <c r="O800"/>
  <c r="Q799"/>
  <c r="P799"/>
  <c r="O799"/>
  <c r="Q798"/>
  <c r="P798"/>
  <c r="O798"/>
  <c r="Q797"/>
  <c r="P797"/>
  <c r="O797"/>
  <c r="Q796"/>
  <c r="P796"/>
  <c r="O796"/>
  <c r="Q795"/>
  <c r="P795"/>
  <c r="O795"/>
  <c r="Q794"/>
  <c r="P794"/>
  <c r="O794"/>
  <c r="Q793"/>
  <c r="P793"/>
  <c r="O793"/>
  <c r="Q792"/>
  <c r="P792"/>
  <c r="O792"/>
  <c r="Q791"/>
  <c r="P791"/>
  <c r="O791"/>
  <c r="Q790"/>
  <c r="P790"/>
  <c r="O790"/>
  <c r="Q789"/>
  <c r="P789"/>
  <c r="O789"/>
  <c r="Q788"/>
  <c r="P788"/>
  <c r="O788"/>
  <c r="Q787"/>
  <c r="P787"/>
  <c r="O787"/>
  <c r="Q786"/>
  <c r="P786"/>
  <c r="O786"/>
  <c r="Q785"/>
  <c r="P785"/>
  <c r="O785"/>
  <c r="Q784"/>
  <c r="P784"/>
  <c r="O784"/>
  <c r="Q783"/>
  <c r="P783"/>
  <c r="O783"/>
  <c r="Q782"/>
  <c r="P782"/>
  <c r="O782"/>
  <c r="Q781"/>
  <c r="P781"/>
  <c r="O781"/>
  <c r="Q780"/>
  <c r="P780"/>
  <c r="O780"/>
  <c r="Q779"/>
  <c r="P779"/>
  <c r="O779"/>
  <c r="Q778"/>
  <c r="P778"/>
  <c r="O778"/>
  <c r="Q777"/>
  <c r="P777"/>
  <c r="O777"/>
  <c r="Q776"/>
  <c r="P776"/>
  <c r="O776"/>
  <c r="Q775"/>
  <c r="P775"/>
  <c r="O775"/>
  <c r="Q774"/>
  <c r="P774"/>
  <c r="O774"/>
  <c r="Q773"/>
  <c r="P773"/>
  <c r="O773"/>
  <c r="Q772"/>
  <c r="P772"/>
  <c r="O772"/>
  <c r="Q771"/>
  <c r="P771"/>
  <c r="O771"/>
  <c r="Q770"/>
  <c r="P770"/>
  <c r="O770"/>
  <c r="Q769"/>
  <c r="P769"/>
  <c r="O769"/>
  <c r="Q768"/>
  <c r="P768"/>
  <c r="O768"/>
  <c r="Q767"/>
  <c r="P767"/>
  <c r="O767"/>
  <c r="Q766"/>
  <c r="P766"/>
  <c r="O766"/>
  <c r="Q765"/>
  <c r="P765"/>
  <c r="O765"/>
  <c r="Q764"/>
  <c r="P764"/>
  <c r="O764"/>
  <c r="Q763"/>
  <c r="P763"/>
  <c r="O763"/>
  <c r="Q762"/>
  <c r="P762"/>
  <c r="O762"/>
  <c r="Q761"/>
  <c r="P761"/>
  <c r="O761"/>
  <c r="Q760"/>
  <c r="P760"/>
  <c r="O760"/>
  <c r="Q759"/>
  <c r="P759"/>
  <c r="O759"/>
  <c r="Q758"/>
  <c r="P758"/>
  <c r="O758"/>
  <c r="Q757"/>
  <c r="P757"/>
  <c r="O757"/>
  <c r="Q756"/>
  <c r="P756"/>
  <c r="O756"/>
  <c r="Q755"/>
  <c r="P755"/>
  <c r="O755"/>
  <c r="Q754"/>
  <c r="P754"/>
  <c r="O754"/>
  <c r="Q753"/>
  <c r="P753"/>
  <c r="O753"/>
  <c r="Q752"/>
  <c r="P752"/>
  <c r="O752"/>
  <c r="Q751"/>
  <c r="P751"/>
  <c r="O751"/>
  <c r="Q750"/>
  <c r="P750"/>
  <c r="O750"/>
  <c r="Q749"/>
  <c r="P749"/>
  <c r="O749"/>
  <c r="Q748"/>
  <c r="P748"/>
  <c r="O748"/>
  <c r="Q747"/>
  <c r="P747"/>
  <c r="O747"/>
  <c r="Q746"/>
  <c r="P746"/>
  <c r="O746"/>
  <c r="Q745"/>
  <c r="P745"/>
  <c r="O745"/>
  <c r="Q744"/>
  <c r="P744"/>
  <c r="O744"/>
  <c r="Q743"/>
  <c r="P743"/>
  <c r="O743"/>
  <c r="Q742"/>
  <c r="P742"/>
  <c r="O742"/>
  <c r="Q741"/>
  <c r="P741"/>
  <c r="O741"/>
  <c r="Q740"/>
  <c r="P740"/>
  <c r="O740"/>
  <c r="Q739"/>
  <c r="P739"/>
  <c r="O739"/>
  <c r="Q738"/>
  <c r="P738"/>
  <c r="O738"/>
  <c r="Q737"/>
  <c r="P737"/>
  <c r="O737"/>
  <c r="Q736"/>
  <c r="P736"/>
  <c r="O736"/>
  <c r="Q735"/>
  <c r="P735"/>
  <c r="O735"/>
  <c r="Q734"/>
  <c r="P734"/>
  <c r="O734"/>
  <c r="Q733"/>
  <c r="P733"/>
  <c r="O733"/>
  <c r="Q732"/>
  <c r="P732"/>
  <c r="O732"/>
  <c r="Q731"/>
  <c r="P731"/>
  <c r="O731"/>
  <c r="Q730"/>
  <c r="P730"/>
  <c r="O730"/>
  <c r="Q729"/>
  <c r="P729"/>
  <c r="O729"/>
  <c r="Q728"/>
  <c r="P728"/>
  <c r="O728"/>
  <c r="Q727"/>
  <c r="P727"/>
  <c r="O727"/>
  <c r="Q726"/>
  <c r="P726"/>
  <c r="O726"/>
  <c r="Q725"/>
  <c r="P725"/>
  <c r="O725"/>
  <c r="Q724"/>
  <c r="P724"/>
  <c r="O724"/>
  <c r="Q723"/>
  <c r="P723"/>
  <c r="O723"/>
  <c r="Q722"/>
  <c r="P722"/>
  <c r="O722"/>
  <c r="Q721"/>
  <c r="P721"/>
  <c r="O721"/>
  <c r="Q720"/>
  <c r="P720"/>
  <c r="O720"/>
  <c r="Q719"/>
  <c r="P719"/>
  <c r="O719"/>
  <c r="Q718"/>
  <c r="P718"/>
  <c r="O718"/>
  <c r="Q717"/>
  <c r="P717"/>
  <c r="O717"/>
  <c r="Q716"/>
  <c r="P716"/>
  <c r="O716"/>
  <c r="Q715"/>
  <c r="P715"/>
  <c r="O715"/>
  <c r="Q714"/>
  <c r="P714"/>
  <c r="O714"/>
  <c r="Q713"/>
  <c r="P713"/>
  <c r="O713"/>
  <c r="Q712"/>
  <c r="P712"/>
  <c r="O712"/>
  <c r="Q711"/>
  <c r="P711"/>
  <c r="O711"/>
  <c r="Q710"/>
  <c r="P710"/>
  <c r="O710"/>
  <c r="Q709"/>
  <c r="P709"/>
  <c r="O709"/>
  <c r="Q708"/>
  <c r="P708"/>
  <c r="O708"/>
  <c r="Q707"/>
  <c r="P707"/>
  <c r="O707"/>
  <c r="Q706"/>
  <c r="P706"/>
  <c r="O706"/>
  <c r="Q705"/>
  <c r="P705"/>
  <c r="O705"/>
  <c r="Q704"/>
  <c r="P704"/>
  <c r="O704"/>
  <c r="Q703"/>
  <c r="P703"/>
  <c r="O703"/>
  <c r="Q702"/>
  <c r="P702"/>
  <c r="O702"/>
  <c r="Q701"/>
  <c r="P701"/>
  <c r="O701"/>
  <c r="Q700"/>
  <c r="P700"/>
  <c r="O700"/>
  <c r="Q699"/>
  <c r="P699"/>
  <c r="O699"/>
  <c r="Q698"/>
  <c r="P698"/>
  <c r="O698"/>
  <c r="Q697"/>
  <c r="P697"/>
  <c r="O697"/>
  <c r="Q696"/>
  <c r="P696"/>
  <c r="O696"/>
  <c r="Q695"/>
  <c r="P695"/>
  <c r="O695"/>
  <c r="Q694"/>
  <c r="P694"/>
  <c r="O694"/>
  <c r="Q693"/>
  <c r="P693"/>
  <c r="O693"/>
  <c r="Q692"/>
  <c r="P692"/>
  <c r="O692"/>
  <c r="Q691"/>
  <c r="P691"/>
  <c r="O691"/>
  <c r="Q690"/>
  <c r="P690"/>
  <c r="O690"/>
  <c r="Q689"/>
  <c r="P689"/>
  <c r="O689"/>
  <c r="Q688"/>
  <c r="P688"/>
  <c r="O688"/>
  <c r="Q687"/>
  <c r="P687"/>
  <c r="O687"/>
  <c r="Q686"/>
  <c r="P686"/>
  <c r="O686"/>
  <c r="Q685"/>
  <c r="P685"/>
  <c r="O685"/>
  <c r="Q684"/>
  <c r="P684"/>
  <c r="O684"/>
  <c r="Q683"/>
  <c r="P683"/>
  <c r="O683"/>
  <c r="Q682"/>
  <c r="P682"/>
  <c r="O682"/>
  <c r="Q681"/>
  <c r="P681"/>
  <c r="O681"/>
  <c r="Q680"/>
  <c r="P680"/>
  <c r="O680"/>
  <c r="Q679"/>
  <c r="P679"/>
  <c r="O679"/>
  <c r="Q678"/>
  <c r="P678"/>
  <c r="O678"/>
  <c r="Q677"/>
  <c r="P677"/>
  <c r="O677"/>
  <c r="Q676"/>
  <c r="P676"/>
  <c r="O676"/>
  <c r="Q675"/>
  <c r="P675"/>
  <c r="O675"/>
  <c r="Q674"/>
  <c r="P674"/>
  <c r="O674"/>
  <c r="Q673"/>
  <c r="P673"/>
  <c r="O673"/>
  <c r="Q672"/>
  <c r="P672"/>
  <c r="O672"/>
  <c r="Q671"/>
  <c r="P671"/>
  <c r="O671"/>
  <c r="Q670"/>
  <c r="P670"/>
  <c r="O670"/>
  <c r="Q669"/>
  <c r="P669"/>
  <c r="O669"/>
  <c r="Q668"/>
  <c r="P668"/>
  <c r="O668"/>
  <c r="Q667"/>
  <c r="P667"/>
  <c r="O667"/>
  <c r="Q666"/>
  <c r="P666"/>
  <c r="O666"/>
  <c r="Q665"/>
  <c r="P665"/>
  <c r="O665"/>
  <c r="Q664"/>
  <c r="P664"/>
  <c r="O664"/>
  <c r="Q663"/>
  <c r="P663"/>
  <c r="O663"/>
  <c r="Q662"/>
  <c r="P662"/>
  <c r="O662"/>
  <c r="Q661"/>
  <c r="P661"/>
  <c r="O661"/>
  <c r="Q660"/>
  <c r="P660"/>
  <c r="O660"/>
  <c r="Q659"/>
  <c r="P659"/>
  <c r="O659"/>
  <c r="Q658"/>
  <c r="P658"/>
  <c r="O658"/>
  <c r="Q657"/>
  <c r="P657"/>
  <c r="O657"/>
  <c r="Q656"/>
  <c r="P656"/>
  <c r="O656"/>
  <c r="Q655"/>
  <c r="P655"/>
  <c r="O655"/>
  <c r="Q654"/>
  <c r="P654"/>
  <c r="O654"/>
  <c r="Q653"/>
  <c r="P653"/>
  <c r="O653"/>
  <c r="Q652"/>
  <c r="P652"/>
  <c r="O652"/>
  <c r="Q651"/>
  <c r="P651"/>
  <c r="O651"/>
  <c r="Q650"/>
  <c r="P650"/>
  <c r="O650"/>
  <c r="Q649"/>
  <c r="P649"/>
  <c r="O649"/>
  <c r="Q648"/>
  <c r="P648"/>
  <c r="O648"/>
  <c r="Q647"/>
  <c r="P647"/>
  <c r="O647"/>
  <c r="Q646"/>
  <c r="P646"/>
  <c r="O646"/>
  <c r="Q645"/>
  <c r="P645"/>
  <c r="O645"/>
  <c r="Q644"/>
  <c r="P644"/>
  <c r="O644"/>
  <c r="Q643"/>
  <c r="P643"/>
  <c r="O643"/>
  <c r="Q642"/>
  <c r="P642"/>
  <c r="O642"/>
  <c r="Q641"/>
  <c r="P641"/>
  <c r="O641"/>
  <c r="Q640"/>
  <c r="P640"/>
  <c r="O640"/>
  <c r="Q639"/>
  <c r="P639"/>
  <c r="O639"/>
  <c r="Q638"/>
  <c r="P638"/>
  <c r="O638"/>
  <c r="Q637"/>
  <c r="P637"/>
  <c r="O637"/>
  <c r="Q636"/>
  <c r="P636"/>
  <c r="O636"/>
  <c r="Q635"/>
  <c r="P635"/>
  <c r="O635"/>
  <c r="Q634"/>
  <c r="P634"/>
  <c r="O634"/>
  <c r="Q633"/>
  <c r="P633"/>
  <c r="O633"/>
  <c r="Q632"/>
  <c r="P632"/>
  <c r="O632"/>
  <c r="Q631"/>
  <c r="P631"/>
  <c r="O631"/>
  <c r="Q630"/>
  <c r="P630"/>
  <c r="O630"/>
  <c r="Q629"/>
  <c r="P629"/>
  <c r="O629"/>
  <c r="Q628"/>
  <c r="P628"/>
  <c r="O628"/>
  <c r="Q627"/>
  <c r="P627"/>
  <c r="O627"/>
  <c r="Q626"/>
  <c r="P626"/>
  <c r="O626"/>
  <c r="Q625"/>
  <c r="P625"/>
  <c r="O625"/>
  <c r="Q624"/>
  <c r="P624"/>
  <c r="O624"/>
  <c r="Q623"/>
  <c r="P623"/>
  <c r="O623"/>
  <c r="Q622"/>
  <c r="P622"/>
  <c r="O622"/>
  <c r="Q621"/>
  <c r="P621"/>
  <c r="O621"/>
  <c r="Q620"/>
  <c r="P620"/>
  <c r="O620"/>
  <c r="Q619"/>
  <c r="P619"/>
  <c r="O619"/>
  <c r="Q618"/>
  <c r="P618"/>
  <c r="O618"/>
  <c r="Q617"/>
  <c r="P617"/>
  <c r="O617"/>
  <c r="Q616"/>
  <c r="P616"/>
  <c r="O616"/>
  <c r="Q615"/>
  <c r="P615"/>
  <c r="O615"/>
  <c r="Q614"/>
  <c r="P614"/>
  <c r="O614"/>
  <c r="Q613"/>
  <c r="P613"/>
  <c r="O613"/>
  <c r="Q612"/>
  <c r="P612"/>
  <c r="O612"/>
  <c r="Q611"/>
  <c r="P611"/>
  <c r="O611"/>
  <c r="Q610"/>
  <c r="P610"/>
  <c r="O610"/>
  <c r="Q609"/>
  <c r="P609"/>
  <c r="O609"/>
  <c r="Q608"/>
  <c r="P608"/>
  <c r="O608"/>
  <c r="Q607"/>
  <c r="P607"/>
  <c r="O607"/>
  <c r="Q606"/>
  <c r="P606"/>
  <c r="O606"/>
  <c r="Q605"/>
  <c r="P605"/>
  <c r="O605"/>
  <c r="Q604"/>
  <c r="P604"/>
  <c r="O604"/>
  <c r="Q603"/>
  <c r="P603"/>
  <c r="O603"/>
  <c r="Q602"/>
  <c r="P602"/>
  <c r="O602"/>
  <c r="Q601"/>
  <c r="P601"/>
  <c r="O601"/>
  <c r="Q600"/>
  <c r="P600"/>
  <c r="O600"/>
  <c r="Q599"/>
  <c r="P599"/>
  <c r="O599"/>
  <c r="Q598"/>
  <c r="P598"/>
  <c r="O598"/>
  <c r="Q597"/>
  <c r="P597"/>
  <c r="O597"/>
  <c r="Q596"/>
  <c r="P596"/>
  <c r="O596"/>
  <c r="Q595"/>
  <c r="P595"/>
  <c r="O595"/>
  <c r="Q594"/>
  <c r="P594"/>
  <c r="O594"/>
  <c r="Q593"/>
  <c r="P593"/>
  <c r="O593"/>
  <c r="Q592"/>
  <c r="P592"/>
  <c r="O592"/>
  <c r="Q591"/>
  <c r="P591"/>
  <c r="O591"/>
  <c r="Q590"/>
  <c r="P590"/>
  <c r="O590"/>
  <c r="Q589"/>
  <c r="P589"/>
  <c r="O589"/>
  <c r="Q588"/>
  <c r="P588"/>
  <c r="O588"/>
  <c r="Q587"/>
  <c r="P587"/>
  <c r="O587"/>
  <c r="Q586"/>
  <c r="P586"/>
  <c r="O586"/>
  <c r="Q585"/>
  <c r="P585"/>
  <c r="O585"/>
  <c r="Q584"/>
  <c r="P584"/>
  <c r="O584"/>
  <c r="Q583"/>
  <c r="P583"/>
  <c r="O583"/>
  <c r="Q582"/>
  <c r="P582"/>
  <c r="O582"/>
  <c r="Q581"/>
  <c r="P581"/>
  <c r="O581"/>
  <c r="Q580"/>
  <c r="P580"/>
  <c r="O580"/>
  <c r="Q579"/>
  <c r="P579"/>
  <c r="O579"/>
  <c r="Q578"/>
  <c r="P578"/>
  <c r="O578"/>
  <c r="Q577"/>
  <c r="P577"/>
  <c r="O577"/>
  <c r="Q576"/>
  <c r="P576"/>
  <c r="O576"/>
  <c r="Q575"/>
  <c r="P575"/>
  <c r="O575"/>
  <c r="Q574"/>
  <c r="P574"/>
  <c r="O574"/>
  <c r="Q573"/>
  <c r="P573"/>
  <c r="O573"/>
  <c r="Q572"/>
  <c r="P572"/>
  <c r="O572"/>
  <c r="Q571"/>
  <c r="P571"/>
  <c r="O571"/>
  <c r="Q570"/>
  <c r="P570"/>
  <c r="O570"/>
  <c r="Q569"/>
  <c r="P569"/>
  <c r="O569"/>
  <c r="Q568"/>
  <c r="P568"/>
  <c r="O568"/>
  <c r="Q567"/>
  <c r="P567"/>
  <c r="O567"/>
  <c r="Q566"/>
  <c r="P566"/>
  <c r="O566"/>
  <c r="Q565"/>
  <c r="P565"/>
  <c r="O565"/>
  <c r="Q564"/>
  <c r="P564"/>
  <c r="O564"/>
  <c r="Q563"/>
  <c r="P563"/>
  <c r="O563"/>
  <c r="Q562"/>
  <c r="P562"/>
  <c r="O562"/>
  <c r="Q561"/>
  <c r="P561"/>
  <c r="O561"/>
  <c r="Q560"/>
  <c r="P560"/>
  <c r="O560"/>
  <c r="Q559"/>
  <c r="P559"/>
  <c r="O559"/>
  <c r="Q558"/>
  <c r="P558"/>
  <c r="O558"/>
  <c r="Q557"/>
  <c r="P557"/>
  <c r="O557"/>
  <c r="Q556"/>
  <c r="P556"/>
  <c r="O556"/>
  <c r="Q555"/>
  <c r="P555"/>
  <c r="O555"/>
  <c r="Q554"/>
  <c r="P554"/>
  <c r="O554"/>
  <c r="Q553"/>
  <c r="P553"/>
  <c r="O553"/>
  <c r="Q552"/>
  <c r="P552"/>
  <c r="O552"/>
  <c r="Q551"/>
  <c r="P551"/>
  <c r="O551"/>
  <c r="Q550"/>
  <c r="P550"/>
  <c r="O550"/>
  <c r="Q549"/>
  <c r="P549"/>
  <c r="O549"/>
  <c r="Q548"/>
  <c r="P548"/>
  <c r="O548"/>
  <c r="Q547"/>
  <c r="P547"/>
  <c r="O547"/>
  <c r="Q546"/>
  <c r="P546"/>
  <c r="O546"/>
  <c r="Q545"/>
  <c r="P545"/>
  <c r="O545"/>
  <c r="Q544"/>
  <c r="P544"/>
  <c r="O544"/>
  <c r="Q543"/>
  <c r="P543"/>
  <c r="O543"/>
  <c r="Q542"/>
  <c r="P542"/>
  <c r="O542"/>
  <c r="Q541"/>
  <c r="P541"/>
  <c r="O541"/>
  <c r="Q540"/>
  <c r="P540"/>
  <c r="O540"/>
  <c r="Q539"/>
  <c r="P539"/>
  <c r="O539"/>
  <c r="Q538"/>
  <c r="P538"/>
  <c r="O538"/>
  <c r="Q537"/>
  <c r="P537"/>
  <c r="O537"/>
  <c r="Q536"/>
  <c r="P536"/>
  <c r="O536"/>
  <c r="Q535"/>
  <c r="P535"/>
  <c r="O535"/>
  <c r="Q534"/>
  <c r="P534"/>
  <c r="O534"/>
  <c r="Q533"/>
  <c r="P533"/>
  <c r="O533"/>
  <c r="Q532"/>
  <c r="P532"/>
  <c r="O532"/>
  <c r="Q531"/>
  <c r="P531"/>
  <c r="O531"/>
  <c r="Q530"/>
  <c r="P530"/>
  <c r="O530"/>
  <c r="Q529"/>
  <c r="P529"/>
  <c r="O529"/>
  <c r="Q528"/>
  <c r="P528"/>
  <c r="O528"/>
  <c r="Q527"/>
  <c r="P527"/>
  <c r="O527"/>
  <c r="Q526"/>
  <c r="P526"/>
  <c r="O526"/>
  <c r="Q525"/>
  <c r="P525"/>
  <c r="O525"/>
  <c r="Q524"/>
  <c r="P524"/>
  <c r="O524"/>
  <c r="Q523"/>
  <c r="P523"/>
  <c r="O523"/>
  <c r="Q522"/>
  <c r="P522"/>
  <c r="O522"/>
  <c r="Q521"/>
  <c r="P521"/>
  <c r="O521"/>
  <c r="Q520"/>
  <c r="P520"/>
  <c r="O520"/>
  <c r="Q519"/>
  <c r="P519"/>
  <c r="O519"/>
  <c r="Q518"/>
  <c r="P518"/>
  <c r="O518"/>
  <c r="Q517"/>
  <c r="P517"/>
  <c r="O517"/>
  <c r="Q516"/>
  <c r="P516"/>
  <c r="O516"/>
  <c r="Q515"/>
  <c r="P515"/>
  <c r="O515"/>
  <c r="Q514"/>
  <c r="P514"/>
  <c r="O514"/>
  <c r="Q513"/>
  <c r="P513"/>
  <c r="O513"/>
  <c r="Q512"/>
  <c r="P512"/>
  <c r="O512"/>
  <c r="Q511"/>
  <c r="P511"/>
  <c r="O511"/>
  <c r="Q510"/>
  <c r="P510"/>
  <c r="O510"/>
  <c r="Q509"/>
  <c r="P509"/>
  <c r="O509"/>
  <c r="Q508"/>
  <c r="P508"/>
  <c r="O508"/>
  <c r="Q507"/>
  <c r="P507"/>
  <c r="O507"/>
  <c r="Q506"/>
  <c r="P506"/>
  <c r="O506"/>
  <c r="Q505"/>
  <c r="P505"/>
  <c r="O505"/>
  <c r="Q504"/>
  <c r="P504"/>
  <c r="O504"/>
  <c r="Q503"/>
  <c r="P503"/>
  <c r="O503"/>
  <c r="Q502"/>
  <c r="P502"/>
  <c r="O502"/>
  <c r="Q501"/>
  <c r="P501"/>
  <c r="O501"/>
  <c r="Q500"/>
  <c r="P500"/>
  <c r="O500"/>
  <c r="Q499"/>
  <c r="P499"/>
  <c r="O499"/>
  <c r="Q498"/>
  <c r="P498"/>
  <c r="O498"/>
  <c r="Q497"/>
  <c r="P497"/>
  <c r="O497"/>
  <c r="Q496"/>
  <c r="P496"/>
  <c r="O496"/>
  <c r="Q495"/>
  <c r="P495"/>
  <c r="O495"/>
  <c r="Q494"/>
  <c r="P494"/>
  <c r="O494"/>
  <c r="Q493"/>
  <c r="P493"/>
  <c r="O493"/>
  <c r="Q492"/>
  <c r="P492"/>
  <c r="O492"/>
  <c r="Q491"/>
  <c r="P491"/>
  <c r="O491"/>
  <c r="Q490"/>
  <c r="P490"/>
  <c r="O490"/>
  <c r="Q489"/>
  <c r="P489"/>
  <c r="O489"/>
  <c r="Q488"/>
  <c r="P488"/>
  <c r="O488"/>
  <c r="Q487"/>
  <c r="P487"/>
  <c r="O487"/>
  <c r="Q486"/>
  <c r="P486"/>
  <c r="O486"/>
  <c r="Q485"/>
  <c r="P485"/>
  <c r="O485"/>
  <c r="Q484"/>
  <c r="P484"/>
  <c r="O484"/>
  <c r="Q483"/>
  <c r="P483"/>
  <c r="O483"/>
  <c r="Q482"/>
  <c r="P482"/>
  <c r="O482"/>
  <c r="Q481"/>
  <c r="P481"/>
  <c r="O481"/>
  <c r="Q480"/>
  <c r="P480"/>
  <c r="O480"/>
  <c r="Q479"/>
  <c r="P479"/>
  <c r="O479"/>
  <c r="Q478"/>
  <c r="P478"/>
  <c r="O478"/>
  <c r="Q477"/>
  <c r="P477"/>
  <c r="O477"/>
  <c r="Q476"/>
  <c r="P476"/>
  <c r="O476"/>
  <c r="Q475"/>
  <c r="P475"/>
  <c r="O475"/>
  <c r="Q474"/>
  <c r="P474"/>
  <c r="O474"/>
  <c r="Q473"/>
  <c r="P473"/>
  <c r="O473"/>
  <c r="Q472"/>
  <c r="P472"/>
  <c r="O472"/>
  <c r="Q471"/>
  <c r="P471"/>
  <c r="O471"/>
  <c r="Q470"/>
  <c r="P470"/>
  <c r="O470"/>
  <c r="Q469"/>
  <c r="P469"/>
  <c r="O469"/>
  <c r="Q468"/>
  <c r="P468"/>
  <c r="O468"/>
  <c r="Q467"/>
  <c r="P467"/>
  <c r="O467"/>
  <c r="Q466"/>
  <c r="P466"/>
  <c r="O466"/>
  <c r="Q465"/>
  <c r="P465"/>
  <c r="O465"/>
  <c r="Q464"/>
  <c r="P464"/>
  <c r="O464"/>
  <c r="Q463"/>
  <c r="P463"/>
  <c r="O463"/>
  <c r="Q462"/>
  <c r="P462"/>
  <c r="O462"/>
  <c r="Q461"/>
  <c r="P461"/>
  <c r="O461"/>
  <c r="Q460"/>
  <c r="P460"/>
  <c r="O460"/>
  <c r="Q459"/>
  <c r="P459"/>
  <c r="O459"/>
  <c r="Q458"/>
  <c r="P458"/>
  <c r="O458"/>
  <c r="Q457"/>
  <c r="P457"/>
  <c r="O457"/>
  <c r="Q456"/>
  <c r="P456"/>
  <c r="O456"/>
  <c r="Q455"/>
  <c r="P455"/>
  <c r="O455"/>
  <c r="Q454"/>
  <c r="P454"/>
  <c r="O454"/>
  <c r="Q453"/>
  <c r="P453"/>
  <c r="O453"/>
  <c r="Q452"/>
  <c r="P452"/>
  <c r="O452"/>
  <c r="Q451"/>
  <c r="P451"/>
  <c r="O451"/>
  <c r="Q450"/>
  <c r="P450"/>
  <c r="O450"/>
  <c r="Q449"/>
  <c r="P449"/>
  <c r="O449"/>
  <c r="Q448"/>
  <c r="P448"/>
  <c r="O448"/>
  <c r="Q447"/>
  <c r="P447"/>
  <c r="O447"/>
  <c r="Q446"/>
  <c r="P446"/>
  <c r="O446"/>
  <c r="Q445"/>
  <c r="P445"/>
  <c r="O445"/>
  <c r="Q444"/>
  <c r="P444"/>
  <c r="O444"/>
  <c r="Q443"/>
  <c r="P443"/>
  <c r="O443"/>
  <c r="Q442"/>
  <c r="P442"/>
  <c r="O442"/>
  <c r="Q441"/>
  <c r="P441"/>
  <c r="O441"/>
  <c r="Q440"/>
  <c r="P440"/>
  <c r="O440"/>
  <c r="Q439"/>
  <c r="P439"/>
  <c r="O439"/>
  <c r="Q438"/>
  <c r="P438"/>
  <c r="O438"/>
  <c r="Q437"/>
  <c r="P437"/>
  <c r="O437"/>
  <c r="Q436"/>
  <c r="P436"/>
  <c r="O436"/>
  <c r="Q435"/>
  <c r="P435"/>
  <c r="O435"/>
  <c r="Q434"/>
  <c r="P434"/>
  <c r="O434"/>
  <c r="Q433"/>
  <c r="P433"/>
  <c r="O433"/>
  <c r="Q432"/>
  <c r="P432"/>
  <c r="O432"/>
  <c r="Q431"/>
  <c r="P431"/>
  <c r="O431"/>
  <c r="Q430"/>
  <c r="P430"/>
  <c r="O430"/>
  <c r="Q429"/>
  <c r="P429"/>
  <c r="O429"/>
  <c r="Q428"/>
  <c r="P428"/>
  <c r="O428"/>
  <c r="Q427"/>
  <c r="P427"/>
  <c r="O427"/>
  <c r="Q426"/>
  <c r="P426"/>
  <c r="O426"/>
  <c r="Q425"/>
  <c r="P425"/>
  <c r="O425"/>
  <c r="Q424"/>
  <c r="P424"/>
  <c r="O424"/>
  <c r="Q423"/>
  <c r="P423"/>
  <c r="O423"/>
  <c r="Q422"/>
  <c r="P422"/>
  <c r="O422"/>
  <c r="Q421"/>
  <c r="P421"/>
  <c r="O421"/>
  <c r="Q420"/>
  <c r="P420"/>
  <c r="O420"/>
  <c r="Q419"/>
  <c r="P419"/>
  <c r="O419"/>
  <c r="Q418"/>
  <c r="P418"/>
  <c r="O418"/>
  <c r="Q417"/>
  <c r="P417"/>
  <c r="O417"/>
  <c r="Q416"/>
  <c r="P416"/>
  <c r="O416"/>
  <c r="Q415"/>
  <c r="P415"/>
  <c r="O415"/>
  <c r="Q414"/>
  <c r="P414"/>
  <c r="O414"/>
  <c r="Q413"/>
  <c r="P413"/>
  <c r="O413"/>
  <c r="Q412"/>
  <c r="P412"/>
  <c r="O412"/>
  <c r="Q411"/>
  <c r="P411"/>
  <c r="O411"/>
  <c r="Q410"/>
  <c r="P410"/>
  <c r="O410"/>
  <c r="Q409"/>
  <c r="P409"/>
  <c r="O409"/>
  <c r="Q408"/>
  <c r="P408"/>
  <c r="O408"/>
  <c r="Q407"/>
  <c r="P407"/>
  <c r="O407"/>
  <c r="Q406"/>
  <c r="P406"/>
  <c r="O406"/>
  <c r="Q405"/>
  <c r="P405"/>
  <c r="O405"/>
  <c r="Q404"/>
  <c r="P404"/>
  <c r="O404"/>
  <c r="Q403"/>
  <c r="P403"/>
  <c r="O403"/>
  <c r="Q402"/>
  <c r="P402"/>
  <c r="O402"/>
  <c r="Q401"/>
  <c r="P401"/>
  <c r="O401"/>
  <c r="Q400"/>
  <c r="P400"/>
  <c r="O400"/>
  <c r="Q399"/>
  <c r="P399"/>
  <c r="O399"/>
  <c r="Q398"/>
  <c r="P398"/>
  <c r="O398"/>
  <c r="Q397"/>
  <c r="P397"/>
  <c r="O397"/>
  <c r="Q396"/>
  <c r="P396"/>
  <c r="O396"/>
  <c r="Q395"/>
  <c r="P395"/>
  <c r="O395"/>
  <c r="Q394"/>
  <c r="P394"/>
  <c r="O394"/>
  <c r="Q393"/>
  <c r="P393"/>
  <c r="O393"/>
  <c r="Q392"/>
  <c r="P392"/>
  <c r="O392"/>
  <c r="Q391"/>
  <c r="P391"/>
  <c r="O391"/>
  <c r="Q390"/>
  <c r="P390"/>
  <c r="O390"/>
  <c r="Q389"/>
  <c r="P389"/>
  <c r="O389"/>
  <c r="Q388"/>
  <c r="P388"/>
  <c r="O388"/>
  <c r="Q387"/>
  <c r="P387"/>
  <c r="O387"/>
  <c r="Q386"/>
  <c r="P386"/>
  <c r="O386"/>
  <c r="Q385"/>
  <c r="P385"/>
  <c r="O385"/>
  <c r="Q384"/>
  <c r="P384"/>
  <c r="O384"/>
  <c r="Q383"/>
  <c r="P383"/>
  <c r="O383"/>
  <c r="Q382"/>
  <c r="P382"/>
  <c r="O382"/>
  <c r="Q381"/>
  <c r="P381"/>
  <c r="O381"/>
  <c r="Q380"/>
  <c r="P380"/>
  <c r="O380"/>
  <c r="Q379"/>
  <c r="P379"/>
  <c r="O379"/>
  <c r="Q378"/>
  <c r="P378"/>
  <c r="O378"/>
  <c r="Q377"/>
  <c r="P377"/>
  <c r="O377"/>
  <c r="Q376"/>
  <c r="P376"/>
  <c r="O376"/>
  <c r="Q375"/>
  <c r="P375"/>
  <c r="O375"/>
  <c r="Q374"/>
  <c r="P374"/>
  <c r="O374"/>
  <c r="Q373"/>
  <c r="P373"/>
  <c r="O373"/>
  <c r="Q372"/>
  <c r="P372"/>
  <c r="O372"/>
  <c r="Q371"/>
  <c r="P371"/>
  <c r="O371"/>
  <c r="Q370"/>
  <c r="P370"/>
  <c r="O370"/>
  <c r="Q369"/>
  <c r="P369"/>
  <c r="O369"/>
  <c r="Q368"/>
  <c r="P368"/>
  <c r="O368"/>
  <c r="Q367"/>
  <c r="P367"/>
  <c r="O367"/>
  <c r="Q366"/>
  <c r="P366"/>
  <c r="O366"/>
  <c r="Q365"/>
  <c r="P365"/>
  <c r="O365"/>
  <c r="Q364"/>
  <c r="P364"/>
  <c r="O364"/>
  <c r="Q363"/>
  <c r="P363"/>
  <c r="O363"/>
  <c r="Q362"/>
  <c r="P362"/>
  <c r="O362"/>
  <c r="Q361"/>
  <c r="P361"/>
  <c r="O361"/>
  <c r="Q360"/>
  <c r="P360"/>
  <c r="O360"/>
  <c r="Q359"/>
  <c r="P359"/>
  <c r="O359"/>
  <c r="Q358"/>
  <c r="P358"/>
  <c r="O358"/>
  <c r="Q357"/>
  <c r="P357"/>
  <c r="O357"/>
  <c r="Q356"/>
  <c r="P356"/>
  <c r="O356"/>
  <c r="Q355"/>
  <c r="P355"/>
  <c r="O355"/>
  <c r="Q354"/>
  <c r="P354"/>
  <c r="O354"/>
  <c r="Q353"/>
  <c r="P353"/>
  <c r="O353"/>
  <c r="Q352"/>
  <c r="P352"/>
  <c r="O352"/>
  <c r="Q351"/>
  <c r="P351"/>
  <c r="O351"/>
  <c r="Q350"/>
  <c r="P350"/>
  <c r="O350"/>
  <c r="Q349"/>
  <c r="P349"/>
  <c r="O349"/>
  <c r="Q348"/>
  <c r="P348"/>
  <c r="O348"/>
  <c r="Q347"/>
  <c r="P347"/>
  <c r="O347"/>
  <c r="Q346"/>
  <c r="P346"/>
  <c r="O346"/>
  <c r="Q345"/>
  <c r="P345"/>
  <c r="O345"/>
  <c r="Q344"/>
  <c r="P344"/>
  <c r="O344"/>
  <c r="Q343"/>
  <c r="P343"/>
  <c r="O343"/>
  <c r="Q342"/>
  <c r="P342"/>
  <c r="O342"/>
  <c r="Q341"/>
  <c r="P341"/>
  <c r="O341"/>
  <c r="Q340"/>
  <c r="P340"/>
  <c r="O340"/>
  <c r="Q339"/>
  <c r="P339"/>
  <c r="O339"/>
  <c r="Q338"/>
  <c r="P338"/>
  <c r="O338"/>
  <c r="Q337"/>
  <c r="P337"/>
  <c r="O337"/>
  <c r="Q336"/>
  <c r="P336"/>
  <c r="O336"/>
  <c r="Q335"/>
  <c r="P335"/>
  <c r="O335"/>
  <c r="Q334"/>
  <c r="P334"/>
  <c r="O334"/>
  <c r="Q333"/>
  <c r="P333"/>
  <c r="O333"/>
  <c r="Q332"/>
  <c r="P332"/>
  <c r="O332"/>
  <c r="Q331"/>
  <c r="P331"/>
  <c r="O331"/>
  <c r="Q330"/>
  <c r="P330"/>
  <c r="O330"/>
  <c r="Q329"/>
  <c r="P329"/>
  <c r="O329"/>
  <c r="Q328"/>
  <c r="P328"/>
  <c r="O328"/>
  <c r="Q327"/>
  <c r="P327"/>
  <c r="O327"/>
  <c r="Q326"/>
  <c r="P326"/>
  <c r="O326"/>
  <c r="Q325"/>
  <c r="P325"/>
  <c r="O325"/>
  <c r="Q324"/>
  <c r="P324"/>
  <c r="O324"/>
  <c r="Q323"/>
  <c r="P323"/>
  <c r="O323"/>
  <c r="Q322"/>
  <c r="P322"/>
  <c r="O322"/>
  <c r="Q321"/>
  <c r="P321"/>
  <c r="O321"/>
  <c r="Q320"/>
  <c r="P320"/>
  <c r="O320"/>
  <c r="Q319"/>
  <c r="P319"/>
  <c r="O319"/>
  <c r="Q318"/>
  <c r="P318"/>
  <c r="O318"/>
  <c r="Q317"/>
  <c r="P317"/>
  <c r="O317"/>
  <c r="Q316"/>
  <c r="P316"/>
  <c r="O316"/>
  <c r="Q315"/>
  <c r="P315"/>
  <c r="O315"/>
  <c r="Q314"/>
  <c r="P314"/>
  <c r="O314"/>
  <c r="Q313"/>
  <c r="P313"/>
  <c r="O313"/>
  <c r="Q312"/>
  <c r="P312"/>
  <c r="O312"/>
  <c r="Q311"/>
  <c r="P311"/>
  <c r="O311"/>
  <c r="Q310"/>
  <c r="P310"/>
  <c r="O310"/>
  <c r="Q309"/>
  <c r="P309"/>
  <c r="O309"/>
  <c r="Q308"/>
  <c r="P308"/>
  <c r="O308"/>
  <c r="Q307"/>
  <c r="P307"/>
  <c r="O307"/>
  <c r="Q306"/>
  <c r="P306"/>
  <c r="O306"/>
  <c r="Q305"/>
  <c r="P305"/>
  <c r="O305"/>
  <c r="Q304"/>
  <c r="P304"/>
  <c r="O304"/>
  <c r="Q303"/>
  <c r="P303"/>
  <c r="O303"/>
  <c r="Q302"/>
  <c r="P302"/>
  <c r="O302"/>
  <c r="Q301"/>
  <c r="P301"/>
  <c r="O301"/>
  <c r="Q300"/>
  <c r="P300"/>
  <c r="O300"/>
  <c r="Q299"/>
  <c r="P299"/>
  <c r="O299"/>
  <c r="Q298"/>
  <c r="P298"/>
  <c r="O298"/>
  <c r="Q297"/>
  <c r="P297"/>
  <c r="O297"/>
  <c r="Q296"/>
  <c r="P296"/>
  <c r="O296"/>
  <c r="Q295"/>
  <c r="P295"/>
  <c r="O295"/>
  <c r="Q294"/>
  <c r="P294"/>
  <c r="O294"/>
  <c r="Q293"/>
  <c r="P293"/>
  <c r="O293"/>
  <c r="Q292"/>
  <c r="P292"/>
  <c r="O292"/>
  <c r="Q291"/>
  <c r="P291"/>
  <c r="O291"/>
  <c r="Q290"/>
  <c r="P290"/>
  <c r="O290"/>
  <c r="Q289"/>
  <c r="P289"/>
  <c r="O289"/>
  <c r="Q288"/>
  <c r="P288"/>
  <c r="O288"/>
  <c r="Q287"/>
  <c r="P287"/>
  <c r="O287"/>
  <c r="Q286"/>
  <c r="P286"/>
  <c r="O286"/>
  <c r="Q285"/>
  <c r="P285"/>
  <c r="O285"/>
  <c r="Q284"/>
  <c r="P284"/>
  <c r="O284"/>
  <c r="Q283"/>
  <c r="P283"/>
  <c r="O283"/>
  <c r="Q282"/>
  <c r="P282"/>
  <c r="O282"/>
  <c r="Q281"/>
  <c r="P281"/>
  <c r="O281"/>
  <c r="Q280"/>
  <c r="P280"/>
  <c r="O280"/>
  <c r="Q279"/>
  <c r="P279"/>
  <c r="O279"/>
  <c r="Q278"/>
  <c r="P278"/>
  <c r="O278"/>
  <c r="Q277"/>
  <c r="P277"/>
  <c r="O277"/>
  <c r="Q276"/>
  <c r="P276"/>
  <c r="O276"/>
  <c r="Q275"/>
  <c r="P275"/>
  <c r="O275"/>
  <c r="Q274"/>
  <c r="P274"/>
  <c r="O274"/>
  <c r="Q273"/>
  <c r="P273"/>
  <c r="O273"/>
  <c r="Q272"/>
  <c r="P272"/>
  <c r="O272"/>
  <c r="Q271"/>
  <c r="P271"/>
  <c r="O271"/>
  <c r="Q270"/>
  <c r="P270"/>
  <c r="O270"/>
  <c r="Q269"/>
  <c r="P269"/>
  <c r="O269"/>
  <c r="Q268"/>
  <c r="P268"/>
  <c r="O268"/>
  <c r="Q267"/>
  <c r="P267"/>
  <c r="O267"/>
  <c r="Q266"/>
  <c r="P266"/>
  <c r="O266"/>
  <c r="Q265"/>
  <c r="P265"/>
  <c r="O265"/>
  <c r="Q264"/>
  <c r="P264"/>
  <c r="O264"/>
  <c r="Q263"/>
  <c r="P263"/>
  <c r="O263"/>
  <c r="Q262"/>
  <c r="P262"/>
  <c r="O262"/>
  <c r="Q261"/>
  <c r="P261"/>
  <c r="O261"/>
  <c r="Q260"/>
  <c r="P260"/>
  <c r="O260"/>
  <c r="Q259"/>
  <c r="P259"/>
  <c r="O259"/>
  <c r="Q258"/>
  <c r="P258"/>
  <c r="O258"/>
  <c r="Q257"/>
  <c r="P257"/>
  <c r="O257"/>
  <c r="Q256"/>
  <c r="P256"/>
  <c r="O256"/>
  <c r="Q255"/>
  <c r="P255"/>
  <c r="O255"/>
  <c r="Q254"/>
  <c r="P254"/>
  <c r="O254"/>
  <c r="Q253"/>
  <c r="P253"/>
  <c r="O253"/>
  <c r="Q252"/>
  <c r="P252"/>
  <c r="O252"/>
  <c r="Q251"/>
  <c r="P251"/>
  <c r="O251"/>
  <c r="Q250"/>
  <c r="P250"/>
  <c r="O250"/>
  <c r="Q249"/>
  <c r="P249"/>
  <c r="O249"/>
  <c r="Q248"/>
  <c r="P248"/>
  <c r="O248"/>
  <c r="Q247"/>
  <c r="P247"/>
  <c r="O247"/>
  <c r="Q246"/>
  <c r="P246"/>
  <c r="O246"/>
  <c r="Q245"/>
  <c r="P245"/>
  <c r="O245"/>
  <c r="Q244"/>
  <c r="P244"/>
  <c r="O244"/>
  <c r="Q243"/>
  <c r="P243"/>
  <c r="O243"/>
  <c r="Q242"/>
  <c r="P242"/>
  <c r="O242"/>
  <c r="Q241"/>
  <c r="P241"/>
  <c r="O241"/>
  <c r="Q240"/>
  <c r="P240"/>
  <c r="O240"/>
  <c r="Q239"/>
  <c r="P239"/>
  <c r="O239"/>
  <c r="Q238"/>
  <c r="P238"/>
  <c r="O238"/>
  <c r="Q237"/>
  <c r="P237"/>
  <c r="O237"/>
  <c r="Q236"/>
  <c r="P236"/>
  <c r="O236"/>
  <c r="Q235"/>
  <c r="P235"/>
  <c r="O235"/>
  <c r="Q234"/>
  <c r="P234"/>
  <c r="O234"/>
  <c r="Q233"/>
  <c r="P233"/>
  <c r="O233"/>
  <c r="Q232"/>
  <c r="P232"/>
  <c r="O232"/>
  <c r="Q231"/>
  <c r="P231"/>
  <c r="O231"/>
  <c r="Q230"/>
  <c r="P230"/>
  <c r="O230"/>
  <c r="Q229"/>
  <c r="P229"/>
  <c r="O229"/>
  <c r="Q228"/>
  <c r="P228"/>
  <c r="O228"/>
  <c r="Q227"/>
  <c r="P227"/>
  <c r="O227"/>
  <c r="Q226"/>
  <c r="P226"/>
  <c r="O226"/>
  <c r="Q225"/>
  <c r="P225"/>
  <c r="O225"/>
  <c r="Q224"/>
  <c r="P224"/>
  <c r="O224"/>
  <c r="Q223"/>
  <c r="P223"/>
  <c r="O223"/>
  <c r="Q222"/>
  <c r="P222"/>
  <c r="O222"/>
  <c r="Q221"/>
  <c r="P221"/>
  <c r="O221"/>
  <c r="Q220"/>
  <c r="P220"/>
  <c r="O220"/>
  <c r="Q219"/>
  <c r="P219"/>
  <c r="O219"/>
  <c r="Q218"/>
  <c r="P218"/>
  <c r="O218"/>
  <c r="Q217"/>
  <c r="P217"/>
  <c r="O217"/>
  <c r="Q216"/>
  <c r="P216"/>
  <c r="O216"/>
  <c r="Q215"/>
  <c r="P215"/>
  <c r="O215"/>
  <c r="Q214"/>
  <c r="P214"/>
  <c r="O214"/>
  <c r="Q213"/>
  <c r="P213"/>
  <c r="O213"/>
  <c r="Q212"/>
  <c r="P212"/>
  <c r="O212"/>
  <c r="Q211"/>
  <c r="P211"/>
  <c r="O211"/>
  <c r="Q210"/>
  <c r="P210"/>
  <c r="O210"/>
  <c r="Q209"/>
  <c r="P209"/>
  <c r="O209"/>
  <c r="Q208"/>
  <c r="P208"/>
  <c r="O208"/>
  <c r="Q207"/>
  <c r="P207"/>
  <c r="O207"/>
  <c r="Q206"/>
  <c r="P206"/>
  <c r="O206"/>
  <c r="Q205"/>
  <c r="P205"/>
  <c r="O205"/>
  <c r="Q204"/>
  <c r="P204"/>
  <c r="O204"/>
  <c r="Q203"/>
  <c r="P203"/>
  <c r="O203"/>
  <c r="Q202"/>
  <c r="P202"/>
  <c r="O202"/>
  <c r="Q201"/>
  <c r="P201"/>
  <c r="O201"/>
  <c r="Q200"/>
  <c r="P200"/>
  <c r="O200"/>
  <c r="Q199"/>
  <c r="P199"/>
  <c r="O199"/>
  <c r="Q198"/>
  <c r="P198"/>
  <c r="O198"/>
  <c r="Q197"/>
  <c r="P197"/>
  <c r="O197"/>
  <c r="Q196"/>
  <c r="P196"/>
  <c r="O196"/>
  <c r="Q195"/>
  <c r="P195"/>
  <c r="O195"/>
  <c r="Q194"/>
  <c r="P194"/>
  <c r="O194"/>
  <c r="Q193"/>
  <c r="P193"/>
  <c r="O193"/>
  <c r="Q192"/>
  <c r="P192"/>
  <c r="O192"/>
  <c r="Q191"/>
  <c r="P191"/>
  <c r="O191"/>
  <c r="Q190"/>
  <c r="P190"/>
  <c r="O190"/>
  <c r="Q189"/>
  <c r="P189"/>
  <c r="O189"/>
  <c r="Q188"/>
  <c r="P188"/>
  <c r="O188"/>
  <c r="Q187"/>
  <c r="P187"/>
  <c r="O187"/>
  <c r="Q186"/>
  <c r="P186"/>
  <c r="O186"/>
  <c r="Q185"/>
  <c r="P185"/>
  <c r="O185"/>
  <c r="Q184"/>
  <c r="P184"/>
  <c r="O184"/>
  <c r="Q183"/>
  <c r="P183"/>
  <c r="O183"/>
  <c r="Q182"/>
  <c r="P182"/>
  <c r="O182"/>
  <c r="Q181"/>
  <c r="P181"/>
  <c r="O181"/>
  <c r="Q180"/>
  <c r="P180"/>
  <c r="O180"/>
  <c r="Q179"/>
  <c r="P179"/>
  <c r="O179"/>
  <c r="Q178"/>
  <c r="P178"/>
  <c r="O178"/>
  <c r="Q177"/>
  <c r="P177"/>
  <c r="O177"/>
  <c r="Q176"/>
  <c r="P176"/>
  <c r="O176"/>
  <c r="Q175"/>
  <c r="P175"/>
  <c r="O175"/>
  <c r="Q174"/>
  <c r="P174"/>
  <c r="O174"/>
  <c r="Q173"/>
  <c r="P173"/>
  <c r="O173"/>
  <c r="Q172"/>
  <c r="P172"/>
  <c r="O172"/>
  <c r="Q171"/>
  <c r="P171"/>
  <c r="O171"/>
  <c r="Q170"/>
  <c r="P170"/>
  <c r="O170"/>
  <c r="Q169"/>
  <c r="P169"/>
  <c r="O169"/>
  <c r="Q168"/>
  <c r="P168"/>
  <c r="O168"/>
  <c r="Q167"/>
  <c r="P167"/>
  <c r="O167"/>
  <c r="Q166"/>
  <c r="P166"/>
  <c r="O166"/>
  <c r="Q165"/>
  <c r="P165"/>
  <c r="O165"/>
  <c r="Q164"/>
  <c r="P164"/>
  <c r="O164"/>
  <c r="Q163"/>
  <c r="P163"/>
  <c r="O163"/>
  <c r="Q162"/>
  <c r="P162"/>
  <c r="O162"/>
  <c r="Q161"/>
  <c r="P161"/>
  <c r="O161"/>
  <c r="Q160"/>
  <c r="P160"/>
  <c r="O160"/>
  <c r="Q159"/>
  <c r="P159"/>
  <c r="O159"/>
  <c r="Q158"/>
  <c r="P158"/>
  <c r="O158"/>
  <c r="Q157"/>
  <c r="P157"/>
  <c r="O157"/>
  <c r="Q156"/>
  <c r="P156"/>
  <c r="O156"/>
  <c r="Q155"/>
  <c r="P155"/>
  <c r="O155"/>
  <c r="Q154"/>
  <c r="P154"/>
  <c r="O154"/>
  <c r="Q153"/>
  <c r="P153"/>
  <c r="O153"/>
  <c r="Q152"/>
  <c r="P152"/>
  <c r="O152"/>
  <c r="Q151"/>
  <c r="P151"/>
  <c r="O151"/>
  <c r="Q150"/>
  <c r="P150"/>
  <c r="O150"/>
  <c r="Q149"/>
  <c r="P149"/>
  <c r="O149"/>
  <c r="Q148"/>
  <c r="P148"/>
  <c r="O148"/>
  <c r="Q147"/>
  <c r="P147"/>
  <c r="O147"/>
  <c r="Q146"/>
  <c r="P146"/>
  <c r="O146"/>
  <c r="Q145"/>
  <c r="P145"/>
  <c r="O145"/>
  <c r="Q144"/>
  <c r="P144"/>
  <c r="O144"/>
  <c r="Q143"/>
  <c r="P143"/>
  <c r="O143"/>
  <c r="Q142"/>
  <c r="P142"/>
  <c r="O142"/>
  <c r="Q141"/>
  <c r="P141"/>
  <c r="O141"/>
  <c r="Q140"/>
  <c r="P140"/>
  <c r="O140"/>
  <c r="Q139"/>
  <c r="P139"/>
  <c r="O139"/>
  <c r="Q138"/>
  <c r="P138"/>
  <c r="O138"/>
  <c r="Q137"/>
  <c r="P137"/>
  <c r="O137"/>
  <c r="Q136"/>
  <c r="P136"/>
  <c r="O136"/>
  <c r="Q135"/>
  <c r="P135"/>
  <c r="O135"/>
  <c r="Q134"/>
  <c r="P134"/>
  <c r="O134"/>
  <c r="Q133"/>
  <c r="P133"/>
  <c r="O133"/>
  <c r="Q132"/>
  <c r="P132"/>
  <c r="O132"/>
  <c r="Q131"/>
  <c r="P131"/>
  <c r="O131"/>
  <c r="Q130"/>
  <c r="P130"/>
  <c r="O130"/>
  <c r="Q129"/>
  <c r="P129"/>
  <c r="O129"/>
  <c r="Q128"/>
  <c r="P128"/>
  <c r="O128"/>
  <c r="Q127"/>
  <c r="P127"/>
  <c r="O127"/>
  <c r="Q126"/>
  <c r="P126"/>
  <c r="O126"/>
  <c r="Q125"/>
  <c r="P125"/>
  <c r="O125"/>
  <c r="Q124"/>
  <c r="P124"/>
  <c r="O124"/>
  <c r="Q123"/>
  <c r="P123"/>
  <c r="O123"/>
  <c r="Q122"/>
  <c r="P122"/>
  <c r="O122"/>
  <c r="Q121"/>
  <c r="P121"/>
  <c r="O121"/>
  <c r="Q120"/>
  <c r="P120"/>
  <c r="O120"/>
  <c r="Q119"/>
  <c r="P119"/>
  <c r="O119"/>
  <c r="Q118"/>
  <c r="P118"/>
  <c r="O118"/>
  <c r="Q117"/>
  <c r="P117"/>
  <c r="O117"/>
  <c r="Q116"/>
  <c r="P116"/>
  <c r="O116"/>
  <c r="Q115"/>
  <c r="P115"/>
  <c r="O115"/>
  <c r="Q114"/>
  <c r="P114"/>
  <c r="O114"/>
  <c r="Q113"/>
  <c r="P113"/>
  <c r="O113"/>
  <c r="Q112"/>
  <c r="P112"/>
  <c r="O112"/>
  <c r="Q111"/>
  <c r="P111"/>
  <c r="O111"/>
  <c r="Q110"/>
  <c r="P110"/>
  <c r="O110"/>
  <c r="Q109"/>
  <c r="P109"/>
  <c r="O109"/>
  <c r="Q108"/>
  <c r="P108"/>
  <c r="O108"/>
  <c r="Q107"/>
  <c r="P107"/>
  <c r="O107"/>
  <c r="Q106"/>
  <c r="P106"/>
  <c r="O106"/>
  <c r="Q105"/>
  <c r="P105"/>
  <c r="O105"/>
  <c r="Q104"/>
  <c r="P104"/>
  <c r="O104"/>
  <c r="Q103"/>
  <c r="P103"/>
  <c r="O103"/>
  <c r="Q102"/>
  <c r="P102"/>
  <c r="O102"/>
  <c r="Q101"/>
  <c r="P101"/>
  <c r="O101"/>
  <c r="Q100"/>
  <c r="P100"/>
  <c r="O100"/>
  <c r="Q99"/>
  <c r="P99"/>
  <c r="O99"/>
  <c r="Q98"/>
  <c r="P98"/>
  <c r="O98"/>
  <c r="Q97"/>
  <c r="P97"/>
  <c r="O97"/>
  <c r="Q96"/>
  <c r="P96"/>
  <c r="O96"/>
  <c r="Q95"/>
  <c r="P95"/>
  <c r="O95"/>
  <c r="Q94"/>
  <c r="P94"/>
  <c r="O94"/>
  <c r="Q93"/>
  <c r="P93"/>
  <c r="O93"/>
  <c r="Q92"/>
  <c r="P92"/>
  <c r="O92"/>
  <c r="Q91"/>
  <c r="P91"/>
  <c r="O91"/>
  <c r="Q90"/>
  <c r="P90"/>
  <c r="O90"/>
  <c r="Q89"/>
  <c r="P89"/>
  <c r="O89"/>
  <c r="Q88"/>
  <c r="P88"/>
  <c r="O88"/>
  <c r="Q87"/>
  <c r="P87"/>
  <c r="O87"/>
  <c r="Q86"/>
  <c r="P86"/>
  <c r="O86"/>
  <c r="Q85"/>
  <c r="P85"/>
  <c r="O85"/>
  <c r="Q84"/>
  <c r="P84"/>
  <c r="O84"/>
  <c r="Q83"/>
  <c r="P83"/>
  <c r="O83"/>
  <c r="Q82"/>
  <c r="P82"/>
  <c r="O82"/>
  <c r="Q81"/>
  <c r="P81"/>
  <c r="O81"/>
  <c r="Q80"/>
  <c r="P80"/>
  <c r="O80"/>
  <c r="Q79"/>
  <c r="P79"/>
  <c r="O79"/>
  <c r="Q78"/>
  <c r="P78"/>
  <c r="O78"/>
  <c r="Q77"/>
  <c r="P77"/>
  <c r="O77"/>
  <c r="Q76"/>
  <c r="P76"/>
  <c r="O76"/>
  <c r="Q75"/>
  <c r="P75"/>
  <c r="O75"/>
  <c r="Q74"/>
  <c r="P74"/>
  <c r="O74"/>
  <c r="Q73"/>
  <c r="P73"/>
  <c r="O73"/>
  <c r="Q72"/>
  <c r="P72"/>
  <c r="O72"/>
  <c r="Q71"/>
  <c r="P71"/>
  <c r="O71"/>
  <c r="Q70"/>
  <c r="P70"/>
  <c r="O70"/>
  <c r="Q69"/>
  <c r="P69"/>
  <c r="O69"/>
  <c r="Q68"/>
  <c r="P68"/>
  <c r="O68"/>
  <c r="Q67"/>
  <c r="P67"/>
  <c r="O67"/>
  <c r="Q66"/>
  <c r="P66"/>
  <c r="O66"/>
  <c r="Q65"/>
  <c r="P65"/>
  <c r="O65"/>
  <c r="Q64"/>
  <c r="P64"/>
  <c r="O64"/>
  <c r="Q63"/>
  <c r="P63"/>
  <c r="O63"/>
  <c r="Q62"/>
  <c r="P62"/>
  <c r="O62"/>
  <c r="Q61"/>
  <c r="P61"/>
  <c r="O61"/>
  <c r="Q60"/>
  <c r="P60"/>
  <c r="O60"/>
  <c r="Q59"/>
  <c r="P59"/>
  <c r="O59"/>
  <c r="Q58"/>
  <c r="P58"/>
  <c r="O58"/>
  <c r="Q57"/>
  <c r="P57"/>
  <c r="O57"/>
  <c r="Q56"/>
  <c r="P56"/>
  <c r="O56"/>
  <c r="Q55"/>
  <c r="P55"/>
  <c r="O55"/>
  <c r="Q54"/>
  <c r="P54"/>
  <c r="O54"/>
  <c r="Q53"/>
  <c r="P53"/>
  <c r="O53"/>
  <c r="Q52"/>
  <c r="P52"/>
  <c r="O52"/>
  <c r="Q51"/>
  <c r="P51"/>
  <c r="O51"/>
  <c r="Q50"/>
  <c r="P50"/>
  <c r="O50"/>
  <c r="Q49"/>
  <c r="P49"/>
  <c r="O49"/>
  <c r="Q48"/>
  <c r="P48"/>
  <c r="O48"/>
  <c r="Q47"/>
  <c r="P47"/>
  <c r="O47"/>
  <c r="Q46"/>
  <c r="P46"/>
  <c r="O46"/>
  <c r="Q45"/>
  <c r="P45"/>
  <c r="O45"/>
  <c r="Q44"/>
  <c r="P44"/>
  <c r="O44"/>
  <c r="Q43"/>
  <c r="P43"/>
  <c r="O43"/>
  <c r="Q42"/>
  <c r="P42"/>
  <c r="O42"/>
  <c r="Q41"/>
  <c r="P41"/>
  <c r="O41"/>
  <c r="Q40"/>
  <c r="P40"/>
  <c r="O40"/>
  <c r="Q39"/>
  <c r="P39"/>
  <c r="O39"/>
  <c r="Q38"/>
  <c r="P38"/>
  <c r="O38"/>
  <c r="Q37"/>
  <c r="P37"/>
  <c r="O37"/>
  <c r="Q36"/>
  <c r="P36"/>
  <c r="O36"/>
  <c r="Q35"/>
  <c r="P35"/>
  <c r="O35"/>
  <c r="Q34"/>
  <c r="P34"/>
  <c r="O34"/>
  <c r="Q33"/>
  <c r="P33"/>
  <c r="O33"/>
  <c r="Q32"/>
  <c r="P32"/>
  <c r="O32"/>
  <c r="Q31"/>
  <c r="P31"/>
  <c r="O31"/>
  <c r="Q30"/>
  <c r="P30"/>
  <c r="O30"/>
  <c r="Q29"/>
  <c r="P29"/>
  <c r="O29"/>
  <c r="Q28"/>
  <c r="P28"/>
  <c r="O28"/>
  <c r="Q27"/>
  <c r="P27"/>
  <c r="O27"/>
  <c r="Q26"/>
  <c r="P26"/>
  <c r="O26"/>
  <c r="Q25"/>
  <c r="P25"/>
  <c r="O25"/>
  <c r="Q24"/>
  <c r="P24"/>
  <c r="O24"/>
  <c r="Q23"/>
  <c r="P23"/>
  <c r="O23"/>
  <c r="Q22"/>
  <c r="P22"/>
  <c r="O22"/>
  <c r="AP586" i="23"/>
  <c r="AO586"/>
  <c r="AN586"/>
  <c r="AM586"/>
  <c r="AH586"/>
  <c r="AN585"/>
  <c r="AM585"/>
  <c r="AP585" s="1"/>
  <c r="AH585"/>
  <c r="AN584"/>
  <c r="AO584" s="1"/>
  <c r="AM584"/>
  <c r="AH584"/>
  <c r="AO583"/>
  <c r="AN583"/>
  <c r="AM583"/>
  <c r="AP583" s="1"/>
  <c r="AH583"/>
  <c r="AP582"/>
  <c r="AO582"/>
  <c r="AN582"/>
  <c r="AM582"/>
  <c r="AH582"/>
  <c r="AP581"/>
  <c r="AN581"/>
  <c r="AM581"/>
  <c r="AO581" s="1"/>
  <c r="AH581"/>
  <c r="AN580"/>
  <c r="AO580" s="1"/>
  <c r="AM580"/>
  <c r="AH580"/>
  <c r="AN579"/>
  <c r="AO579" s="1"/>
  <c r="AM579"/>
  <c r="AH579"/>
  <c r="AP578"/>
  <c r="AO578"/>
  <c r="AN578"/>
  <c r="AM578"/>
  <c r="AH578"/>
  <c r="AP577"/>
  <c r="AN577"/>
  <c r="AM577"/>
  <c r="AO577" s="1"/>
  <c r="AH577"/>
  <c r="AN576"/>
  <c r="AM576"/>
  <c r="AP576" s="1"/>
  <c r="AH576"/>
  <c r="AO575"/>
  <c r="AN575"/>
  <c r="AM575"/>
  <c r="AH575"/>
  <c r="AP574"/>
  <c r="AO574"/>
  <c r="AN574"/>
  <c r="AM574"/>
  <c r="AH574"/>
  <c r="AN573"/>
  <c r="AM573"/>
  <c r="AH573"/>
  <c r="AN572"/>
  <c r="AO572" s="1"/>
  <c r="AM572"/>
  <c r="AH572"/>
  <c r="AO571"/>
  <c r="AN571"/>
  <c r="AM571"/>
  <c r="AH571"/>
  <c r="AP570"/>
  <c r="AO570"/>
  <c r="AN570"/>
  <c r="AM570"/>
  <c r="AH570"/>
  <c r="AN569"/>
  <c r="AM569"/>
  <c r="AH569"/>
  <c r="AN568"/>
  <c r="AO568" s="1"/>
  <c r="AM568"/>
  <c r="AH568"/>
  <c r="AO567"/>
  <c r="AN567"/>
  <c r="AM567"/>
  <c r="AP567" s="1"/>
  <c r="AH567"/>
  <c r="AP566"/>
  <c r="AO566"/>
  <c r="AN566"/>
  <c r="AM566"/>
  <c r="AH566"/>
  <c r="AP565"/>
  <c r="AN565"/>
  <c r="AM565"/>
  <c r="AO565" s="1"/>
  <c r="AH565"/>
  <c r="AN564"/>
  <c r="AO564" s="1"/>
  <c r="AM564"/>
  <c r="AH564"/>
  <c r="AN563"/>
  <c r="AO563" s="1"/>
  <c r="AM563"/>
  <c r="AH563"/>
  <c r="AP562"/>
  <c r="AO562"/>
  <c r="AN562"/>
  <c r="AM562"/>
  <c r="AH562"/>
  <c r="AP561"/>
  <c r="AN561"/>
  <c r="AM561"/>
  <c r="AO561" s="1"/>
  <c r="AH561"/>
  <c r="AN560"/>
  <c r="AM560"/>
  <c r="AP560" s="1"/>
  <c r="AH560"/>
  <c r="AO559"/>
  <c r="AN559"/>
  <c r="AM559"/>
  <c r="AH559"/>
  <c r="AP558"/>
  <c r="AO558"/>
  <c r="AN558"/>
  <c r="AM558"/>
  <c r="AH558"/>
  <c r="AN557"/>
  <c r="AM557"/>
  <c r="AH557"/>
  <c r="AN556"/>
  <c r="AO556" s="1"/>
  <c r="AM556"/>
  <c r="AH556"/>
  <c r="AO555"/>
  <c r="AN555"/>
  <c r="AM555"/>
  <c r="AH555"/>
  <c r="AP554"/>
  <c r="AO554"/>
  <c r="AN554"/>
  <c r="AM554"/>
  <c r="AH554"/>
  <c r="AN553"/>
  <c r="AM553"/>
  <c r="AL553"/>
  <c r="AH553"/>
  <c r="AN552"/>
  <c r="AM552"/>
  <c r="AH552"/>
  <c r="AN551"/>
  <c r="AO551" s="1"/>
  <c r="AM551"/>
  <c r="AH551"/>
  <c r="AN550"/>
  <c r="AO550" s="1"/>
  <c r="AM550"/>
  <c r="AH550"/>
  <c r="AO549"/>
  <c r="AN549"/>
  <c r="AM549"/>
  <c r="AP549" s="1"/>
  <c r="AH549"/>
  <c r="AP548"/>
  <c r="AO548"/>
  <c r="AN548"/>
  <c r="AM548"/>
  <c r="AH548"/>
  <c r="AP547"/>
  <c r="AN547"/>
  <c r="AM547"/>
  <c r="AO547" s="1"/>
  <c r="AH547"/>
  <c r="AN546"/>
  <c r="AM546"/>
  <c r="AH546"/>
  <c r="AN545"/>
  <c r="AO545" s="1"/>
  <c r="AM545"/>
  <c r="AH545"/>
  <c r="AO544"/>
  <c r="AN544"/>
  <c r="AM544"/>
  <c r="AP544" s="1"/>
  <c r="AH544"/>
  <c r="AP543"/>
  <c r="AO543"/>
  <c r="AN543"/>
  <c r="AM543"/>
  <c r="AH543"/>
  <c r="AP542"/>
  <c r="AO542"/>
  <c r="AN542"/>
  <c r="AM542"/>
  <c r="AH542"/>
  <c r="AP541"/>
  <c r="AO541"/>
  <c r="AN541"/>
  <c r="AM541"/>
  <c r="AH541"/>
  <c r="AP540"/>
  <c r="AN540"/>
  <c r="AM540"/>
  <c r="AO540" s="1"/>
  <c r="AH540"/>
  <c r="AP539"/>
  <c r="AN539"/>
  <c r="AO539" s="1"/>
  <c r="AM539"/>
  <c r="AH539"/>
  <c r="AO538"/>
  <c r="AN538"/>
  <c r="AM538"/>
  <c r="AH538"/>
  <c r="AO537"/>
  <c r="AN537"/>
  <c r="AP537" s="1"/>
  <c r="AM537"/>
  <c r="AH537"/>
  <c r="AO536"/>
  <c r="AN536"/>
  <c r="AM536"/>
  <c r="AP536" s="1"/>
  <c r="AH536"/>
  <c r="AN535"/>
  <c r="AO535" s="1"/>
  <c r="AM535"/>
  <c r="AH535"/>
  <c r="AN534"/>
  <c r="AM534"/>
  <c r="AH534"/>
  <c r="AP533"/>
  <c r="AO533"/>
  <c r="AN533"/>
  <c r="AM533"/>
  <c r="AH533"/>
  <c r="AN532"/>
  <c r="AM532"/>
  <c r="AH532"/>
  <c r="AP531"/>
  <c r="AN531"/>
  <c r="AO531" s="1"/>
  <c r="AM531"/>
  <c r="AH531"/>
  <c r="AO530"/>
  <c r="AN530"/>
  <c r="AM530"/>
  <c r="AH530"/>
  <c r="AO529"/>
  <c r="AN529"/>
  <c r="AP529" s="1"/>
  <c r="AM529"/>
  <c r="AH529"/>
  <c r="AO528"/>
  <c r="AN528"/>
  <c r="AM528"/>
  <c r="AP528" s="1"/>
  <c r="AH528"/>
  <c r="AN527"/>
  <c r="AO527" s="1"/>
  <c r="AM527"/>
  <c r="AH527"/>
  <c r="AN526"/>
  <c r="AM526"/>
  <c r="AH526"/>
  <c r="AP525"/>
  <c r="AO525"/>
  <c r="AN525"/>
  <c r="AM525"/>
  <c r="AH525"/>
  <c r="AP524"/>
  <c r="AN524"/>
  <c r="AM524"/>
  <c r="AO524" s="1"/>
  <c r="AH524"/>
  <c r="AP523"/>
  <c r="AN523"/>
  <c r="AO523" s="1"/>
  <c r="AM523"/>
  <c r="AH523"/>
  <c r="AO522"/>
  <c r="AN522"/>
  <c r="AM522"/>
  <c r="AH522"/>
  <c r="AO521"/>
  <c r="AN521"/>
  <c r="AP521" s="1"/>
  <c r="AM521"/>
  <c r="AH521"/>
  <c r="AO520"/>
  <c r="AN520"/>
  <c r="AM520"/>
  <c r="AP520" s="1"/>
  <c r="AH520"/>
  <c r="AN519"/>
  <c r="AO519" s="1"/>
  <c r="AM519"/>
  <c r="AH519"/>
  <c r="AN518"/>
  <c r="AM518"/>
  <c r="AH518"/>
  <c r="AP517"/>
  <c r="AO517"/>
  <c r="AN517"/>
  <c r="AM517"/>
  <c r="AH517"/>
  <c r="AN516"/>
  <c r="AM516"/>
  <c r="AH516"/>
  <c r="AP515"/>
  <c r="AN515"/>
  <c r="AO515" s="1"/>
  <c r="AM515"/>
  <c r="AH515"/>
  <c r="AO514"/>
  <c r="AN514"/>
  <c r="AM514"/>
  <c r="AH514"/>
  <c r="AO513"/>
  <c r="AN513"/>
  <c r="AP513" s="1"/>
  <c r="AM513"/>
  <c r="AH513"/>
  <c r="AO512"/>
  <c r="AN512"/>
  <c r="AM512"/>
  <c r="AP512" s="1"/>
  <c r="AH512"/>
  <c r="AN511"/>
  <c r="AO511" s="1"/>
  <c r="AM511"/>
  <c r="AH511"/>
  <c r="AN510"/>
  <c r="AM510"/>
  <c r="AH510"/>
  <c r="AP509"/>
  <c r="AO509"/>
  <c r="AN509"/>
  <c r="AM509"/>
  <c r="AH509"/>
  <c r="AP508"/>
  <c r="AN508"/>
  <c r="AM508"/>
  <c r="AO508" s="1"/>
  <c r="AH508"/>
  <c r="AP507"/>
  <c r="AN507"/>
  <c r="AO507" s="1"/>
  <c r="AM507"/>
  <c r="AH507"/>
  <c r="AO506"/>
  <c r="AN506"/>
  <c r="AM506"/>
  <c r="AH506"/>
  <c r="AO505"/>
  <c r="AN505"/>
  <c r="AP505" s="1"/>
  <c r="AM505"/>
  <c r="AH505"/>
  <c r="AO504"/>
  <c r="AN504"/>
  <c r="AM504"/>
  <c r="AP504" s="1"/>
  <c r="AH504"/>
  <c r="AN503"/>
  <c r="AO503" s="1"/>
  <c r="AM503"/>
  <c r="AH503"/>
  <c r="AN502"/>
  <c r="AM502"/>
  <c r="AH502"/>
  <c r="AP501"/>
  <c r="AO501"/>
  <c r="AN501"/>
  <c r="AM501"/>
  <c r="AH501"/>
  <c r="AN500"/>
  <c r="AM500"/>
  <c r="AH500"/>
  <c r="AP499"/>
  <c r="AN499"/>
  <c r="AO499" s="1"/>
  <c r="AM499"/>
  <c r="AL499"/>
  <c r="AH499"/>
  <c r="AO498"/>
  <c r="AN498"/>
  <c r="AM498"/>
  <c r="AH498"/>
  <c r="AO497"/>
  <c r="AN497"/>
  <c r="AP497" s="1"/>
  <c r="AM497"/>
  <c r="AH497"/>
  <c r="AO496"/>
  <c r="AN496"/>
  <c r="AM496"/>
  <c r="AP496" s="1"/>
  <c r="AH496"/>
  <c r="AN495"/>
  <c r="AO495" s="1"/>
  <c r="AM495"/>
  <c r="AH495"/>
  <c r="AN494"/>
  <c r="AM494"/>
  <c r="AH494"/>
  <c r="AP493"/>
  <c r="AO493"/>
  <c r="AN493"/>
  <c r="AM493"/>
  <c r="AH493"/>
  <c r="AP492"/>
  <c r="AN492"/>
  <c r="AM492"/>
  <c r="AO492" s="1"/>
  <c r="AH492"/>
  <c r="AP491"/>
  <c r="AN491"/>
  <c r="AO491" s="1"/>
  <c r="AM491"/>
  <c r="AH491"/>
  <c r="AO490"/>
  <c r="AN490"/>
  <c r="AM490"/>
  <c r="AH490"/>
  <c r="AO489"/>
  <c r="AN489"/>
  <c r="AP489" s="1"/>
  <c r="AM489"/>
  <c r="AH489"/>
  <c r="AO488"/>
  <c r="AN488"/>
  <c r="AM488"/>
  <c r="AP488" s="1"/>
  <c r="AH488"/>
  <c r="AN487"/>
  <c r="AO487" s="1"/>
  <c r="AM487"/>
  <c r="AH487"/>
  <c r="AN486"/>
  <c r="AM486"/>
  <c r="AH486"/>
  <c r="AP485"/>
  <c r="AO485"/>
  <c r="AN485"/>
  <c r="AM485"/>
  <c r="AH485"/>
  <c r="AN484"/>
  <c r="AM484"/>
  <c r="AH484"/>
  <c r="AP483"/>
  <c r="AN483"/>
  <c r="AO483" s="1"/>
  <c r="AM483"/>
  <c r="AH483"/>
  <c r="AO482"/>
  <c r="AN482"/>
  <c r="AM482"/>
  <c r="AH482"/>
  <c r="AO481"/>
  <c r="AN481"/>
  <c r="AP481" s="1"/>
  <c r="AM481"/>
  <c r="AH481"/>
  <c r="AO480"/>
  <c r="AN480"/>
  <c r="AM480"/>
  <c r="AP480" s="1"/>
  <c r="AH480"/>
  <c r="AN479"/>
  <c r="AO479" s="1"/>
  <c r="AM479"/>
  <c r="AH479"/>
  <c r="AN478"/>
  <c r="AM478"/>
  <c r="AH478"/>
  <c r="AP477"/>
  <c r="AO477"/>
  <c r="AN477"/>
  <c r="AM477"/>
  <c r="AH477"/>
  <c r="AP476"/>
  <c r="AN476"/>
  <c r="AM476"/>
  <c r="AO476" s="1"/>
  <c r="AH476"/>
  <c r="AP475"/>
  <c r="AN475"/>
  <c r="AO475" s="1"/>
  <c r="AM475"/>
  <c r="AH475"/>
  <c r="AO474"/>
  <c r="AN474"/>
  <c r="AM474"/>
  <c r="AH474"/>
  <c r="AO473"/>
  <c r="AN473"/>
  <c r="AP473" s="1"/>
  <c r="AM473"/>
  <c r="AH473"/>
  <c r="AO472"/>
  <c r="AN472"/>
  <c r="AM472"/>
  <c r="AP472" s="1"/>
  <c r="AH472"/>
  <c r="AN471"/>
  <c r="AO471" s="1"/>
  <c r="AM471"/>
  <c r="AH471"/>
  <c r="AN470"/>
  <c r="AM470"/>
  <c r="AH470"/>
  <c r="AP469"/>
  <c r="AO469"/>
  <c r="AN469"/>
  <c r="AM469"/>
  <c r="AH469"/>
  <c r="AN468"/>
  <c r="AM468"/>
  <c r="AH468"/>
  <c r="AP467"/>
  <c r="AN467"/>
  <c r="AO467" s="1"/>
  <c r="AM467"/>
  <c r="AH467"/>
  <c r="AO466"/>
  <c r="AN466"/>
  <c r="AM466"/>
  <c r="AH466"/>
  <c r="AO465"/>
  <c r="AN465"/>
  <c r="AP465" s="1"/>
  <c r="AM465"/>
  <c r="AH465"/>
  <c r="AO464"/>
  <c r="AN464"/>
  <c r="AM464"/>
  <c r="AP464" s="1"/>
  <c r="AH464"/>
  <c r="AN463"/>
  <c r="AO463" s="1"/>
  <c r="AM463"/>
  <c r="AH463"/>
  <c r="AN462"/>
  <c r="AM462"/>
  <c r="AH462"/>
  <c r="AO461"/>
  <c r="AN461"/>
  <c r="AM461"/>
  <c r="AH461"/>
  <c r="AN460"/>
  <c r="AM460"/>
  <c r="AH460"/>
  <c r="AO459"/>
  <c r="AN459"/>
  <c r="AM459"/>
  <c r="AH459"/>
  <c r="AO458"/>
  <c r="AN458"/>
  <c r="AP458" s="1"/>
  <c r="AM458"/>
  <c r="AH458"/>
  <c r="AO457"/>
  <c r="AN457"/>
  <c r="AM457"/>
  <c r="AP457" s="1"/>
  <c r="AH457"/>
  <c r="AN456"/>
  <c r="AO456" s="1"/>
  <c r="AM456"/>
  <c r="AH456"/>
  <c r="AN455"/>
  <c r="AM455"/>
  <c r="AP455" s="1"/>
  <c r="AH455"/>
  <c r="AP454"/>
  <c r="AO454"/>
  <c r="AN454"/>
  <c r="AM454"/>
  <c r="AH454"/>
  <c r="AN453"/>
  <c r="AM453"/>
  <c r="AH453"/>
  <c r="AP452"/>
  <c r="AN452"/>
  <c r="AO452" s="1"/>
  <c r="AM452"/>
  <c r="AH452"/>
  <c r="AN451"/>
  <c r="AO451" s="1"/>
  <c r="AM451"/>
  <c r="AH451"/>
  <c r="AO450"/>
  <c r="AN450"/>
  <c r="AP450" s="1"/>
  <c r="AM450"/>
  <c r="AH450"/>
  <c r="AN449"/>
  <c r="AM449"/>
  <c r="AP449" s="1"/>
  <c r="AH449"/>
  <c r="AN448"/>
  <c r="AO448" s="1"/>
  <c r="AM448"/>
  <c r="AH448"/>
  <c r="AN447"/>
  <c r="AM447"/>
  <c r="AH447"/>
  <c r="AP446"/>
  <c r="AO446"/>
  <c r="AN446"/>
  <c r="AM446"/>
  <c r="AH446"/>
  <c r="AP445"/>
  <c r="AO445"/>
  <c r="AN445"/>
  <c r="AM445"/>
  <c r="AH445"/>
  <c r="AN444"/>
  <c r="AM444"/>
  <c r="AH444"/>
  <c r="AN443"/>
  <c r="AM443"/>
  <c r="AH443"/>
  <c r="AO442"/>
  <c r="AN442"/>
  <c r="AP442" s="1"/>
  <c r="AM442"/>
  <c r="AH442"/>
  <c r="AN441"/>
  <c r="AM441"/>
  <c r="AH441"/>
  <c r="AN440"/>
  <c r="AO440" s="1"/>
  <c r="AM440"/>
  <c r="AH440"/>
  <c r="AO439"/>
  <c r="AN439"/>
  <c r="AM439"/>
  <c r="AP439" s="1"/>
  <c r="AH439"/>
  <c r="AP438"/>
  <c r="AO438"/>
  <c r="AN438"/>
  <c r="AM438"/>
  <c r="AH438"/>
  <c r="AO437"/>
  <c r="AN437"/>
  <c r="AM437"/>
  <c r="AP437" s="1"/>
  <c r="AH437"/>
  <c r="AP436"/>
  <c r="AN436"/>
  <c r="AO436" s="1"/>
  <c r="AM436"/>
  <c r="AL436"/>
  <c r="AH436"/>
  <c r="AO435"/>
  <c r="AN435"/>
  <c r="AM435"/>
  <c r="AH435"/>
  <c r="AN434"/>
  <c r="AM434"/>
  <c r="AH434"/>
  <c r="AO433"/>
  <c r="AN433"/>
  <c r="AM433"/>
  <c r="AP433" s="1"/>
  <c r="AH433"/>
  <c r="AN432"/>
  <c r="AM432"/>
  <c r="AP432" s="1"/>
  <c r="AH432"/>
  <c r="AO431"/>
  <c r="AN431"/>
  <c r="AM431"/>
  <c r="AP431" s="1"/>
  <c r="AH431"/>
  <c r="AP430"/>
  <c r="AO430"/>
  <c r="AN430"/>
  <c r="AM430"/>
  <c r="AH430"/>
  <c r="AN429"/>
  <c r="AM429"/>
  <c r="AO429" s="1"/>
  <c r="AH429"/>
  <c r="AP428"/>
  <c r="AN428"/>
  <c r="AO428" s="1"/>
  <c r="AM428"/>
  <c r="AH428"/>
  <c r="AO427"/>
  <c r="AN427"/>
  <c r="AM427"/>
  <c r="AH427"/>
  <c r="AO426"/>
  <c r="AN426"/>
  <c r="AP426" s="1"/>
  <c r="AM426"/>
  <c r="AH426"/>
  <c r="AO425"/>
  <c r="AN425"/>
  <c r="AM425"/>
  <c r="AP425" s="1"/>
  <c r="AH425"/>
  <c r="AN424"/>
  <c r="AO424" s="1"/>
  <c r="AM424"/>
  <c r="AH424"/>
  <c r="AN423"/>
  <c r="AM423"/>
  <c r="AP423" s="1"/>
  <c r="AH423"/>
  <c r="AP422"/>
  <c r="AO422"/>
  <c r="AN422"/>
  <c r="AM422"/>
  <c r="AH422"/>
  <c r="AN421"/>
  <c r="AM421"/>
  <c r="AH421"/>
  <c r="AP420"/>
  <c r="AN420"/>
  <c r="AO420" s="1"/>
  <c r="AM420"/>
  <c r="AH420"/>
  <c r="AN419"/>
  <c r="AO419" s="1"/>
  <c r="AM419"/>
  <c r="AH419"/>
  <c r="AO418"/>
  <c r="AN418"/>
  <c r="AP418" s="1"/>
  <c r="AM418"/>
  <c r="AH418"/>
  <c r="AN417"/>
  <c r="AM417"/>
  <c r="AP417" s="1"/>
  <c r="AH417"/>
  <c r="AN416"/>
  <c r="AO416" s="1"/>
  <c r="AM416"/>
  <c r="AH416"/>
  <c r="AN415"/>
  <c r="AM415"/>
  <c r="AH415"/>
  <c r="AP414"/>
  <c r="AO414"/>
  <c r="AN414"/>
  <c r="AM414"/>
  <c r="AH414"/>
  <c r="AP413"/>
  <c r="AO413"/>
  <c r="AN413"/>
  <c r="AM413"/>
  <c r="AH413"/>
  <c r="AN412"/>
  <c r="AM412"/>
  <c r="AH412"/>
  <c r="AN411"/>
  <c r="AM411"/>
  <c r="AO411" s="1"/>
  <c r="AH411"/>
  <c r="AN410"/>
  <c r="AM410"/>
  <c r="AP410" s="1"/>
  <c r="AH410"/>
  <c r="AO409"/>
  <c r="AN409"/>
  <c r="AM409"/>
  <c r="AH409"/>
  <c r="AP408"/>
  <c r="AO408"/>
  <c r="AN408"/>
  <c r="AM408"/>
  <c r="AH408"/>
  <c r="AP407"/>
  <c r="AO407"/>
  <c r="AN407"/>
  <c r="AM407"/>
  <c r="AH407"/>
  <c r="AP406"/>
  <c r="AN406"/>
  <c r="AO406" s="1"/>
  <c r="AM406"/>
  <c r="AH406"/>
  <c r="AN405"/>
  <c r="AO405" s="1"/>
  <c r="AM405"/>
  <c r="AH405"/>
  <c r="AN404"/>
  <c r="AM404"/>
  <c r="AH404"/>
  <c r="AN403"/>
  <c r="AM403"/>
  <c r="AO403" s="1"/>
  <c r="AH403"/>
  <c r="AN402"/>
  <c r="AM402"/>
  <c r="AP402" s="1"/>
  <c r="AH402"/>
  <c r="AO401"/>
  <c r="AN401"/>
  <c r="AM401"/>
  <c r="AH401"/>
  <c r="AP400"/>
  <c r="AO400"/>
  <c r="AN400"/>
  <c r="AM400"/>
  <c r="AH400"/>
  <c r="AP399"/>
  <c r="AO399"/>
  <c r="AN399"/>
  <c r="AM399"/>
  <c r="AH399"/>
  <c r="AP398"/>
  <c r="AN398"/>
  <c r="AO398" s="1"/>
  <c r="AM398"/>
  <c r="AH398"/>
  <c r="AN397"/>
  <c r="AO397" s="1"/>
  <c r="AM397"/>
  <c r="AH397"/>
  <c r="AN396"/>
  <c r="AM396"/>
  <c r="AH396"/>
  <c r="AN395"/>
  <c r="AM395"/>
  <c r="AH395"/>
  <c r="AN394"/>
  <c r="AM394"/>
  <c r="AP394" s="1"/>
  <c r="AH394"/>
  <c r="AO393"/>
  <c r="AN393"/>
  <c r="AM393"/>
  <c r="AH393"/>
  <c r="AP392"/>
  <c r="AO392"/>
  <c r="AN392"/>
  <c r="AM392"/>
  <c r="AH392"/>
  <c r="AP391"/>
  <c r="AO391"/>
  <c r="AN391"/>
  <c r="AM391"/>
  <c r="AH391"/>
  <c r="AN390"/>
  <c r="AO390" s="1"/>
  <c r="AM390"/>
  <c r="AH390"/>
  <c r="AN389"/>
  <c r="AO389" s="1"/>
  <c r="AM389"/>
  <c r="AH389"/>
  <c r="AN388"/>
  <c r="AM388"/>
  <c r="AH388"/>
  <c r="AN387"/>
  <c r="AM387"/>
  <c r="AH387"/>
  <c r="AN386"/>
  <c r="AM386"/>
  <c r="AP386" s="1"/>
  <c r="AH386"/>
  <c r="AO385"/>
  <c r="AN385"/>
  <c r="AM385"/>
  <c r="AH385"/>
  <c r="AP384"/>
  <c r="AO384"/>
  <c r="AN384"/>
  <c r="AM384"/>
  <c r="AH384"/>
  <c r="AP383"/>
  <c r="AO383"/>
  <c r="AN383"/>
  <c r="AM383"/>
  <c r="AH383"/>
  <c r="AN382"/>
  <c r="AO382" s="1"/>
  <c r="AM382"/>
  <c r="AH382"/>
  <c r="AN381"/>
  <c r="AO381" s="1"/>
  <c r="AM381"/>
  <c r="AH381"/>
  <c r="AN380"/>
  <c r="AM380"/>
  <c r="AH380"/>
  <c r="AN379"/>
  <c r="AM379"/>
  <c r="AH379"/>
  <c r="AN378"/>
  <c r="AM378"/>
  <c r="AP378" s="1"/>
  <c r="AH378"/>
  <c r="AO377"/>
  <c r="AN377"/>
  <c r="AM377"/>
  <c r="AH377"/>
  <c r="AP376"/>
  <c r="AO376"/>
  <c r="AN376"/>
  <c r="AM376"/>
  <c r="AH376"/>
  <c r="AP375"/>
  <c r="AO375"/>
  <c r="AN375"/>
  <c r="AM375"/>
  <c r="AH375"/>
  <c r="AP374"/>
  <c r="AN374"/>
  <c r="AO374" s="1"/>
  <c r="AM374"/>
  <c r="AH374"/>
  <c r="AN373"/>
  <c r="AM373"/>
  <c r="AP373" s="1"/>
  <c r="AH373"/>
  <c r="AN372"/>
  <c r="AM372"/>
  <c r="AH372"/>
  <c r="AN371"/>
  <c r="AM371"/>
  <c r="AH371"/>
  <c r="AN370"/>
  <c r="AM370"/>
  <c r="AP370" s="1"/>
  <c r="AH370"/>
  <c r="AO369"/>
  <c r="AN369"/>
  <c r="AM369"/>
  <c r="AH369"/>
  <c r="AP368"/>
  <c r="AO368"/>
  <c r="AN368"/>
  <c r="AM368"/>
  <c r="AH368"/>
  <c r="AP367"/>
  <c r="AO367"/>
  <c r="AN367"/>
  <c r="AM367"/>
  <c r="AH367"/>
  <c r="AP366"/>
  <c r="AO366"/>
  <c r="AN366"/>
  <c r="AM366"/>
  <c r="AH366"/>
  <c r="AP365"/>
  <c r="AO365"/>
  <c r="AN365"/>
  <c r="AM365"/>
  <c r="AL365"/>
  <c r="AH365"/>
  <c r="AP364"/>
  <c r="AN364"/>
  <c r="AO364" s="1"/>
  <c r="AM364"/>
  <c r="AH364"/>
  <c r="AN363"/>
  <c r="AM363"/>
  <c r="AP363" s="1"/>
  <c r="AH363"/>
  <c r="AN362"/>
  <c r="AM362"/>
  <c r="AH362"/>
  <c r="AN361"/>
  <c r="AM361"/>
  <c r="AH361"/>
  <c r="AN360"/>
  <c r="AM360"/>
  <c r="AP360" s="1"/>
  <c r="AH360"/>
  <c r="AO359"/>
  <c r="AN359"/>
  <c r="AM359"/>
  <c r="AH359"/>
  <c r="AP358"/>
  <c r="AO358"/>
  <c r="AN358"/>
  <c r="AM358"/>
  <c r="AH358"/>
  <c r="AP357"/>
  <c r="AO357"/>
  <c r="AN357"/>
  <c r="AM357"/>
  <c r="AH357"/>
  <c r="AN356"/>
  <c r="AO356" s="1"/>
  <c r="AM356"/>
  <c r="AH356"/>
  <c r="AN355"/>
  <c r="AO355" s="1"/>
  <c r="AM355"/>
  <c r="AH355"/>
  <c r="AN354"/>
  <c r="AM354"/>
  <c r="AH354"/>
  <c r="AN353"/>
  <c r="AM353"/>
  <c r="AH353"/>
  <c r="AN352"/>
  <c r="AM352"/>
  <c r="AP352" s="1"/>
  <c r="AH352"/>
  <c r="AO351"/>
  <c r="AN351"/>
  <c r="AM351"/>
  <c r="AH351"/>
  <c r="AP350"/>
  <c r="AO350"/>
  <c r="AN350"/>
  <c r="AM350"/>
  <c r="AH350"/>
  <c r="AP349"/>
  <c r="AO349"/>
  <c r="AN349"/>
  <c r="AM349"/>
  <c r="AH349"/>
  <c r="AN348"/>
  <c r="AO348" s="1"/>
  <c r="AM348"/>
  <c r="AH348"/>
  <c r="AN347"/>
  <c r="AO347" s="1"/>
  <c r="AM347"/>
  <c r="AH347"/>
  <c r="AN346"/>
  <c r="AM346"/>
  <c r="AH346"/>
  <c r="AN345"/>
  <c r="AM345"/>
  <c r="AH345"/>
  <c r="AN344"/>
  <c r="AM344"/>
  <c r="AP344" s="1"/>
  <c r="AH344"/>
  <c r="AO343"/>
  <c r="AN343"/>
  <c r="AM343"/>
  <c r="AH343"/>
  <c r="AP342"/>
  <c r="AO342"/>
  <c r="AN342"/>
  <c r="AM342"/>
  <c r="AH342"/>
  <c r="AP341"/>
  <c r="AO341"/>
  <c r="AN341"/>
  <c r="AM341"/>
  <c r="AH341"/>
  <c r="AP340"/>
  <c r="AN340"/>
  <c r="AO340" s="1"/>
  <c r="AM340"/>
  <c r="AH340"/>
  <c r="AN339"/>
  <c r="AM339"/>
  <c r="AP339" s="1"/>
  <c r="AH339"/>
  <c r="AN338"/>
  <c r="AM338"/>
  <c r="AL338"/>
  <c r="AH338"/>
  <c r="AN337"/>
  <c r="AM337"/>
  <c r="AH337"/>
  <c r="AN336"/>
  <c r="AM336"/>
  <c r="AP336" s="1"/>
  <c r="AH336"/>
  <c r="AO335"/>
  <c r="AN335"/>
  <c r="AM335"/>
  <c r="AH335"/>
  <c r="AP334"/>
  <c r="AO334"/>
  <c r="AN334"/>
  <c r="AM334"/>
  <c r="AH334"/>
  <c r="AP333"/>
  <c r="AO333"/>
  <c r="AN333"/>
  <c r="AM333"/>
  <c r="AL333"/>
  <c r="AH333"/>
  <c r="AP332"/>
  <c r="AN332"/>
  <c r="AO332" s="1"/>
  <c r="AM332"/>
  <c r="AH332"/>
  <c r="AN331"/>
  <c r="AM331"/>
  <c r="AP331" s="1"/>
  <c r="AH331"/>
  <c r="AN330"/>
  <c r="AM330"/>
  <c r="AH330"/>
  <c r="AN329"/>
  <c r="AM329"/>
  <c r="AH329"/>
  <c r="AN328"/>
  <c r="AM328"/>
  <c r="AP328" s="1"/>
  <c r="AH328"/>
  <c r="AO327"/>
  <c r="AN327"/>
  <c r="AM327"/>
  <c r="AH327"/>
  <c r="AP326"/>
  <c r="AO326"/>
  <c r="AN326"/>
  <c r="AM326"/>
  <c r="AH326"/>
  <c r="AP325"/>
  <c r="AO325"/>
  <c r="AN325"/>
  <c r="AM325"/>
  <c r="AH325"/>
  <c r="AN324"/>
  <c r="AO324" s="1"/>
  <c r="AM324"/>
  <c r="AH324"/>
  <c r="AN323"/>
  <c r="AO323" s="1"/>
  <c r="AM323"/>
  <c r="AH323"/>
  <c r="AN322"/>
  <c r="AM322"/>
  <c r="AH322"/>
  <c r="AN321"/>
  <c r="AM321"/>
  <c r="AH321"/>
  <c r="AN320"/>
  <c r="AM320"/>
  <c r="AP320" s="1"/>
  <c r="AH320"/>
  <c r="AO319"/>
  <c r="AN319"/>
  <c r="AM319"/>
  <c r="AL319"/>
  <c r="AH319"/>
  <c r="AP318"/>
  <c r="AO318"/>
  <c r="AN318"/>
  <c r="AM318"/>
  <c r="AH318"/>
  <c r="AP317"/>
  <c r="AO317"/>
  <c r="AN317"/>
  <c r="AM317"/>
  <c r="AH317"/>
  <c r="AN316"/>
  <c r="AO316" s="1"/>
  <c r="AM316"/>
  <c r="AH316"/>
  <c r="AN315"/>
  <c r="AO315" s="1"/>
  <c r="AM315"/>
  <c r="AH315"/>
  <c r="AN314"/>
  <c r="AM314"/>
  <c r="AH314"/>
  <c r="AN313"/>
  <c r="AM313"/>
  <c r="AH313"/>
  <c r="AN312"/>
  <c r="AM312"/>
  <c r="AP312" s="1"/>
  <c r="AH312"/>
  <c r="AO311"/>
  <c r="AN311"/>
  <c r="AM311"/>
  <c r="AH311"/>
  <c r="AP310"/>
  <c r="AO310"/>
  <c r="AN310"/>
  <c r="AM310"/>
  <c r="AH310"/>
  <c r="AP309"/>
  <c r="AO309"/>
  <c r="AN309"/>
  <c r="AM309"/>
  <c r="AH309"/>
  <c r="AP308"/>
  <c r="AN308"/>
  <c r="AO308" s="1"/>
  <c r="AM308"/>
  <c r="AH308"/>
  <c r="AN307"/>
  <c r="AM307"/>
  <c r="AP307" s="1"/>
  <c r="AH307"/>
  <c r="AN306"/>
  <c r="AM306"/>
  <c r="AH306"/>
  <c r="AN305"/>
  <c r="AM305"/>
  <c r="AH305"/>
  <c r="AN304"/>
  <c r="AM304"/>
  <c r="AP304" s="1"/>
  <c r="AH304"/>
  <c r="AO303"/>
  <c r="AN303"/>
  <c r="AM303"/>
  <c r="AH303"/>
  <c r="AP302"/>
  <c r="AO302"/>
  <c r="AN302"/>
  <c r="AM302"/>
  <c r="AH302"/>
  <c r="AP301"/>
  <c r="AO301"/>
  <c r="AN301"/>
  <c r="AM301"/>
  <c r="AH301"/>
  <c r="AP300"/>
  <c r="AN300"/>
  <c r="AO300" s="1"/>
  <c r="AM300"/>
  <c r="AH300"/>
  <c r="AN299"/>
  <c r="AM299"/>
  <c r="AP299" s="1"/>
  <c r="AH299"/>
  <c r="AN298"/>
  <c r="AM298"/>
  <c r="AH298"/>
  <c r="AN297"/>
  <c r="AM297"/>
  <c r="AH297"/>
  <c r="AN296"/>
  <c r="AM296"/>
  <c r="AP296" s="1"/>
  <c r="AH296"/>
  <c r="AO295"/>
  <c r="AN295"/>
  <c r="AM295"/>
  <c r="AH295"/>
  <c r="AP294"/>
  <c r="AO294"/>
  <c r="AN294"/>
  <c r="AM294"/>
  <c r="AH294"/>
  <c r="AP293"/>
  <c r="AO293"/>
  <c r="AN293"/>
  <c r="AM293"/>
  <c r="AH293"/>
  <c r="AN292"/>
  <c r="AO292" s="1"/>
  <c r="AM292"/>
  <c r="AL292"/>
  <c r="AH292"/>
  <c r="AN291"/>
  <c r="AO291" s="1"/>
  <c r="AM291"/>
  <c r="AH291"/>
  <c r="AN290"/>
  <c r="AM290"/>
  <c r="AH290"/>
  <c r="AN289"/>
  <c r="AM289"/>
  <c r="AH289"/>
  <c r="AN288"/>
  <c r="AM288"/>
  <c r="AP288" s="1"/>
  <c r="AH288"/>
  <c r="AO287"/>
  <c r="AN287"/>
  <c r="AM287"/>
  <c r="AH287"/>
  <c r="AP286"/>
  <c r="AO286"/>
  <c r="AN286"/>
  <c r="AM286"/>
  <c r="AH286"/>
  <c r="AP285"/>
  <c r="AO285"/>
  <c r="AN285"/>
  <c r="AM285"/>
  <c r="AH285"/>
  <c r="AN284"/>
  <c r="AO284" s="1"/>
  <c r="AM284"/>
  <c r="AH284"/>
  <c r="AN283"/>
  <c r="AO283" s="1"/>
  <c r="AM283"/>
  <c r="AH283"/>
  <c r="AN282"/>
  <c r="AM282"/>
  <c r="AH282"/>
  <c r="AN281"/>
  <c r="AM281"/>
  <c r="AH281"/>
  <c r="AN280"/>
  <c r="AM280"/>
  <c r="AP280" s="1"/>
  <c r="AH280"/>
  <c r="AO279"/>
  <c r="AN279"/>
  <c r="AM279"/>
  <c r="AH279"/>
  <c r="AP278"/>
  <c r="AO278"/>
  <c r="AN278"/>
  <c r="AM278"/>
  <c r="AH278"/>
  <c r="AP277"/>
  <c r="AO277"/>
  <c r="AN277"/>
  <c r="AM277"/>
  <c r="AH277"/>
  <c r="AP276"/>
  <c r="AN276"/>
  <c r="AO276" s="1"/>
  <c r="AM276"/>
  <c r="AH276"/>
  <c r="AN275"/>
  <c r="AM275"/>
  <c r="AP275" s="1"/>
  <c r="AH275"/>
  <c r="AN274"/>
  <c r="AM274"/>
  <c r="AH274"/>
  <c r="AN273"/>
  <c r="AM273"/>
  <c r="AH273"/>
  <c r="AN272"/>
  <c r="AM272"/>
  <c r="AP272" s="1"/>
  <c r="AH272"/>
  <c r="AO271"/>
  <c r="AN271"/>
  <c r="AM271"/>
  <c r="AH271"/>
  <c r="AP270"/>
  <c r="AO270"/>
  <c r="AN270"/>
  <c r="AM270"/>
  <c r="AH270"/>
  <c r="AP269"/>
  <c r="AO269"/>
  <c r="AN269"/>
  <c r="AM269"/>
  <c r="AH269"/>
  <c r="AP268"/>
  <c r="AN268"/>
  <c r="AO268" s="1"/>
  <c r="AM268"/>
  <c r="AH268"/>
  <c r="AN267"/>
  <c r="AM267"/>
  <c r="AP267" s="1"/>
  <c r="AH267"/>
  <c r="AN266"/>
  <c r="AM266"/>
  <c r="AH266"/>
  <c r="AN265"/>
  <c r="AM265"/>
  <c r="AH265"/>
  <c r="AN264"/>
  <c r="AM264"/>
  <c r="AP264" s="1"/>
  <c r="AH264"/>
  <c r="AO263"/>
  <c r="AN263"/>
  <c r="AM263"/>
  <c r="AH263"/>
  <c r="AP262"/>
  <c r="AO262"/>
  <c r="AN262"/>
  <c r="AM262"/>
  <c r="AH262"/>
  <c r="AP261"/>
  <c r="AO261"/>
  <c r="AN261"/>
  <c r="AM261"/>
  <c r="AH261"/>
  <c r="AP260"/>
  <c r="AN260"/>
  <c r="AO260" s="1"/>
  <c r="AM260"/>
  <c r="AH260"/>
  <c r="AN259"/>
  <c r="AO259" s="1"/>
  <c r="AM259"/>
  <c r="AH259"/>
  <c r="AN258"/>
  <c r="AM258"/>
  <c r="AH258"/>
  <c r="AN257"/>
  <c r="AM257"/>
  <c r="AH257"/>
  <c r="AN256"/>
  <c r="AM256"/>
  <c r="AP256" s="1"/>
  <c r="AH256"/>
  <c r="AO255"/>
  <c r="AN255"/>
  <c r="AM255"/>
  <c r="AH255"/>
  <c r="AP254"/>
  <c r="AO254"/>
  <c r="AN254"/>
  <c r="AM254"/>
  <c r="AL254"/>
  <c r="AH254"/>
  <c r="AP253"/>
  <c r="AO253"/>
  <c r="AN253"/>
  <c r="AM253"/>
  <c r="AH253"/>
  <c r="AN252"/>
  <c r="AO252" s="1"/>
  <c r="AM252"/>
  <c r="AH252"/>
  <c r="AN251"/>
  <c r="AO251" s="1"/>
  <c r="AM251"/>
  <c r="AH251"/>
  <c r="AN250"/>
  <c r="AM250"/>
  <c r="AH250"/>
  <c r="AN249"/>
  <c r="AM249"/>
  <c r="AH249"/>
  <c r="AN248"/>
  <c r="AM248"/>
  <c r="AP248" s="1"/>
  <c r="AH248"/>
  <c r="AO247"/>
  <c r="AN247"/>
  <c r="AM247"/>
  <c r="AH247"/>
  <c r="AP246"/>
  <c r="AO246"/>
  <c r="AN246"/>
  <c r="AM246"/>
  <c r="AH246"/>
  <c r="AP245"/>
  <c r="AO245"/>
  <c r="AN245"/>
  <c r="AM245"/>
  <c r="AH245"/>
  <c r="AP244"/>
  <c r="AN244"/>
  <c r="AO244" s="1"/>
  <c r="AM244"/>
  <c r="AH244"/>
  <c r="AN243"/>
  <c r="AO243" s="1"/>
  <c r="AM243"/>
  <c r="AH243"/>
  <c r="AN242"/>
  <c r="AM242"/>
  <c r="AH242"/>
  <c r="AN241"/>
  <c r="AM241"/>
  <c r="AH241"/>
  <c r="AN240"/>
  <c r="AM240"/>
  <c r="AP240" s="1"/>
  <c r="AH240"/>
  <c r="AO239"/>
  <c r="AN239"/>
  <c r="AM239"/>
  <c r="AH239"/>
  <c r="AP238"/>
  <c r="AO238"/>
  <c r="AN238"/>
  <c r="AM238"/>
  <c r="AH238"/>
  <c r="AP237"/>
  <c r="AO237"/>
  <c r="AN237"/>
  <c r="AM237"/>
  <c r="AH237"/>
  <c r="AP236"/>
  <c r="AN236"/>
  <c r="AO236" s="1"/>
  <c r="AM236"/>
  <c r="AH236"/>
  <c r="AN235"/>
  <c r="AM235"/>
  <c r="AP235" s="1"/>
  <c r="AH235"/>
  <c r="AN234"/>
  <c r="AM234"/>
  <c r="AH234"/>
  <c r="AN233"/>
  <c r="AM233"/>
  <c r="AH233"/>
  <c r="AN232"/>
  <c r="AM232"/>
  <c r="AP232" s="1"/>
  <c r="AH232"/>
  <c r="AO231"/>
  <c r="AN231"/>
  <c r="AM231"/>
  <c r="AH231"/>
  <c r="AP230"/>
  <c r="AO230"/>
  <c r="AN230"/>
  <c r="AM230"/>
  <c r="AH230"/>
  <c r="AP229"/>
  <c r="AO229"/>
  <c r="AN229"/>
  <c r="AM229"/>
  <c r="AH229"/>
  <c r="AP228"/>
  <c r="AN228"/>
  <c r="AO228" s="1"/>
  <c r="AM228"/>
  <c r="AH228"/>
  <c r="AN227"/>
  <c r="AO227" s="1"/>
  <c r="AM227"/>
  <c r="AH227"/>
  <c r="AN226"/>
  <c r="AM226"/>
  <c r="AH226"/>
  <c r="AN225"/>
  <c r="AM225"/>
  <c r="AH225"/>
  <c r="AN224"/>
  <c r="AM224"/>
  <c r="AP224" s="1"/>
  <c r="AH224"/>
  <c r="AO223"/>
  <c r="AN223"/>
  <c r="AM223"/>
  <c r="AH223"/>
  <c r="AP222"/>
  <c r="AO222"/>
  <c r="AN222"/>
  <c r="AM222"/>
  <c r="AH222"/>
  <c r="AP221"/>
  <c r="AO221"/>
  <c r="AN221"/>
  <c r="AM221"/>
  <c r="AH221"/>
  <c r="AN220"/>
  <c r="AO220" s="1"/>
  <c r="AM220"/>
  <c r="AH220"/>
  <c r="AN219"/>
  <c r="AO219" s="1"/>
  <c r="AM219"/>
  <c r="AH219"/>
  <c r="AN218"/>
  <c r="AM218"/>
  <c r="AH218"/>
  <c r="AN217"/>
  <c r="AM217"/>
  <c r="AH217"/>
  <c r="AN216"/>
  <c r="AM216"/>
  <c r="AP216" s="1"/>
  <c r="AH216"/>
  <c r="AO215"/>
  <c r="AN215"/>
  <c r="AM215"/>
  <c r="AH215"/>
  <c r="AP214"/>
  <c r="AO214"/>
  <c r="AN214"/>
  <c r="AM214"/>
  <c r="AH214"/>
  <c r="AP213"/>
  <c r="AO213"/>
  <c r="AN213"/>
  <c r="AM213"/>
  <c r="AH213"/>
  <c r="AP212"/>
  <c r="AN212"/>
  <c r="AO212" s="1"/>
  <c r="AM212"/>
  <c r="AH212"/>
  <c r="AN211"/>
  <c r="AO211" s="1"/>
  <c r="AM211"/>
  <c r="AH211"/>
  <c r="AN210"/>
  <c r="AM210"/>
  <c r="AH210"/>
  <c r="AN209"/>
  <c r="AM209"/>
  <c r="AH209"/>
  <c r="AN208"/>
  <c r="AM208"/>
  <c r="AP208" s="1"/>
  <c r="AH208"/>
  <c r="AO207"/>
  <c r="AN207"/>
  <c r="AM207"/>
  <c r="AH207"/>
  <c r="AP206"/>
  <c r="AO206"/>
  <c r="AN206"/>
  <c r="AM206"/>
  <c r="AH206"/>
  <c r="AP205"/>
  <c r="AO205"/>
  <c r="AN205"/>
  <c r="AM205"/>
  <c r="AH205"/>
  <c r="AP204"/>
  <c r="AN204"/>
  <c r="AO204" s="1"/>
  <c r="AM204"/>
  <c r="AH204"/>
  <c r="AN203"/>
  <c r="AM203"/>
  <c r="AP203" s="1"/>
  <c r="AH203"/>
  <c r="AN202"/>
  <c r="AM202"/>
  <c r="AH202"/>
  <c r="AN201"/>
  <c r="AM201"/>
  <c r="AH201"/>
  <c r="AN200"/>
  <c r="AM200"/>
  <c r="AP200" s="1"/>
  <c r="AH200"/>
  <c r="AO199"/>
  <c r="AN199"/>
  <c r="AM199"/>
  <c r="AH199"/>
  <c r="AP198"/>
  <c r="AO198"/>
  <c r="AN198"/>
  <c r="AM198"/>
  <c r="AH198"/>
  <c r="AP197"/>
  <c r="AO197"/>
  <c r="AN197"/>
  <c r="AM197"/>
  <c r="AH197"/>
  <c r="AP196"/>
  <c r="AN196"/>
  <c r="AO196" s="1"/>
  <c r="AM196"/>
  <c r="AH196"/>
  <c r="AN195"/>
  <c r="AO195" s="1"/>
  <c r="AM195"/>
  <c r="AH195"/>
  <c r="AN194"/>
  <c r="AM194"/>
  <c r="AH194"/>
  <c r="AN193"/>
  <c r="AM193"/>
  <c r="AH193"/>
  <c r="AN192"/>
  <c r="AM192"/>
  <c r="AP192" s="1"/>
  <c r="AH192"/>
  <c r="AO191"/>
  <c r="AN191"/>
  <c r="AM191"/>
  <c r="AH191"/>
  <c r="AP190"/>
  <c r="AO190"/>
  <c r="AN190"/>
  <c r="AM190"/>
  <c r="AL190"/>
  <c r="AH190"/>
  <c r="AP189"/>
  <c r="AO189"/>
  <c r="AN189"/>
  <c r="AM189"/>
  <c r="AH189"/>
  <c r="AN188"/>
  <c r="AO188" s="1"/>
  <c r="AM188"/>
  <c r="AH188"/>
  <c r="AN187"/>
  <c r="AO187" s="1"/>
  <c r="AM187"/>
  <c r="AH187"/>
  <c r="AN186"/>
  <c r="AM186"/>
  <c r="AH186"/>
  <c r="AN185"/>
  <c r="AM185"/>
  <c r="AH185"/>
  <c r="AN184"/>
  <c r="AM184"/>
  <c r="AP184" s="1"/>
  <c r="AH184"/>
  <c r="AO183"/>
  <c r="AN183"/>
  <c r="AM183"/>
  <c r="AH183"/>
  <c r="AN182"/>
  <c r="AM182"/>
  <c r="AO182" s="1"/>
  <c r="AH182"/>
  <c r="AN181"/>
  <c r="AO181" s="1"/>
  <c r="AM181"/>
  <c r="AH181"/>
  <c r="AO180"/>
  <c r="AN180"/>
  <c r="AM180"/>
  <c r="AP180" s="1"/>
  <c r="AH180"/>
  <c r="AP179"/>
  <c r="AO179"/>
  <c r="AN179"/>
  <c r="AM179"/>
  <c r="AH179"/>
  <c r="AP178"/>
  <c r="AN178"/>
  <c r="AM178"/>
  <c r="AO178" s="1"/>
  <c r="AH178"/>
  <c r="AN177"/>
  <c r="AO177" s="1"/>
  <c r="AM177"/>
  <c r="AH177"/>
  <c r="AN176"/>
  <c r="AO176" s="1"/>
  <c r="AM176"/>
  <c r="AH176"/>
  <c r="AP175"/>
  <c r="AO175"/>
  <c r="AN175"/>
  <c r="AM175"/>
  <c r="AH175"/>
  <c r="AP174"/>
  <c r="AN174"/>
  <c r="AM174"/>
  <c r="AO174" s="1"/>
  <c r="AH174"/>
  <c r="AN173"/>
  <c r="AM173"/>
  <c r="AP173" s="1"/>
  <c r="AH173"/>
  <c r="AO172"/>
  <c r="AN172"/>
  <c r="AM172"/>
  <c r="AH172"/>
  <c r="AP171"/>
  <c r="AO171"/>
  <c r="AN171"/>
  <c r="AM171"/>
  <c r="AH171"/>
  <c r="AN170"/>
  <c r="AM170"/>
  <c r="AO170" s="1"/>
  <c r="AH170"/>
  <c r="AN169"/>
  <c r="AO169" s="1"/>
  <c r="AM169"/>
  <c r="AH169"/>
  <c r="AO168"/>
  <c r="AN168"/>
  <c r="AM168"/>
  <c r="AH168"/>
  <c r="AP167"/>
  <c r="AO167"/>
  <c r="AN167"/>
  <c r="AM167"/>
  <c r="AH167"/>
  <c r="AN166"/>
  <c r="AM166"/>
  <c r="AO166" s="1"/>
  <c r="AH166"/>
  <c r="AN165"/>
  <c r="AO165" s="1"/>
  <c r="AM165"/>
  <c r="AH165"/>
  <c r="AO164"/>
  <c r="AN164"/>
  <c r="AM164"/>
  <c r="AP164" s="1"/>
  <c r="AH164"/>
  <c r="AP163"/>
  <c r="AO163"/>
  <c r="AN163"/>
  <c r="AM163"/>
  <c r="AH163"/>
  <c r="AP162"/>
  <c r="AN162"/>
  <c r="AM162"/>
  <c r="AO162" s="1"/>
  <c r="AH162"/>
  <c r="AN161"/>
  <c r="AO161" s="1"/>
  <c r="AM161"/>
  <c r="AH161"/>
  <c r="AN160"/>
  <c r="AO160" s="1"/>
  <c r="AM160"/>
  <c r="AH160"/>
  <c r="AP159"/>
  <c r="AO159"/>
  <c r="AN159"/>
  <c r="AM159"/>
  <c r="AH159"/>
  <c r="AP158"/>
  <c r="AN158"/>
  <c r="AM158"/>
  <c r="AO158" s="1"/>
  <c r="AH158"/>
  <c r="AN157"/>
  <c r="AM157"/>
  <c r="AP157" s="1"/>
  <c r="AH157"/>
  <c r="AO156"/>
  <c r="AN156"/>
  <c r="AM156"/>
  <c r="AH156"/>
  <c r="AP155"/>
  <c r="AO155"/>
  <c r="AN155"/>
  <c r="AM155"/>
  <c r="AH155"/>
  <c r="AN154"/>
  <c r="AM154"/>
  <c r="AO154" s="1"/>
  <c r="AH154"/>
  <c r="AP153"/>
  <c r="AN153"/>
  <c r="AM153"/>
  <c r="AO153" s="1"/>
  <c r="AH153"/>
  <c r="AN152"/>
  <c r="AM152"/>
  <c r="AP152" s="1"/>
  <c r="AH152"/>
  <c r="AO151"/>
  <c r="AN151"/>
  <c r="AM151"/>
  <c r="AH151"/>
  <c r="AP150"/>
  <c r="AO150"/>
  <c r="AN150"/>
  <c r="AM150"/>
  <c r="AH150"/>
  <c r="AN149"/>
  <c r="AM149"/>
  <c r="AO149" s="1"/>
  <c r="AH149"/>
  <c r="AN148"/>
  <c r="AO148" s="1"/>
  <c r="AM148"/>
  <c r="AH148"/>
  <c r="AO147"/>
  <c r="AN147"/>
  <c r="AM147"/>
  <c r="AH147"/>
  <c r="AP146"/>
  <c r="AO146"/>
  <c r="AN146"/>
  <c r="AM146"/>
  <c r="AH146"/>
  <c r="AN145"/>
  <c r="AM145"/>
  <c r="AO145" s="1"/>
  <c r="AH145"/>
  <c r="AN144"/>
  <c r="AO144" s="1"/>
  <c r="AM144"/>
  <c r="AH144"/>
  <c r="AO143"/>
  <c r="AN143"/>
  <c r="AM143"/>
  <c r="AP143" s="1"/>
  <c r="AH143"/>
  <c r="AP142"/>
  <c r="AO142"/>
  <c r="AN142"/>
  <c r="AM142"/>
  <c r="AH142"/>
  <c r="AP141"/>
  <c r="AN141"/>
  <c r="AM141"/>
  <c r="AO141" s="1"/>
  <c r="AH141"/>
  <c r="AN140"/>
  <c r="AO140" s="1"/>
  <c r="AM140"/>
  <c r="AH140"/>
  <c r="AN139"/>
  <c r="AO139" s="1"/>
  <c r="AM139"/>
  <c r="AH139"/>
  <c r="AP138"/>
  <c r="AO138"/>
  <c r="AN138"/>
  <c r="AM138"/>
  <c r="AH138"/>
  <c r="AP137"/>
  <c r="AN137"/>
  <c r="AM137"/>
  <c r="AO137" s="1"/>
  <c r="AH137"/>
  <c r="AN136"/>
  <c r="AM136"/>
  <c r="AP136" s="1"/>
  <c r="AH136"/>
  <c r="AO135"/>
  <c r="AN135"/>
  <c r="AM135"/>
  <c r="AH135"/>
  <c r="AP134"/>
  <c r="AO134"/>
  <c r="AN134"/>
  <c r="AM134"/>
  <c r="AH134"/>
  <c r="AN133"/>
  <c r="AM133"/>
  <c r="AO133" s="1"/>
  <c r="AH133"/>
  <c r="AN132"/>
  <c r="AO132" s="1"/>
  <c r="AM132"/>
  <c r="AH132"/>
  <c r="AO131"/>
  <c r="AN131"/>
  <c r="AM131"/>
  <c r="AH131"/>
  <c r="AP130"/>
  <c r="AO130"/>
  <c r="AN130"/>
  <c r="AM130"/>
  <c r="AH130"/>
  <c r="AN129"/>
  <c r="AM129"/>
  <c r="AO129" s="1"/>
  <c r="AH129"/>
  <c r="AN128"/>
  <c r="AO128" s="1"/>
  <c r="AM128"/>
  <c r="AH128"/>
  <c r="AO127"/>
  <c r="AN127"/>
  <c r="AM127"/>
  <c r="AP127" s="1"/>
  <c r="AH127"/>
  <c r="AP126"/>
  <c r="AO126"/>
  <c r="AN126"/>
  <c r="AM126"/>
  <c r="AH126"/>
  <c r="AP125"/>
  <c r="AN125"/>
  <c r="AM125"/>
  <c r="AO125" s="1"/>
  <c r="AH125"/>
  <c r="AN124"/>
  <c r="AO124" s="1"/>
  <c r="AM124"/>
  <c r="AH124"/>
  <c r="AN123"/>
  <c r="AO123" s="1"/>
  <c r="AM123"/>
  <c r="AH123"/>
  <c r="AP122"/>
  <c r="AO122"/>
  <c r="AN122"/>
  <c r="AM122"/>
  <c r="AH122"/>
  <c r="AP121"/>
  <c r="AN121"/>
  <c r="AM121"/>
  <c r="AO121" s="1"/>
  <c r="AH121"/>
  <c r="AN120"/>
  <c r="AM120"/>
  <c r="AP120" s="1"/>
  <c r="AH120"/>
  <c r="AO119"/>
  <c r="AN119"/>
  <c r="AM119"/>
  <c r="AH119"/>
  <c r="AP118"/>
  <c r="AO118"/>
  <c r="AN118"/>
  <c r="AM118"/>
  <c r="AH118"/>
  <c r="AN117"/>
  <c r="AM117"/>
  <c r="AO117" s="1"/>
  <c r="AH117"/>
  <c r="AN116"/>
  <c r="AO116" s="1"/>
  <c r="AM116"/>
  <c r="AH116"/>
  <c r="AO115"/>
  <c r="AN115"/>
  <c r="AM115"/>
  <c r="AH115"/>
  <c r="AP114"/>
  <c r="AO114"/>
  <c r="AN114"/>
  <c r="AM114"/>
  <c r="AH114"/>
  <c r="AN113"/>
  <c r="AM113"/>
  <c r="AO113" s="1"/>
  <c r="AH113"/>
  <c r="AN112"/>
  <c r="AO112" s="1"/>
  <c r="AM112"/>
  <c r="AH112"/>
  <c r="AO111"/>
  <c r="AN111"/>
  <c r="AM111"/>
  <c r="AP111" s="1"/>
  <c r="AH111"/>
  <c r="AP110"/>
  <c r="AO110"/>
  <c r="AN110"/>
  <c r="AM110"/>
  <c r="AH110"/>
  <c r="AP109"/>
  <c r="AN109"/>
  <c r="AM109"/>
  <c r="AO109" s="1"/>
  <c r="AH109"/>
  <c r="AN108"/>
  <c r="AO108" s="1"/>
  <c r="AM108"/>
  <c r="AH108"/>
  <c r="AN107"/>
  <c r="AO107" s="1"/>
  <c r="AM107"/>
  <c r="AH107"/>
  <c r="AP106"/>
  <c r="AO106"/>
  <c r="AN106"/>
  <c r="AM106"/>
  <c r="AH106"/>
  <c r="AP105"/>
  <c r="AN105"/>
  <c r="AM105"/>
  <c r="AO105" s="1"/>
  <c r="AH105"/>
  <c r="AN104"/>
  <c r="AM104"/>
  <c r="AP104" s="1"/>
  <c r="AH104"/>
  <c r="AO103"/>
  <c r="AN103"/>
  <c r="AM103"/>
  <c r="AH103"/>
  <c r="AP102"/>
  <c r="AO102"/>
  <c r="AN102"/>
  <c r="AM102"/>
  <c r="AH102"/>
  <c r="AN101"/>
  <c r="AM101"/>
  <c r="AO101" s="1"/>
  <c r="AH101"/>
  <c r="AN100"/>
  <c r="AO100" s="1"/>
  <c r="AM100"/>
  <c r="AH100"/>
  <c r="AO99"/>
  <c r="AN99"/>
  <c r="AM99"/>
  <c r="AH99"/>
  <c r="AP98"/>
  <c r="AO98"/>
  <c r="AN98"/>
  <c r="AM98"/>
  <c r="AH98"/>
  <c r="AN97"/>
  <c r="AM97"/>
  <c r="AO97" s="1"/>
  <c r="AH97"/>
  <c r="AN96"/>
  <c r="AO96" s="1"/>
  <c r="AM96"/>
  <c r="AH96"/>
  <c r="AO95"/>
  <c r="AN95"/>
  <c r="AM95"/>
  <c r="AP95" s="1"/>
  <c r="AH95"/>
  <c r="AP94"/>
  <c r="AO94"/>
  <c r="AN94"/>
  <c r="AM94"/>
  <c r="AH94"/>
  <c r="AP93"/>
  <c r="AN93"/>
  <c r="AM93"/>
  <c r="AO93" s="1"/>
  <c r="AH93"/>
  <c r="AN92"/>
  <c r="AO92" s="1"/>
  <c r="AM92"/>
  <c r="AH92"/>
  <c r="AN91"/>
  <c r="AO91" s="1"/>
  <c r="AM91"/>
  <c r="AH91"/>
  <c r="AP90"/>
  <c r="AO90"/>
  <c r="AN90"/>
  <c r="AM90"/>
  <c r="AH90"/>
  <c r="AP89"/>
  <c r="AN89"/>
  <c r="AM89"/>
  <c r="AO89" s="1"/>
  <c r="AH89"/>
  <c r="AN88"/>
  <c r="AM88"/>
  <c r="AP88" s="1"/>
  <c r="AH88"/>
  <c r="AO87"/>
  <c r="AN87"/>
  <c r="AM87"/>
  <c r="AH87"/>
  <c r="AP86"/>
  <c r="AO86"/>
  <c r="AN86"/>
  <c r="AM86"/>
  <c r="AH86"/>
  <c r="AN85"/>
  <c r="AM85"/>
  <c r="AO85" s="1"/>
  <c r="AH85"/>
  <c r="AN84"/>
  <c r="AO84" s="1"/>
  <c r="AM84"/>
  <c r="AH84"/>
  <c r="AO83"/>
  <c r="AN83"/>
  <c r="AM83"/>
  <c r="AH83"/>
  <c r="AP82"/>
  <c r="AO82"/>
  <c r="AN82"/>
  <c r="AM82"/>
  <c r="AH82"/>
  <c r="AN81"/>
  <c r="AM81"/>
  <c r="AO81" s="1"/>
  <c r="AH81"/>
  <c r="AN80"/>
  <c r="AO80" s="1"/>
  <c r="AM80"/>
  <c r="AH80"/>
  <c r="AO79"/>
  <c r="AN79"/>
  <c r="AM79"/>
  <c r="AP79" s="1"/>
  <c r="AH79"/>
  <c r="AP78"/>
  <c r="AO78"/>
  <c r="AN78"/>
  <c r="AM78"/>
  <c r="AH78"/>
  <c r="AP77"/>
  <c r="AN77"/>
  <c r="AM77"/>
  <c r="AO77" s="1"/>
  <c r="AH77"/>
  <c r="AN76"/>
  <c r="AO76" s="1"/>
  <c r="AM76"/>
  <c r="AH76"/>
  <c r="AN75"/>
  <c r="AO75" s="1"/>
  <c r="AM75"/>
  <c r="AH75"/>
  <c r="AP74"/>
  <c r="AO74"/>
  <c r="AN74"/>
  <c r="AM74"/>
  <c r="AH74"/>
  <c r="AP73"/>
  <c r="AN73"/>
  <c r="AM73"/>
  <c r="AO73" s="1"/>
  <c r="AH73"/>
  <c r="AN72"/>
  <c r="AM72"/>
  <c r="AP72" s="1"/>
  <c r="AL72"/>
  <c r="AH72"/>
  <c r="AO71"/>
  <c r="AN71"/>
  <c r="AM71"/>
  <c r="AH71"/>
  <c r="AP70"/>
  <c r="AO70"/>
  <c r="AN70"/>
  <c r="AM70"/>
  <c r="AH70"/>
  <c r="AN69"/>
  <c r="AM69"/>
  <c r="AO69" s="1"/>
  <c r="AH69"/>
  <c r="AN68"/>
  <c r="AO68" s="1"/>
  <c r="AM68"/>
  <c r="AH68"/>
  <c r="AO67"/>
  <c r="AN67"/>
  <c r="AM67"/>
  <c r="AH67"/>
  <c r="AP66"/>
  <c r="AO66"/>
  <c r="AN66"/>
  <c r="AM66"/>
  <c r="AH66"/>
  <c r="AN65"/>
  <c r="AM65"/>
  <c r="AO65" s="1"/>
  <c r="AH65"/>
  <c r="AN64"/>
  <c r="AO64" s="1"/>
  <c r="AM64"/>
  <c r="AH64"/>
  <c r="AO63"/>
  <c r="AN63"/>
  <c r="AM63"/>
  <c r="AP63" s="1"/>
  <c r="AH63"/>
  <c r="AP62"/>
  <c r="AO62"/>
  <c r="AN62"/>
  <c r="AM62"/>
  <c r="AH62"/>
  <c r="AP61"/>
  <c r="AN61"/>
  <c r="AM61"/>
  <c r="AO61" s="1"/>
  <c r="AH61"/>
  <c r="AN60"/>
  <c r="AO60" s="1"/>
  <c r="AM60"/>
  <c r="AH60"/>
  <c r="AN59"/>
  <c r="AO59" s="1"/>
  <c r="AM59"/>
  <c r="AH59"/>
  <c r="AP58"/>
  <c r="AO58"/>
  <c r="AN58"/>
  <c r="AM58"/>
  <c r="AH58"/>
  <c r="AP57"/>
  <c r="AN57"/>
  <c r="AM57"/>
  <c r="AO57" s="1"/>
  <c r="AH57"/>
  <c r="AN56"/>
  <c r="AM56"/>
  <c r="AP56" s="1"/>
  <c r="AH56"/>
  <c r="AO55"/>
  <c r="AN55"/>
  <c r="AM55"/>
  <c r="AH55"/>
  <c r="AP54"/>
  <c r="AO54"/>
  <c r="AN54"/>
  <c r="AM54"/>
  <c r="AH54"/>
  <c r="AN53"/>
  <c r="AM53"/>
  <c r="AO53" s="1"/>
  <c r="AH53"/>
  <c r="AN52"/>
  <c r="AO52" s="1"/>
  <c r="AM52"/>
  <c r="AH52"/>
  <c r="AO51"/>
  <c r="AN51"/>
  <c r="AM51"/>
  <c r="AH51"/>
  <c r="AP50"/>
  <c r="AO50"/>
  <c r="AN50"/>
  <c r="AM50"/>
  <c r="AH50"/>
  <c r="AN49"/>
  <c r="AM49"/>
  <c r="AO49" s="1"/>
  <c r="AH49"/>
  <c r="AN48"/>
  <c r="AO48" s="1"/>
  <c r="AM48"/>
  <c r="AH48"/>
  <c r="AO47"/>
  <c r="AN47"/>
  <c r="AM47"/>
  <c r="AP47" s="1"/>
  <c r="AH47"/>
  <c r="AP46"/>
  <c r="AO46"/>
  <c r="AN46"/>
  <c r="AM46"/>
  <c r="AH46"/>
  <c r="AP45"/>
  <c r="AN45"/>
  <c r="AM45"/>
  <c r="AO45" s="1"/>
  <c r="AH45"/>
  <c r="AN44"/>
  <c r="AO44" s="1"/>
  <c r="AM44"/>
  <c r="AH44"/>
  <c r="AN43"/>
  <c r="AO43" s="1"/>
  <c r="AM43"/>
  <c r="AH43"/>
  <c r="AP42"/>
  <c r="AO42"/>
  <c r="AN42"/>
  <c r="AM42"/>
  <c r="AH42"/>
  <c r="AP41"/>
  <c r="AN41"/>
  <c r="AM41"/>
  <c r="AO41" s="1"/>
  <c r="AH41"/>
  <c r="AN40"/>
  <c r="AM40"/>
  <c r="AP40" s="1"/>
  <c r="AH40"/>
  <c r="AO39"/>
  <c r="AN39"/>
  <c r="AM39"/>
  <c r="AH39"/>
  <c r="AP38"/>
  <c r="AO38"/>
  <c r="AN38"/>
  <c r="AM38"/>
  <c r="AH38"/>
  <c r="AN37"/>
  <c r="AM37"/>
  <c r="AO37" s="1"/>
  <c r="AH37"/>
  <c r="AN36"/>
  <c r="AO36" s="1"/>
  <c r="AM36"/>
  <c r="AH36"/>
  <c r="AO35"/>
  <c r="AN35"/>
  <c r="AM35"/>
  <c r="AH35"/>
  <c r="AP34"/>
  <c r="AO34"/>
  <c r="AN34"/>
  <c r="AM34"/>
  <c r="AH34"/>
  <c r="AN33"/>
  <c r="AM33"/>
  <c r="AO33" s="1"/>
  <c r="AH33"/>
  <c r="AN32"/>
  <c r="AO32" s="1"/>
  <c r="AM32"/>
  <c r="AH32"/>
  <c r="AO31"/>
  <c r="AN31"/>
  <c r="AM31"/>
  <c r="AP31" s="1"/>
  <c r="AH31"/>
  <c r="AP30"/>
  <c r="AO30"/>
  <c r="AN30"/>
  <c r="AM30"/>
  <c r="AH30"/>
  <c r="AP29"/>
  <c r="AN29"/>
  <c r="AM29"/>
  <c r="AO29" s="1"/>
  <c r="AH29"/>
  <c r="AN28"/>
  <c r="AO28" s="1"/>
  <c r="AM28"/>
  <c r="AH28"/>
  <c r="AN27"/>
  <c r="AO27" s="1"/>
  <c r="AM27"/>
  <c r="AH27"/>
  <c r="AP26"/>
  <c r="AO26"/>
  <c r="AN26"/>
  <c r="AM26"/>
  <c r="AH26"/>
  <c r="AP25"/>
  <c r="AN25"/>
  <c r="AM25"/>
  <c r="AO25" s="1"/>
  <c r="AH25"/>
  <c r="AN24"/>
  <c r="AM24"/>
  <c r="AP24" s="1"/>
  <c r="AH24"/>
  <c r="AO23"/>
  <c r="AN23"/>
  <c r="AM23"/>
  <c r="AH23"/>
  <c r="AP22"/>
  <c r="AN22"/>
  <c r="AM22"/>
  <c r="AO22" s="1"/>
  <c r="AH22"/>
  <c r="AO21"/>
  <c r="AN21"/>
  <c r="AM21"/>
  <c r="AP21" s="1"/>
  <c r="AH21"/>
  <c r="AN20"/>
  <c r="AM20"/>
  <c r="AO20" s="1"/>
  <c r="AH20"/>
  <c r="AO19"/>
  <c r="AN19"/>
  <c r="AM19"/>
  <c r="AH19"/>
  <c r="AP18"/>
  <c r="AN18"/>
  <c r="AM18"/>
  <c r="AO18" s="1"/>
  <c r="AH18"/>
  <c r="AO17"/>
  <c r="AN17"/>
  <c r="AM17"/>
  <c r="AP17" s="1"/>
  <c r="AH17"/>
  <c r="AN16"/>
  <c r="AM16"/>
  <c r="AO16" s="1"/>
  <c r="AH16"/>
  <c r="AO15"/>
  <c r="AN15"/>
  <c r="AM15"/>
  <c r="AH15"/>
  <c r="AP14"/>
  <c r="AN14"/>
  <c r="AM14"/>
  <c r="AO14" s="1"/>
  <c r="AH14"/>
  <c r="AO13"/>
  <c r="AN13"/>
  <c r="AM13"/>
  <c r="AP13" s="1"/>
  <c r="AH13"/>
  <c r="AN12"/>
  <c r="AM12"/>
  <c r="AO12" s="1"/>
  <c r="AH12"/>
  <c r="I14" i="31" l="1"/>
  <c r="E14" i="26"/>
  <c r="I61" s="1"/>
  <c r="G114" i="31"/>
  <c r="G116"/>
  <c r="E114"/>
  <c r="E116"/>
  <c r="AL40" i="23"/>
  <c r="AL28"/>
  <c r="AL68"/>
  <c r="AL92"/>
  <c r="AL104"/>
  <c r="AL39"/>
  <c r="AL140"/>
  <c r="AL154"/>
  <c r="AL157"/>
  <c r="AL238"/>
  <c r="AL252"/>
  <c r="AL359"/>
  <c r="AL362"/>
  <c r="AL367"/>
  <c r="AL543"/>
  <c r="AL15"/>
  <c r="AL47"/>
  <c r="AL52"/>
  <c r="AL56"/>
  <c r="AL103"/>
  <c r="AL188"/>
  <c r="AL196"/>
  <c r="AL204"/>
  <c r="AL478"/>
  <c r="AL260"/>
  <c r="AL268"/>
  <c r="AL287"/>
  <c r="AL294"/>
  <c r="AL327"/>
  <c r="AL358"/>
  <c r="AL414"/>
  <c r="AL451"/>
  <c r="AL513"/>
  <c r="AL542"/>
  <c r="AL554"/>
  <c r="I29" i="30"/>
  <c r="I28"/>
  <c r="I27"/>
  <c r="L25"/>
  <c r="AL24" i="23"/>
  <c r="AL44"/>
  <c r="AL62"/>
  <c r="AL78"/>
  <c r="AL84"/>
  <c r="AL86"/>
  <c r="AL88"/>
  <c r="AL108"/>
  <c r="AL123"/>
  <c r="AL135"/>
  <c r="AL136"/>
  <c r="AL173"/>
  <c r="AL223"/>
  <c r="AL245"/>
  <c r="AL247"/>
  <c r="AL400"/>
  <c r="AL582"/>
  <c r="E25" i="30"/>
  <c r="AL286" i="23"/>
  <c r="AL13"/>
  <c r="AL19"/>
  <c r="AL27"/>
  <c r="AL31"/>
  <c r="AL46"/>
  <c r="AL60"/>
  <c r="AL75"/>
  <c r="AL107"/>
  <c r="AL119"/>
  <c r="AL152"/>
  <c r="AL164"/>
  <c r="AL167"/>
  <c r="AL183"/>
  <c r="AL191"/>
  <c r="AL194"/>
  <c r="AL210"/>
  <c r="AL222"/>
  <c r="AL255"/>
  <c r="AL258"/>
  <c r="AL274"/>
  <c r="AL290"/>
  <c r="AL298"/>
  <c r="AL318"/>
  <c r="AL334"/>
  <c r="AL399"/>
  <c r="AL404"/>
  <c r="AL408"/>
  <c r="AL420"/>
  <c r="AL442"/>
  <c r="AL466"/>
  <c r="AL529"/>
  <c r="AL551"/>
  <c r="AL576"/>
  <c r="AL55"/>
  <c r="AL230"/>
  <c r="AL246"/>
  <c r="AL302"/>
  <c r="AL369"/>
  <c r="AL393"/>
  <c r="AL494"/>
  <c r="AL71"/>
  <c r="AL91"/>
  <c r="AL95"/>
  <c r="AL120"/>
  <c r="AL124"/>
  <c r="AL131"/>
  <c r="AL139"/>
  <c r="AL151"/>
  <c r="AL202"/>
  <c r="AL237"/>
  <c r="AL266"/>
  <c r="AL301"/>
  <c r="AL343"/>
  <c r="AL356"/>
  <c r="AL366"/>
  <c r="AL368"/>
  <c r="AL385"/>
  <c r="AL407"/>
  <c r="AL465"/>
  <c r="AL491"/>
  <c r="AL530"/>
  <c r="AL567"/>
  <c r="AL570"/>
  <c r="AL575"/>
  <c r="O29" i="30"/>
  <c r="P27"/>
  <c r="M91" i="31"/>
  <c r="M92" s="1"/>
  <c r="M93" s="1"/>
  <c r="M94" s="1"/>
  <c r="M95" s="1"/>
  <c r="N81"/>
  <c r="N82" s="1"/>
  <c r="N83" s="1"/>
  <c r="N84" s="1"/>
  <c r="N85" s="1"/>
  <c r="N86" s="1"/>
  <c r="N87" s="1"/>
  <c r="N88" s="1"/>
  <c r="B11" i="30"/>
  <c r="B25" s="1"/>
  <c r="B18"/>
  <c r="H21" i="31"/>
  <c r="H75" i="32"/>
  <c r="H72" i="33"/>
  <c r="C74" s="1"/>
  <c r="N86" s="1"/>
  <c r="N87" s="1"/>
  <c r="N88" s="1"/>
  <c r="N89" s="1"/>
  <c r="N90" s="1"/>
  <c r="M21"/>
  <c r="C22"/>
  <c r="N34" s="1"/>
  <c r="N35" s="1"/>
  <c r="N36" s="1"/>
  <c r="N37" s="1"/>
  <c r="N38" s="1"/>
  <c r="H45"/>
  <c r="C102" i="32"/>
  <c r="N114" s="1"/>
  <c r="N115" s="1"/>
  <c r="N116" s="1"/>
  <c r="N117" s="1"/>
  <c r="N118" s="1"/>
  <c r="P28" i="30"/>
  <c r="L26"/>
  <c r="B22"/>
  <c r="H40" i="31"/>
  <c r="C40" s="1"/>
  <c r="O47" s="1"/>
  <c r="O48" s="1"/>
  <c r="O49" s="1"/>
  <c r="O50" s="1"/>
  <c r="O51" s="1"/>
  <c r="J25" i="30"/>
  <c r="N25"/>
  <c r="R25"/>
  <c r="I26"/>
  <c r="M26"/>
  <c r="G25"/>
  <c r="O25"/>
  <c r="S25"/>
  <c r="J26"/>
  <c r="N26"/>
  <c r="R26"/>
  <c r="J27"/>
  <c r="N27"/>
  <c r="R27"/>
  <c r="J28"/>
  <c r="N28"/>
  <c r="R28"/>
  <c r="J29"/>
  <c r="N29"/>
  <c r="R29"/>
  <c r="I25"/>
  <c r="H26"/>
  <c r="P26"/>
  <c r="H27"/>
  <c r="M27"/>
  <c r="S27"/>
  <c r="H28"/>
  <c r="M28"/>
  <c r="S28"/>
  <c r="H29"/>
  <c r="M29"/>
  <c r="S29"/>
  <c r="H25"/>
  <c r="P25"/>
  <c r="G26"/>
  <c r="O26"/>
  <c r="G27"/>
  <c r="L27"/>
  <c r="G28"/>
  <c r="L28"/>
  <c r="G29"/>
  <c r="L29"/>
  <c r="B13"/>
  <c r="B27" s="1"/>
  <c r="B20"/>
  <c r="H77" i="33"/>
  <c r="E8" i="31"/>
  <c r="N58" s="1"/>
  <c r="D25" i="30"/>
  <c r="N37" i="31"/>
  <c r="N38" s="1"/>
  <c r="N39" s="1"/>
  <c r="N40" s="1"/>
  <c r="N41" s="1"/>
  <c r="C39"/>
  <c r="N47" s="1"/>
  <c r="N48" s="1"/>
  <c r="N49" s="1"/>
  <c r="N50" s="1"/>
  <c r="N51" s="1"/>
  <c r="C106"/>
  <c r="O113" s="1"/>
  <c r="O114" s="1"/>
  <c r="O115" s="1"/>
  <c r="O116" s="1"/>
  <c r="O117" s="1"/>
  <c r="H104"/>
  <c r="I104"/>
  <c r="C77" i="32"/>
  <c r="O88" s="1"/>
  <c r="O89" s="1"/>
  <c r="O90" s="1"/>
  <c r="O91" s="1"/>
  <c r="O92" s="1"/>
  <c r="C76"/>
  <c r="N88" s="1"/>
  <c r="N89" s="1"/>
  <c r="N90" s="1"/>
  <c r="N91" s="1"/>
  <c r="N92" s="1"/>
  <c r="H52" i="33"/>
  <c r="I36" i="31"/>
  <c r="C49" i="33"/>
  <c r="O60" s="1"/>
  <c r="O61" s="1"/>
  <c r="O62" s="1"/>
  <c r="O63" s="1"/>
  <c r="O64" s="1"/>
  <c r="M25" i="31"/>
  <c r="M26" s="1"/>
  <c r="M27" s="1"/>
  <c r="M28" s="1"/>
  <c r="M29" s="1"/>
  <c r="N15"/>
  <c r="M113"/>
  <c r="M114" s="1"/>
  <c r="M115" s="1"/>
  <c r="M116" s="1"/>
  <c r="M117" s="1"/>
  <c r="N103"/>
  <c r="N104" s="1"/>
  <c r="N105" s="1"/>
  <c r="N106" s="1"/>
  <c r="M24" i="32"/>
  <c r="M127"/>
  <c r="C128"/>
  <c r="N140" s="1"/>
  <c r="N141" s="1"/>
  <c r="N142" s="1"/>
  <c r="N143" s="1"/>
  <c r="N144" s="1"/>
  <c r="H19" i="33"/>
  <c r="I80" i="31"/>
  <c r="K113"/>
  <c r="J4" i="30" s="1"/>
  <c r="G113" i="31"/>
  <c r="H113"/>
  <c r="H115"/>
  <c r="I115"/>
  <c r="K117"/>
  <c r="J8" i="30" s="1"/>
  <c r="E117" i="31"/>
  <c r="G117"/>
  <c r="H16"/>
  <c r="H17"/>
  <c r="H18"/>
  <c r="H36"/>
  <c r="H42"/>
  <c r="H59"/>
  <c r="H65"/>
  <c r="C62" s="1"/>
  <c r="O69" s="1"/>
  <c r="O70" s="1"/>
  <c r="O71" s="1"/>
  <c r="O72" s="1"/>
  <c r="O73" s="1"/>
  <c r="H81"/>
  <c r="H87"/>
  <c r="C84" s="1"/>
  <c r="O91" s="1"/>
  <c r="O92" s="1"/>
  <c r="O93" s="1"/>
  <c r="O94" s="1"/>
  <c r="O95" s="1"/>
  <c r="I102"/>
  <c r="H103"/>
  <c r="C105" s="1"/>
  <c r="N113" s="1"/>
  <c r="N114" s="1"/>
  <c r="N115" s="1"/>
  <c r="N116" s="1"/>
  <c r="N117" s="1"/>
  <c r="H30" i="32"/>
  <c r="C24" s="1"/>
  <c r="N36" s="1"/>
  <c r="N37" s="1"/>
  <c r="N38" s="1"/>
  <c r="N39" s="1"/>
  <c r="N40" s="1"/>
  <c r="H49"/>
  <c r="H55"/>
  <c r="C51" s="1"/>
  <c r="O62" s="1"/>
  <c r="O63" s="1"/>
  <c r="O64" s="1"/>
  <c r="O65" s="1"/>
  <c r="O66" s="1"/>
  <c r="H130"/>
  <c r="C129" s="1"/>
  <c r="O140" s="1"/>
  <c r="O141" s="1"/>
  <c r="O142" s="1"/>
  <c r="O143" s="1"/>
  <c r="O144" s="1"/>
  <c r="H151"/>
  <c r="C75" i="33"/>
  <c r="O86" s="1"/>
  <c r="O87" s="1"/>
  <c r="O88" s="1"/>
  <c r="O89" s="1"/>
  <c r="O90" s="1"/>
  <c r="C103" i="32"/>
  <c r="O114" s="1"/>
  <c r="O115" s="1"/>
  <c r="O116" s="1"/>
  <c r="O117" s="1"/>
  <c r="O118" s="1"/>
  <c r="C155"/>
  <c r="O166" s="1"/>
  <c r="O167" s="1"/>
  <c r="O168" s="1"/>
  <c r="O169" s="1"/>
  <c r="O170" s="1"/>
  <c r="C154"/>
  <c r="N166" s="1"/>
  <c r="N167" s="1"/>
  <c r="N168" s="1"/>
  <c r="N169" s="1"/>
  <c r="N170" s="1"/>
  <c r="C48" i="33"/>
  <c r="N60" s="1"/>
  <c r="N61" s="1"/>
  <c r="N62" s="1"/>
  <c r="N63" s="1"/>
  <c r="N64" s="1"/>
  <c r="AL82" i="23"/>
  <c r="AL127"/>
  <c r="V25" i="24"/>
  <c r="U26"/>
  <c r="W26" s="1"/>
  <c r="B6" s="1"/>
  <c r="C6" s="1"/>
  <c r="V26"/>
  <c r="V24"/>
  <c r="U25"/>
  <c r="W25" s="1"/>
  <c r="B5" s="1"/>
  <c r="C5" s="1"/>
  <c r="U23"/>
  <c r="B3" s="1"/>
  <c r="V23"/>
  <c r="I41" i="26"/>
  <c r="AL34" i="23"/>
  <c r="AL102"/>
  <c r="AL242"/>
  <c r="AL300"/>
  <c r="AL452"/>
  <c r="AL66"/>
  <c r="AL150"/>
  <c r="AL450"/>
  <c r="AL455"/>
  <c r="AL486"/>
  <c r="AL521"/>
  <c r="AL526"/>
  <c r="AL54"/>
  <c r="AL70"/>
  <c r="AL87"/>
  <c r="AL21"/>
  <c r="AL23"/>
  <c r="AL30"/>
  <c r="AL36"/>
  <c r="AL38"/>
  <c r="AL59"/>
  <c r="AL67"/>
  <c r="AL76"/>
  <c r="AL79"/>
  <c r="AL94"/>
  <c r="AL189"/>
  <c r="AL214"/>
  <c r="AL231"/>
  <c r="AL253"/>
  <c r="AL278"/>
  <c r="AL306"/>
  <c r="AL326"/>
  <c r="AL330"/>
  <c r="AL351"/>
  <c r="AL372"/>
  <c r="AL392"/>
  <c r="AL396"/>
  <c r="AL412"/>
  <c r="AL413"/>
  <c r="AL510"/>
  <c r="AL560"/>
  <c r="AL586"/>
  <c r="M44" i="26"/>
  <c r="AL215" i="23"/>
  <c r="C45" i="26"/>
  <c r="C44"/>
  <c r="AL384" i="23"/>
  <c r="AL497"/>
  <c r="AL547"/>
  <c r="AL229"/>
  <c r="AL324"/>
  <c r="AL350"/>
  <c r="AL390"/>
  <c r="AL421"/>
  <c r="AL461"/>
  <c r="AL482"/>
  <c r="AL507"/>
  <c r="AL515"/>
  <c r="U24" i="24"/>
  <c r="W24" s="1"/>
  <c r="B4" s="1"/>
  <c r="M45" i="26"/>
  <c r="AL114" i="23"/>
  <c r="AL130"/>
  <c r="AL146"/>
  <c r="AL155"/>
  <c r="AL163"/>
  <c r="AL169"/>
  <c r="AL171"/>
  <c r="AL179"/>
  <c r="AL197"/>
  <c r="AL205"/>
  <c r="AL221"/>
  <c r="AL228"/>
  <c r="AL236"/>
  <c r="AL261"/>
  <c r="AL269"/>
  <c r="AL309"/>
  <c r="AL317"/>
  <c r="AL341"/>
  <c r="AL349"/>
  <c r="AL375"/>
  <c r="AL383"/>
  <c r="AL419"/>
  <c r="AL438"/>
  <c r="AL443"/>
  <c r="AL445"/>
  <c r="AL453"/>
  <c r="AL475"/>
  <c r="AL483"/>
  <c r="AL514"/>
  <c r="AL539"/>
  <c r="AL548"/>
  <c r="AL556"/>
  <c r="AL566"/>
  <c r="AL572"/>
  <c r="K22" i="26"/>
  <c r="M22" s="1"/>
  <c r="H25"/>
  <c r="L27"/>
  <c r="M27" s="1"/>
  <c r="I47"/>
  <c r="H62"/>
  <c r="F22" i="17"/>
  <c r="F14" i="2" s="1"/>
  <c r="F44" s="1"/>
  <c r="D15" i="3" s="1"/>
  <c r="F12" i="17"/>
  <c r="F10" i="2" s="1"/>
  <c r="F40" s="1"/>
  <c r="D11" i="3" s="1"/>
  <c r="L42" i="26"/>
  <c r="M42" s="1"/>
  <c r="H41"/>
  <c r="AL430" i="23"/>
  <c r="C14" i="26"/>
  <c r="L43"/>
  <c r="M43" s="1"/>
  <c r="I42"/>
  <c r="L44"/>
  <c r="L45"/>
  <c r="C65"/>
  <c r="C64"/>
  <c r="K65"/>
  <c r="M65" s="1"/>
  <c r="L25"/>
  <c r="M25" s="1"/>
  <c r="H24"/>
  <c r="C25" s="1"/>
  <c r="M24"/>
  <c r="I43"/>
  <c r="I44"/>
  <c r="I45"/>
  <c r="F17" i="17"/>
  <c r="F27"/>
  <c r="L62" i="26"/>
  <c r="M62" s="1"/>
  <c r="H61"/>
  <c r="I46"/>
  <c r="I62"/>
  <c r="K66"/>
  <c r="M66" s="1"/>
  <c r="AO194" i="23"/>
  <c r="AP194"/>
  <c r="AO201"/>
  <c r="AP201"/>
  <c r="AO233"/>
  <c r="AP233"/>
  <c r="AO258"/>
  <c r="AP258"/>
  <c r="AO265"/>
  <c r="AP265"/>
  <c r="AO290"/>
  <c r="AP290"/>
  <c r="AO297"/>
  <c r="AP297"/>
  <c r="AO388"/>
  <c r="AP388"/>
  <c r="AO186"/>
  <c r="AP186"/>
  <c r="AO193"/>
  <c r="AP193"/>
  <c r="AO218"/>
  <c r="AP218"/>
  <c r="AO225"/>
  <c r="AP225"/>
  <c r="AO321"/>
  <c r="AP321"/>
  <c r="AO346"/>
  <c r="AP346"/>
  <c r="AO353"/>
  <c r="AP353"/>
  <c r="AP443"/>
  <c r="AO443"/>
  <c r="AP447"/>
  <c r="AO447"/>
  <c r="AO185"/>
  <c r="AP185"/>
  <c r="AO210"/>
  <c r="AP210"/>
  <c r="AO217"/>
  <c r="AP217"/>
  <c r="AO242"/>
  <c r="AP242"/>
  <c r="AO249"/>
  <c r="AP249"/>
  <c r="AO274"/>
  <c r="AP274"/>
  <c r="AO281"/>
  <c r="AP281"/>
  <c r="AO306"/>
  <c r="AP306"/>
  <c r="AO313"/>
  <c r="AP313"/>
  <c r="AO338"/>
  <c r="AP338"/>
  <c r="AO345"/>
  <c r="AP345"/>
  <c r="AO372"/>
  <c r="AP372"/>
  <c r="AO379"/>
  <c r="AP379"/>
  <c r="AP434"/>
  <c r="AO434"/>
  <c r="AO484"/>
  <c r="AP484"/>
  <c r="AO516"/>
  <c r="AP516"/>
  <c r="AO553"/>
  <c r="AP553"/>
  <c r="AL51"/>
  <c r="AP52"/>
  <c r="AS19" s="1"/>
  <c r="AP59"/>
  <c r="AP68"/>
  <c r="AL83"/>
  <c r="AP84"/>
  <c r="AP91"/>
  <c r="AL99"/>
  <c r="AP100"/>
  <c r="AL115"/>
  <c r="AP116"/>
  <c r="AP123"/>
  <c r="AL147"/>
  <c r="AP148"/>
  <c r="AP160"/>
  <c r="AP195"/>
  <c r="AP227"/>
  <c r="AL311"/>
  <c r="AP323"/>
  <c r="AS21" s="1"/>
  <c r="AP355"/>
  <c r="AP15"/>
  <c r="AP20"/>
  <c r="AP23"/>
  <c r="AP32"/>
  <c r="AP80"/>
  <c r="AP85"/>
  <c r="AP87"/>
  <c r="AP96"/>
  <c r="AP101"/>
  <c r="AP103"/>
  <c r="AP112"/>
  <c r="AP117"/>
  <c r="AP119"/>
  <c r="AP128"/>
  <c r="AP133"/>
  <c r="AP135"/>
  <c r="AP144"/>
  <c r="AP149"/>
  <c r="AP151"/>
  <c r="AP154"/>
  <c r="AP156"/>
  <c r="AP165"/>
  <c r="AP170"/>
  <c r="AP172"/>
  <c r="AL180"/>
  <c r="AP181"/>
  <c r="AP187"/>
  <c r="AL207"/>
  <c r="AP219"/>
  <c r="AL239"/>
  <c r="AP251"/>
  <c r="AL271"/>
  <c r="AO275"/>
  <c r="AP283"/>
  <c r="AL284"/>
  <c r="AP292"/>
  <c r="AL303"/>
  <c r="AO307"/>
  <c r="AP315"/>
  <c r="AL316"/>
  <c r="AL322"/>
  <c r="AP324"/>
  <c r="AL335"/>
  <c r="AO339"/>
  <c r="AP347"/>
  <c r="AL348"/>
  <c r="AL354"/>
  <c r="AP356"/>
  <c r="AO373"/>
  <c r="AP381"/>
  <c r="AL382"/>
  <c r="AL388"/>
  <c r="AP390"/>
  <c r="AL22"/>
  <c r="AL77"/>
  <c r="AL162"/>
  <c r="AL209"/>
  <c r="AO226"/>
  <c r="AP226"/>
  <c r="AL241"/>
  <c r="AL305"/>
  <c r="AO322"/>
  <c r="AP322"/>
  <c r="AO329"/>
  <c r="AP329"/>
  <c r="AO354"/>
  <c r="AP354"/>
  <c r="AO361"/>
  <c r="AP361"/>
  <c r="AL373"/>
  <c r="AO395"/>
  <c r="AP395"/>
  <c r="AP415"/>
  <c r="AO415"/>
  <c r="AL434"/>
  <c r="AO444"/>
  <c r="AP444"/>
  <c r="AP453"/>
  <c r="AO453"/>
  <c r="AO468"/>
  <c r="AP468"/>
  <c r="AO500"/>
  <c r="AP500"/>
  <c r="AO532"/>
  <c r="AP532"/>
  <c r="AL41"/>
  <c r="AL105"/>
  <c r="AL153"/>
  <c r="AL201"/>
  <c r="AL233"/>
  <c r="AO250"/>
  <c r="AP250"/>
  <c r="AO257"/>
  <c r="AP257"/>
  <c r="AO282"/>
  <c r="AP282"/>
  <c r="AO289"/>
  <c r="AP289"/>
  <c r="AL299"/>
  <c r="AO314"/>
  <c r="AP314"/>
  <c r="AL329"/>
  <c r="AO380"/>
  <c r="AP380"/>
  <c r="AO387"/>
  <c r="AP387"/>
  <c r="AL472"/>
  <c r="AL524"/>
  <c r="AS15"/>
  <c r="AL37"/>
  <c r="AL69"/>
  <c r="AO202"/>
  <c r="AP202"/>
  <c r="AO209"/>
  <c r="AP209"/>
  <c r="AO234"/>
  <c r="AP234"/>
  <c r="AO241"/>
  <c r="AP241"/>
  <c r="AO266"/>
  <c r="AP266"/>
  <c r="AO273"/>
  <c r="AP273"/>
  <c r="AO298"/>
  <c r="AP298"/>
  <c r="AO305"/>
  <c r="AP305"/>
  <c r="AO330"/>
  <c r="AP330"/>
  <c r="AO337"/>
  <c r="AP337"/>
  <c r="AO362"/>
  <c r="AP362"/>
  <c r="AS22" s="1"/>
  <c r="AO371"/>
  <c r="AP371"/>
  <c r="AO396"/>
  <c r="AP396"/>
  <c r="AO404"/>
  <c r="AP404"/>
  <c r="AO412"/>
  <c r="AP412"/>
  <c r="AO421"/>
  <c r="AP421"/>
  <c r="AP441"/>
  <c r="AO441"/>
  <c r="AL449"/>
  <c r="AP460"/>
  <c r="AO460"/>
  <c r="AL476"/>
  <c r="AL488"/>
  <c r="AL540"/>
  <c r="AO557"/>
  <c r="AP557"/>
  <c r="AL581"/>
  <c r="AP27"/>
  <c r="AS17" s="1"/>
  <c r="AL35"/>
  <c r="AP36"/>
  <c r="AP43"/>
  <c r="AP75"/>
  <c r="AP107"/>
  <c r="AP132"/>
  <c r="AP139"/>
  <c r="AL168"/>
  <c r="AP169"/>
  <c r="AP176"/>
  <c r="AP259"/>
  <c r="AL279"/>
  <c r="AP291"/>
  <c r="AL377"/>
  <c r="AP389"/>
  <c r="AP12"/>
  <c r="AP16"/>
  <c r="AL17"/>
  <c r="AP19"/>
  <c r="AS13" s="1"/>
  <c r="AP37"/>
  <c r="AP39"/>
  <c r="AP48"/>
  <c r="AP53"/>
  <c r="AP55"/>
  <c r="AL63"/>
  <c r="AP64"/>
  <c r="AP69"/>
  <c r="AP71"/>
  <c r="AO24"/>
  <c r="AL26"/>
  <c r="AP28"/>
  <c r="AL32"/>
  <c r="AP33"/>
  <c r="AP35"/>
  <c r="AO40"/>
  <c r="AL42"/>
  <c r="AL43"/>
  <c r="AP44"/>
  <c r="AL48"/>
  <c r="AP49"/>
  <c r="AP51"/>
  <c r="AS18" s="1"/>
  <c r="AO56"/>
  <c r="AL58"/>
  <c r="AP60"/>
  <c r="AS14" s="1"/>
  <c r="AL64"/>
  <c r="AP65"/>
  <c r="AP67"/>
  <c r="AO72"/>
  <c r="AL74"/>
  <c r="AP76"/>
  <c r="AL80"/>
  <c r="AP81"/>
  <c r="AP83"/>
  <c r="AO88"/>
  <c r="AL90"/>
  <c r="AP92"/>
  <c r="AL96"/>
  <c r="AP97"/>
  <c r="AP99"/>
  <c r="AO104"/>
  <c r="AL106"/>
  <c r="AP108"/>
  <c r="AL112"/>
  <c r="AP113"/>
  <c r="AP115"/>
  <c r="AO120"/>
  <c r="AL122"/>
  <c r="AP124"/>
  <c r="AL128"/>
  <c r="AP129"/>
  <c r="AP131"/>
  <c r="AO136"/>
  <c r="AL138"/>
  <c r="AP140"/>
  <c r="AL144"/>
  <c r="AP145"/>
  <c r="AP147"/>
  <c r="AO152"/>
  <c r="AO157"/>
  <c r="AL159"/>
  <c r="AL160"/>
  <c r="AP161"/>
  <c r="AL165"/>
  <c r="AP166"/>
  <c r="AP168"/>
  <c r="AO173"/>
  <c r="AL175"/>
  <c r="AL176"/>
  <c r="AP177"/>
  <c r="AL181"/>
  <c r="AP182"/>
  <c r="AL186"/>
  <c r="AP188"/>
  <c r="AL199"/>
  <c r="AO203"/>
  <c r="AP211"/>
  <c r="AL212"/>
  <c r="AL218"/>
  <c r="AP220"/>
  <c r="AO235"/>
  <c r="AP243"/>
  <c r="AL244"/>
  <c r="AL250"/>
  <c r="AP252"/>
  <c r="AL263"/>
  <c r="AO267"/>
  <c r="AL276"/>
  <c r="AL282"/>
  <c r="AP284"/>
  <c r="AL295"/>
  <c r="AO299"/>
  <c r="AL308"/>
  <c r="AL314"/>
  <c r="AP316"/>
  <c r="AO331"/>
  <c r="AL340"/>
  <c r="AL346"/>
  <c r="AP348"/>
  <c r="AO363"/>
  <c r="AL374"/>
  <c r="AL380"/>
  <c r="AP382"/>
  <c r="AO552"/>
  <c r="AP552"/>
  <c r="AO569"/>
  <c r="AP569"/>
  <c r="AO573"/>
  <c r="AP573"/>
  <c r="AP397"/>
  <c r="AL401"/>
  <c r="AP405"/>
  <c r="AL418"/>
  <c r="AP419"/>
  <c r="AL439"/>
  <c r="AP440"/>
  <c r="AP463"/>
  <c r="AP403"/>
  <c r="AP411"/>
  <c r="AL415"/>
  <c r="AP416"/>
  <c r="AP427"/>
  <c r="AP429"/>
  <c r="AL441"/>
  <c r="AP448"/>
  <c r="AL458"/>
  <c r="AL464"/>
  <c r="AL473"/>
  <c r="AL480"/>
  <c r="AL489"/>
  <c r="AL505"/>
  <c r="AL512"/>
  <c r="AL528"/>
  <c r="AL537"/>
  <c r="AL558"/>
  <c r="AP462"/>
  <c r="AO462"/>
  <c r="AP478"/>
  <c r="AO478"/>
  <c r="AP494"/>
  <c r="AO494"/>
  <c r="AP510"/>
  <c r="AO510"/>
  <c r="AP526"/>
  <c r="AO526"/>
  <c r="AO546"/>
  <c r="AP546"/>
  <c r="AP470"/>
  <c r="AO470"/>
  <c r="AP486"/>
  <c r="AO486"/>
  <c r="AP502"/>
  <c r="AO502"/>
  <c r="AP518"/>
  <c r="AO518"/>
  <c r="AP534"/>
  <c r="AO534"/>
  <c r="AL409"/>
  <c r="AL433"/>
  <c r="AP451"/>
  <c r="AP479"/>
  <c r="AP495"/>
  <c r="AP511"/>
  <c r="AP527"/>
  <c r="AL555"/>
  <c r="AP556"/>
  <c r="AP563"/>
  <c r="AP183"/>
  <c r="AO184"/>
  <c r="AP191"/>
  <c r="AO192"/>
  <c r="AP199"/>
  <c r="AO200"/>
  <c r="AP207"/>
  <c r="AO208"/>
  <c r="AP215"/>
  <c r="AO216"/>
  <c r="AP223"/>
  <c r="AO224"/>
  <c r="AP231"/>
  <c r="AO232"/>
  <c r="AP239"/>
  <c r="AO240"/>
  <c r="AP247"/>
  <c r="AO248"/>
  <c r="AP255"/>
  <c r="AO256"/>
  <c r="AP263"/>
  <c r="AO264"/>
  <c r="AP271"/>
  <c r="AO272"/>
  <c r="AP279"/>
  <c r="AO280"/>
  <c r="AP287"/>
  <c r="AO288"/>
  <c r="AP295"/>
  <c r="AO296"/>
  <c r="AP303"/>
  <c r="AO304"/>
  <c r="AP311"/>
  <c r="AS20" s="1"/>
  <c r="AO312"/>
  <c r="AP319"/>
  <c r="AO320"/>
  <c r="AP327"/>
  <c r="AO328"/>
  <c r="AP335"/>
  <c r="AO336"/>
  <c r="AP343"/>
  <c r="AO344"/>
  <c r="AP351"/>
  <c r="AO352"/>
  <c r="AP359"/>
  <c r="AO360"/>
  <c r="AP369"/>
  <c r="AO370"/>
  <c r="AP377"/>
  <c r="AO378"/>
  <c r="AP385"/>
  <c r="AO386"/>
  <c r="AP393"/>
  <c r="AO394"/>
  <c r="AP401"/>
  <c r="AO402"/>
  <c r="AP409"/>
  <c r="AO410"/>
  <c r="AO417"/>
  <c r="AL423"/>
  <c r="AO423"/>
  <c r="AP424"/>
  <c r="AO432"/>
  <c r="AP435"/>
  <c r="AO449"/>
  <c r="AO455"/>
  <c r="AP456"/>
  <c r="AP471"/>
  <c r="AP487"/>
  <c r="AP503"/>
  <c r="AP519"/>
  <c r="AP535"/>
  <c r="AP551"/>
  <c r="AL571"/>
  <c r="AP572"/>
  <c r="AP579"/>
  <c r="AO585"/>
  <c r="AP459"/>
  <c r="AL460"/>
  <c r="AP461"/>
  <c r="AL462"/>
  <c r="AP466"/>
  <c r="AL470"/>
  <c r="AP474"/>
  <c r="AP482"/>
  <c r="AP490"/>
  <c r="AP498"/>
  <c r="AL502"/>
  <c r="AP506"/>
  <c r="AP514"/>
  <c r="AL518"/>
  <c r="AP522"/>
  <c r="AP530"/>
  <c r="AL534"/>
  <c r="AP538"/>
  <c r="AL544"/>
  <c r="AP545"/>
  <c r="AL549"/>
  <c r="AP550"/>
  <c r="AP559"/>
  <c r="AP568"/>
  <c r="AP575"/>
  <c r="AL583"/>
  <c r="AP584"/>
  <c r="AP555"/>
  <c r="AO560"/>
  <c r="AL563"/>
  <c r="AP564"/>
  <c r="AP571"/>
  <c r="AO576"/>
  <c r="AL579"/>
  <c r="AP580"/>
  <c r="I65" i="26" l="1"/>
  <c r="I63"/>
  <c r="I23"/>
  <c r="E34"/>
  <c r="H34" s="1"/>
  <c r="G34" s="1"/>
  <c r="E30"/>
  <c r="E31"/>
  <c r="E33"/>
  <c r="E32"/>
  <c r="I66"/>
  <c r="E71"/>
  <c r="E70"/>
  <c r="E74"/>
  <c r="E72"/>
  <c r="E73"/>
  <c r="H73" s="1"/>
  <c r="G73" s="1"/>
  <c r="I64"/>
  <c r="I40" i="31"/>
  <c r="I39"/>
  <c r="I87"/>
  <c r="I103"/>
  <c r="AL12" i="23"/>
  <c r="AL426"/>
  <c r="AL446"/>
  <c r="AL496"/>
  <c r="AL447"/>
  <c r="AL249"/>
  <c r="AL182"/>
  <c r="AL387"/>
  <c r="AL281"/>
  <c r="AL132"/>
  <c r="AL573"/>
  <c r="AL552"/>
  <c r="AL562"/>
  <c r="AL546"/>
  <c r="AL585"/>
  <c r="AL533"/>
  <c r="AL485"/>
  <c r="AL467"/>
  <c r="AL143"/>
  <c r="AL116"/>
  <c r="AL523"/>
  <c r="AL406"/>
  <c r="AL357"/>
  <c r="AL293"/>
  <c r="AL177"/>
  <c r="AL100"/>
  <c r="AL561"/>
  <c r="AL565"/>
  <c r="AL517"/>
  <c r="AL469"/>
  <c r="AL211"/>
  <c r="AL125"/>
  <c r="AL93"/>
  <c r="AL29"/>
  <c r="AL437"/>
  <c r="AL262"/>
  <c r="AL198"/>
  <c r="AL126"/>
  <c r="AL111"/>
  <c r="AL376"/>
  <c r="AL310"/>
  <c r="AL142"/>
  <c r="AL431"/>
  <c r="AL156"/>
  <c r="AL118"/>
  <c r="M69" i="31"/>
  <c r="M70" s="1"/>
  <c r="M71" s="1"/>
  <c r="M72" s="1"/>
  <c r="M73" s="1"/>
  <c r="N59"/>
  <c r="C18"/>
  <c r="O25" s="1"/>
  <c r="O26" s="1"/>
  <c r="O27" s="1"/>
  <c r="O28" s="1"/>
  <c r="O29" s="1"/>
  <c r="C17"/>
  <c r="N25" s="1"/>
  <c r="N26" s="1"/>
  <c r="N27" s="1"/>
  <c r="N28" s="1"/>
  <c r="N29" s="1"/>
  <c r="N107"/>
  <c r="N108" s="1"/>
  <c r="N109" s="1"/>
  <c r="N110" s="1"/>
  <c r="I106"/>
  <c r="I26" i="26"/>
  <c r="C83" i="31"/>
  <c r="N91" s="1"/>
  <c r="N92" s="1"/>
  <c r="N93" s="1"/>
  <c r="N94" s="1"/>
  <c r="N95" s="1"/>
  <c r="I58"/>
  <c r="I24" i="26"/>
  <c r="I21"/>
  <c r="J113" i="31"/>
  <c r="P113" s="1"/>
  <c r="P114" s="1"/>
  <c r="P115" s="1"/>
  <c r="P116" s="1"/>
  <c r="P117" s="1"/>
  <c r="I86"/>
  <c r="C61"/>
  <c r="N69" s="1"/>
  <c r="N70" s="1"/>
  <c r="N71" s="1"/>
  <c r="N72" s="1"/>
  <c r="N73" s="1"/>
  <c r="I82"/>
  <c r="I37"/>
  <c r="C50" i="32"/>
  <c r="N62" s="1"/>
  <c r="N63" s="1"/>
  <c r="N64" s="1"/>
  <c r="N65" s="1"/>
  <c r="N66" s="1"/>
  <c r="I81" i="31"/>
  <c r="I38"/>
  <c r="N16"/>
  <c r="I15"/>
  <c r="N42"/>
  <c r="I41"/>
  <c r="I22" i="26"/>
  <c r="I25"/>
  <c r="I105" i="31"/>
  <c r="C25" i="32"/>
  <c r="O36" s="1"/>
  <c r="O37" s="1"/>
  <c r="O38" s="1"/>
  <c r="O39" s="1"/>
  <c r="O40" s="1"/>
  <c r="I83" i="31"/>
  <c r="I84"/>
  <c r="I85"/>
  <c r="F18" i="17"/>
  <c r="F11" i="2" s="1"/>
  <c r="F41" s="1"/>
  <c r="D12" i="3" s="1"/>
  <c r="F8" i="17"/>
  <c r="F7" i="2" s="1"/>
  <c r="F37" s="1"/>
  <c r="D8" i="3" s="1"/>
  <c r="F13" i="17"/>
  <c r="F23"/>
  <c r="F26"/>
  <c r="F16"/>
  <c r="F9"/>
  <c r="F8" i="2" s="1"/>
  <c r="F38" s="1"/>
  <c r="D9" i="3" s="1"/>
  <c r="F19" i="17"/>
  <c r="F12" i="2" s="1"/>
  <c r="F42" s="1"/>
  <c r="D13" i="3" s="1"/>
  <c r="F24" i="17"/>
  <c r="F14"/>
  <c r="C24" i="26"/>
  <c r="D5" i="24"/>
  <c r="AL498" i="23"/>
  <c r="AL398"/>
  <c r="AL285"/>
  <c r="AL220"/>
  <c r="AL557"/>
  <c r="AL568"/>
  <c r="AL432"/>
  <c r="AL550"/>
  <c r="AL456"/>
  <c r="AL520"/>
  <c r="AL508"/>
  <c r="AL381"/>
  <c r="AL347"/>
  <c r="AL315"/>
  <c r="AL283"/>
  <c r="AL251"/>
  <c r="AL219"/>
  <c r="AL187"/>
  <c r="AL53"/>
  <c r="AL16"/>
  <c r="AL503"/>
  <c r="AL471"/>
  <c r="AL416"/>
  <c r="AL208"/>
  <c r="AL184"/>
  <c r="AL578"/>
  <c r="AL454"/>
  <c r="AL429"/>
  <c r="AL257"/>
  <c r="AL227"/>
  <c r="AL193"/>
  <c r="AL170"/>
  <c r="AL133"/>
  <c r="AL101"/>
  <c r="AL20"/>
  <c r="AL492"/>
  <c r="AL411"/>
  <c r="AL395"/>
  <c r="AL297"/>
  <c r="AL265"/>
  <c r="AL235"/>
  <c r="AL158"/>
  <c r="AL89"/>
  <c r="AL371"/>
  <c r="AL337"/>
  <c r="AL307"/>
  <c r="AL275"/>
  <c r="AL243"/>
  <c r="AL178"/>
  <c r="AL109"/>
  <c r="AL45"/>
  <c r="AL18"/>
  <c r="AL345"/>
  <c r="AL145"/>
  <c r="AL113"/>
  <c r="AL81"/>
  <c r="AL49"/>
  <c r="AL321"/>
  <c r="AL342"/>
  <c r="AL270"/>
  <c r="AL206"/>
  <c r="AL172"/>
  <c r="AL50"/>
  <c r="AL277"/>
  <c r="AL213"/>
  <c r="I27" i="26"/>
  <c r="AL564" i="23"/>
  <c r="AL332"/>
  <c r="AL226"/>
  <c r="AL559"/>
  <c r="AL134"/>
  <c r="AL98"/>
  <c r="C4" i="24"/>
  <c r="D4"/>
  <c r="F11" i="17"/>
  <c r="F21"/>
  <c r="D3" i="24"/>
  <c r="F20" i="17"/>
  <c r="F13" i="2" s="1"/>
  <c r="F43" s="1"/>
  <c r="D14" i="3" s="1"/>
  <c r="F10" i="17"/>
  <c r="F9" i="2" s="1"/>
  <c r="F39" s="1"/>
  <c r="D10" i="3" s="1"/>
  <c r="F15" i="17"/>
  <c r="F25"/>
  <c r="AL428" i="23"/>
  <c r="AL580"/>
  <c r="AL459"/>
  <c r="AL448"/>
  <c r="AL232"/>
  <c r="AL304"/>
  <c r="AL272"/>
  <c r="AL240"/>
  <c r="AL531"/>
  <c r="AL391"/>
  <c r="AL325"/>
  <c r="AL148"/>
  <c r="AL435"/>
  <c r="AL364"/>
  <c r="AL234"/>
  <c r="D6" i="24"/>
  <c r="AL161" i="23"/>
  <c r="AL481"/>
  <c r="AL110"/>
  <c r="AL487"/>
  <c r="AL538"/>
  <c r="AL474"/>
  <c r="AL444"/>
  <c r="AL394"/>
  <c r="AL296"/>
  <c r="AL440"/>
  <c r="AL336"/>
  <c r="AL216"/>
  <c r="AL545"/>
  <c r="AL527"/>
  <c r="AL511"/>
  <c r="AL495"/>
  <c r="AL479"/>
  <c r="AL463"/>
  <c r="AL424"/>
  <c r="AS16"/>
  <c r="AS12"/>
  <c r="AL427"/>
  <c r="AL410"/>
  <c r="AL402"/>
  <c r="AL370"/>
  <c r="AL584"/>
  <c r="AL522"/>
  <c r="AL490"/>
  <c r="AL417"/>
  <c r="AL389"/>
  <c r="AL355"/>
  <c r="AL323"/>
  <c r="AL291"/>
  <c r="AL259"/>
  <c r="AL225"/>
  <c r="AL195"/>
  <c r="AL149"/>
  <c r="AL117"/>
  <c r="AL85"/>
  <c r="AL574"/>
  <c r="AL504"/>
  <c r="AL457"/>
  <c r="AL422"/>
  <c r="AL405"/>
  <c r="AL363"/>
  <c r="AL331"/>
  <c r="AL203"/>
  <c r="AL121"/>
  <c r="AL57"/>
  <c r="AL379"/>
  <c r="AL313"/>
  <c r="AL129"/>
  <c r="AL97"/>
  <c r="AL65"/>
  <c r="AL33"/>
  <c r="AL217"/>
  <c r="AL289"/>
  <c r="AL185"/>
  <c r="AL166"/>
  <c r="AL353"/>
  <c r="AL506"/>
  <c r="AL360"/>
  <c r="AL328"/>
  <c r="AL264"/>
  <c r="AL200"/>
  <c r="AL535"/>
  <c r="AL569"/>
  <c r="AL541"/>
  <c r="AL525"/>
  <c r="AL509"/>
  <c r="AL493"/>
  <c r="AL477"/>
  <c r="AL577"/>
  <c r="AL532"/>
  <c r="AL516"/>
  <c r="AL500"/>
  <c r="AL484"/>
  <c r="AL468"/>
  <c r="AL501"/>
  <c r="AL519"/>
  <c r="AL386"/>
  <c r="AL352"/>
  <c r="AL320"/>
  <c r="AL288"/>
  <c r="AL256"/>
  <c r="AL224"/>
  <c r="AL192"/>
  <c r="AL536"/>
  <c r="AL403"/>
  <c r="AL397"/>
  <c r="AL361"/>
  <c r="AL267"/>
  <c r="AL174"/>
  <c r="AL137"/>
  <c r="AL73"/>
  <c r="AL25"/>
  <c r="AL425"/>
  <c r="AL339"/>
  <c r="AL273"/>
  <c r="AL141"/>
  <c r="AL61"/>
  <c r="AL14"/>
  <c r="AL378"/>
  <c r="AL344"/>
  <c r="AL312"/>
  <c r="AL280"/>
  <c r="AL248"/>
  <c r="L70" i="26" l="1"/>
  <c r="M73" s="1"/>
  <c r="H70"/>
  <c r="G70" s="1"/>
  <c r="H72"/>
  <c r="G72" s="1"/>
  <c r="M72"/>
  <c r="H30"/>
  <c r="G30" s="1"/>
  <c r="L30"/>
  <c r="M34" s="1"/>
  <c r="M30"/>
  <c r="H71"/>
  <c r="G71" s="1"/>
  <c r="M71"/>
  <c r="H31"/>
  <c r="G31" s="1"/>
  <c r="M31"/>
  <c r="H74"/>
  <c r="G74" s="1"/>
  <c r="M74"/>
  <c r="M33"/>
  <c r="M32"/>
  <c r="N60" i="31"/>
  <c r="I59"/>
  <c r="N43"/>
  <c r="I42"/>
  <c r="N17"/>
  <c r="I16"/>
  <c r="J30" i="26" l="1"/>
  <c r="J70"/>
  <c r="M70"/>
  <c r="N18" i="31"/>
  <c r="I17"/>
  <c r="N44"/>
  <c r="I44" s="1"/>
  <c r="I43"/>
  <c r="N61"/>
  <c r="I60"/>
  <c r="C9" i="7"/>
  <c r="K72" i="26" l="1"/>
  <c r="K73"/>
  <c r="K70"/>
  <c r="K71"/>
  <c r="K33"/>
  <c r="K32"/>
  <c r="K34"/>
  <c r="K74"/>
  <c r="K31"/>
  <c r="K30"/>
  <c r="N19" i="31"/>
  <c r="I18"/>
  <c r="N62"/>
  <c r="I61"/>
  <c r="C50"/>
  <c r="C37" i="32"/>
  <c r="C35" i="33"/>
  <c r="C167" i="32"/>
  <c r="C90"/>
  <c r="C92" i="31"/>
  <c r="C168" i="32"/>
  <c r="J12" i="30"/>
  <c r="J13"/>
  <c r="C29" i="31"/>
  <c r="C115" i="32"/>
  <c r="C93" i="31"/>
  <c r="C88" i="33"/>
  <c r="C48" i="31"/>
  <c r="C63" i="33"/>
  <c r="C26" i="31"/>
  <c r="C91" i="32"/>
  <c r="C71" i="31"/>
  <c r="C61" i="33"/>
  <c r="J11" i="30"/>
  <c r="J15"/>
  <c r="C51" i="31"/>
  <c r="C38" i="33"/>
  <c r="C141" i="32"/>
  <c r="C94" i="31"/>
  <c r="C49"/>
  <c r="C169" i="32"/>
  <c r="C89"/>
  <c r="C143"/>
  <c r="C65"/>
  <c r="C37" i="33"/>
  <c r="C64"/>
  <c r="C90"/>
  <c r="C118" i="32"/>
  <c r="C36" i="33"/>
  <c r="C28" i="31"/>
  <c r="C116" i="32"/>
  <c r="C72" i="31"/>
  <c r="C27"/>
  <c r="C63" i="32"/>
  <c r="C86" i="33"/>
  <c r="C88" i="32"/>
  <c r="C91" i="31"/>
  <c r="C47"/>
  <c r="C69"/>
  <c r="C62" i="32"/>
  <c r="C114"/>
  <c r="C34" i="33"/>
  <c r="C40" i="32"/>
  <c r="C92"/>
  <c r="C66"/>
  <c r="C117"/>
  <c r="C142"/>
  <c r="C87" i="33"/>
  <c r="C70" i="31"/>
  <c r="C39" i="32"/>
  <c r="C89" i="33"/>
  <c r="C62"/>
  <c r="C64" i="32"/>
  <c r="C38"/>
  <c r="C60" i="33"/>
  <c r="C36" i="32"/>
  <c r="C140"/>
  <c r="J14" i="30"/>
  <c r="C25" i="31"/>
  <c r="C166" i="32"/>
  <c r="C144"/>
  <c r="C95" i="31"/>
  <c r="C73"/>
  <c r="C170" i="32"/>
  <c r="D50" i="7"/>
  <c r="C51" l="1"/>
  <c r="C54"/>
  <c r="C52"/>
  <c r="C53"/>
  <c r="C7" i="30"/>
  <c r="C84" i="26"/>
  <c r="D90" i="33"/>
  <c r="I90" s="1"/>
  <c r="S15" i="30"/>
  <c r="D63" i="32"/>
  <c r="I63" s="1"/>
  <c r="L12" i="30"/>
  <c r="D60" i="33"/>
  <c r="I60" s="1"/>
  <c r="R11" i="30"/>
  <c r="D72" i="31"/>
  <c r="I72" s="1"/>
  <c r="E72" s="1"/>
  <c r="H72" s="1"/>
  <c r="G72" s="1"/>
  <c r="H14" i="30"/>
  <c r="D89" i="33"/>
  <c r="I89" s="1"/>
  <c r="S14" i="30"/>
  <c r="D36" i="33"/>
  <c r="I36" s="1"/>
  <c r="Q13" i="30"/>
  <c r="D114" i="32"/>
  <c r="G114" s="1"/>
  <c r="N11" i="30"/>
  <c r="D13"/>
  <c r="D71" i="31"/>
  <c r="H71" s="1"/>
  <c r="H13" i="30"/>
  <c r="D11"/>
  <c r="D88" i="33"/>
  <c r="I88" s="1"/>
  <c r="S13" i="30"/>
  <c r="D29" i="31"/>
  <c r="I29" s="1"/>
  <c r="E29" s="1"/>
  <c r="H29" s="1"/>
  <c r="G29" s="1"/>
  <c r="F15" i="30"/>
  <c r="D15"/>
  <c r="D27" i="31"/>
  <c r="I27" s="1"/>
  <c r="E27" s="1"/>
  <c r="H27" s="1"/>
  <c r="G27" s="1"/>
  <c r="F13" i="30"/>
  <c r="D166" i="32"/>
  <c r="I166" s="1"/>
  <c r="P11" i="30"/>
  <c r="D92" i="31"/>
  <c r="H92" s="1"/>
  <c r="I12" i="30"/>
  <c r="D35" i="33"/>
  <c r="I35" s="1"/>
  <c r="Q12" i="30"/>
  <c r="D48" i="31"/>
  <c r="I48" s="1"/>
  <c r="G12" i="30"/>
  <c r="D62" i="32"/>
  <c r="I62" s="1"/>
  <c r="L11" i="30"/>
  <c r="D37" i="33"/>
  <c r="I37" s="1"/>
  <c r="Q14" i="30"/>
  <c r="D116" i="32"/>
  <c r="H116" s="1"/>
  <c r="N13" i="30"/>
  <c r="D91" i="32"/>
  <c r="I91" s="1"/>
  <c r="M14" i="30"/>
  <c r="D28" i="31"/>
  <c r="I28" s="1"/>
  <c r="F14" i="30"/>
  <c r="D142" i="32"/>
  <c r="I142" s="1"/>
  <c r="O13" i="30"/>
  <c r="D168" i="32"/>
  <c r="I168" s="1"/>
  <c r="P13" i="30"/>
  <c r="D49" i="31"/>
  <c r="I49" s="1"/>
  <c r="E49" s="1"/>
  <c r="H49" s="1"/>
  <c r="G49" s="1"/>
  <c r="G13" i="30"/>
  <c r="E12"/>
  <c r="D91" i="31"/>
  <c r="H91" s="1"/>
  <c r="I11" i="30"/>
  <c r="C13"/>
  <c r="D140" i="32"/>
  <c r="E140" s="1"/>
  <c r="O11" i="30"/>
  <c r="D73" i="31"/>
  <c r="I73" s="1"/>
  <c r="H15" i="30"/>
  <c r="D167" i="32"/>
  <c r="P12" i="30"/>
  <c r="D86" i="33"/>
  <c r="I86" s="1"/>
  <c r="S11" i="30"/>
  <c r="C12"/>
  <c r="E13"/>
  <c r="D117" i="32"/>
  <c r="I117" s="1"/>
  <c r="N14" i="30"/>
  <c r="D64" i="33"/>
  <c r="I64" s="1"/>
  <c r="R15" i="30"/>
  <c r="C15"/>
  <c r="D115" i="32"/>
  <c r="E115" s="1"/>
  <c r="N12" i="30"/>
  <c r="D70" i="31"/>
  <c r="I70" s="1"/>
  <c r="H12" i="30"/>
  <c r="D36" i="32"/>
  <c r="H36" s="1"/>
  <c r="K11" i="30"/>
  <c r="D25" i="31"/>
  <c r="I25" s="1"/>
  <c r="E25" s="1"/>
  <c r="H25" s="1"/>
  <c r="G25" s="1"/>
  <c r="F11" i="30"/>
  <c r="D34" i="33"/>
  <c r="I34" s="1"/>
  <c r="Q11" i="30"/>
  <c r="D47" i="31"/>
  <c r="I47" s="1"/>
  <c r="E47" s="1"/>
  <c r="H47" s="1"/>
  <c r="G47" s="1"/>
  <c r="G11" i="30"/>
  <c r="D88" i="32"/>
  <c r="I88" s="1"/>
  <c r="M11" i="30"/>
  <c r="D50" i="31"/>
  <c r="I50" s="1"/>
  <c r="E50" s="1"/>
  <c r="H50" s="1"/>
  <c r="G50" s="1"/>
  <c r="G14" i="30"/>
  <c r="D89" i="32"/>
  <c r="I89" s="1"/>
  <c r="M12" i="30"/>
  <c r="D40" i="32"/>
  <c r="I40" s="1"/>
  <c r="K15" i="30"/>
  <c r="D170" i="32"/>
  <c r="I170" s="1"/>
  <c r="P15" i="30"/>
  <c r="D94" i="31"/>
  <c r="H94" s="1"/>
  <c r="I14" i="30"/>
  <c r="E14"/>
  <c r="D90" i="32"/>
  <c r="I90" s="1"/>
  <c r="M13" i="30"/>
  <c r="D95" i="31"/>
  <c r="H95" s="1"/>
  <c r="I15" i="30"/>
  <c r="D38" i="32"/>
  <c r="I38" s="1"/>
  <c r="K13" i="30"/>
  <c r="C14"/>
  <c r="D92" i="32"/>
  <c r="I92" s="1"/>
  <c r="M15" i="30"/>
  <c r="D144" i="32"/>
  <c r="I144" s="1"/>
  <c r="O15" i="30"/>
  <c r="D63" i="33"/>
  <c r="I63" s="1"/>
  <c r="R14" i="30"/>
  <c r="D62" i="33"/>
  <c r="R13" i="30"/>
  <c r="D169" i="32"/>
  <c r="I169" s="1"/>
  <c r="P14" i="30"/>
  <c r="D51" i="31"/>
  <c r="I51" s="1"/>
  <c r="E51" s="1"/>
  <c r="H51" s="1"/>
  <c r="G51" s="1"/>
  <c r="G15" i="30"/>
  <c r="D66" i="32"/>
  <c r="I66" s="1"/>
  <c r="L15" i="30"/>
  <c r="D143" i="32"/>
  <c r="E143" s="1"/>
  <c r="O14" i="30"/>
  <c r="D39" i="32"/>
  <c r="I39" s="1"/>
  <c r="K14" i="30"/>
  <c r="D14"/>
  <c r="D64" i="32"/>
  <c r="G64" s="1"/>
  <c r="L13" i="30"/>
  <c r="D37" i="32"/>
  <c r="K12" i="30"/>
  <c r="D69" i="31"/>
  <c r="I69" s="1"/>
  <c r="E69" s="1"/>
  <c r="H69" s="1"/>
  <c r="G69" s="1"/>
  <c r="H11" i="30"/>
  <c r="D12"/>
  <c r="C11"/>
  <c r="E11"/>
  <c r="D65" i="32"/>
  <c r="I65" s="1"/>
  <c r="L14" i="30"/>
  <c r="D61" i="33"/>
  <c r="I61" s="1"/>
  <c r="R12" i="30"/>
  <c r="E15"/>
  <c r="D26" i="31"/>
  <c r="F12" i="30"/>
  <c r="D141" i="32"/>
  <c r="G141" s="1"/>
  <c r="O12" i="30"/>
  <c r="D118" i="32"/>
  <c r="I118" s="1"/>
  <c r="N15" i="30"/>
  <c r="D87" i="33"/>
  <c r="I87" s="1"/>
  <c r="S12" i="30"/>
  <c r="D93" i="31"/>
  <c r="E93" s="1"/>
  <c r="I13" i="30"/>
  <c r="D38" i="33"/>
  <c r="I38" s="1"/>
  <c r="Q15" i="30"/>
  <c r="I116" i="32"/>
  <c r="N20" i="31"/>
  <c r="I19"/>
  <c r="I167" i="32"/>
  <c r="N63" i="31"/>
  <c r="I62"/>
  <c r="I115" i="32" l="1"/>
  <c r="G115"/>
  <c r="K118"/>
  <c r="N8" i="30" s="1"/>
  <c r="E36" i="32"/>
  <c r="K28" i="31"/>
  <c r="F7" i="30" s="1"/>
  <c r="E118" i="32"/>
  <c r="G94" i="31"/>
  <c r="E91"/>
  <c r="I92"/>
  <c r="K140" i="32"/>
  <c r="O4" i="30" s="1"/>
  <c r="K141" i="32"/>
  <c r="O5" i="30" s="1"/>
  <c r="K117" i="32"/>
  <c r="N7" i="30" s="1"/>
  <c r="E64" i="32"/>
  <c r="H93" i="31"/>
  <c r="H114" i="32"/>
  <c r="G93" i="31"/>
  <c r="I36" i="32"/>
  <c r="G143"/>
  <c r="E114"/>
  <c r="I26" i="31"/>
  <c r="E26" s="1"/>
  <c r="H26" s="1"/>
  <c r="G26" s="1"/>
  <c r="I94"/>
  <c r="G92"/>
  <c r="G140" i="32"/>
  <c r="G91" i="31"/>
  <c r="K94"/>
  <c r="I7" i="30" s="1"/>
  <c r="E70" i="31"/>
  <c r="H70" s="1"/>
  <c r="G70" s="1"/>
  <c r="K92"/>
  <c r="I5" i="30" s="1"/>
  <c r="E117" i="32"/>
  <c r="G117"/>
  <c r="H140"/>
  <c r="K91" i="31"/>
  <c r="I4" i="30" s="1"/>
  <c r="I91" i="31"/>
  <c r="E141" i="32"/>
  <c r="H141"/>
  <c r="H64"/>
  <c r="E48" i="31"/>
  <c r="H48" s="1"/>
  <c r="G48" s="1"/>
  <c r="E94"/>
  <c r="E92"/>
  <c r="H117" i="32"/>
  <c r="I140"/>
  <c r="I141"/>
  <c r="I64"/>
  <c r="K64"/>
  <c r="L6" i="30" s="1"/>
  <c r="H115" i="32"/>
  <c r="H118"/>
  <c r="I95" i="31"/>
  <c r="I143" i="32"/>
  <c r="K71" i="31"/>
  <c r="H6" i="30" s="1"/>
  <c r="K116" i="32"/>
  <c r="N6" i="30" s="1"/>
  <c r="I37" i="32"/>
  <c r="K95" i="31"/>
  <c r="I8" i="30" s="1"/>
  <c r="E71" i="31"/>
  <c r="H28"/>
  <c r="K93"/>
  <c r="I6" i="30" s="1"/>
  <c r="I93" i="31"/>
  <c r="G118" i="32"/>
  <c r="G95" i="31"/>
  <c r="K36" i="32"/>
  <c r="K4" i="30" s="1"/>
  <c r="K115" i="32"/>
  <c r="N5" i="30" s="1"/>
  <c r="H143" i="32"/>
  <c r="K143"/>
  <c r="O7" i="30" s="1"/>
  <c r="G71" i="31"/>
  <c r="I71"/>
  <c r="E73"/>
  <c r="H73" s="1"/>
  <c r="G73" s="1"/>
  <c r="I114" i="32"/>
  <c r="K114"/>
  <c r="N4" i="30" s="1"/>
  <c r="E28" i="31"/>
  <c r="I62" i="33"/>
  <c r="G116" i="32"/>
  <c r="E95" i="31"/>
  <c r="G36" i="32"/>
  <c r="G28" i="31"/>
  <c r="E116" i="32"/>
  <c r="N64" i="31"/>
  <c r="I63"/>
  <c r="N21"/>
  <c r="I21" s="1"/>
  <c r="I20"/>
  <c r="D175" i="7"/>
  <c r="A174" s="1"/>
  <c r="D136"/>
  <c r="X135"/>
  <c r="W135"/>
  <c r="V135"/>
  <c r="U135"/>
  <c r="T135"/>
  <c r="S135"/>
  <c r="R135"/>
  <c r="Q135"/>
  <c r="P135"/>
  <c r="O135"/>
  <c r="N135"/>
  <c r="M135"/>
  <c r="L135"/>
  <c r="K135"/>
  <c r="J135"/>
  <c r="I135"/>
  <c r="H135"/>
  <c r="G135"/>
  <c r="F135"/>
  <c r="E135"/>
  <c r="D135"/>
  <c r="X98"/>
  <c r="W98"/>
  <c r="V98"/>
  <c r="U98"/>
  <c r="T98"/>
  <c r="S98"/>
  <c r="R98"/>
  <c r="Q98"/>
  <c r="P98"/>
  <c r="O98"/>
  <c r="N98"/>
  <c r="M98"/>
  <c r="L98"/>
  <c r="K98"/>
  <c r="J98"/>
  <c r="I98"/>
  <c r="H98"/>
  <c r="G98"/>
  <c r="F98"/>
  <c r="E98"/>
  <c r="C81"/>
  <c r="X79"/>
  <c r="W79"/>
  <c r="V79"/>
  <c r="U79"/>
  <c r="T79"/>
  <c r="S79"/>
  <c r="R79"/>
  <c r="Q79"/>
  <c r="P79"/>
  <c r="O79"/>
  <c r="N79"/>
  <c r="M79"/>
  <c r="L79"/>
  <c r="K79"/>
  <c r="J79"/>
  <c r="I79"/>
  <c r="H79"/>
  <c r="G79"/>
  <c r="F79"/>
  <c r="E79"/>
  <c r="D72"/>
  <c r="D71"/>
  <c r="D70"/>
  <c r="D69"/>
  <c r="D46"/>
  <c r="D54" s="1"/>
  <c r="A54" s="1"/>
  <c r="D45"/>
  <c r="D53" s="1"/>
  <c r="A53" s="1"/>
  <c r="D44"/>
  <c r="D52" s="1"/>
  <c r="A52" s="1"/>
  <c r="D43"/>
  <c r="D51" s="1"/>
  <c r="A51" s="1"/>
  <c r="D42"/>
  <c r="C36"/>
  <c r="C35"/>
  <c r="C34"/>
  <c r="C33"/>
  <c r="C26"/>
  <c r="D63" s="1"/>
  <c r="C25"/>
  <c r="D62" s="1"/>
  <c r="C24"/>
  <c r="D61" s="1"/>
  <c r="C23"/>
  <c r="D60" s="1"/>
  <c r="X12"/>
  <c r="W12"/>
  <c r="V12"/>
  <c r="U12"/>
  <c r="T12"/>
  <c r="S12"/>
  <c r="R12"/>
  <c r="Q12"/>
  <c r="P12"/>
  <c r="O12"/>
  <c r="N12"/>
  <c r="M12"/>
  <c r="L12"/>
  <c r="K12"/>
  <c r="J12"/>
  <c r="I12"/>
  <c r="H12"/>
  <c r="G12"/>
  <c r="F12"/>
  <c r="E12"/>
  <c r="C147" i="6"/>
  <c r="C146"/>
  <c r="C145"/>
  <c r="C144"/>
  <c r="C99"/>
  <c r="X98"/>
  <c r="W98"/>
  <c r="V98"/>
  <c r="U98"/>
  <c r="T98"/>
  <c r="S98"/>
  <c r="R98"/>
  <c r="Q98"/>
  <c r="P98"/>
  <c r="O98"/>
  <c r="N98"/>
  <c r="M98"/>
  <c r="L98"/>
  <c r="K98"/>
  <c r="J98"/>
  <c r="I98"/>
  <c r="H98"/>
  <c r="G98"/>
  <c r="F98"/>
  <c r="E98"/>
  <c r="X61"/>
  <c r="W61"/>
  <c r="V61"/>
  <c r="U61"/>
  <c r="T61"/>
  <c r="S61"/>
  <c r="R61"/>
  <c r="Q61"/>
  <c r="P61"/>
  <c r="O61"/>
  <c r="N61"/>
  <c r="M61"/>
  <c r="L61"/>
  <c r="K61"/>
  <c r="J61"/>
  <c r="I61"/>
  <c r="H61"/>
  <c r="G61"/>
  <c r="F61"/>
  <c r="E61"/>
  <c r="C45"/>
  <c r="C44"/>
  <c r="X42"/>
  <c r="W42"/>
  <c r="V42"/>
  <c r="U42"/>
  <c r="T42"/>
  <c r="S42"/>
  <c r="R42"/>
  <c r="Q42"/>
  <c r="P42"/>
  <c r="O42"/>
  <c r="N42"/>
  <c r="M42"/>
  <c r="L42"/>
  <c r="K42"/>
  <c r="J42"/>
  <c r="I42"/>
  <c r="H42"/>
  <c r="G42"/>
  <c r="F42"/>
  <c r="E42"/>
  <c r="C41"/>
  <c r="C36"/>
  <c r="C32"/>
  <c r="C25"/>
  <c r="C24"/>
  <c r="C23"/>
  <c r="C22"/>
  <c r="A11"/>
  <c r="W59" i="7" l="1"/>
  <c r="S59"/>
  <c r="O59"/>
  <c r="K59"/>
  <c r="G59"/>
  <c r="L59"/>
  <c r="Q59"/>
  <c r="E59"/>
  <c r="V59"/>
  <c r="R59"/>
  <c r="N59"/>
  <c r="J59"/>
  <c r="F59"/>
  <c r="X59"/>
  <c r="T59"/>
  <c r="P59"/>
  <c r="H59"/>
  <c r="U59"/>
  <c r="M59"/>
  <c r="I59"/>
  <c r="W32" i="6"/>
  <c r="S32"/>
  <c r="O32"/>
  <c r="K32"/>
  <c r="G32"/>
  <c r="R32"/>
  <c r="N32"/>
  <c r="F32"/>
  <c r="X32"/>
  <c r="T32"/>
  <c r="P32"/>
  <c r="L32"/>
  <c r="H32"/>
  <c r="U32"/>
  <c r="Q32"/>
  <c r="M32"/>
  <c r="I32"/>
  <c r="E32"/>
  <c r="V32"/>
  <c r="J32"/>
  <c r="J47" i="31"/>
  <c r="P47" s="1"/>
  <c r="P48" s="1"/>
  <c r="P49" s="1"/>
  <c r="P50" s="1"/>
  <c r="P51" s="1"/>
  <c r="K51" s="1"/>
  <c r="G8" i="30" s="1"/>
  <c r="A44" i="7"/>
  <c r="A43"/>
  <c r="A45"/>
  <c r="A46"/>
  <c r="A23" i="6"/>
  <c r="A26"/>
  <c r="A25"/>
  <c r="A24"/>
  <c r="J69" i="31"/>
  <c r="P69" s="1"/>
  <c r="P70" s="1"/>
  <c r="P71" s="1"/>
  <c r="P72" s="1"/>
  <c r="P73" s="1"/>
  <c r="K73" s="1"/>
  <c r="H8" i="30" s="1"/>
  <c r="J25" i="31"/>
  <c r="P25" s="1"/>
  <c r="P26" s="1"/>
  <c r="P27" s="1"/>
  <c r="P28" s="1"/>
  <c r="P29" s="1"/>
  <c r="K29" s="1"/>
  <c r="F8" i="30" s="1"/>
  <c r="J91" i="31"/>
  <c r="P91" s="1"/>
  <c r="P92" s="1"/>
  <c r="P93" s="1"/>
  <c r="P94" s="1"/>
  <c r="P95" s="1"/>
  <c r="K49"/>
  <c r="G6" i="30" s="1"/>
  <c r="J114" i="32"/>
  <c r="P114" s="1"/>
  <c r="P115" s="1"/>
  <c r="P116" s="1"/>
  <c r="P117" s="1"/>
  <c r="P118" s="1"/>
  <c r="A15"/>
  <c r="C7" s="1"/>
  <c r="C10" s="1"/>
  <c r="N21" s="1"/>
  <c r="K50" i="31"/>
  <c r="G7" i="30" s="1"/>
  <c r="B12" i="33"/>
  <c r="C5" s="1"/>
  <c r="K72" i="31"/>
  <c r="H7" i="30" s="1"/>
  <c r="N65" i="31"/>
  <c r="I64"/>
  <c r="D68" i="7"/>
  <c r="D59"/>
  <c r="C33" i="6"/>
  <c r="C34"/>
  <c r="C46"/>
  <c r="C83" i="7"/>
  <c r="C82"/>
  <c r="A21" i="6"/>
  <c r="A31"/>
  <c r="K25" i="31" l="1"/>
  <c r="F4" i="30" s="1"/>
  <c r="K47" i="31"/>
  <c r="G4" i="30" s="1"/>
  <c r="K26" i="31"/>
  <c r="F5" i="30" s="1"/>
  <c r="K70" i="31"/>
  <c r="H5" i="30" s="1"/>
  <c r="K69" i="31"/>
  <c r="H4" i="30" s="1"/>
  <c r="K48" i="31"/>
  <c r="G5" i="30" s="1"/>
  <c r="K27" i="31"/>
  <c r="F6" i="30" s="1"/>
  <c r="D7" i="32"/>
  <c r="E7" s="1"/>
  <c r="M36"/>
  <c r="M37" s="1"/>
  <c r="N22"/>
  <c r="I21"/>
  <c r="N66" i="31"/>
  <c r="I65"/>
  <c r="D5" i="33"/>
  <c r="C8"/>
  <c r="N19" s="1"/>
  <c r="M38" i="32" l="1"/>
  <c r="M39" s="1"/>
  <c r="E37"/>
  <c r="H37" s="1"/>
  <c r="G37" s="1"/>
  <c r="Q19" i="17"/>
  <c r="Q12" i="2" s="1"/>
  <c r="D10" i="32"/>
  <c r="N47" s="1"/>
  <c r="N48" s="1"/>
  <c r="Q23" i="17"/>
  <c r="E19"/>
  <c r="E12" i="2" s="1"/>
  <c r="M34" i="33"/>
  <c r="N20"/>
  <c r="I19"/>
  <c r="F7" i="32"/>
  <c r="E10"/>
  <c r="N73" s="1"/>
  <c r="E16" i="17"/>
  <c r="E38" i="32"/>
  <c r="H38" s="1"/>
  <c r="G38" s="1"/>
  <c r="E5" i="33"/>
  <c r="E8" s="1"/>
  <c r="N71" s="1"/>
  <c r="D8"/>
  <c r="N45" s="1"/>
  <c r="N23" i="32"/>
  <c r="I22"/>
  <c r="Q24" i="17"/>
  <c r="E23"/>
  <c r="E25"/>
  <c r="Q25"/>
  <c r="E24"/>
  <c r="E14"/>
  <c r="E15"/>
  <c r="E13"/>
  <c r="E9"/>
  <c r="E8" i="2" s="1"/>
  <c r="M62" i="32" l="1"/>
  <c r="E62" s="1"/>
  <c r="H62" s="1"/>
  <c r="G62" s="1"/>
  <c r="I47"/>
  <c r="N46" i="33"/>
  <c r="M60"/>
  <c r="I45"/>
  <c r="M35"/>
  <c r="E34"/>
  <c r="H34" s="1"/>
  <c r="G34" s="1"/>
  <c r="N24" i="32"/>
  <c r="I23"/>
  <c r="M40"/>
  <c r="E40" s="1"/>
  <c r="H40" s="1"/>
  <c r="G40" s="1"/>
  <c r="E39"/>
  <c r="H39" s="1"/>
  <c r="G39" s="1"/>
  <c r="N21" i="33"/>
  <c r="I20"/>
  <c r="Q26" i="17"/>
  <c r="G7" i="32"/>
  <c r="F10"/>
  <c r="N99" s="1"/>
  <c r="E26" i="17"/>
  <c r="N72" i="33"/>
  <c r="M86"/>
  <c r="I71"/>
  <c r="M88" i="32"/>
  <c r="N74"/>
  <c r="I73"/>
  <c r="N49"/>
  <c r="I48"/>
  <c r="Q21" i="17"/>
  <c r="E21"/>
  <c r="E11"/>
  <c r="Q20"/>
  <c r="Q13" i="2" s="1"/>
  <c r="Q43" s="1"/>
  <c r="E20" i="17"/>
  <c r="E13" i="2" s="1"/>
  <c r="E43" s="1"/>
  <c r="E10" i="17"/>
  <c r="E9" i="2" s="1"/>
  <c r="Q18" i="17"/>
  <c r="Q11" i="2" s="1"/>
  <c r="Q41" s="1"/>
  <c r="O12" i="3" s="1"/>
  <c r="E18" i="17"/>
  <c r="E11" i="2" s="1"/>
  <c r="E41" s="1"/>
  <c r="C12" i="3" s="1"/>
  <c r="E8" i="17"/>
  <c r="E7" i="2" s="1"/>
  <c r="E37" s="1"/>
  <c r="C8" i="3" s="1"/>
  <c r="Q22" i="17"/>
  <c r="Q14" i="2" s="1"/>
  <c r="Q44" s="1"/>
  <c r="O15" i="3" s="1"/>
  <c r="E22" i="17"/>
  <c r="E14" i="2" s="1"/>
  <c r="E44" s="1"/>
  <c r="C15" i="3" s="1"/>
  <c r="E12" i="17"/>
  <c r="E10" i="2" s="1"/>
  <c r="E40" s="1"/>
  <c r="C11" i="3" s="1"/>
  <c r="Q27" i="17"/>
  <c r="E27"/>
  <c r="E17"/>
  <c r="M63" i="32" l="1"/>
  <c r="E63" s="1"/>
  <c r="H63" s="1"/>
  <c r="G63" s="1"/>
  <c r="E39" i="2"/>
  <c r="C10" i="3" s="1"/>
  <c r="A87" i="7"/>
  <c r="G25" i="40" s="1"/>
  <c r="C14" i="3"/>
  <c r="O14"/>
  <c r="A44" i="34"/>
  <c r="G15" i="40" s="1"/>
  <c r="Q42" i="2"/>
  <c r="O13" i="3" s="1"/>
  <c r="E38" i="2"/>
  <c r="C9" i="3" s="1"/>
  <c r="E42" i="2"/>
  <c r="C13" i="3" s="1"/>
  <c r="N75" i="32"/>
  <c r="I74"/>
  <c r="N47" i="33"/>
  <c r="I46"/>
  <c r="M87"/>
  <c r="E86"/>
  <c r="H86" s="1"/>
  <c r="G86" s="1"/>
  <c r="M114" i="32"/>
  <c r="M115" s="1"/>
  <c r="M116" s="1"/>
  <c r="M117" s="1"/>
  <c r="M118" s="1"/>
  <c r="N100"/>
  <c r="I99"/>
  <c r="M36" i="33"/>
  <c r="E35"/>
  <c r="H35" s="1"/>
  <c r="G35" s="1"/>
  <c r="M61"/>
  <c r="E60"/>
  <c r="H60" s="1"/>
  <c r="G60" s="1"/>
  <c r="N73"/>
  <c r="I72"/>
  <c r="H7" i="32"/>
  <c r="H10" s="1"/>
  <c r="N151" s="1"/>
  <c r="G10"/>
  <c r="N125" s="1"/>
  <c r="N50"/>
  <c r="I49"/>
  <c r="M89"/>
  <c r="E88"/>
  <c r="H88" s="1"/>
  <c r="G88" s="1"/>
  <c r="N22" i="33"/>
  <c r="I21"/>
  <c r="N25" i="32"/>
  <c r="I24"/>
  <c r="J36"/>
  <c r="P36" s="1"/>
  <c r="P37" s="1"/>
  <c r="W76" i="6"/>
  <c r="K77"/>
  <c r="K70"/>
  <c r="K67"/>
  <c r="K65"/>
  <c r="K74"/>
  <c r="K71"/>
  <c r="K68"/>
  <c r="K69"/>
  <c r="K66"/>
  <c r="K72"/>
  <c r="K64"/>
  <c r="K75"/>
  <c r="K63"/>
  <c r="K100" s="1"/>
  <c r="K76"/>
  <c r="W72"/>
  <c r="W73"/>
  <c r="W69"/>
  <c r="W64"/>
  <c r="W71"/>
  <c r="W77"/>
  <c r="W70"/>
  <c r="W66"/>
  <c r="W65"/>
  <c r="W63"/>
  <c r="W100" s="1"/>
  <c r="W75"/>
  <c r="W67"/>
  <c r="W74"/>
  <c r="J65"/>
  <c r="J74"/>
  <c r="J64"/>
  <c r="J71"/>
  <c r="J73"/>
  <c r="J66"/>
  <c r="J70"/>
  <c r="J67"/>
  <c r="J76"/>
  <c r="F67"/>
  <c r="F65"/>
  <c r="F68"/>
  <c r="F75"/>
  <c r="J69"/>
  <c r="J77"/>
  <c r="J75"/>
  <c r="J68"/>
  <c r="F74"/>
  <c r="F69"/>
  <c r="F77"/>
  <c r="F76"/>
  <c r="F72"/>
  <c r="F66"/>
  <c r="F64"/>
  <c r="F63"/>
  <c r="F100" s="1"/>
  <c r="F70"/>
  <c r="J72"/>
  <c r="J63"/>
  <c r="J100" s="1"/>
  <c r="F73"/>
  <c r="F71"/>
  <c r="F108" s="1"/>
  <c r="X100"/>
  <c r="V73"/>
  <c r="V72"/>
  <c r="V64"/>
  <c r="V74"/>
  <c r="V68"/>
  <c r="V65"/>
  <c r="V70"/>
  <c r="V75"/>
  <c r="V76"/>
  <c r="V69"/>
  <c r="V63"/>
  <c r="V100" s="1"/>
  <c r="V67"/>
  <c r="V77"/>
  <c r="V71"/>
  <c r="V66"/>
  <c r="G72"/>
  <c r="G73"/>
  <c r="G67"/>
  <c r="G66"/>
  <c r="G64"/>
  <c r="G63"/>
  <c r="G100" s="1"/>
  <c r="G65"/>
  <c r="G71"/>
  <c r="G76"/>
  <c r="G77"/>
  <c r="G75"/>
  <c r="G74"/>
  <c r="G70"/>
  <c r="G68"/>
  <c r="G69"/>
  <c r="H71"/>
  <c r="H76"/>
  <c r="H70"/>
  <c r="H65"/>
  <c r="H66"/>
  <c r="H68"/>
  <c r="H73"/>
  <c r="H72"/>
  <c r="H75"/>
  <c r="H69"/>
  <c r="H74"/>
  <c r="H77"/>
  <c r="H63"/>
  <c r="H100" s="1"/>
  <c r="H67"/>
  <c r="H64"/>
  <c r="T68"/>
  <c r="T64"/>
  <c r="T70"/>
  <c r="T69"/>
  <c r="T76"/>
  <c r="T73"/>
  <c r="T67"/>
  <c r="T72"/>
  <c r="T66"/>
  <c r="T65"/>
  <c r="T71"/>
  <c r="T74"/>
  <c r="T63"/>
  <c r="T100" s="1"/>
  <c r="T75"/>
  <c r="T77"/>
  <c r="N71"/>
  <c r="N64"/>
  <c r="N70"/>
  <c r="N74"/>
  <c r="N69"/>
  <c r="N73"/>
  <c r="N65"/>
  <c r="N72"/>
  <c r="N75"/>
  <c r="N66"/>
  <c r="N68"/>
  <c r="N63"/>
  <c r="N100" s="1"/>
  <c r="N67"/>
  <c r="N76"/>
  <c r="N77"/>
  <c r="L68"/>
  <c r="L66"/>
  <c r="L70"/>
  <c r="L69"/>
  <c r="L75"/>
  <c r="L77"/>
  <c r="L67"/>
  <c r="L72"/>
  <c r="L64"/>
  <c r="L63"/>
  <c r="L100" s="1"/>
  <c r="L71"/>
  <c r="L76"/>
  <c r="L74"/>
  <c r="L65"/>
  <c r="L73"/>
  <c r="M75"/>
  <c r="M70"/>
  <c r="M67"/>
  <c r="M64"/>
  <c r="M76"/>
  <c r="M72"/>
  <c r="M74"/>
  <c r="M69"/>
  <c r="M68"/>
  <c r="M77"/>
  <c r="M66"/>
  <c r="M71"/>
  <c r="M63"/>
  <c r="M100" s="1"/>
  <c r="M73"/>
  <c r="M65"/>
  <c r="S70"/>
  <c r="S66"/>
  <c r="S64"/>
  <c r="S72"/>
  <c r="S65"/>
  <c r="S75"/>
  <c r="S76"/>
  <c r="S71"/>
  <c r="S74"/>
  <c r="S68"/>
  <c r="S69"/>
  <c r="S63"/>
  <c r="S100" s="1"/>
  <c r="S73"/>
  <c r="S67"/>
  <c r="S77"/>
  <c r="O70"/>
  <c r="O72"/>
  <c r="O67"/>
  <c r="O66"/>
  <c r="O77"/>
  <c r="O74"/>
  <c r="O68"/>
  <c r="O69"/>
  <c r="O65"/>
  <c r="O71"/>
  <c r="O63"/>
  <c r="O100" s="1"/>
  <c r="O73"/>
  <c r="O76"/>
  <c r="O75"/>
  <c r="O64"/>
  <c r="U72"/>
  <c r="U73"/>
  <c r="U71"/>
  <c r="U77"/>
  <c r="U75"/>
  <c r="U74"/>
  <c r="U70"/>
  <c r="U67"/>
  <c r="U63"/>
  <c r="U100" s="1"/>
  <c r="U69"/>
  <c r="U76"/>
  <c r="U64"/>
  <c r="U65"/>
  <c r="U68"/>
  <c r="U66"/>
  <c r="I72"/>
  <c r="I77"/>
  <c r="I71"/>
  <c r="I66"/>
  <c r="I74"/>
  <c r="I73"/>
  <c r="I67"/>
  <c r="I65"/>
  <c r="I76"/>
  <c r="I70"/>
  <c r="I63"/>
  <c r="I100" s="1"/>
  <c r="I69"/>
  <c r="I75"/>
  <c r="I64"/>
  <c r="I68"/>
  <c r="E67"/>
  <c r="E72"/>
  <c r="E70"/>
  <c r="E100"/>
  <c r="E65"/>
  <c r="E75"/>
  <c r="E68"/>
  <c r="E66"/>
  <c r="E77"/>
  <c r="E76"/>
  <c r="E73"/>
  <c r="E71"/>
  <c r="E64"/>
  <c r="E74"/>
  <c r="E69"/>
  <c r="Q67"/>
  <c r="Q65"/>
  <c r="Q76"/>
  <c r="Q70"/>
  <c r="Q73"/>
  <c r="Q74"/>
  <c r="Q66"/>
  <c r="Q71"/>
  <c r="Q63"/>
  <c r="Q100" s="1"/>
  <c r="Q77"/>
  <c r="Q69"/>
  <c r="Q75"/>
  <c r="Q64"/>
  <c r="Q68"/>
  <c r="Q72"/>
  <c r="P71"/>
  <c r="P76"/>
  <c r="P70"/>
  <c r="P65"/>
  <c r="P77"/>
  <c r="P64"/>
  <c r="P66"/>
  <c r="P75"/>
  <c r="P69"/>
  <c r="P68"/>
  <c r="P63"/>
  <c r="P100" s="1"/>
  <c r="P73"/>
  <c r="P67"/>
  <c r="P72"/>
  <c r="P74"/>
  <c r="R63"/>
  <c r="R100" s="1"/>
  <c r="R65"/>
  <c r="R74"/>
  <c r="R68"/>
  <c r="R72"/>
  <c r="R71"/>
  <c r="R70"/>
  <c r="R73"/>
  <c r="R76"/>
  <c r="R66"/>
  <c r="R75"/>
  <c r="R69"/>
  <c r="R67"/>
  <c r="R64"/>
  <c r="R77"/>
  <c r="H106" l="1"/>
  <c r="M64" i="32"/>
  <c r="M65" s="1"/>
  <c r="E65" s="1"/>
  <c r="H65" s="1"/>
  <c r="G65" s="1"/>
  <c r="P38"/>
  <c r="P39" s="1"/>
  <c r="K37"/>
  <c r="K5" i="30" s="1"/>
  <c r="A84" i="7"/>
  <c r="G22" i="40" s="1"/>
  <c r="A45" i="34"/>
  <c r="G16" i="40" s="1"/>
  <c r="A47" i="6"/>
  <c r="G6" i="40" s="1"/>
  <c r="A90" i="7"/>
  <c r="G28" i="40" s="1"/>
  <c r="A46" i="34"/>
  <c r="G17" i="40" s="1"/>
  <c r="A81" i="7"/>
  <c r="G19" i="40" s="1"/>
  <c r="A86" i="7"/>
  <c r="G24" i="40" s="1"/>
  <c r="A92" i="7"/>
  <c r="G30" i="40" s="1"/>
  <c r="A49" i="6"/>
  <c r="G8" i="40" s="1"/>
  <c r="A52" i="6"/>
  <c r="G11" i="40" s="1"/>
  <c r="A83" i="7"/>
  <c r="G21" i="40" s="1"/>
  <c r="A89" i="7"/>
  <c r="G27" i="40" s="1"/>
  <c r="A46" i="6"/>
  <c r="G5" i="40" s="1"/>
  <c r="A55" i="6"/>
  <c r="G14" i="40" s="1"/>
  <c r="A50" i="6"/>
  <c r="G9" i="40" s="1"/>
  <c r="A44" i="6"/>
  <c r="G3" i="40" s="1"/>
  <c r="A47" i="34"/>
  <c r="G18" i="40" s="1"/>
  <c r="A53" i="6"/>
  <c r="G12" i="40" s="1"/>
  <c r="A75" i="35"/>
  <c r="G33" i="40" s="1"/>
  <c r="A73" i="35"/>
  <c r="G31" i="40" s="1"/>
  <c r="A76" i="35"/>
  <c r="G34" i="40" s="1"/>
  <c r="A74" i="35"/>
  <c r="G32" i="40" s="1"/>
  <c r="A45" i="6"/>
  <c r="G4" i="40" s="1"/>
  <c r="A51" i="6"/>
  <c r="G10" i="40" s="1"/>
  <c r="A88" i="7"/>
  <c r="G26" i="40" s="1"/>
  <c r="A91" i="7"/>
  <c r="G29" i="40" s="1"/>
  <c r="R101" i="6"/>
  <c r="H114"/>
  <c r="M88" i="33"/>
  <c r="E87"/>
  <c r="H87" s="1"/>
  <c r="G87" s="1"/>
  <c r="K38" i="32"/>
  <c r="K6" i="30" s="1"/>
  <c r="N26" i="32"/>
  <c r="I25"/>
  <c r="M90"/>
  <c r="E89"/>
  <c r="H89" s="1"/>
  <c r="G89" s="1"/>
  <c r="M140"/>
  <c r="M141" s="1"/>
  <c r="M142" s="1"/>
  <c r="N126"/>
  <c r="I125"/>
  <c r="M37" i="33"/>
  <c r="E36"/>
  <c r="H36" s="1"/>
  <c r="G36" s="1"/>
  <c r="N51" i="32"/>
  <c r="I50"/>
  <c r="N74" i="33"/>
  <c r="I73"/>
  <c r="N48"/>
  <c r="I47"/>
  <c r="N152" i="32"/>
  <c r="M166"/>
  <c r="I151"/>
  <c r="N76"/>
  <c r="I75"/>
  <c r="N23" i="33"/>
  <c r="I22"/>
  <c r="M62"/>
  <c r="E61"/>
  <c r="H61" s="1"/>
  <c r="G61" s="1"/>
  <c r="N101" i="32"/>
  <c r="I100"/>
  <c r="Q109" i="6"/>
  <c r="T108"/>
  <c r="N103"/>
  <c r="W113"/>
  <c r="W114"/>
  <c r="X109"/>
  <c r="W103"/>
  <c r="K113"/>
  <c r="K102"/>
  <c r="K103"/>
  <c r="K112"/>
  <c r="K109"/>
  <c r="K107"/>
  <c r="W102"/>
  <c r="K114"/>
  <c r="K106"/>
  <c r="K104"/>
  <c r="K108"/>
  <c r="K105"/>
  <c r="W111"/>
  <c r="K101"/>
  <c r="W101"/>
  <c r="W109"/>
  <c r="W110"/>
  <c r="W108"/>
  <c r="W104"/>
  <c r="W112"/>
  <c r="W107"/>
  <c r="X112"/>
  <c r="E110"/>
  <c r="U105"/>
  <c r="Q103"/>
  <c r="P109"/>
  <c r="S110"/>
  <c r="N109"/>
  <c r="E105"/>
  <c r="E111"/>
  <c r="J103"/>
  <c r="J111"/>
  <c r="J102"/>
  <c r="J107"/>
  <c r="J112"/>
  <c r="F112"/>
  <c r="J109"/>
  <c r="J110"/>
  <c r="F107"/>
  <c r="F103"/>
  <c r="F113"/>
  <c r="J105"/>
  <c r="J113"/>
  <c r="J104"/>
  <c r="J101"/>
  <c r="F101"/>
  <c r="F105"/>
  <c r="J108"/>
  <c r="J114"/>
  <c r="F106"/>
  <c r="F110"/>
  <c r="F114"/>
  <c r="F102"/>
  <c r="F104"/>
  <c r="F111"/>
  <c r="F109"/>
  <c r="J106"/>
  <c r="U101"/>
  <c r="V106"/>
  <c r="H111"/>
  <c r="V103"/>
  <c r="L106"/>
  <c r="Q101"/>
  <c r="M102"/>
  <c r="M104"/>
  <c r="L104"/>
  <c r="N104"/>
  <c r="T114"/>
  <c r="T103"/>
  <c r="T106"/>
  <c r="G112"/>
  <c r="G102"/>
  <c r="V112"/>
  <c r="S112"/>
  <c r="S103"/>
  <c r="L111"/>
  <c r="N114"/>
  <c r="N106"/>
  <c r="G114"/>
  <c r="O102"/>
  <c r="O111"/>
  <c r="S105"/>
  <c r="M114"/>
  <c r="L102"/>
  <c r="N112"/>
  <c r="T111"/>
  <c r="H101"/>
  <c r="H108"/>
  <c r="V108"/>
  <c r="M109"/>
  <c r="M107"/>
  <c r="I104"/>
  <c r="R103"/>
  <c r="R107"/>
  <c r="P104"/>
  <c r="P102"/>
  <c r="Q107"/>
  <c r="Q104"/>
  <c r="E106"/>
  <c r="E108"/>
  <c r="I110"/>
  <c r="I114"/>
  <c r="U113"/>
  <c r="U108"/>
  <c r="O113"/>
  <c r="O108"/>
  <c r="O104"/>
  <c r="S108"/>
  <c r="L108"/>
  <c r="N102"/>
  <c r="T102"/>
  <c r="G111"/>
  <c r="V111"/>
  <c r="X103"/>
  <c r="I105"/>
  <c r="R106"/>
  <c r="P111"/>
  <c r="P113"/>
  <c r="O110"/>
  <c r="S114"/>
  <c r="M105"/>
  <c r="L105"/>
  <c r="T107"/>
  <c r="H104"/>
  <c r="H110"/>
  <c r="H102"/>
  <c r="G104"/>
  <c r="V102"/>
  <c r="V109"/>
  <c r="X108"/>
  <c r="E112"/>
  <c r="R114"/>
  <c r="R112"/>
  <c r="R109"/>
  <c r="P101"/>
  <c r="P108"/>
  <c r="Q114"/>
  <c r="Q110"/>
  <c r="E101"/>
  <c r="E114"/>
  <c r="E104"/>
  <c r="I102"/>
  <c r="I108"/>
  <c r="U103"/>
  <c r="U111"/>
  <c r="O112"/>
  <c r="O103"/>
  <c r="M113"/>
  <c r="L110"/>
  <c r="G107"/>
  <c r="X106"/>
  <c r="H112"/>
  <c r="X110"/>
  <c r="X111"/>
  <c r="R102"/>
  <c r="E107"/>
  <c r="U109"/>
  <c r="O105"/>
  <c r="S113"/>
  <c r="L112"/>
  <c r="H103"/>
  <c r="G105"/>
  <c r="G103"/>
  <c r="X113"/>
  <c r="R113"/>
  <c r="R111"/>
  <c r="P106"/>
  <c r="P103"/>
  <c r="Q106"/>
  <c r="Q111"/>
  <c r="Q102"/>
  <c r="R104"/>
  <c r="R108"/>
  <c r="R105"/>
  <c r="P110"/>
  <c r="P112"/>
  <c r="P114"/>
  <c r="P107"/>
  <c r="Q112"/>
  <c r="Q108"/>
  <c r="Q113"/>
  <c r="E102"/>
  <c r="E109"/>
  <c r="I101"/>
  <c r="I107"/>
  <c r="I111"/>
  <c r="U104"/>
  <c r="O109"/>
  <c r="S104"/>
  <c r="S111"/>
  <c r="S102"/>
  <c r="S107"/>
  <c r="M108"/>
  <c r="M106"/>
  <c r="L113"/>
  <c r="L101"/>
  <c r="L114"/>
  <c r="L107"/>
  <c r="N113"/>
  <c r="N105"/>
  <c r="N111"/>
  <c r="N101"/>
  <c r="T112"/>
  <c r="T104"/>
  <c r="T110"/>
  <c r="T101"/>
  <c r="H105"/>
  <c r="H107"/>
  <c r="G113"/>
  <c r="G110"/>
  <c r="V114"/>
  <c r="V107"/>
  <c r="V105"/>
  <c r="V110"/>
  <c r="X104"/>
  <c r="X114"/>
  <c r="X102"/>
  <c r="N107"/>
  <c r="N108"/>
  <c r="T109"/>
  <c r="P105"/>
  <c r="Q105"/>
  <c r="I106"/>
  <c r="U114"/>
  <c r="S101"/>
  <c r="N110"/>
  <c r="V101"/>
  <c r="R110"/>
  <c r="E113"/>
  <c r="E103"/>
  <c r="I112"/>
  <c r="I113"/>
  <c r="I103"/>
  <c r="I109"/>
  <c r="U102"/>
  <c r="U106"/>
  <c r="U107"/>
  <c r="U112"/>
  <c r="U110"/>
  <c r="O101"/>
  <c r="O106"/>
  <c r="O114"/>
  <c r="O107"/>
  <c r="S106"/>
  <c r="S109"/>
  <c r="M110"/>
  <c r="M103"/>
  <c r="M111"/>
  <c r="M101"/>
  <c r="M112"/>
  <c r="L109"/>
  <c r="L103"/>
  <c r="T113"/>
  <c r="T105"/>
  <c r="H109"/>
  <c r="H113"/>
  <c r="G106"/>
  <c r="G108"/>
  <c r="G101"/>
  <c r="G109"/>
  <c r="V104"/>
  <c r="V113"/>
  <c r="X101"/>
  <c r="X105"/>
  <c r="X107"/>
  <c r="M66" i="32" l="1"/>
  <c r="E66" s="1"/>
  <c r="H66" s="1"/>
  <c r="G66" s="1"/>
  <c r="J62" s="1"/>
  <c r="P62" s="1"/>
  <c r="M63" i="33"/>
  <c r="M64" s="1"/>
  <c r="E64" s="1"/>
  <c r="H64" s="1"/>
  <c r="G64" s="1"/>
  <c r="E62"/>
  <c r="H62" s="1"/>
  <c r="G62" s="1"/>
  <c r="A54" i="6"/>
  <c r="G13" i="40" s="1"/>
  <c r="A85" i="7"/>
  <c r="G23" i="40" s="1"/>
  <c r="A48" i="6"/>
  <c r="G7" i="40" s="1"/>
  <c r="A82" i="7"/>
  <c r="G20" i="40" s="1"/>
  <c r="N27" i="32"/>
  <c r="I26"/>
  <c r="N102"/>
  <c r="I101"/>
  <c r="N24" i="33"/>
  <c r="I23"/>
  <c r="N77" i="32"/>
  <c r="I76"/>
  <c r="M167"/>
  <c r="E166"/>
  <c r="H166" s="1"/>
  <c r="G166" s="1"/>
  <c r="N49" i="33"/>
  <c r="I48"/>
  <c r="N52" i="32"/>
  <c r="I51"/>
  <c r="N127"/>
  <c r="I126"/>
  <c r="M143"/>
  <c r="M144" s="1"/>
  <c r="E144" s="1"/>
  <c r="H144" s="1"/>
  <c r="G144" s="1"/>
  <c r="E142"/>
  <c r="H142" s="1"/>
  <c r="G142" s="1"/>
  <c r="M91"/>
  <c r="E90"/>
  <c r="H90" s="1"/>
  <c r="G90" s="1"/>
  <c r="P40"/>
  <c r="K40" s="1"/>
  <c r="K8" i="30" s="1"/>
  <c r="K39" i="32"/>
  <c r="K7" i="30" s="1"/>
  <c r="N153" i="32"/>
  <c r="I152"/>
  <c r="M89" i="33"/>
  <c r="E88"/>
  <c r="H88" s="1"/>
  <c r="G88" s="1"/>
  <c r="E63"/>
  <c r="H63" s="1"/>
  <c r="G63" s="1"/>
  <c r="N75"/>
  <c r="I74"/>
  <c r="M38"/>
  <c r="E38" s="1"/>
  <c r="H38" s="1"/>
  <c r="G38" s="1"/>
  <c r="E37"/>
  <c r="H37" s="1"/>
  <c r="G37" s="1"/>
  <c r="K62" i="32" l="1"/>
  <c r="L4" i="30" s="1"/>
  <c r="P63" i="32"/>
  <c r="J60" i="33"/>
  <c r="P60" s="1"/>
  <c r="K60" s="1"/>
  <c r="R4" i="30" s="1"/>
  <c r="J34" i="33"/>
  <c r="P34" s="1"/>
  <c r="K34" s="1"/>
  <c r="Q4" i="30" s="1"/>
  <c r="J140" i="32"/>
  <c r="P140" s="1"/>
  <c r="P141" s="1"/>
  <c r="P142" s="1"/>
  <c r="P143" s="1"/>
  <c r="P144" s="1"/>
  <c r="K144" s="1"/>
  <c r="O8" i="30" s="1"/>
  <c r="N50" i="33"/>
  <c r="I49"/>
  <c r="N78" i="32"/>
  <c r="I77"/>
  <c r="N76" i="33"/>
  <c r="I75"/>
  <c r="M90"/>
  <c r="E90" s="1"/>
  <c r="H90" s="1"/>
  <c r="G90" s="1"/>
  <c r="E89"/>
  <c r="H89" s="1"/>
  <c r="G89" s="1"/>
  <c r="N154" i="32"/>
  <c r="I153"/>
  <c r="M92"/>
  <c r="E92" s="1"/>
  <c r="H92" s="1"/>
  <c r="G92" s="1"/>
  <c r="E91"/>
  <c r="H91" s="1"/>
  <c r="G91" s="1"/>
  <c r="N128"/>
  <c r="I127"/>
  <c r="N103"/>
  <c r="I102"/>
  <c r="N53"/>
  <c r="I52"/>
  <c r="M168"/>
  <c r="E167"/>
  <c r="H167" s="1"/>
  <c r="G167" s="1"/>
  <c r="N25" i="33"/>
  <c r="I24"/>
  <c r="N28" i="32"/>
  <c r="I27"/>
  <c r="P64"/>
  <c r="P65" s="1"/>
  <c r="K63"/>
  <c r="L5" i="30" s="1"/>
  <c r="P61" i="33" l="1"/>
  <c r="K61" s="1"/>
  <c r="R5" i="30" s="1"/>
  <c r="K142" i="32"/>
  <c r="O6" i="30" s="1"/>
  <c r="P35" i="33"/>
  <c r="K35" s="1"/>
  <c r="Q5" i="30" s="1"/>
  <c r="N29" i="32"/>
  <c r="I28"/>
  <c r="N104"/>
  <c r="I103"/>
  <c r="P66"/>
  <c r="K66" s="1"/>
  <c r="L8" i="30" s="1"/>
  <c r="K65" i="32"/>
  <c r="L7" i="30" s="1"/>
  <c r="N26" i="33"/>
  <c r="I26" s="1"/>
  <c r="I25"/>
  <c r="N54" i="32"/>
  <c r="I53"/>
  <c r="N129"/>
  <c r="I128"/>
  <c r="N155"/>
  <c r="I154"/>
  <c r="N77" i="33"/>
  <c r="I76"/>
  <c r="N51"/>
  <c r="I50"/>
  <c r="J88" i="32"/>
  <c r="P88" s="1"/>
  <c r="M169"/>
  <c r="E168"/>
  <c r="H168" s="1"/>
  <c r="G168" s="1"/>
  <c r="N79"/>
  <c r="I78"/>
  <c r="P36" i="33"/>
  <c r="J86"/>
  <c r="P86" s="1"/>
  <c r="P62" l="1"/>
  <c r="P87"/>
  <c r="K86"/>
  <c r="S4" i="30" s="1"/>
  <c r="P37" i="33"/>
  <c r="K36"/>
  <c r="Q6" i="30" s="1"/>
  <c r="M170" i="32"/>
  <c r="E170" s="1"/>
  <c r="H170" s="1"/>
  <c r="G170" s="1"/>
  <c r="E169"/>
  <c r="H169" s="1"/>
  <c r="G169" s="1"/>
  <c r="N78" i="33"/>
  <c r="I77"/>
  <c r="N130" i="32"/>
  <c r="I129"/>
  <c r="I104"/>
  <c r="N105"/>
  <c r="P89"/>
  <c r="K88"/>
  <c r="M4" i="30" s="1"/>
  <c r="N52" i="33"/>
  <c r="I51"/>
  <c r="N156" i="32"/>
  <c r="I155"/>
  <c r="N55"/>
  <c r="I54"/>
  <c r="N30"/>
  <c r="I29"/>
  <c r="N80"/>
  <c r="I79"/>
  <c r="P63" i="33" l="1"/>
  <c r="P64" s="1"/>
  <c r="K64" s="1"/>
  <c r="R8" i="30" s="1"/>
  <c r="K62" i="33"/>
  <c r="R6" i="30" s="1"/>
  <c r="K63" i="33"/>
  <c r="R7" i="30" s="1"/>
  <c r="N31" i="32"/>
  <c r="I31" s="1"/>
  <c r="I30"/>
  <c r="N157"/>
  <c r="I156"/>
  <c r="P90"/>
  <c r="K89"/>
  <c r="M5" i="30" s="1"/>
  <c r="P88" i="33"/>
  <c r="K87"/>
  <c r="S5" i="30" s="1"/>
  <c r="N106" i="32"/>
  <c r="I105"/>
  <c r="N81"/>
  <c r="N82" s="1"/>
  <c r="N83" s="1"/>
  <c r="I80"/>
  <c r="N56"/>
  <c r="I55"/>
  <c r="N53" i="33"/>
  <c r="N54" s="1"/>
  <c r="N55" s="1"/>
  <c r="I52"/>
  <c r="N131" i="32"/>
  <c r="I130"/>
  <c r="P38" i="33"/>
  <c r="K38" s="1"/>
  <c r="Q8" i="30" s="1"/>
  <c r="K37" i="33"/>
  <c r="Q7" i="30" s="1"/>
  <c r="N79" i="33"/>
  <c r="N80" s="1"/>
  <c r="N81" s="1"/>
  <c r="I78"/>
  <c r="J166" i="32"/>
  <c r="P166" s="1"/>
  <c r="N107" l="1"/>
  <c r="N108" s="1"/>
  <c r="N109" s="1"/>
  <c r="I106"/>
  <c r="N132"/>
  <c r="I131"/>
  <c r="N57"/>
  <c r="I57" s="1"/>
  <c r="I56"/>
  <c r="P91"/>
  <c r="K90"/>
  <c r="M6" i="30" s="1"/>
  <c r="P89" i="33"/>
  <c r="K88"/>
  <c r="S6" i="30" s="1"/>
  <c r="N158" i="32"/>
  <c r="I157"/>
  <c r="P167"/>
  <c r="K166"/>
  <c r="P4" i="30" s="1"/>
  <c r="P168" i="32" l="1"/>
  <c r="K167"/>
  <c r="P5" i="30" s="1"/>
  <c r="N159" i="32"/>
  <c r="N160" s="1"/>
  <c r="N161" s="1"/>
  <c r="I158"/>
  <c r="P92"/>
  <c r="K92" s="1"/>
  <c r="M8" i="30" s="1"/>
  <c r="K91" i="32"/>
  <c r="M7" i="30" s="1"/>
  <c r="N133" i="32"/>
  <c r="N134" s="1"/>
  <c r="N135" s="1"/>
  <c r="I132"/>
  <c r="P90" i="33"/>
  <c r="K90" s="1"/>
  <c r="S8" i="30" s="1"/>
  <c r="K89" i="33"/>
  <c r="S7" i="30" s="1"/>
  <c r="P169" i="32" l="1"/>
  <c r="K168"/>
  <c r="P6" i="30" s="1"/>
  <c r="P170" i="32" l="1"/>
  <c r="K170" s="1"/>
  <c r="P8" i="30" s="1"/>
  <c r="K169" i="32"/>
  <c r="P7" i="30" s="1"/>
  <c r="E104" i="7" l="1"/>
  <c r="E109"/>
  <c r="E101"/>
  <c r="E111"/>
  <c r="E100"/>
  <c r="E137" s="1"/>
  <c r="E113"/>
  <c r="E107"/>
  <c r="E110"/>
  <c r="E105"/>
  <c r="E102"/>
  <c r="E112"/>
  <c r="E103"/>
  <c r="E106"/>
  <c r="E108"/>
  <c r="E114"/>
  <c r="E147" l="1"/>
  <c r="E186" s="1"/>
  <c r="E139"/>
  <c r="E146"/>
  <c r="E144"/>
  <c r="E148"/>
  <c r="E141"/>
  <c r="E151"/>
  <c r="E176"/>
  <c r="E145"/>
  <c r="E140"/>
  <c r="E142"/>
  <c r="E150"/>
  <c r="F103"/>
  <c r="F112"/>
  <c r="F111"/>
  <c r="F100"/>
  <c r="F137" s="1"/>
  <c r="F108"/>
  <c r="F110"/>
  <c r="F102"/>
  <c r="F107"/>
  <c r="F101"/>
  <c r="F106"/>
  <c r="F114"/>
  <c r="F104"/>
  <c r="F105"/>
  <c r="F113"/>
  <c r="F109"/>
  <c r="E149"/>
  <c r="E143"/>
  <c r="E138"/>
  <c r="E181" l="1"/>
  <c r="E183"/>
  <c r="E182"/>
  <c r="E189"/>
  <c r="E187"/>
  <c r="E178"/>
  <c r="E188"/>
  <c r="E177"/>
  <c r="E184"/>
  <c r="E180"/>
  <c r="E179"/>
  <c r="E190"/>
  <c r="E185"/>
  <c r="F142"/>
  <c r="F146"/>
  <c r="F141"/>
  <c r="F147"/>
  <c r="F149"/>
  <c r="F139"/>
  <c r="F138"/>
  <c r="F150"/>
  <c r="F148"/>
  <c r="F144"/>
  <c r="F145"/>
  <c r="G101"/>
  <c r="G105"/>
  <c r="G110"/>
  <c r="G104"/>
  <c r="G107"/>
  <c r="G108"/>
  <c r="G102"/>
  <c r="G103"/>
  <c r="G114"/>
  <c r="G112"/>
  <c r="G111"/>
  <c r="G113"/>
  <c r="G100"/>
  <c r="G137" s="1"/>
  <c r="G106"/>
  <c r="G109"/>
  <c r="F176"/>
  <c r="F143"/>
  <c r="F151"/>
  <c r="F140"/>
  <c r="F179" s="1"/>
  <c r="F187" l="1"/>
  <c r="F178"/>
  <c r="F177"/>
  <c r="F183"/>
  <c r="F184"/>
  <c r="F182"/>
  <c r="F189"/>
  <c r="F185"/>
  <c r="F190"/>
  <c r="F188"/>
  <c r="F181"/>
  <c r="F180"/>
  <c r="F186"/>
  <c r="G148"/>
  <c r="G145"/>
  <c r="G143"/>
  <c r="G151"/>
  <c r="G141"/>
  <c r="G140"/>
  <c r="G179" s="1"/>
  <c r="G150"/>
  <c r="G138"/>
  <c r="H106"/>
  <c r="H111"/>
  <c r="H107"/>
  <c r="H113"/>
  <c r="H100"/>
  <c r="H137" s="1"/>
  <c r="H101"/>
  <c r="H104"/>
  <c r="H114"/>
  <c r="H103"/>
  <c r="H108"/>
  <c r="H105"/>
  <c r="H112"/>
  <c r="H110"/>
  <c r="H109"/>
  <c r="H102"/>
  <c r="G144"/>
  <c r="G149"/>
  <c r="G139"/>
  <c r="G142"/>
  <c r="G176"/>
  <c r="G146"/>
  <c r="G147"/>
  <c r="G182" l="1"/>
  <c r="G178"/>
  <c r="G183"/>
  <c r="G190"/>
  <c r="G185"/>
  <c r="G189"/>
  <c r="G187"/>
  <c r="G186"/>
  <c r="G184"/>
  <c r="G188"/>
  <c r="G177"/>
  <c r="G180"/>
  <c r="H144"/>
  <c r="H139"/>
  <c r="H145"/>
  <c r="H141"/>
  <c r="H151"/>
  <c r="H147"/>
  <c r="H176"/>
  <c r="H138"/>
  <c r="H148"/>
  <c r="H146"/>
  <c r="H142"/>
  <c r="H143"/>
  <c r="I107"/>
  <c r="I105"/>
  <c r="I110"/>
  <c r="I111"/>
  <c r="I102"/>
  <c r="I112"/>
  <c r="I101"/>
  <c r="I109"/>
  <c r="I114"/>
  <c r="I113"/>
  <c r="I108"/>
  <c r="I103"/>
  <c r="I100"/>
  <c r="I137" s="1"/>
  <c r="I106"/>
  <c r="I104"/>
  <c r="G181"/>
  <c r="H149"/>
  <c r="H140"/>
  <c r="H179" s="1"/>
  <c r="H150"/>
  <c r="H177" l="1"/>
  <c r="H182"/>
  <c r="H178"/>
  <c r="H183"/>
  <c r="H190"/>
  <c r="H184"/>
  <c r="H188"/>
  <c r="H189"/>
  <c r="H185"/>
  <c r="H180"/>
  <c r="H186"/>
  <c r="H187"/>
  <c r="I150"/>
  <c r="I143"/>
  <c r="H181"/>
  <c r="I140"/>
  <c r="I179" s="1"/>
  <c r="I146"/>
  <c r="I147"/>
  <c r="I145"/>
  <c r="I176"/>
  <c r="J100"/>
  <c r="J137" s="1"/>
  <c r="J103"/>
  <c r="J111"/>
  <c r="J107"/>
  <c r="J109"/>
  <c r="J105"/>
  <c r="J112"/>
  <c r="J108"/>
  <c r="J102"/>
  <c r="J104"/>
  <c r="J101"/>
  <c r="J113"/>
  <c r="J114"/>
  <c r="J106"/>
  <c r="J143" s="1"/>
  <c r="J110"/>
  <c r="I148"/>
  <c r="I187" s="1"/>
  <c r="I149"/>
  <c r="I139"/>
  <c r="I144"/>
  <c r="I141"/>
  <c r="I151"/>
  <c r="I138"/>
  <c r="I142"/>
  <c r="I177" l="1"/>
  <c r="I178"/>
  <c r="I183"/>
  <c r="I184"/>
  <c r="I190"/>
  <c r="I185"/>
  <c r="I189"/>
  <c r="I188"/>
  <c r="I186"/>
  <c r="I180"/>
  <c r="I182"/>
  <c r="J149"/>
  <c r="J138"/>
  <c r="J177" s="1"/>
  <c r="J145"/>
  <c r="J182"/>
  <c r="J150"/>
  <c r="I181"/>
  <c r="J141"/>
  <c r="J142"/>
  <c r="J151"/>
  <c r="J144"/>
  <c r="K105"/>
  <c r="K110"/>
  <c r="K102"/>
  <c r="K109"/>
  <c r="K114"/>
  <c r="K113"/>
  <c r="K106"/>
  <c r="K101"/>
  <c r="K107"/>
  <c r="K103"/>
  <c r="K111"/>
  <c r="K112"/>
  <c r="K108"/>
  <c r="K100"/>
  <c r="K137" s="1"/>
  <c r="K104"/>
  <c r="J148"/>
  <c r="J187" s="1"/>
  <c r="J176"/>
  <c r="J139"/>
  <c r="J146"/>
  <c r="J147"/>
  <c r="J140"/>
  <c r="J178" l="1"/>
  <c r="J189"/>
  <c r="J183"/>
  <c r="J190"/>
  <c r="J186"/>
  <c r="J179"/>
  <c r="J184"/>
  <c r="J180"/>
  <c r="J185"/>
  <c r="J188"/>
  <c r="K141"/>
  <c r="J181"/>
  <c r="K144"/>
  <c r="K140"/>
  <c r="K147"/>
  <c r="K149"/>
  <c r="K143"/>
  <c r="K176"/>
  <c r="L101"/>
  <c r="L103"/>
  <c r="L106"/>
  <c r="L105"/>
  <c r="L110"/>
  <c r="L104"/>
  <c r="L102"/>
  <c r="L111"/>
  <c r="L113"/>
  <c r="L109"/>
  <c r="L108"/>
  <c r="L100"/>
  <c r="L137" s="1"/>
  <c r="L114"/>
  <c r="L112"/>
  <c r="L107"/>
  <c r="K150"/>
  <c r="K189" s="1"/>
  <c r="K148"/>
  <c r="K187" s="1"/>
  <c r="K138"/>
  <c r="K177" s="1"/>
  <c r="K146"/>
  <c r="K142"/>
  <c r="K151"/>
  <c r="K145"/>
  <c r="K139"/>
  <c r="K184" l="1"/>
  <c r="K183"/>
  <c r="K185"/>
  <c r="K190"/>
  <c r="K186"/>
  <c r="K188"/>
  <c r="K180"/>
  <c r="K179"/>
  <c r="K182"/>
  <c r="L149"/>
  <c r="L139"/>
  <c r="K181"/>
  <c r="L147"/>
  <c r="L145"/>
  <c r="L143"/>
  <c r="L151"/>
  <c r="M106"/>
  <c r="M114"/>
  <c r="M101"/>
  <c r="M100"/>
  <c r="M137" s="1"/>
  <c r="M104"/>
  <c r="M112"/>
  <c r="M111"/>
  <c r="M102"/>
  <c r="M107"/>
  <c r="M108"/>
  <c r="M110"/>
  <c r="M113"/>
  <c r="M109"/>
  <c r="M105"/>
  <c r="M103"/>
  <c r="L176"/>
  <c r="L140"/>
  <c r="K178"/>
  <c r="L148"/>
  <c r="L187" s="1"/>
  <c r="L144"/>
  <c r="L150"/>
  <c r="L189" s="1"/>
  <c r="L141"/>
  <c r="L142"/>
  <c r="L146"/>
  <c r="L138"/>
  <c r="L177" s="1"/>
  <c r="L184" l="1"/>
  <c r="L183"/>
  <c r="L185"/>
  <c r="M139"/>
  <c r="L179"/>
  <c r="L190"/>
  <c r="L186"/>
  <c r="L188"/>
  <c r="L180"/>
  <c r="L182"/>
  <c r="M146"/>
  <c r="M185" s="1"/>
  <c r="M150"/>
  <c r="M189" s="1"/>
  <c r="L178"/>
  <c r="L181"/>
  <c r="M144"/>
  <c r="M138"/>
  <c r="M177" s="1"/>
  <c r="M140"/>
  <c r="M179" s="1"/>
  <c r="M142"/>
  <c r="M149"/>
  <c r="M147"/>
  <c r="M176"/>
  <c r="M145"/>
  <c r="M148"/>
  <c r="M187" s="1"/>
  <c r="M151"/>
  <c r="N108"/>
  <c r="N110"/>
  <c r="N105"/>
  <c r="N102"/>
  <c r="N112"/>
  <c r="N101"/>
  <c r="N109"/>
  <c r="N106"/>
  <c r="N104"/>
  <c r="N113"/>
  <c r="N103"/>
  <c r="N100"/>
  <c r="N137" s="1"/>
  <c r="N107"/>
  <c r="N114"/>
  <c r="N111"/>
  <c r="M143"/>
  <c r="M141"/>
  <c r="M188" l="1"/>
  <c r="M186"/>
  <c r="M184"/>
  <c r="M183"/>
  <c r="M178"/>
  <c r="M190"/>
  <c r="M182"/>
  <c r="M180"/>
  <c r="M181"/>
  <c r="N144"/>
  <c r="N148"/>
  <c r="N187" s="1"/>
  <c r="N151"/>
  <c r="N140"/>
  <c r="N179" s="1"/>
  <c r="N150"/>
  <c r="N189" s="1"/>
  <c r="N142"/>
  <c r="N145"/>
  <c r="O112"/>
  <c r="O103"/>
  <c r="O111"/>
  <c r="O110"/>
  <c r="O102"/>
  <c r="O100"/>
  <c r="O137" s="1"/>
  <c r="O113"/>
  <c r="O109"/>
  <c r="O101"/>
  <c r="O105"/>
  <c r="O104"/>
  <c r="O106"/>
  <c r="O107"/>
  <c r="O114"/>
  <c r="O108"/>
  <c r="N138"/>
  <c r="N177" s="1"/>
  <c r="N139"/>
  <c r="N178" s="1"/>
  <c r="N143"/>
  <c r="N147"/>
  <c r="N176"/>
  <c r="N141"/>
  <c r="N146"/>
  <c r="N185" s="1"/>
  <c r="N149"/>
  <c r="N188" l="1"/>
  <c r="N184"/>
  <c r="N186"/>
  <c r="N183"/>
  <c r="N190"/>
  <c r="N180"/>
  <c r="N182"/>
  <c r="O151"/>
  <c r="N181"/>
  <c r="O150"/>
  <c r="O189" s="1"/>
  <c r="O141"/>
  <c r="O145"/>
  <c r="O138"/>
  <c r="O177" s="1"/>
  <c r="O144"/>
  <c r="O147"/>
  <c r="O186" s="1"/>
  <c r="O149"/>
  <c r="O143"/>
  <c r="O146"/>
  <c r="O185" s="1"/>
  <c r="O148"/>
  <c r="O187" s="1"/>
  <c r="O176"/>
  <c r="P105"/>
  <c r="P111"/>
  <c r="P100"/>
  <c r="P137" s="1"/>
  <c r="P103"/>
  <c r="P109"/>
  <c r="P107"/>
  <c r="P106"/>
  <c r="P114"/>
  <c r="P112"/>
  <c r="P101"/>
  <c r="P104"/>
  <c r="P113"/>
  <c r="P102"/>
  <c r="P110"/>
  <c r="P108"/>
  <c r="O139"/>
  <c r="O178" s="1"/>
  <c r="O140"/>
  <c r="O179" s="1"/>
  <c r="O142"/>
  <c r="O188" l="1"/>
  <c r="O184"/>
  <c r="O183"/>
  <c r="O181"/>
  <c r="O190"/>
  <c r="O180"/>
  <c r="O182"/>
  <c r="P139"/>
  <c r="P178" s="1"/>
  <c r="P145"/>
  <c r="P147"/>
  <c r="P186" s="1"/>
  <c r="P150"/>
  <c r="P189" s="1"/>
  <c r="P143"/>
  <c r="P138"/>
  <c r="P177" s="1"/>
  <c r="P148"/>
  <c r="P187" s="1"/>
  <c r="P146"/>
  <c r="P185" s="1"/>
  <c r="P140"/>
  <c r="P179" s="1"/>
  <c r="P151"/>
  <c r="P144"/>
  <c r="Q114"/>
  <c r="Q100"/>
  <c r="Q137" s="1"/>
  <c r="Q110"/>
  <c r="Q109"/>
  <c r="Q106"/>
  <c r="Q111"/>
  <c r="Q107"/>
  <c r="Q101"/>
  <c r="Q105"/>
  <c r="Q102"/>
  <c r="Q113"/>
  <c r="Q108"/>
  <c r="Q112"/>
  <c r="Q104"/>
  <c r="Q103"/>
  <c r="P176"/>
  <c r="P141"/>
  <c r="P149"/>
  <c r="P142"/>
  <c r="P188" l="1"/>
  <c r="Q140"/>
  <c r="Q179" s="1"/>
  <c r="P183"/>
  <c r="P182"/>
  <c r="P184"/>
  <c r="P181"/>
  <c r="P190"/>
  <c r="P180"/>
  <c r="Q149"/>
  <c r="Q188" s="1"/>
  <c r="Q138"/>
  <c r="Q177" s="1"/>
  <c r="Q139"/>
  <c r="Q178" s="1"/>
  <c r="Q144"/>
  <c r="Q147"/>
  <c r="Q186" s="1"/>
  <c r="Q146"/>
  <c r="Q185" s="1"/>
  <c r="Q141"/>
  <c r="Q145"/>
  <c r="Q143"/>
  <c r="Q151"/>
  <c r="Q176"/>
  <c r="R104"/>
  <c r="R100"/>
  <c r="R137" s="1"/>
  <c r="R101"/>
  <c r="R106"/>
  <c r="R109"/>
  <c r="R107"/>
  <c r="R113"/>
  <c r="R105"/>
  <c r="R110"/>
  <c r="R108"/>
  <c r="R112"/>
  <c r="R102"/>
  <c r="R103"/>
  <c r="R111"/>
  <c r="R114"/>
  <c r="Q150"/>
  <c r="Q189" s="1"/>
  <c r="Q142"/>
  <c r="Q148"/>
  <c r="Q187" s="1"/>
  <c r="Q184" l="1"/>
  <c r="Q183"/>
  <c r="Q182"/>
  <c r="Q190"/>
  <c r="Q181"/>
  <c r="Q180"/>
  <c r="R142"/>
  <c r="R148"/>
  <c r="R187" s="1"/>
  <c r="R145"/>
  <c r="R184" s="1"/>
  <c r="R140"/>
  <c r="R179" s="1"/>
  <c r="R150"/>
  <c r="R189" s="1"/>
  <c r="R143"/>
  <c r="R138"/>
  <c r="R177" s="1"/>
  <c r="S105"/>
  <c r="S113"/>
  <c r="S114"/>
  <c r="S101"/>
  <c r="S112"/>
  <c r="S102"/>
  <c r="S103"/>
  <c r="S104"/>
  <c r="S109"/>
  <c r="S110"/>
  <c r="S111"/>
  <c r="S106"/>
  <c r="S107"/>
  <c r="S100"/>
  <c r="S137" s="1"/>
  <c r="S108"/>
  <c r="R176"/>
  <c r="R146"/>
  <c r="R185" s="1"/>
  <c r="R141"/>
  <c r="R151"/>
  <c r="R190" s="1"/>
  <c r="R149"/>
  <c r="R188" s="1"/>
  <c r="R147"/>
  <c r="R186" s="1"/>
  <c r="R144"/>
  <c r="R139"/>
  <c r="R178" s="1"/>
  <c r="R182" l="1"/>
  <c r="R183"/>
  <c r="R181"/>
  <c r="R180"/>
  <c r="S140"/>
  <c r="S179" s="1"/>
  <c r="S144"/>
  <c r="S183" s="1"/>
  <c r="S138"/>
  <c r="S177" s="1"/>
  <c r="S142"/>
  <c r="S147"/>
  <c r="S186" s="1"/>
  <c r="S141"/>
  <c r="S149"/>
  <c r="S188" s="1"/>
  <c r="S150"/>
  <c r="S189" s="1"/>
  <c r="T106"/>
  <c r="T102"/>
  <c r="T107"/>
  <c r="T104"/>
  <c r="T108"/>
  <c r="T101"/>
  <c r="T111"/>
  <c r="T113"/>
  <c r="T100"/>
  <c r="T137" s="1"/>
  <c r="T103"/>
  <c r="T110"/>
  <c r="T112"/>
  <c r="T105"/>
  <c r="T114"/>
  <c r="T109"/>
  <c r="S145"/>
  <c r="S184" s="1"/>
  <c r="S148"/>
  <c r="S187" s="1"/>
  <c r="S139"/>
  <c r="S178" s="1"/>
  <c r="S151"/>
  <c r="S190" s="1"/>
  <c r="S176"/>
  <c r="S143"/>
  <c r="S182" s="1"/>
  <c r="S146"/>
  <c r="S185" s="1"/>
  <c r="S181" l="1"/>
  <c r="S180"/>
  <c r="T151"/>
  <c r="T190" s="1"/>
  <c r="T140"/>
  <c r="T179" s="1"/>
  <c r="T146"/>
  <c r="T185" s="1"/>
  <c r="T147"/>
  <c r="T186" s="1"/>
  <c r="T150"/>
  <c r="T189" s="1"/>
  <c r="T138"/>
  <c r="T177" s="1"/>
  <c r="T144"/>
  <c r="T183" s="1"/>
  <c r="T142"/>
  <c r="T149"/>
  <c r="T188" s="1"/>
  <c r="T139"/>
  <c r="T178" s="1"/>
  <c r="T176"/>
  <c r="T148"/>
  <c r="T187" s="1"/>
  <c r="T145"/>
  <c r="T184" s="1"/>
  <c r="U106"/>
  <c r="U112"/>
  <c r="U110"/>
  <c r="U105"/>
  <c r="U104"/>
  <c r="U100"/>
  <c r="U137" s="1"/>
  <c r="U114"/>
  <c r="U107"/>
  <c r="U102"/>
  <c r="U101"/>
  <c r="U111"/>
  <c r="U109"/>
  <c r="U108"/>
  <c r="U103"/>
  <c r="U113"/>
  <c r="T141"/>
  <c r="T143"/>
  <c r="T182" s="1"/>
  <c r="T181" l="1"/>
  <c r="T180"/>
  <c r="U145"/>
  <c r="U184" s="1"/>
  <c r="U144"/>
  <c r="U183" s="1"/>
  <c r="U139"/>
  <c r="U178" s="1"/>
  <c r="U140"/>
  <c r="U179" s="1"/>
  <c r="U149"/>
  <c r="U188" s="1"/>
  <c r="U147"/>
  <c r="U186" s="1"/>
  <c r="U143"/>
  <c r="U182" s="1"/>
  <c r="U176"/>
  <c r="U141"/>
  <c r="U150"/>
  <c r="U189" s="1"/>
  <c r="U146"/>
  <c r="U185" s="1"/>
  <c r="U148"/>
  <c r="U187" s="1"/>
  <c r="U151"/>
  <c r="U190" s="1"/>
  <c r="U142"/>
  <c r="V105"/>
  <c r="V111"/>
  <c r="V110"/>
  <c r="V104"/>
  <c r="V101"/>
  <c r="V106"/>
  <c r="V100"/>
  <c r="V137" s="1"/>
  <c r="V113"/>
  <c r="V108"/>
  <c r="V107"/>
  <c r="V103"/>
  <c r="V109"/>
  <c r="V112"/>
  <c r="V102"/>
  <c r="V114"/>
  <c r="U138"/>
  <c r="U177" s="1"/>
  <c r="U181" l="1"/>
  <c r="U180"/>
  <c r="V144"/>
  <c r="V183" s="1"/>
  <c r="V151"/>
  <c r="V190" s="1"/>
  <c r="V140"/>
  <c r="V179" s="1"/>
  <c r="V149"/>
  <c r="V188" s="1"/>
  <c r="V139"/>
  <c r="V178" s="1"/>
  <c r="V143"/>
  <c r="V182" s="1"/>
  <c r="V146"/>
  <c r="V185" s="1"/>
  <c r="V150"/>
  <c r="V189" s="1"/>
  <c r="V147"/>
  <c r="V186" s="1"/>
  <c r="V145"/>
  <c r="V184" s="1"/>
  <c r="V138"/>
  <c r="V177" s="1"/>
  <c r="V142"/>
  <c r="V176"/>
  <c r="W114"/>
  <c r="W104"/>
  <c r="W110"/>
  <c r="W111"/>
  <c r="W108"/>
  <c r="W105"/>
  <c r="W109"/>
  <c r="W112"/>
  <c r="W107"/>
  <c r="W100"/>
  <c r="W137" s="1"/>
  <c r="W106"/>
  <c r="W102"/>
  <c r="W101"/>
  <c r="W113"/>
  <c r="W103"/>
  <c r="V141"/>
  <c r="V148"/>
  <c r="V187" s="1"/>
  <c r="V181" l="1"/>
  <c r="V180"/>
  <c r="W140"/>
  <c r="W179" s="1"/>
  <c r="W142"/>
  <c r="W150"/>
  <c r="W189" s="1"/>
  <c r="W146"/>
  <c r="W185" s="1"/>
  <c r="W148"/>
  <c r="W187" s="1"/>
  <c r="W138"/>
  <c r="W177" s="1"/>
  <c r="W151"/>
  <c r="W190" s="1"/>
  <c r="W139"/>
  <c r="W178" s="1"/>
  <c r="W149"/>
  <c r="W188" s="1"/>
  <c r="W141"/>
  <c r="W176"/>
  <c r="X107"/>
  <c r="X106"/>
  <c r="X113"/>
  <c r="X100"/>
  <c r="X137" s="1"/>
  <c r="X110"/>
  <c r="X102"/>
  <c r="X105"/>
  <c r="X112"/>
  <c r="X111"/>
  <c r="X114"/>
  <c r="X109"/>
  <c r="X103"/>
  <c r="X104"/>
  <c r="X108"/>
  <c r="X101"/>
  <c r="W143"/>
  <c r="W182" s="1"/>
  <c r="W144"/>
  <c r="W183" s="1"/>
  <c r="W145"/>
  <c r="W184" s="1"/>
  <c r="W147"/>
  <c r="W186" s="1"/>
  <c r="W181" l="1"/>
  <c r="W180"/>
  <c r="X145"/>
  <c r="X148"/>
  <c r="X140"/>
  <c r="X149"/>
  <c r="X143"/>
  <c r="X138"/>
  <c r="X176"/>
  <c r="X141"/>
  <c r="X139"/>
  <c r="X151"/>
  <c r="X150"/>
  <c r="X146"/>
  <c r="X142"/>
  <c r="X147"/>
  <c r="X144"/>
  <c r="X177" l="1"/>
  <c r="X189"/>
  <c r="X188"/>
  <c r="X181"/>
  <c r="X187"/>
  <c r="X183"/>
  <c r="X178"/>
  <c r="X184"/>
  <c r="X185"/>
  <c r="X190"/>
  <c r="X186"/>
  <c r="X180"/>
  <c r="X182"/>
  <c r="X179"/>
  <c r="G85" i="26"/>
  <c r="I54"/>
  <c r="E54" s="1"/>
  <c r="H84"/>
  <c r="I51"/>
  <c r="E51" s="1"/>
  <c r="G82"/>
  <c r="G84"/>
  <c r="I53"/>
  <c r="E53" s="1"/>
  <c r="G83"/>
  <c r="H85"/>
  <c r="H83"/>
  <c r="I52"/>
  <c r="E52" s="1"/>
  <c r="H52" s="1"/>
  <c r="G52" s="1"/>
  <c r="I50"/>
  <c r="E50" s="1"/>
  <c r="H82"/>
  <c r="H81"/>
  <c r="H53" l="1"/>
  <c r="G53" s="1"/>
  <c r="H51"/>
  <c r="G51" s="1"/>
  <c r="H50"/>
  <c r="G50" s="1"/>
  <c r="L50"/>
  <c r="M52" s="1"/>
  <c r="H54"/>
  <c r="G54" s="1"/>
  <c r="G81"/>
  <c r="I82"/>
  <c r="I83"/>
  <c r="I85"/>
  <c r="I84"/>
  <c r="I81"/>
  <c r="J50" l="1"/>
  <c r="K51" s="1"/>
  <c r="D5" i="30" s="1"/>
  <c r="M51" i="26"/>
  <c r="M54"/>
  <c r="M53"/>
  <c r="M50"/>
  <c r="C4" i="30"/>
  <c r="C82" i="26"/>
  <c r="C5" i="30"/>
  <c r="E84" i="26"/>
  <c r="E7" i="30"/>
  <c r="F19"/>
  <c r="F26" s="1"/>
  <c r="F18"/>
  <c r="F25" s="1"/>
  <c r="K53" i="26" l="1"/>
  <c r="D7" i="30" s="1"/>
  <c r="C21" s="1"/>
  <c r="C28" s="1"/>
  <c r="K52" i="26"/>
  <c r="D6" i="30" s="1"/>
  <c r="K50" i="26"/>
  <c r="D81" s="1"/>
  <c r="D82"/>
  <c r="K54"/>
  <c r="D8" i="30" s="1"/>
  <c r="C81" i="26"/>
  <c r="C85"/>
  <c r="C8" i="30"/>
  <c r="E83" i="26"/>
  <c r="E6" i="30"/>
  <c r="C83" i="26"/>
  <c r="C6" i="30"/>
  <c r="F21"/>
  <c r="F28" s="1"/>
  <c r="D84" i="26" l="1"/>
  <c r="K84" s="1"/>
  <c r="D4" i="30"/>
  <c r="D83" i="26"/>
  <c r="K83" s="1"/>
  <c r="D85"/>
  <c r="C20" i="30"/>
  <c r="C27" s="1"/>
  <c r="D37" i="15" s="1"/>
  <c r="M4" s="1"/>
  <c r="M28" s="1"/>
  <c r="G9" i="17" s="1"/>
  <c r="G8" i="2" s="1"/>
  <c r="E37" i="15"/>
  <c r="M5" s="1"/>
  <c r="M29" s="1"/>
  <c r="G10" i="17" s="1"/>
  <c r="G9" i="2" s="1"/>
  <c r="E81" i="26"/>
  <c r="K81" s="1"/>
  <c r="E4" i="30"/>
  <c r="E85" i="26"/>
  <c r="E8" i="30"/>
  <c r="C22" s="1"/>
  <c r="C29" s="1"/>
  <c r="E82" i="26"/>
  <c r="K82" s="1"/>
  <c r="E5" i="30"/>
  <c r="F20"/>
  <c r="F27" s="1"/>
  <c r="C18" l="1"/>
  <c r="C25" s="1"/>
  <c r="K85" i="26"/>
  <c r="C19" i="30"/>
  <c r="C26" s="1"/>
  <c r="C37" i="15" s="1"/>
  <c r="M3" s="1"/>
  <c r="M27" s="1"/>
  <c r="G8" i="17" s="1"/>
  <c r="G7" i="2" s="1"/>
  <c r="G37" s="1"/>
  <c r="E8" i="3" s="1"/>
  <c r="G39" i="2"/>
  <c r="E10" i="3" s="1"/>
  <c r="F37" i="15"/>
  <c r="M6" s="1"/>
  <c r="M30" s="1"/>
  <c r="G11" i="17" s="1"/>
  <c r="F22" i="30"/>
  <c r="F29" s="1"/>
  <c r="G38" i="2" l="1"/>
  <c r="E9" i="3" s="1"/>
  <c r="F38" i="15"/>
  <c r="M7" s="1"/>
  <c r="M31" s="1"/>
  <c r="G12" i="17" s="1"/>
  <c r="G10" i="2" s="1"/>
  <c r="G40" s="1"/>
  <c r="E11" i="3" s="1"/>
  <c r="Q18" i="30"/>
  <c r="Q25" s="1"/>
  <c r="Q19" l="1"/>
  <c r="Q26" s="1"/>
  <c r="Q20" l="1"/>
  <c r="Q27" s="1"/>
  <c r="K18"/>
  <c r="K25" s="1"/>
  <c r="Q21" l="1"/>
  <c r="Q28" s="1"/>
  <c r="Q22" l="1"/>
  <c r="Q29" s="1"/>
  <c r="K19"/>
  <c r="K26" s="1"/>
  <c r="F40" i="15" l="1"/>
  <c r="M12" s="1"/>
  <c r="M36" s="1"/>
  <c r="G17" i="17" s="1"/>
  <c r="C39" i="15"/>
  <c r="M8" s="1"/>
  <c r="M32" s="1"/>
  <c r="G13" i="17" s="1"/>
  <c r="K20" i="30"/>
  <c r="K27" s="1"/>
  <c r="D39" i="15" l="1"/>
  <c r="M9" s="1"/>
  <c r="M33" s="1"/>
  <c r="G14" i="17" s="1"/>
  <c r="K22" i="30"/>
  <c r="K29" s="1"/>
  <c r="K21"/>
  <c r="K28" s="1"/>
  <c r="F39" i="15" l="1"/>
  <c r="M11" s="1"/>
  <c r="M35" s="1"/>
  <c r="G16" i="17" s="1"/>
  <c r="E39" i="15"/>
  <c r="M10" s="1"/>
  <c r="M34" s="1"/>
  <c r="G15" i="17" s="1"/>
  <c r="C43" i="7"/>
  <c r="C45"/>
  <c r="C46"/>
  <c r="Q25" l="1"/>
  <c r="H25"/>
  <c r="J26"/>
  <c r="R26"/>
  <c r="G23"/>
  <c r="O23"/>
  <c r="I24"/>
  <c r="Q24"/>
  <c r="K25"/>
  <c r="S25"/>
  <c r="M26"/>
  <c r="E23"/>
  <c r="F23"/>
  <c r="J23"/>
  <c r="N23"/>
  <c r="R23"/>
  <c r="H24"/>
  <c r="L24"/>
  <c r="P24"/>
  <c r="F25"/>
  <c r="J25"/>
  <c r="N25"/>
  <c r="R25"/>
  <c r="H26"/>
  <c r="L26"/>
  <c r="P26"/>
  <c r="E26"/>
  <c r="I23"/>
  <c r="M23"/>
  <c r="Q23"/>
  <c r="G24"/>
  <c r="K24"/>
  <c r="O24"/>
  <c r="S24"/>
  <c r="I25"/>
  <c r="M25"/>
  <c r="G26"/>
  <c r="K26"/>
  <c r="O26"/>
  <c r="S26"/>
  <c r="E25"/>
  <c r="H23"/>
  <c r="L23"/>
  <c r="P23"/>
  <c r="F24"/>
  <c r="J24"/>
  <c r="N24"/>
  <c r="R24"/>
  <c r="L25"/>
  <c r="P25"/>
  <c r="F26"/>
  <c r="N26"/>
  <c r="E24"/>
  <c r="K23"/>
  <c r="S23"/>
  <c r="M24"/>
  <c r="G25"/>
  <c r="O25"/>
  <c r="I26"/>
  <c r="Q26"/>
  <c r="C44"/>
  <c r="M28" l="1"/>
  <c r="L28"/>
  <c r="K28"/>
  <c r="I28"/>
  <c r="G28"/>
  <c r="F28"/>
  <c r="R28"/>
  <c r="P28"/>
  <c r="O28"/>
  <c r="J28"/>
  <c r="H28"/>
  <c r="E28"/>
  <c r="N28"/>
  <c r="S28"/>
  <c r="Q28"/>
  <c r="K73" i="6" l="1"/>
  <c r="K110" l="1"/>
  <c r="K111"/>
  <c r="T24" i="35" l="1"/>
  <c r="T25" l="1"/>
  <c r="T26" l="1"/>
  <c r="U23" l="1"/>
  <c r="W23"/>
  <c r="V23"/>
  <c r="T23"/>
  <c r="X23"/>
  <c r="T28" l="1"/>
  <c r="W68" i="6" l="1"/>
  <c r="W106" s="1"/>
  <c r="W105" l="1"/>
  <c r="Y97" i="35" l="1"/>
  <c r="Y134" s="1"/>
  <c r="Y98"/>
  <c r="Y135" l="1"/>
  <c r="E98"/>
  <c r="E97"/>
  <c r="E134" s="1"/>
  <c r="E173" s="1"/>
  <c r="V68" i="34" l="1"/>
  <c r="V105" s="1"/>
  <c r="V69"/>
  <c r="W97" i="35"/>
  <c r="W134" s="1"/>
  <c r="W98"/>
  <c r="I78" i="6"/>
  <c r="I115" s="1"/>
  <c r="I79"/>
  <c r="E116" i="7"/>
  <c r="E115"/>
  <c r="E152" s="1"/>
  <c r="E191" s="1"/>
  <c r="L116"/>
  <c r="L115"/>
  <c r="L152" s="1"/>
  <c r="J79" i="6"/>
  <c r="J78"/>
  <c r="J115" s="1"/>
  <c r="G78"/>
  <c r="G115" s="1"/>
  <c r="G79"/>
  <c r="R115" i="7"/>
  <c r="R152" s="1"/>
  <c r="R116"/>
  <c r="G97" i="35"/>
  <c r="G134" s="1"/>
  <c r="G98"/>
  <c r="F68" i="34"/>
  <c r="F105" s="1"/>
  <c r="F69"/>
  <c r="J116" i="7"/>
  <c r="J115"/>
  <c r="J152" s="1"/>
  <c r="Q98" i="35"/>
  <c r="Q97"/>
  <c r="Q134" s="1"/>
  <c r="O68" i="34"/>
  <c r="O105" s="1"/>
  <c r="O69"/>
  <c r="F97" i="35"/>
  <c r="F134" s="1"/>
  <c r="F173" s="1"/>
  <c r="F98"/>
  <c r="H69" i="34"/>
  <c r="H68"/>
  <c r="H105" s="1"/>
  <c r="N68"/>
  <c r="N105" s="1"/>
  <c r="N69"/>
  <c r="R98" i="35"/>
  <c r="R97"/>
  <c r="R134" s="1"/>
  <c r="I115" i="7"/>
  <c r="I152" s="1"/>
  <c r="I116"/>
  <c r="K97" i="35"/>
  <c r="K134" s="1"/>
  <c r="K98"/>
  <c r="S68" i="34"/>
  <c r="S105" s="1"/>
  <c r="S69"/>
  <c r="O79" i="6"/>
  <c r="O78"/>
  <c r="O115" s="1"/>
  <c r="L69" i="34"/>
  <c r="L68"/>
  <c r="L105" s="1"/>
  <c r="N116" i="7"/>
  <c r="N115"/>
  <c r="N152" s="1"/>
  <c r="L98" i="35"/>
  <c r="L97"/>
  <c r="L134" s="1"/>
  <c r="T97"/>
  <c r="T134" s="1"/>
  <c r="T98"/>
  <c r="I68" i="34"/>
  <c r="I105" s="1"/>
  <c r="I69"/>
  <c r="J69"/>
  <c r="J68"/>
  <c r="J105" s="1"/>
  <c r="U98" i="35"/>
  <c r="U97"/>
  <c r="U134" s="1"/>
  <c r="K68" i="34"/>
  <c r="K105" s="1"/>
  <c r="K69"/>
  <c r="X98" i="35"/>
  <c r="X97"/>
  <c r="X134" s="1"/>
  <c r="G69" i="34"/>
  <c r="G68"/>
  <c r="G105" s="1"/>
  <c r="R69"/>
  <c r="R68"/>
  <c r="R105" s="1"/>
  <c r="Q116" i="7"/>
  <c r="Q115"/>
  <c r="Q152" s="1"/>
  <c r="G115"/>
  <c r="G152" s="1"/>
  <c r="G116"/>
  <c r="M115"/>
  <c r="M152" s="1"/>
  <c r="M116"/>
  <c r="U78" i="6"/>
  <c r="U115" s="1"/>
  <c r="U79"/>
  <c r="S97" i="35"/>
  <c r="S134" s="1"/>
  <c r="S98"/>
  <c r="T79" i="6"/>
  <c r="T78"/>
  <c r="T115" s="1"/>
  <c r="P68" i="34"/>
  <c r="P105" s="1"/>
  <c r="P69"/>
  <c r="E69"/>
  <c r="E68"/>
  <c r="Q78" i="6"/>
  <c r="Q115" s="1"/>
  <c r="Q79"/>
  <c r="H116" i="7"/>
  <c r="H115"/>
  <c r="H152" s="1"/>
  <c r="T68" i="34"/>
  <c r="T105" s="1"/>
  <c r="T69"/>
  <c r="S78" i="6"/>
  <c r="S115" s="1"/>
  <c r="S79"/>
  <c r="F116" i="7"/>
  <c r="F115"/>
  <c r="F152" s="1"/>
  <c r="O97" i="35"/>
  <c r="O134" s="1"/>
  <c r="O98"/>
  <c r="Q69" i="34"/>
  <c r="Q68"/>
  <c r="Q105" s="1"/>
  <c r="U69"/>
  <c r="U68"/>
  <c r="U105" s="1"/>
  <c r="N78" i="6"/>
  <c r="N115" s="1"/>
  <c r="N79"/>
  <c r="P98" i="35"/>
  <c r="P97"/>
  <c r="P134" s="1"/>
  <c r="V78" i="6"/>
  <c r="V115" s="1"/>
  <c r="V79"/>
  <c r="P78"/>
  <c r="P115" s="1"/>
  <c r="P79"/>
  <c r="W68" i="34"/>
  <c r="W105" s="1"/>
  <c r="W69"/>
  <c r="X68"/>
  <c r="X105" s="1"/>
  <c r="X69"/>
  <c r="E78" i="6"/>
  <c r="E115" s="1"/>
  <c r="E79"/>
  <c r="N98" i="35"/>
  <c r="N97"/>
  <c r="N134" s="1"/>
  <c r="R78" i="6"/>
  <c r="R115" s="1"/>
  <c r="R79"/>
  <c r="X79"/>
  <c r="X78"/>
  <c r="X115" s="1"/>
  <c r="S115" i="7"/>
  <c r="S152" s="1"/>
  <c r="S116"/>
  <c r="H79" i="6"/>
  <c r="H78"/>
  <c r="H115" s="1"/>
  <c r="J97" i="35"/>
  <c r="J134" s="1"/>
  <c r="J98"/>
  <c r="M97"/>
  <c r="M134" s="1"/>
  <c r="M98"/>
  <c r="K116" i="7"/>
  <c r="K115"/>
  <c r="K152" s="1"/>
  <c r="W78" i="6"/>
  <c r="W115" s="1"/>
  <c r="W79"/>
  <c r="L78"/>
  <c r="L115" s="1"/>
  <c r="L79"/>
  <c r="V98" i="35"/>
  <c r="V97"/>
  <c r="V134" s="1"/>
  <c r="P115" i="7"/>
  <c r="P152" s="1"/>
  <c r="P116"/>
  <c r="K78" i="6"/>
  <c r="K115" s="1"/>
  <c r="K79"/>
  <c r="O115" i="7"/>
  <c r="O152" s="1"/>
  <c r="O116"/>
  <c r="H98" i="35"/>
  <c r="H97"/>
  <c r="H134" s="1"/>
  <c r="M79" i="6"/>
  <c r="M78"/>
  <c r="M115" s="1"/>
  <c r="I98" i="35"/>
  <c r="I97"/>
  <c r="I134" s="1"/>
  <c r="F79" i="6"/>
  <c r="F78"/>
  <c r="F115" s="1"/>
  <c r="M69" i="34"/>
  <c r="M68"/>
  <c r="M105" s="1"/>
  <c r="E135" i="35"/>
  <c r="E174" s="1"/>
  <c r="X106" i="34" l="1"/>
  <c r="S135" i="35"/>
  <c r="I116" i="6"/>
  <c r="V106" i="34"/>
  <c r="F135" i="35"/>
  <c r="F174" s="1"/>
  <c r="P153" i="7"/>
  <c r="N116" i="6"/>
  <c r="O153" i="7"/>
  <c r="P106" i="34"/>
  <c r="M153" i="7"/>
  <c r="M106" i="34"/>
  <c r="F116" i="6"/>
  <c r="N153" i="7"/>
  <c r="R153"/>
  <c r="K116" i="6"/>
  <c r="X116"/>
  <c r="V135" i="35"/>
  <c r="J135"/>
  <c r="R106" i="34"/>
  <c r="I106"/>
  <c r="L135" i="35"/>
  <c r="G173"/>
  <c r="H173" s="1"/>
  <c r="I173" s="1"/>
  <c r="J173" s="1"/>
  <c r="K173" s="1"/>
  <c r="L173" s="1"/>
  <c r="M173" s="1"/>
  <c r="N173" s="1"/>
  <c r="O173" s="1"/>
  <c r="P173" s="1"/>
  <c r="Q173" s="1"/>
  <c r="R173" s="1"/>
  <c r="S173" s="1"/>
  <c r="T173" s="1"/>
  <c r="U173" s="1"/>
  <c r="V173" s="1"/>
  <c r="W173" s="1"/>
  <c r="X173" s="1"/>
  <c r="I135"/>
  <c r="H106" i="34"/>
  <c r="G135" i="35"/>
  <c r="E153" i="7"/>
  <c r="E192" s="1"/>
  <c r="S153"/>
  <c r="O116" i="6"/>
  <c r="K135" i="35"/>
  <c r="N106" i="34"/>
  <c r="W106"/>
  <c r="K106"/>
  <c r="U135" i="35"/>
  <c r="T135"/>
  <c r="H116" i="6"/>
  <c r="Q106" i="34"/>
  <c r="J153" i="7"/>
  <c r="G116" i="6"/>
  <c r="L153" i="7"/>
  <c r="W116" i="6"/>
  <c r="M135" i="35"/>
  <c r="R116" i="6"/>
  <c r="N135" i="35"/>
  <c r="E116" i="6"/>
  <c r="P116"/>
  <c r="V116"/>
  <c r="F153" i="7"/>
  <c r="Y79" i="6"/>
  <c r="Y78"/>
  <c r="Y115" s="1"/>
  <c r="Y68" i="34"/>
  <c r="E105"/>
  <c r="Y105" s="1"/>
  <c r="U106"/>
  <c r="L116" i="6"/>
  <c r="T116"/>
  <c r="U116"/>
  <c r="G106" i="34"/>
  <c r="X135" i="35"/>
  <c r="S106" i="34"/>
  <c r="R135" i="35"/>
  <c r="O106" i="34"/>
  <c r="F106"/>
  <c r="W135" i="35"/>
  <c r="E106" i="34"/>
  <c r="Y69"/>
  <c r="M116" i="6"/>
  <c r="H135" i="35"/>
  <c r="K153" i="7"/>
  <c r="P135" i="35"/>
  <c r="O135"/>
  <c r="S116" i="6"/>
  <c r="T106" i="34"/>
  <c r="H153" i="7"/>
  <c r="Q116" i="6"/>
  <c r="G153" i="7"/>
  <c r="Q153"/>
  <c r="J106" i="34"/>
  <c r="L106"/>
  <c r="I153" i="7"/>
  <c r="Q135" i="35"/>
  <c r="J116" i="6"/>
  <c r="F191" i="7"/>
  <c r="G191" s="1"/>
  <c r="H191" s="1"/>
  <c r="I191" s="1"/>
  <c r="J191" s="1"/>
  <c r="K191" s="1"/>
  <c r="L191" s="1"/>
  <c r="M191" s="1"/>
  <c r="N191" s="1"/>
  <c r="O191" s="1"/>
  <c r="P191" s="1"/>
  <c r="Q191" s="1"/>
  <c r="R191" s="1"/>
  <c r="S191" s="1"/>
  <c r="G174" i="35" l="1"/>
  <c r="H174" s="1"/>
  <c r="I174" s="1"/>
  <c r="J174" s="1"/>
  <c r="K174" s="1"/>
  <c r="L174" s="1"/>
  <c r="M174" s="1"/>
  <c r="N174" s="1"/>
  <c r="O174" s="1"/>
  <c r="P174" s="1"/>
  <c r="Q174" s="1"/>
  <c r="R174" s="1"/>
  <c r="S174" s="1"/>
  <c r="T174" s="1"/>
  <c r="U174" s="1"/>
  <c r="V174" s="1"/>
  <c r="W174" s="1"/>
  <c r="X174" s="1"/>
  <c r="F192" i="7"/>
  <c r="G192" s="1"/>
  <c r="H192" s="1"/>
  <c r="I192" s="1"/>
  <c r="J192" s="1"/>
  <c r="K192" s="1"/>
  <c r="L192" s="1"/>
  <c r="M192" s="1"/>
  <c r="N192" s="1"/>
  <c r="O192" s="1"/>
  <c r="P192" s="1"/>
  <c r="Q192" s="1"/>
  <c r="R192" s="1"/>
  <c r="S192" s="1"/>
  <c r="Y116" i="6"/>
  <c r="Y106" i="34"/>
  <c r="Y115" i="7" l="1"/>
  <c r="Y152" s="1"/>
  <c r="Y116"/>
  <c r="Y153" l="1"/>
  <c r="X115"/>
  <c r="X152" s="1"/>
  <c r="X116"/>
  <c r="W116"/>
  <c r="W115"/>
  <c r="W152" s="1"/>
  <c r="T115"/>
  <c r="T152" s="1"/>
  <c r="T191" s="1"/>
  <c r="T116"/>
  <c r="U116"/>
  <c r="U115"/>
  <c r="U152" s="1"/>
  <c r="V115"/>
  <c r="V152" s="1"/>
  <c r="V116"/>
  <c r="V153" l="1"/>
  <c r="T153"/>
  <c r="T192" s="1"/>
  <c r="U191"/>
  <c r="V191" s="1"/>
  <c r="W191" s="1"/>
  <c r="X191" s="1"/>
  <c r="X153"/>
  <c r="U153"/>
  <c r="W153"/>
  <c r="U192" l="1"/>
  <c r="V192" s="1"/>
  <c r="W192" s="1"/>
  <c r="X192" s="1"/>
  <c r="B52" i="35" l="1"/>
  <c r="B44"/>
  <c r="B44" i="7"/>
  <c r="B52"/>
  <c r="B24" i="34"/>
  <c r="B24" i="6"/>
  <c r="B53" i="7" l="1"/>
  <c r="B45"/>
  <c r="O52" i="35"/>
  <c r="J52"/>
  <c r="H52"/>
  <c r="T52"/>
  <c r="R52"/>
  <c r="E52"/>
  <c r="L52"/>
  <c r="I52"/>
  <c r="M52"/>
  <c r="N52"/>
  <c r="Q52"/>
  <c r="G52"/>
  <c r="K52"/>
  <c r="S52"/>
  <c r="F52"/>
  <c r="P52"/>
  <c r="G52" i="7"/>
  <c r="N52"/>
  <c r="L52"/>
  <c r="I52"/>
  <c r="J52"/>
  <c r="H52"/>
  <c r="K52"/>
  <c r="P52"/>
  <c r="E52"/>
  <c r="F52"/>
  <c r="R52"/>
  <c r="M52"/>
  <c r="S52"/>
  <c r="O52"/>
  <c r="Q52"/>
  <c r="B53" i="35"/>
  <c r="B45"/>
  <c r="B25" i="34"/>
  <c r="B25" i="6"/>
  <c r="P53" i="35" l="1"/>
  <c r="N53"/>
  <c r="F53"/>
  <c r="J53"/>
  <c r="G53"/>
  <c r="M53"/>
  <c r="I53"/>
  <c r="E53"/>
  <c r="R53"/>
  <c r="K53"/>
  <c r="L53"/>
  <c r="T53"/>
  <c r="H53"/>
  <c r="O53"/>
  <c r="Q53"/>
  <c r="S53"/>
  <c r="N53" i="7"/>
  <c r="K53"/>
  <c r="R53"/>
  <c r="F53"/>
  <c r="J53"/>
  <c r="H53"/>
  <c r="S53"/>
  <c r="G53"/>
  <c r="E53"/>
  <c r="M53"/>
  <c r="Q53"/>
  <c r="O53"/>
  <c r="L53"/>
  <c r="I53"/>
  <c r="P53"/>
  <c r="B54" l="1"/>
  <c r="B46"/>
  <c r="B46" i="35"/>
  <c r="B54"/>
  <c r="B26" i="34"/>
  <c r="B26" i="6"/>
  <c r="N54" i="7" l="1"/>
  <c r="M54"/>
  <c r="R54"/>
  <c r="O54"/>
  <c r="E54"/>
  <c r="I54"/>
  <c r="S54"/>
  <c r="P54"/>
  <c r="K54"/>
  <c r="F54"/>
  <c r="L54"/>
  <c r="J54"/>
  <c r="H54"/>
  <c r="Q54"/>
  <c r="G54"/>
  <c r="O54" i="35"/>
  <c r="M54"/>
  <c r="P54"/>
  <c r="Q54"/>
  <c r="R54"/>
  <c r="S54"/>
  <c r="N54"/>
  <c r="L54"/>
  <c r="I54"/>
  <c r="E54"/>
  <c r="T54"/>
  <c r="J54"/>
  <c r="F54"/>
  <c r="H54"/>
  <c r="G54"/>
  <c r="K54"/>
  <c r="B43" i="7" l="1"/>
  <c r="B51"/>
  <c r="B43" i="35"/>
  <c r="B51"/>
  <c r="B23" i="6"/>
  <c r="B23" i="34"/>
  <c r="Z51" i="35" l="1"/>
  <c r="R51"/>
  <c r="R56" s="1"/>
  <c r="Q51"/>
  <c r="Q56" s="1"/>
  <c r="L51"/>
  <c r="L56" s="1"/>
  <c r="M51"/>
  <c r="M56" s="1"/>
  <c r="O51"/>
  <c r="O56" s="1"/>
  <c r="K51"/>
  <c r="K56" s="1"/>
  <c r="U51"/>
  <c r="N51"/>
  <c r="N56" s="1"/>
  <c r="S51"/>
  <c r="S56" s="1"/>
  <c r="G51"/>
  <c r="G56" s="1"/>
  <c r="V51"/>
  <c r="F51"/>
  <c r="F56" s="1"/>
  <c r="W51"/>
  <c r="E51"/>
  <c r="E56" s="1"/>
  <c r="X51"/>
  <c r="P51"/>
  <c r="P56" s="1"/>
  <c r="T51"/>
  <c r="T56" s="1"/>
  <c r="J51"/>
  <c r="J56" s="1"/>
  <c r="I51"/>
  <c r="I56" s="1"/>
  <c r="H51"/>
  <c r="H56" s="1"/>
  <c r="L51" i="7"/>
  <c r="L56" s="1"/>
  <c r="E51"/>
  <c r="E56" s="1"/>
  <c r="Q51"/>
  <c r="Q56" s="1"/>
  <c r="M51"/>
  <c r="M56" s="1"/>
  <c r="K51"/>
  <c r="K56" s="1"/>
  <c r="I51"/>
  <c r="I56" s="1"/>
  <c r="O51"/>
  <c r="O56" s="1"/>
  <c r="R51"/>
  <c r="R56" s="1"/>
  <c r="S51"/>
  <c r="S56" s="1"/>
  <c r="F51"/>
  <c r="F56" s="1"/>
  <c r="J51"/>
  <c r="J56" s="1"/>
  <c r="P51"/>
  <c r="P56" s="1"/>
  <c r="H51"/>
  <c r="H56" s="1"/>
  <c r="G51"/>
  <c r="G56" s="1"/>
  <c r="N51"/>
  <c r="N56" s="1"/>
  <c r="Y99" i="35" l="1"/>
  <c r="Y136" s="1"/>
  <c r="N70" i="34" l="1"/>
  <c r="N107" s="1"/>
  <c r="M80" i="6"/>
  <c r="M117" s="1"/>
  <c r="S70" i="34"/>
  <c r="S107" s="1"/>
  <c r="K117" i="7"/>
  <c r="K154" s="1"/>
  <c r="F70" i="34"/>
  <c r="F107" s="1"/>
  <c r="L80" i="6"/>
  <c r="L117" s="1"/>
  <c r="X80"/>
  <c r="X117" s="1"/>
  <c r="Q80"/>
  <c r="Q117" s="1"/>
  <c r="L117" i="7"/>
  <c r="L154" s="1"/>
  <c r="N80" i="6"/>
  <c r="N117" s="1"/>
  <c r="M117" i="7"/>
  <c r="M154" s="1"/>
  <c r="I117"/>
  <c r="I154" s="1"/>
  <c r="M99" i="35"/>
  <c r="M136" s="1"/>
  <c r="I70" i="34"/>
  <c r="I107" s="1"/>
  <c r="Q70"/>
  <c r="Q107" s="1"/>
  <c r="K99" i="35"/>
  <c r="K136" s="1"/>
  <c r="R70" i="34"/>
  <c r="R107" s="1"/>
  <c r="P117" i="7"/>
  <c r="P154" s="1"/>
  <c r="O99" i="35"/>
  <c r="O136" s="1"/>
  <c r="U80" i="6"/>
  <c r="U117" s="1"/>
  <c r="T80"/>
  <c r="T117" s="1"/>
  <c r="H99" i="35"/>
  <c r="H136" s="1"/>
  <c r="V99"/>
  <c r="V136" s="1"/>
  <c r="G117" i="7"/>
  <c r="G154" s="1"/>
  <c r="L99" i="35"/>
  <c r="L136" s="1"/>
  <c r="K70" i="34"/>
  <c r="K107" s="1"/>
  <c r="F99" i="35"/>
  <c r="F136" s="1"/>
  <c r="T70" i="34"/>
  <c r="T107" s="1"/>
  <c r="E117" i="7"/>
  <c r="E154" s="1"/>
  <c r="U99" i="35"/>
  <c r="U136" s="1"/>
  <c r="E80" i="6"/>
  <c r="E117" s="1"/>
  <c r="P99" i="35"/>
  <c r="P136" s="1"/>
  <c r="O70" i="34"/>
  <c r="O107" s="1"/>
  <c r="S117" i="7"/>
  <c r="S154" s="1"/>
  <c r="F80" i="6"/>
  <c r="F117" s="1"/>
  <c r="R117" i="7"/>
  <c r="R154" s="1"/>
  <c r="J117"/>
  <c r="J154" s="1"/>
  <c r="N117"/>
  <c r="N154" s="1"/>
  <c r="R80" i="6"/>
  <c r="R117" s="1"/>
  <c r="I80"/>
  <c r="I117" s="1"/>
  <c r="H80"/>
  <c r="H117" s="1"/>
  <c r="J99" i="35"/>
  <c r="J136" s="1"/>
  <c r="N99"/>
  <c r="N136" s="1"/>
  <c r="S80" i="6"/>
  <c r="S117" s="1"/>
  <c r="W70" i="34"/>
  <c r="W107" s="1"/>
  <c r="Q117" i="7"/>
  <c r="Q154" s="1"/>
  <c r="S99" i="35"/>
  <c r="S136" s="1"/>
  <c r="H117" i="7"/>
  <c r="H154" s="1"/>
  <c r="K80" i="6"/>
  <c r="K117" s="1"/>
  <c r="Q99" i="35"/>
  <c r="Q136" s="1"/>
  <c r="O117" i="7"/>
  <c r="O154" s="1"/>
  <c r="O80" i="6"/>
  <c r="O117" s="1"/>
  <c r="G99" i="35"/>
  <c r="G136" s="1"/>
  <c r="E99"/>
  <c r="E136" s="1"/>
  <c r="R99"/>
  <c r="R136" s="1"/>
  <c r="P80" i="6"/>
  <c r="P117" s="1"/>
  <c r="W80"/>
  <c r="W117" s="1"/>
  <c r="J80"/>
  <c r="J117" s="1"/>
  <c r="G70" i="34"/>
  <c r="G107" s="1"/>
  <c r="V80" i="6"/>
  <c r="V117" s="1"/>
  <c r="I99" i="35"/>
  <c r="I136" s="1"/>
  <c r="V70" i="34"/>
  <c r="V107" s="1"/>
  <c r="L70"/>
  <c r="L107" s="1"/>
  <c r="G80" i="6"/>
  <c r="G117" s="1"/>
  <c r="F117" i="7"/>
  <c r="F154" s="1"/>
  <c r="X99" i="35"/>
  <c r="X136" s="1"/>
  <c r="U70" i="34"/>
  <c r="U107" s="1"/>
  <c r="J70"/>
  <c r="J107" s="1"/>
  <c r="P70"/>
  <c r="P107" s="1"/>
  <c r="W99" i="35"/>
  <c r="W136" s="1"/>
  <c r="M70" i="34"/>
  <c r="M107" s="1"/>
  <c r="H70"/>
  <c r="H107" s="1"/>
  <c r="X70"/>
  <c r="X107" s="1"/>
  <c r="T99" i="35"/>
  <c r="T136" s="1"/>
  <c r="E70" i="34"/>
  <c r="E107" l="1"/>
  <c r="Y70"/>
  <c r="Y80" i="6"/>
  <c r="Y117" s="1"/>
  <c r="E175" i="35"/>
  <c r="F175" s="1"/>
  <c r="E193" i="7"/>
  <c r="Y107" i="34" l="1"/>
  <c r="G175" i="35"/>
  <c r="F193" i="7"/>
  <c r="G193" l="1"/>
  <c r="H175" i="35"/>
  <c r="Y117" i="7"/>
  <c r="Y154" s="1"/>
  <c r="I175" i="35" l="1"/>
  <c r="T117" i="7"/>
  <c r="T154" s="1"/>
  <c r="H193"/>
  <c r="U117"/>
  <c r="U154" s="1"/>
  <c r="W117"/>
  <c r="W154" s="1"/>
  <c r="V117"/>
  <c r="V154" s="1"/>
  <c r="X117"/>
  <c r="X154" s="1"/>
  <c r="I193" l="1"/>
  <c r="J175" i="35"/>
  <c r="J193" i="7" l="1"/>
  <c r="K175" i="35"/>
  <c r="L175" l="1"/>
  <c r="K193" i="7"/>
  <c r="L193" l="1"/>
  <c r="M175" i="35"/>
  <c r="N175" l="1"/>
  <c r="M193" i="7"/>
  <c r="N193" l="1"/>
  <c r="O175" i="35"/>
  <c r="P175" l="1"/>
  <c r="O193" i="7"/>
  <c r="P193" l="1"/>
  <c r="Q175" i="35"/>
  <c r="R175" l="1"/>
  <c r="Q193" i="7"/>
  <c r="S175" i="35" l="1"/>
  <c r="R193" i="7"/>
  <c r="T175" i="35" l="1"/>
  <c r="S193" i="7"/>
  <c r="U175" i="35" l="1"/>
  <c r="T193" i="7"/>
  <c r="U193" l="1"/>
  <c r="V175" i="35"/>
  <c r="V193" i="7" l="1"/>
  <c r="W175" i="35"/>
  <c r="W193" i="7" l="1"/>
  <c r="X175" i="35"/>
  <c r="X193" i="7" l="1"/>
  <c r="O14" i="35" l="1"/>
  <c r="G15"/>
  <c r="X16"/>
  <c r="H15"/>
  <c r="S16"/>
  <c r="X14"/>
  <c r="R16"/>
  <c r="L16"/>
  <c r="V14"/>
  <c r="V44" s="1"/>
  <c r="F15"/>
  <c r="Q15"/>
  <c r="X15"/>
  <c r="N15"/>
  <c r="W16"/>
  <c r="W46" s="1"/>
  <c r="M13"/>
  <c r="N14"/>
  <c r="R13"/>
  <c r="T16"/>
  <c r="U15"/>
  <c r="U45" s="1"/>
  <c r="M15"/>
  <c r="I15"/>
  <c r="P14"/>
  <c r="N13"/>
  <c r="I16"/>
  <c r="R14"/>
  <c r="E15"/>
  <c r="G13"/>
  <c r="F14"/>
  <c r="U13"/>
  <c r="H16"/>
  <c r="P13"/>
  <c r="V13"/>
  <c r="Q16"/>
  <c r="V16"/>
  <c r="V46" s="1"/>
  <c r="O15"/>
  <c r="H14"/>
  <c r="K16"/>
  <c r="E14"/>
  <c r="H13"/>
  <c r="J16"/>
  <c r="M16"/>
  <c r="L15"/>
  <c r="V15"/>
  <c r="V45" s="1"/>
  <c r="M14"/>
  <c r="T14"/>
  <c r="X13"/>
  <c r="L14"/>
  <c r="U16"/>
  <c r="U46" s="1"/>
  <c r="S15"/>
  <c r="P16"/>
  <c r="U14"/>
  <c r="U44" s="1"/>
  <c r="K15"/>
  <c r="J15"/>
  <c r="G16"/>
  <c r="Q13"/>
  <c r="S13"/>
  <c r="G14"/>
  <c r="O16"/>
  <c r="I13"/>
  <c r="R15"/>
  <c r="Q14"/>
  <c r="F16"/>
  <c r="J13"/>
  <c r="E13"/>
  <c r="T15"/>
  <c r="E16"/>
  <c r="F13"/>
  <c r="S14"/>
  <c r="J14"/>
  <c r="N16"/>
  <c r="K14"/>
  <c r="W15"/>
  <c r="W45" s="1"/>
  <c r="K13"/>
  <c r="P15"/>
  <c r="W14"/>
  <c r="W44" s="1"/>
  <c r="I14"/>
  <c r="O13"/>
  <c r="L13"/>
  <c r="T13"/>
  <c r="W13"/>
  <c r="O14" i="7"/>
  <c r="G15"/>
  <c r="X16"/>
  <c r="H15"/>
  <c r="S16"/>
  <c r="X14"/>
  <c r="R16"/>
  <c r="L16"/>
  <c r="V14"/>
  <c r="V44" s="1"/>
  <c r="F15"/>
  <c r="Q15"/>
  <c r="X15"/>
  <c r="N15"/>
  <c r="W16"/>
  <c r="W46" s="1"/>
  <c r="M13"/>
  <c r="N14"/>
  <c r="R13"/>
  <c r="T16"/>
  <c r="T46" s="1"/>
  <c r="U15"/>
  <c r="U45" s="1"/>
  <c r="M15"/>
  <c r="I15"/>
  <c r="P14"/>
  <c r="N13"/>
  <c r="I16"/>
  <c r="R14"/>
  <c r="E15"/>
  <c r="G13"/>
  <c r="F14"/>
  <c r="U13"/>
  <c r="H16"/>
  <c r="P13"/>
  <c r="V13"/>
  <c r="Q16"/>
  <c r="V16"/>
  <c r="V46" s="1"/>
  <c r="O15"/>
  <c r="H14"/>
  <c r="K16"/>
  <c r="E14"/>
  <c r="H13"/>
  <c r="J16"/>
  <c r="M16"/>
  <c r="L15"/>
  <c r="V15"/>
  <c r="V45" s="1"/>
  <c r="M14"/>
  <c r="T14"/>
  <c r="T44" s="1"/>
  <c r="X13"/>
  <c r="L14"/>
  <c r="U16"/>
  <c r="U46" s="1"/>
  <c r="S15"/>
  <c r="P16"/>
  <c r="U14"/>
  <c r="U44" s="1"/>
  <c r="K15"/>
  <c r="J15"/>
  <c r="G16"/>
  <c r="Q13"/>
  <c r="S13"/>
  <c r="G14"/>
  <c r="O16"/>
  <c r="I13"/>
  <c r="R15"/>
  <c r="Q14"/>
  <c r="F16"/>
  <c r="J13"/>
  <c r="E13"/>
  <c r="T15"/>
  <c r="T45" s="1"/>
  <c r="E16"/>
  <c r="F13"/>
  <c r="S14"/>
  <c r="J14"/>
  <c r="N16"/>
  <c r="K14"/>
  <c r="W15"/>
  <c r="W45" s="1"/>
  <c r="K13"/>
  <c r="P15"/>
  <c r="W14"/>
  <c r="W44" s="1"/>
  <c r="I14"/>
  <c r="O13"/>
  <c r="L13"/>
  <c r="T13"/>
  <c r="W13"/>
  <c r="I14" i="34"/>
  <c r="P16"/>
  <c r="L13"/>
  <c r="R16"/>
  <c r="J16"/>
  <c r="K16"/>
  <c r="G16"/>
  <c r="O13"/>
  <c r="E14"/>
  <c r="T13"/>
  <c r="N16"/>
  <c r="L16"/>
  <c r="W13"/>
  <c r="J13"/>
  <c r="X13"/>
  <c r="I16"/>
  <c r="K13"/>
  <c r="G13"/>
  <c r="R13"/>
  <c r="X16"/>
  <c r="F16"/>
  <c r="O16"/>
  <c r="E16"/>
  <c r="Q16"/>
  <c r="M13"/>
  <c r="X14"/>
  <c r="V14"/>
  <c r="U14"/>
  <c r="E13"/>
  <c r="M16"/>
  <c r="V13"/>
  <c r="F13"/>
  <c r="W16"/>
  <c r="U13"/>
  <c r="V16"/>
  <c r="H16"/>
  <c r="F14"/>
  <c r="H13"/>
  <c r="R15"/>
  <c r="V15"/>
  <c r="Q14"/>
  <c r="J15"/>
  <c r="J14"/>
  <c r="I15"/>
  <c r="L15"/>
  <c r="Q15"/>
  <c r="P13"/>
  <c r="T16"/>
  <c r="N13"/>
  <c r="T15"/>
  <c r="P14"/>
  <c r="O15"/>
  <c r="O14"/>
  <c r="L14"/>
  <c r="S14"/>
  <c r="T14"/>
  <c r="H15"/>
  <c r="U16"/>
  <c r="S16"/>
  <c r="N14"/>
  <c r="Q13"/>
  <c r="W14"/>
  <c r="S13"/>
  <c r="G14"/>
  <c r="W15"/>
  <c r="I13"/>
  <c r="U15"/>
  <c r="M15"/>
  <c r="M14"/>
  <c r="H14"/>
  <c r="P15"/>
  <c r="E15"/>
  <c r="K14"/>
  <c r="K15"/>
  <c r="R14"/>
  <c r="F15"/>
  <c r="S15"/>
  <c r="N15"/>
  <c r="X15"/>
  <c r="G15"/>
  <c r="I14" i="6"/>
  <c r="P16"/>
  <c r="L13"/>
  <c r="R16"/>
  <c r="J16"/>
  <c r="K16"/>
  <c r="G16"/>
  <c r="O13"/>
  <c r="E14"/>
  <c r="T13"/>
  <c r="N16"/>
  <c r="L16"/>
  <c r="W13"/>
  <c r="J13"/>
  <c r="X13"/>
  <c r="I16"/>
  <c r="K13"/>
  <c r="G13"/>
  <c r="R13"/>
  <c r="X16"/>
  <c r="F16"/>
  <c r="O16"/>
  <c r="E16"/>
  <c r="Q16"/>
  <c r="M13"/>
  <c r="X14"/>
  <c r="V14"/>
  <c r="U14"/>
  <c r="E13"/>
  <c r="M16"/>
  <c r="V13"/>
  <c r="F13"/>
  <c r="W16"/>
  <c r="U13"/>
  <c r="V16"/>
  <c r="H16"/>
  <c r="F14"/>
  <c r="H13"/>
  <c r="R15"/>
  <c r="V15"/>
  <c r="Q14"/>
  <c r="J15"/>
  <c r="J14"/>
  <c r="I15"/>
  <c r="L15"/>
  <c r="Q15"/>
  <c r="P13"/>
  <c r="T16"/>
  <c r="N13"/>
  <c r="T15"/>
  <c r="P14"/>
  <c r="O15"/>
  <c r="O14"/>
  <c r="L14"/>
  <c r="S14"/>
  <c r="T14"/>
  <c r="H15"/>
  <c r="U16"/>
  <c r="S16"/>
  <c r="N14"/>
  <c r="Q13"/>
  <c r="W14"/>
  <c r="S13"/>
  <c r="G14"/>
  <c r="W15"/>
  <c r="I13"/>
  <c r="U15"/>
  <c r="M15"/>
  <c r="M14"/>
  <c r="H14"/>
  <c r="P15"/>
  <c r="E15"/>
  <c r="K14"/>
  <c r="K15"/>
  <c r="R14"/>
  <c r="F15"/>
  <c r="S15"/>
  <c r="N15"/>
  <c r="X15"/>
  <c r="G15"/>
  <c r="K18" i="35" l="1"/>
  <c r="K33"/>
  <c r="K38" s="1"/>
  <c r="K43"/>
  <c r="J34"/>
  <c r="J44"/>
  <c r="J61" s="1"/>
  <c r="J74" s="1"/>
  <c r="P32" i="40" s="1"/>
  <c r="Q34" i="35"/>
  <c r="Q44"/>
  <c r="Q61" s="1"/>
  <c r="Q74" s="1"/>
  <c r="W32" i="40" s="1"/>
  <c r="S35" i="35"/>
  <c r="S45"/>
  <c r="S62" s="1"/>
  <c r="S75" s="1"/>
  <c r="Y33" i="40" s="1"/>
  <c r="M36" i="35"/>
  <c r="M46"/>
  <c r="M63" s="1"/>
  <c r="M76" s="1"/>
  <c r="S34" i="40" s="1"/>
  <c r="K36" i="35"/>
  <c r="K46"/>
  <c r="K63" s="1"/>
  <c r="K76" s="1"/>
  <c r="Q34" i="40" s="1"/>
  <c r="R34" i="35"/>
  <c r="R44"/>
  <c r="R61" s="1"/>
  <c r="R74" s="1"/>
  <c r="X32" i="40" s="1"/>
  <c r="R18" i="35"/>
  <c r="R33"/>
  <c r="R43"/>
  <c r="O34"/>
  <c r="O44"/>
  <c r="O61" s="1"/>
  <c r="O74" s="1"/>
  <c r="U32" i="40" s="1"/>
  <c r="P35" i="35"/>
  <c r="P45"/>
  <c r="P62" s="1"/>
  <c r="P75" s="1"/>
  <c r="V33" i="40" s="1"/>
  <c r="E36" i="35"/>
  <c r="E46"/>
  <c r="E63" s="1"/>
  <c r="E76" s="1"/>
  <c r="K34" i="40" s="1"/>
  <c r="O36" i="35"/>
  <c r="O46"/>
  <c r="O63" s="1"/>
  <c r="O76" s="1"/>
  <c r="U34" i="40" s="1"/>
  <c r="P36" i="35"/>
  <c r="P46"/>
  <c r="P63" s="1"/>
  <c r="P76" s="1"/>
  <c r="V34" i="40" s="1"/>
  <c r="X18" i="35"/>
  <c r="X33"/>
  <c r="Z33" s="1"/>
  <c r="X43"/>
  <c r="Z43"/>
  <c r="Y73" s="1"/>
  <c r="AE31" i="40" s="1"/>
  <c r="E34" i="35"/>
  <c r="E44"/>
  <c r="E61" s="1"/>
  <c r="E74" s="1"/>
  <c r="K32" i="40" s="1"/>
  <c r="H36" i="35"/>
  <c r="H46"/>
  <c r="H63" s="1"/>
  <c r="H76" s="1"/>
  <c r="N34" i="40" s="1"/>
  <c r="E35" i="35"/>
  <c r="E45"/>
  <c r="E62" s="1"/>
  <c r="E75" s="1"/>
  <c r="K33" i="40" s="1"/>
  <c r="P34" i="35"/>
  <c r="P44"/>
  <c r="P61" s="1"/>
  <c r="P74" s="1"/>
  <c r="V32" i="40" s="1"/>
  <c r="T36" i="35"/>
  <c r="T46"/>
  <c r="T63" s="1"/>
  <c r="T76" s="1"/>
  <c r="Z34" i="40" s="1"/>
  <c r="F35" i="35"/>
  <c r="F45"/>
  <c r="F62" s="1"/>
  <c r="F75" s="1"/>
  <c r="L33" i="40" s="1"/>
  <c r="Z44" i="35"/>
  <c r="X44"/>
  <c r="G35"/>
  <c r="G45"/>
  <c r="G62" s="1"/>
  <c r="G75" s="1"/>
  <c r="M33" i="40" s="1"/>
  <c r="T18" i="35"/>
  <c r="T33"/>
  <c r="T43"/>
  <c r="K34"/>
  <c r="K44"/>
  <c r="K61" s="1"/>
  <c r="K74" s="1"/>
  <c r="Q32" i="40" s="1"/>
  <c r="F18" i="35"/>
  <c r="F33"/>
  <c r="F43"/>
  <c r="J18"/>
  <c r="J33"/>
  <c r="J43"/>
  <c r="I18"/>
  <c r="I33"/>
  <c r="I43"/>
  <c r="Q18"/>
  <c r="Q33"/>
  <c r="Q43"/>
  <c r="L34"/>
  <c r="L44"/>
  <c r="L61" s="1"/>
  <c r="L74" s="1"/>
  <c r="R32" i="40" s="1"/>
  <c r="H18" i="35"/>
  <c r="H33"/>
  <c r="H43"/>
  <c r="O35"/>
  <c r="O45"/>
  <c r="O62" s="1"/>
  <c r="O75" s="1"/>
  <c r="U33" i="40" s="1"/>
  <c r="P18" i="35"/>
  <c r="P33"/>
  <c r="P38" s="1"/>
  <c r="P43"/>
  <c r="G18"/>
  <c r="G33"/>
  <c r="G43"/>
  <c r="N18"/>
  <c r="N33"/>
  <c r="N43"/>
  <c r="M18"/>
  <c r="M33"/>
  <c r="M43"/>
  <c r="Q35"/>
  <c r="Q45"/>
  <c r="Q62" s="1"/>
  <c r="Q75" s="1"/>
  <c r="W33" i="40" s="1"/>
  <c r="R36" i="35"/>
  <c r="R46"/>
  <c r="R63" s="1"/>
  <c r="R76" s="1"/>
  <c r="X34" i="40" s="1"/>
  <c r="Z46" i="35"/>
  <c r="X46"/>
  <c r="O18"/>
  <c r="O33"/>
  <c r="O43"/>
  <c r="T35"/>
  <c r="T45"/>
  <c r="T62" s="1"/>
  <c r="T75" s="1"/>
  <c r="Z33" i="40" s="1"/>
  <c r="G34" i="35"/>
  <c r="G44"/>
  <c r="G61" s="1"/>
  <c r="G74" s="1"/>
  <c r="M32" i="40" s="1"/>
  <c r="J35" i="35"/>
  <c r="J45"/>
  <c r="J62" s="1"/>
  <c r="J75" s="1"/>
  <c r="P33" i="40" s="1"/>
  <c r="T34" i="35"/>
  <c r="T44"/>
  <c r="T61" s="1"/>
  <c r="T74" s="1"/>
  <c r="Z32" i="40" s="1"/>
  <c r="Q36" i="35"/>
  <c r="Q46"/>
  <c r="Q63" s="1"/>
  <c r="Q76" s="1"/>
  <c r="W34" i="40" s="1"/>
  <c r="U18" i="35"/>
  <c r="U33"/>
  <c r="U43"/>
  <c r="I35"/>
  <c r="I45"/>
  <c r="I62" s="1"/>
  <c r="I75" s="1"/>
  <c r="O33" i="40" s="1"/>
  <c r="N35" i="35"/>
  <c r="N45"/>
  <c r="N62" s="1"/>
  <c r="N75" s="1"/>
  <c r="T33" i="40" s="1"/>
  <c r="S36" i="35"/>
  <c r="S38" s="1"/>
  <c r="S46"/>
  <c r="S63" s="1"/>
  <c r="S76" s="1"/>
  <c r="Y34" i="40" s="1"/>
  <c r="L18" i="35"/>
  <c r="L33"/>
  <c r="L43"/>
  <c r="N36"/>
  <c r="N46"/>
  <c r="N63" s="1"/>
  <c r="N76" s="1"/>
  <c r="T34" i="40" s="1"/>
  <c r="F36" i="35"/>
  <c r="F46"/>
  <c r="F63" s="1"/>
  <c r="F76" s="1"/>
  <c r="L34" i="40" s="1"/>
  <c r="G36" i="35"/>
  <c r="G46"/>
  <c r="G63" s="1"/>
  <c r="G76" s="1"/>
  <c r="M34" i="40" s="1"/>
  <c r="L35" i="35"/>
  <c r="L45"/>
  <c r="L62" s="1"/>
  <c r="L75" s="1"/>
  <c r="R33" i="40" s="1"/>
  <c r="W18" i="35"/>
  <c r="W33"/>
  <c r="W43"/>
  <c r="I34"/>
  <c r="I44"/>
  <c r="I61" s="1"/>
  <c r="I74" s="1"/>
  <c r="O32" i="40" s="1"/>
  <c r="S34" i="35"/>
  <c r="S44"/>
  <c r="S61" s="1"/>
  <c r="S74" s="1"/>
  <c r="Y32" i="40" s="1"/>
  <c r="E18" i="35"/>
  <c r="E33"/>
  <c r="E43"/>
  <c r="R35"/>
  <c r="R45"/>
  <c r="R62" s="1"/>
  <c r="R75" s="1"/>
  <c r="X33" i="40" s="1"/>
  <c r="S18" i="35"/>
  <c r="S33"/>
  <c r="S43"/>
  <c r="K35"/>
  <c r="K45"/>
  <c r="K62" s="1"/>
  <c r="K75" s="1"/>
  <c r="Q33" i="40" s="1"/>
  <c r="M34" i="35"/>
  <c r="M44"/>
  <c r="M61" s="1"/>
  <c r="M74" s="1"/>
  <c r="S32" i="40" s="1"/>
  <c r="J36" i="35"/>
  <c r="J46"/>
  <c r="J63" s="1"/>
  <c r="J76" s="1"/>
  <c r="P34" i="40" s="1"/>
  <c r="H34" i="35"/>
  <c r="H44"/>
  <c r="H61" s="1"/>
  <c r="H74" s="1"/>
  <c r="N32" i="40" s="1"/>
  <c r="V18" i="35"/>
  <c r="V33"/>
  <c r="V43"/>
  <c r="F34"/>
  <c r="F44"/>
  <c r="F61" s="1"/>
  <c r="F74" s="1"/>
  <c r="L32" i="40" s="1"/>
  <c r="I36" i="35"/>
  <c r="I46"/>
  <c r="I63" s="1"/>
  <c r="I76" s="1"/>
  <c r="O34" i="40" s="1"/>
  <c r="M35" i="35"/>
  <c r="M45"/>
  <c r="M62" s="1"/>
  <c r="M75" s="1"/>
  <c r="S33" i="40" s="1"/>
  <c r="N34" i="35"/>
  <c r="N44"/>
  <c r="N61" s="1"/>
  <c r="N74" s="1"/>
  <c r="T32" i="40" s="1"/>
  <c r="Z45" i="35"/>
  <c r="X45"/>
  <c r="L36"/>
  <c r="L46"/>
  <c r="L63" s="1"/>
  <c r="L76" s="1"/>
  <c r="R34" i="40" s="1"/>
  <c r="H35" i="35"/>
  <c r="H45"/>
  <c r="H62" s="1"/>
  <c r="H75" s="1"/>
  <c r="N33" i="40" s="1"/>
  <c r="K18" i="7"/>
  <c r="K33"/>
  <c r="K43"/>
  <c r="G34"/>
  <c r="G44"/>
  <c r="G61" s="1"/>
  <c r="S35"/>
  <c r="S45"/>
  <c r="S62" s="1"/>
  <c r="M36"/>
  <c r="M46"/>
  <c r="M63" s="1"/>
  <c r="Q36"/>
  <c r="Q46"/>
  <c r="Q63" s="1"/>
  <c r="R34"/>
  <c r="R44"/>
  <c r="R61" s="1"/>
  <c r="R18"/>
  <c r="R33"/>
  <c r="R43"/>
  <c r="O34"/>
  <c r="O44"/>
  <c r="O61" s="1"/>
  <c r="P35"/>
  <c r="P45"/>
  <c r="P62" s="1"/>
  <c r="E36"/>
  <c r="E46"/>
  <c r="E63" s="1"/>
  <c r="O36"/>
  <c r="O46"/>
  <c r="O63" s="1"/>
  <c r="P36"/>
  <c r="P46"/>
  <c r="P63" s="1"/>
  <c r="L35"/>
  <c r="L45"/>
  <c r="L62" s="1"/>
  <c r="E35"/>
  <c r="E45"/>
  <c r="E62" s="1"/>
  <c r="F35"/>
  <c r="F45"/>
  <c r="F62" s="1"/>
  <c r="G35"/>
  <c r="G45"/>
  <c r="G62" s="1"/>
  <c r="T18"/>
  <c r="T43"/>
  <c r="T48" s="1"/>
  <c r="K34"/>
  <c r="K44"/>
  <c r="K61" s="1"/>
  <c r="F18"/>
  <c r="F33"/>
  <c r="F43"/>
  <c r="J18"/>
  <c r="J33"/>
  <c r="J43"/>
  <c r="I18"/>
  <c r="I33"/>
  <c r="I43"/>
  <c r="Q18"/>
  <c r="Q33"/>
  <c r="Q43"/>
  <c r="L34"/>
  <c r="L44"/>
  <c r="L61" s="1"/>
  <c r="H18"/>
  <c r="H33"/>
  <c r="H43"/>
  <c r="O35"/>
  <c r="O45"/>
  <c r="O62" s="1"/>
  <c r="P18"/>
  <c r="P33"/>
  <c r="P43"/>
  <c r="G18"/>
  <c r="G33"/>
  <c r="G43"/>
  <c r="N18"/>
  <c r="N33"/>
  <c r="N43"/>
  <c r="M18"/>
  <c r="M33"/>
  <c r="M43"/>
  <c r="Q35"/>
  <c r="Q45"/>
  <c r="Q62" s="1"/>
  <c r="R36"/>
  <c r="R46"/>
  <c r="R63" s="1"/>
  <c r="Z46"/>
  <c r="X46"/>
  <c r="O18"/>
  <c r="O33"/>
  <c r="O43"/>
  <c r="J34"/>
  <c r="J44"/>
  <c r="J61" s="1"/>
  <c r="Q34"/>
  <c r="Q44"/>
  <c r="Q61" s="1"/>
  <c r="J35"/>
  <c r="J45"/>
  <c r="J62" s="1"/>
  <c r="K36"/>
  <c r="K46"/>
  <c r="K63" s="1"/>
  <c r="U18"/>
  <c r="U43"/>
  <c r="U48" s="1"/>
  <c r="I35"/>
  <c r="I45"/>
  <c r="I62" s="1"/>
  <c r="N35"/>
  <c r="N45"/>
  <c r="N62" s="1"/>
  <c r="S36"/>
  <c r="S46"/>
  <c r="S63" s="1"/>
  <c r="L18"/>
  <c r="L33"/>
  <c r="L43"/>
  <c r="N36"/>
  <c r="N46"/>
  <c r="N63" s="1"/>
  <c r="F36"/>
  <c r="F46"/>
  <c r="F63" s="1"/>
  <c r="G36"/>
  <c r="G46"/>
  <c r="G63" s="1"/>
  <c r="X18"/>
  <c r="X43"/>
  <c r="Z43"/>
  <c r="E34"/>
  <c r="E44"/>
  <c r="E61" s="1"/>
  <c r="H36"/>
  <c r="H46"/>
  <c r="H63" s="1"/>
  <c r="P34"/>
  <c r="P44"/>
  <c r="P61" s="1"/>
  <c r="X44"/>
  <c r="Z44"/>
  <c r="W18"/>
  <c r="W43"/>
  <c r="W48" s="1"/>
  <c r="I34"/>
  <c r="I44"/>
  <c r="I61" s="1"/>
  <c r="S34"/>
  <c r="S44"/>
  <c r="S61" s="1"/>
  <c r="E18"/>
  <c r="E33"/>
  <c r="E43"/>
  <c r="R35"/>
  <c r="R45"/>
  <c r="R62" s="1"/>
  <c r="S18"/>
  <c r="S33"/>
  <c r="S43"/>
  <c r="K35"/>
  <c r="K45"/>
  <c r="K62" s="1"/>
  <c r="M34"/>
  <c r="M44"/>
  <c r="M61" s="1"/>
  <c r="J36"/>
  <c r="J46"/>
  <c r="J63" s="1"/>
  <c r="H34"/>
  <c r="H44"/>
  <c r="H61" s="1"/>
  <c r="V18"/>
  <c r="V43"/>
  <c r="V48" s="1"/>
  <c r="F34"/>
  <c r="F44"/>
  <c r="F61" s="1"/>
  <c r="I36"/>
  <c r="I46"/>
  <c r="I63" s="1"/>
  <c r="M35"/>
  <c r="M45"/>
  <c r="M62" s="1"/>
  <c r="N34"/>
  <c r="N44"/>
  <c r="N61" s="1"/>
  <c r="Z45"/>
  <c r="X45"/>
  <c r="L36"/>
  <c r="L46"/>
  <c r="L63" s="1"/>
  <c r="H35"/>
  <c r="H45"/>
  <c r="H62" s="1"/>
  <c r="S25" i="34"/>
  <c r="S35" s="1"/>
  <c r="S46" s="1"/>
  <c r="Y17" i="40" s="1"/>
  <c r="M24" i="34"/>
  <c r="M34" s="1"/>
  <c r="M45" s="1"/>
  <c r="S16" i="40" s="1"/>
  <c r="Q18" i="34"/>
  <c r="Q23"/>
  <c r="O24"/>
  <c r="O34" s="1"/>
  <c r="O45" s="1"/>
  <c r="U16" i="40" s="1"/>
  <c r="L25" i="34"/>
  <c r="L35" s="1"/>
  <c r="L46" s="1"/>
  <c r="R17" i="40" s="1"/>
  <c r="L138" i="34"/>
  <c r="F24"/>
  <c r="F34" s="1"/>
  <c r="F45" s="1"/>
  <c r="L16" i="40" s="1"/>
  <c r="E18" i="34"/>
  <c r="AA13"/>
  <c r="E23"/>
  <c r="M18"/>
  <c r="M23"/>
  <c r="K18"/>
  <c r="K23"/>
  <c r="AA14"/>
  <c r="E24"/>
  <c r="I24"/>
  <c r="I34" s="1"/>
  <c r="I45" s="1"/>
  <c r="O16" i="40" s="1"/>
  <c r="K25" i="34"/>
  <c r="K35" s="1"/>
  <c r="K46" s="1"/>
  <c r="Q17" i="40" s="1"/>
  <c r="I18" i="34"/>
  <c r="I23"/>
  <c r="U26"/>
  <c r="U36" s="1"/>
  <c r="U47" s="1"/>
  <c r="AA18" i="40" s="1"/>
  <c r="U139" i="34"/>
  <c r="T25"/>
  <c r="T35" s="1"/>
  <c r="T46" s="1"/>
  <c r="Z17" i="40" s="1"/>
  <c r="J25" i="34"/>
  <c r="J35" s="1"/>
  <c r="J46" s="1"/>
  <c r="P17" i="40" s="1"/>
  <c r="J138" i="34"/>
  <c r="U18"/>
  <c r="U23"/>
  <c r="X24"/>
  <c r="X34" s="1"/>
  <c r="X45" s="1"/>
  <c r="AD16" i="40" s="1"/>
  <c r="G18" i="34"/>
  <c r="G23"/>
  <c r="J18"/>
  <c r="J23"/>
  <c r="K26"/>
  <c r="K36" s="1"/>
  <c r="K47" s="1"/>
  <c r="Q18" i="40" s="1"/>
  <c r="X25" i="34"/>
  <c r="X35" s="1"/>
  <c r="X46" s="1"/>
  <c r="AD17" i="40" s="1"/>
  <c r="R24" i="34"/>
  <c r="R34" s="1"/>
  <c r="R45" s="1"/>
  <c r="X16" i="40" s="1"/>
  <c r="P25" i="34"/>
  <c r="P35" s="1"/>
  <c r="P46" s="1"/>
  <c r="V17" i="40" s="1"/>
  <c r="U25" i="34"/>
  <c r="U35" s="1"/>
  <c r="U46" s="1"/>
  <c r="AA17" i="40" s="1"/>
  <c r="S18" i="34"/>
  <c r="S23"/>
  <c r="S26"/>
  <c r="S36" s="1"/>
  <c r="S47" s="1"/>
  <c r="Y18" i="40" s="1"/>
  <c r="S139" i="34"/>
  <c r="S24"/>
  <c r="S34" s="1"/>
  <c r="S45" s="1"/>
  <c r="Y16" i="40" s="1"/>
  <c r="P24" i="34"/>
  <c r="P34" s="1"/>
  <c r="P45" s="1"/>
  <c r="V16" i="40" s="1"/>
  <c r="P18" i="34"/>
  <c r="P23"/>
  <c r="J24"/>
  <c r="J34" s="1"/>
  <c r="J45" s="1"/>
  <c r="P16" i="40" s="1"/>
  <c r="R25" i="34"/>
  <c r="R35" s="1"/>
  <c r="R46" s="1"/>
  <c r="X17" i="40" s="1"/>
  <c r="V26" i="34"/>
  <c r="V36" s="1"/>
  <c r="V47" s="1"/>
  <c r="AB18" i="40" s="1"/>
  <c r="V18" i="34"/>
  <c r="V23"/>
  <c r="V24"/>
  <c r="V34" s="1"/>
  <c r="V45" s="1"/>
  <c r="AB16" i="40" s="1"/>
  <c r="AA16" i="34"/>
  <c r="E26"/>
  <c r="R18"/>
  <c r="R23"/>
  <c r="X18"/>
  <c r="X23"/>
  <c r="N26"/>
  <c r="N36" s="1"/>
  <c r="N47" s="1"/>
  <c r="T18" i="40" s="1"/>
  <c r="G26" i="34"/>
  <c r="G36" s="1"/>
  <c r="G47" s="1"/>
  <c r="M18" i="40" s="1"/>
  <c r="L18" i="34"/>
  <c r="L23"/>
  <c r="K24"/>
  <c r="K34" s="1"/>
  <c r="K45" s="1"/>
  <c r="Q16" i="40" s="1"/>
  <c r="W25" i="34"/>
  <c r="W35" s="1"/>
  <c r="W46" s="1"/>
  <c r="AC17" i="40" s="1"/>
  <c r="H25" i="34"/>
  <c r="H35" s="1"/>
  <c r="H46" s="1"/>
  <c r="N17" i="40" s="1"/>
  <c r="N18" i="34"/>
  <c r="N23"/>
  <c r="Q24"/>
  <c r="Q34" s="1"/>
  <c r="Q45" s="1"/>
  <c r="W16" i="40" s="1"/>
  <c r="W26" i="34"/>
  <c r="W36" s="1"/>
  <c r="W47" s="1"/>
  <c r="AC18" i="40" s="1"/>
  <c r="F26" i="34"/>
  <c r="F36" s="1"/>
  <c r="F47" s="1"/>
  <c r="L18" i="40" s="1"/>
  <c r="W18" i="34"/>
  <c r="W23"/>
  <c r="J26"/>
  <c r="J36" s="1"/>
  <c r="J47" s="1"/>
  <c r="P18" i="40" s="1"/>
  <c r="N25" i="34"/>
  <c r="N35" s="1"/>
  <c r="N46" s="1"/>
  <c r="T17" i="40" s="1"/>
  <c r="H24" i="34"/>
  <c r="H34" s="1"/>
  <c r="H45" s="1"/>
  <c r="N16" i="40" s="1"/>
  <c r="W24" i="34"/>
  <c r="W34" s="1"/>
  <c r="W45" s="1"/>
  <c r="AC16" i="40" s="1"/>
  <c r="L24" i="34"/>
  <c r="L34" s="1"/>
  <c r="L45" s="1"/>
  <c r="R16" i="40" s="1"/>
  <c r="Q25" i="34"/>
  <c r="Q35" s="1"/>
  <c r="Q46" s="1"/>
  <c r="W17" i="40" s="1"/>
  <c r="Q138" i="34"/>
  <c r="H18"/>
  <c r="H23"/>
  <c r="M26"/>
  <c r="M36" s="1"/>
  <c r="M47" s="1"/>
  <c r="S18" i="40" s="1"/>
  <c r="O26" i="34"/>
  <c r="O36" s="1"/>
  <c r="O47" s="1"/>
  <c r="U18" i="40" s="1"/>
  <c r="T18" i="34"/>
  <c r="T23"/>
  <c r="P26"/>
  <c r="P36" s="1"/>
  <c r="P47" s="1"/>
  <c r="V18" i="40" s="1"/>
  <c r="P139" i="34"/>
  <c r="G25"/>
  <c r="G35" s="1"/>
  <c r="G46" s="1"/>
  <c r="M17" i="40" s="1"/>
  <c r="F25" i="34"/>
  <c r="F35" s="1"/>
  <c r="F46" s="1"/>
  <c r="L17" i="40" s="1"/>
  <c r="F138" i="34"/>
  <c r="U25" i="35" s="1"/>
  <c r="AA15" i="34"/>
  <c r="E25"/>
  <c r="M25"/>
  <c r="M35" s="1"/>
  <c r="M46" s="1"/>
  <c r="S17" i="40" s="1"/>
  <c r="G24" i="34"/>
  <c r="G34" s="1"/>
  <c r="G45" s="1"/>
  <c r="M16" i="40" s="1"/>
  <c r="N24" i="34"/>
  <c r="N34" s="1"/>
  <c r="N45" s="1"/>
  <c r="T16" i="40" s="1"/>
  <c r="T24" i="34"/>
  <c r="T34" s="1"/>
  <c r="T45" s="1"/>
  <c r="Z16" i="40" s="1"/>
  <c r="O25" i="34"/>
  <c r="O35" s="1"/>
  <c r="O46" s="1"/>
  <c r="U17" i="40" s="1"/>
  <c r="T26" i="34"/>
  <c r="T36" s="1"/>
  <c r="T47" s="1"/>
  <c r="Z18" i="40" s="1"/>
  <c r="I25" i="34"/>
  <c r="I35" s="1"/>
  <c r="I46" s="1"/>
  <c r="O17" i="40" s="1"/>
  <c r="V25" i="34"/>
  <c r="V35" s="1"/>
  <c r="V46" s="1"/>
  <c r="AB17" i="40" s="1"/>
  <c r="H26" i="34"/>
  <c r="H36" s="1"/>
  <c r="H47" s="1"/>
  <c r="N18" i="40" s="1"/>
  <c r="F18" i="34"/>
  <c r="F23"/>
  <c r="U24"/>
  <c r="U34" s="1"/>
  <c r="U45" s="1"/>
  <c r="AA16" i="40" s="1"/>
  <c r="Q26" i="34"/>
  <c r="Q36" s="1"/>
  <c r="Q47" s="1"/>
  <c r="W18" i="40" s="1"/>
  <c r="X26" i="34"/>
  <c r="X36" s="1"/>
  <c r="X47" s="1"/>
  <c r="AD18" i="40" s="1"/>
  <c r="I26" i="34"/>
  <c r="I36" s="1"/>
  <c r="I47" s="1"/>
  <c r="O18" i="40" s="1"/>
  <c r="L26" i="34"/>
  <c r="L36" s="1"/>
  <c r="L47" s="1"/>
  <c r="R18" i="40" s="1"/>
  <c r="L139" i="34"/>
  <c r="O18"/>
  <c r="O23"/>
  <c r="R26"/>
  <c r="R36" s="1"/>
  <c r="R47" s="1"/>
  <c r="X18" i="40" s="1"/>
  <c r="S25" i="6"/>
  <c r="S35" s="1"/>
  <c r="K24"/>
  <c r="K34" s="1"/>
  <c r="M24"/>
  <c r="M34" s="1"/>
  <c r="W25"/>
  <c r="W35" s="1"/>
  <c r="Q18"/>
  <c r="Q23"/>
  <c r="H25"/>
  <c r="H35" s="1"/>
  <c r="H146" s="1"/>
  <c r="W25" i="7" s="1"/>
  <c r="O24" i="6"/>
  <c r="O34" s="1"/>
  <c r="O145" s="1"/>
  <c r="N18"/>
  <c r="N23"/>
  <c r="L25"/>
  <c r="L35" s="1"/>
  <c r="Q24"/>
  <c r="Q34" s="1"/>
  <c r="F24"/>
  <c r="F34" s="1"/>
  <c r="W26"/>
  <c r="W36" s="1"/>
  <c r="M18"/>
  <c r="M23"/>
  <c r="F26"/>
  <c r="F36" s="1"/>
  <c r="F147" s="1"/>
  <c r="U26" i="7" s="1"/>
  <c r="K18" i="6"/>
  <c r="K23"/>
  <c r="W18"/>
  <c r="W23"/>
  <c r="AA14"/>
  <c r="E24"/>
  <c r="J26"/>
  <c r="J36" s="1"/>
  <c r="I24"/>
  <c r="I34" s="1"/>
  <c r="N25"/>
  <c r="N35" s="1"/>
  <c r="K25"/>
  <c r="K35" s="1"/>
  <c r="H24"/>
  <c r="H34" s="1"/>
  <c r="I18"/>
  <c r="I23"/>
  <c r="W24"/>
  <c r="W34" s="1"/>
  <c r="W145" s="1"/>
  <c r="U26"/>
  <c r="U36" s="1"/>
  <c r="U147"/>
  <c r="L24"/>
  <c r="L34" s="1"/>
  <c r="L145" s="1"/>
  <c r="T25"/>
  <c r="T35" s="1"/>
  <c r="T146" s="1"/>
  <c r="Q25"/>
  <c r="Q35" s="1"/>
  <c r="Q146" s="1"/>
  <c r="J25"/>
  <c r="J35" s="1"/>
  <c r="J146" s="1"/>
  <c r="H18"/>
  <c r="H23"/>
  <c r="U18"/>
  <c r="U23"/>
  <c r="M26"/>
  <c r="M36" s="1"/>
  <c r="M147" s="1"/>
  <c r="X24"/>
  <c r="X34" s="1"/>
  <c r="X145" s="1"/>
  <c r="O26"/>
  <c r="O36" s="1"/>
  <c r="O147" s="1"/>
  <c r="G18"/>
  <c r="G23"/>
  <c r="J18"/>
  <c r="J23"/>
  <c r="T18"/>
  <c r="T23"/>
  <c r="K26"/>
  <c r="K36" s="1"/>
  <c r="P26"/>
  <c r="P36" s="1"/>
  <c r="X25"/>
  <c r="X35" s="1"/>
  <c r="R24"/>
  <c r="R34" s="1"/>
  <c r="P25"/>
  <c r="P35" s="1"/>
  <c r="U25"/>
  <c r="U35" s="1"/>
  <c r="S18"/>
  <c r="S23"/>
  <c r="S26"/>
  <c r="S36" s="1"/>
  <c r="S147" s="1"/>
  <c r="S24"/>
  <c r="S34" s="1"/>
  <c r="S145" s="1"/>
  <c r="P24"/>
  <c r="P34" s="1"/>
  <c r="P145" s="1"/>
  <c r="P18"/>
  <c r="P23"/>
  <c r="J24"/>
  <c r="J34" s="1"/>
  <c r="R25"/>
  <c r="R35" s="1"/>
  <c r="V26"/>
  <c r="V36" s="1"/>
  <c r="V18"/>
  <c r="V23"/>
  <c r="V24"/>
  <c r="V34" s="1"/>
  <c r="V145" s="1"/>
  <c r="AA16"/>
  <c r="E26"/>
  <c r="R18"/>
  <c r="R23"/>
  <c r="X18"/>
  <c r="X23"/>
  <c r="N26"/>
  <c r="N36" s="1"/>
  <c r="G26"/>
  <c r="G36" s="1"/>
  <c r="L18"/>
  <c r="L23"/>
  <c r="G25"/>
  <c r="G35" s="1"/>
  <c r="G146" s="1"/>
  <c r="V25" i="7" s="1"/>
  <c r="F25" i="6"/>
  <c r="F35" s="1"/>
  <c r="F146" s="1"/>
  <c r="U25" i="7" s="1"/>
  <c r="AA15" i="6"/>
  <c r="E25"/>
  <c r="M25"/>
  <c r="M35" s="1"/>
  <c r="G24"/>
  <c r="G34" s="1"/>
  <c r="N24"/>
  <c r="N34" s="1"/>
  <c r="T24"/>
  <c r="T34" s="1"/>
  <c r="O25"/>
  <c r="O35" s="1"/>
  <c r="T26"/>
  <c r="T36" s="1"/>
  <c r="I25"/>
  <c r="I35" s="1"/>
  <c r="V25"/>
  <c r="V35" s="1"/>
  <c r="H26"/>
  <c r="H36" s="1"/>
  <c r="F18"/>
  <c r="F23"/>
  <c r="U24"/>
  <c r="U34" s="1"/>
  <c r="U145" s="1"/>
  <c r="Q26"/>
  <c r="Q36" s="1"/>
  <c r="Q147"/>
  <c r="X26"/>
  <c r="X36" s="1"/>
  <c r="X147" s="1"/>
  <c r="I26"/>
  <c r="I36" s="1"/>
  <c r="I147"/>
  <c r="X26" i="7" s="1"/>
  <c r="L26" i="6"/>
  <c r="L36" s="1"/>
  <c r="L147" s="1"/>
  <c r="O18"/>
  <c r="O23"/>
  <c r="R26"/>
  <c r="R36" s="1"/>
  <c r="AA13"/>
  <c r="E18"/>
  <c r="E23"/>
  <c r="S60" i="35" l="1"/>
  <c r="S48"/>
  <c r="G48"/>
  <c r="G60"/>
  <c r="H60"/>
  <c r="H48"/>
  <c r="R48"/>
  <c r="R60"/>
  <c r="L60"/>
  <c r="L48"/>
  <c r="T60"/>
  <c r="T48"/>
  <c r="X60"/>
  <c r="X73" s="1"/>
  <c r="AD31" i="40" s="1"/>
  <c r="X48" i="35"/>
  <c r="V48"/>
  <c r="V60"/>
  <c r="V73" s="1"/>
  <c r="AB31" i="40" s="1"/>
  <c r="E48" i="35"/>
  <c r="E60"/>
  <c r="O60"/>
  <c r="O48"/>
  <c r="N48"/>
  <c r="N60"/>
  <c r="Q60"/>
  <c r="Q48"/>
  <c r="J38"/>
  <c r="X139" i="34"/>
  <c r="M38" i="7"/>
  <c r="F38" i="35"/>
  <c r="W138" i="34"/>
  <c r="G38" i="35"/>
  <c r="H38"/>
  <c r="I38"/>
  <c r="R38"/>
  <c r="W60"/>
  <c r="W73" s="1"/>
  <c r="AC31" i="40" s="1"/>
  <c r="W48" i="35"/>
  <c r="U48"/>
  <c r="U60"/>
  <c r="U73" s="1"/>
  <c r="AA31" i="40" s="1"/>
  <c r="I48" i="35"/>
  <c r="I60"/>
  <c r="P60"/>
  <c r="P48"/>
  <c r="J48"/>
  <c r="J60"/>
  <c r="K48"/>
  <c r="K60"/>
  <c r="M60"/>
  <c r="M48"/>
  <c r="F48"/>
  <c r="F60"/>
  <c r="L38"/>
  <c r="T38"/>
  <c r="W137" i="34"/>
  <c r="M38" i="35"/>
  <c r="U137" i="34"/>
  <c r="N138"/>
  <c r="P137"/>
  <c r="O38" i="7"/>
  <c r="E38" i="35"/>
  <c r="O38"/>
  <c r="N38"/>
  <c r="Q38"/>
  <c r="R89" i="7"/>
  <c r="X27" i="40" s="1"/>
  <c r="R88" i="7"/>
  <c r="X26" i="40" s="1"/>
  <c r="R87" i="7"/>
  <c r="X25" i="40" s="1"/>
  <c r="F91" i="7"/>
  <c r="L29" i="40" s="1"/>
  <c r="F90" i="7"/>
  <c r="L28" i="40" s="1"/>
  <c r="F92" i="7"/>
  <c r="L30" i="40" s="1"/>
  <c r="L60" i="7"/>
  <c r="L48"/>
  <c r="F60"/>
  <c r="F48"/>
  <c r="R86"/>
  <c r="X24" i="40" s="1"/>
  <c r="R84" i="7"/>
  <c r="X22" i="40" s="1"/>
  <c r="R85" i="7"/>
  <c r="X23" i="40" s="1"/>
  <c r="M90" i="7"/>
  <c r="S28" i="40" s="1"/>
  <c r="M92" i="7"/>
  <c r="S30" i="40" s="1"/>
  <c r="M91" i="7"/>
  <c r="S29" i="40" s="1"/>
  <c r="G84" i="7"/>
  <c r="M22" i="40" s="1"/>
  <c r="G85" i="7"/>
  <c r="M23" i="40" s="1"/>
  <c r="G86" i="7"/>
  <c r="M24" i="40" s="1"/>
  <c r="L90" i="7"/>
  <c r="R28" i="40" s="1"/>
  <c r="L92" i="7"/>
  <c r="R30" i="40" s="1"/>
  <c r="L91" i="7"/>
  <c r="R29" i="40" s="1"/>
  <c r="N85" i="7"/>
  <c r="T23" i="40" s="1"/>
  <c r="N86" i="7"/>
  <c r="T24" i="40" s="1"/>
  <c r="N84" i="7"/>
  <c r="T22" i="40" s="1"/>
  <c r="I90" i="7"/>
  <c r="O28" i="40" s="1"/>
  <c r="I91" i="7"/>
  <c r="O29" i="40" s="1"/>
  <c r="I92" i="7"/>
  <c r="O30" i="40" s="1"/>
  <c r="J91" i="7"/>
  <c r="P29" i="40" s="1"/>
  <c r="J92" i="7"/>
  <c r="P30" i="40" s="1"/>
  <c r="J90" i="7"/>
  <c r="P28" i="40" s="1"/>
  <c r="K88" i="7"/>
  <c r="Q26" i="40" s="1"/>
  <c r="K87" i="7"/>
  <c r="Q25" i="40" s="1"/>
  <c r="K89" i="7"/>
  <c r="Q27" i="40" s="1"/>
  <c r="I85" i="7"/>
  <c r="O23" i="40" s="1"/>
  <c r="I86" i="7"/>
  <c r="O24" i="40" s="1"/>
  <c r="I84" i="7"/>
  <c r="O22" i="40" s="1"/>
  <c r="H91" i="7"/>
  <c r="N29" i="40" s="1"/>
  <c r="H90" i="7"/>
  <c r="N28" i="40" s="1"/>
  <c r="H92" i="7"/>
  <c r="N30" i="40" s="1"/>
  <c r="S91" i="7"/>
  <c r="Y29" i="40" s="1"/>
  <c r="S90" i="7"/>
  <c r="Y28" i="40" s="1"/>
  <c r="S92" i="7"/>
  <c r="Y30" i="40" s="1"/>
  <c r="I89" i="7"/>
  <c r="O27" i="40" s="1"/>
  <c r="I88" i="7"/>
  <c r="O26" i="40" s="1"/>
  <c r="I87" i="7"/>
  <c r="O25" i="40" s="1"/>
  <c r="K90" i="7"/>
  <c r="Q28" i="40" s="1"/>
  <c r="K91" i="7"/>
  <c r="Q29" i="40" s="1"/>
  <c r="K92" i="7"/>
  <c r="Q30" i="40" s="1"/>
  <c r="Q86" i="7"/>
  <c r="W24" i="40" s="1"/>
  <c r="Q84" i="7"/>
  <c r="W22" i="40" s="1"/>
  <c r="Q85" i="7"/>
  <c r="W23" i="40" s="1"/>
  <c r="O60" i="7"/>
  <c r="O48"/>
  <c r="N48"/>
  <c r="N60"/>
  <c r="Q60"/>
  <c r="Q48"/>
  <c r="K85"/>
  <c r="Q23" i="40" s="1"/>
  <c r="K86" i="7"/>
  <c r="Q24" i="40" s="1"/>
  <c r="K84" i="7"/>
  <c r="Q22" i="40" s="1"/>
  <c r="G87" i="7"/>
  <c r="M25" i="40" s="1"/>
  <c r="G88" i="7"/>
  <c r="M26" i="40" s="1"/>
  <c r="G89" i="7"/>
  <c r="M27" i="40" s="1"/>
  <c r="E88" i="7"/>
  <c r="K26" i="40" s="1"/>
  <c r="E71" i="7"/>
  <c r="F71" s="1"/>
  <c r="G71" s="1"/>
  <c r="H71" s="1"/>
  <c r="I71" s="1"/>
  <c r="J71" s="1"/>
  <c r="K71" s="1"/>
  <c r="L71" s="1"/>
  <c r="M71" s="1"/>
  <c r="N71" s="1"/>
  <c r="O71" s="1"/>
  <c r="P71" s="1"/>
  <c r="Q71" s="1"/>
  <c r="R71" s="1"/>
  <c r="S71" s="1"/>
  <c r="E87"/>
  <c r="K25" i="40" s="1"/>
  <c r="E89" i="7"/>
  <c r="K27" i="40" s="1"/>
  <c r="P92" i="7"/>
  <c r="V30" i="40" s="1"/>
  <c r="P90" i="7"/>
  <c r="V28" i="40" s="1"/>
  <c r="P91" i="7"/>
  <c r="V29" i="40" s="1"/>
  <c r="E90" i="7"/>
  <c r="K28" i="40" s="1"/>
  <c r="E72" i="7"/>
  <c r="F72" s="1"/>
  <c r="G72" s="1"/>
  <c r="H72" s="1"/>
  <c r="I72" s="1"/>
  <c r="J72" s="1"/>
  <c r="K72" s="1"/>
  <c r="L72" s="1"/>
  <c r="M72" s="1"/>
  <c r="N72" s="1"/>
  <c r="O72" s="1"/>
  <c r="P72" s="1"/>
  <c r="Q72" s="1"/>
  <c r="R72" s="1"/>
  <c r="S72" s="1"/>
  <c r="E91"/>
  <c r="K29" i="40" s="1"/>
  <c r="E92" i="7"/>
  <c r="K30" i="40" s="1"/>
  <c r="O85" i="7"/>
  <c r="U23" i="40" s="1"/>
  <c r="O86" i="7"/>
  <c r="U24" i="40" s="1"/>
  <c r="O84" i="7"/>
  <c r="U22" i="40" s="1"/>
  <c r="E48" i="7"/>
  <c r="E60"/>
  <c r="G92"/>
  <c r="M30" i="40" s="1"/>
  <c r="G90" i="7"/>
  <c r="M28" i="40" s="1"/>
  <c r="G91" i="7"/>
  <c r="M29" i="40" s="1"/>
  <c r="N92" i="7"/>
  <c r="T30" i="40" s="1"/>
  <c r="N90" i="7"/>
  <c r="T28" i="40" s="1"/>
  <c r="N91" i="7"/>
  <c r="T29" i="40" s="1"/>
  <c r="Q87" i="7"/>
  <c r="W25" i="40" s="1"/>
  <c r="Q89" i="7"/>
  <c r="W27" i="40" s="1"/>
  <c r="Q88" i="7"/>
  <c r="W26" i="40" s="1"/>
  <c r="G60" i="7"/>
  <c r="G48"/>
  <c r="H48"/>
  <c r="H60"/>
  <c r="I60"/>
  <c r="I48"/>
  <c r="Q90"/>
  <c r="W28" i="40" s="1"/>
  <c r="Q92" i="7"/>
  <c r="W30" i="40" s="1"/>
  <c r="Q91" i="7"/>
  <c r="W29" i="40" s="1"/>
  <c r="S87" i="7"/>
  <c r="Y25" i="40" s="1"/>
  <c r="S89" i="7"/>
  <c r="Y27" i="40" s="1"/>
  <c r="S88" i="7"/>
  <c r="Y26" i="40" s="1"/>
  <c r="K60" i="7"/>
  <c r="K48"/>
  <c r="N38"/>
  <c r="Q38"/>
  <c r="I139" i="34"/>
  <c r="X26" i="35" s="1"/>
  <c r="Q139" i="34"/>
  <c r="H138"/>
  <c r="W25" i="35" s="1"/>
  <c r="K137" i="34"/>
  <c r="V137"/>
  <c r="F137"/>
  <c r="U24" i="35" s="1"/>
  <c r="O137" i="34"/>
  <c r="E38" i="7"/>
  <c r="G38"/>
  <c r="H38"/>
  <c r="I38"/>
  <c r="K38"/>
  <c r="G138" i="34"/>
  <c r="V25" i="35" s="1"/>
  <c r="L137" i="34"/>
  <c r="H137"/>
  <c r="W24" i="35" s="1"/>
  <c r="J139" i="34"/>
  <c r="S137"/>
  <c r="T138"/>
  <c r="S38" i="7"/>
  <c r="P38"/>
  <c r="J38"/>
  <c r="R38"/>
  <c r="R90"/>
  <c r="X28" i="40" s="1"/>
  <c r="R92" i="7"/>
  <c r="X30" i="40" s="1"/>
  <c r="R91" i="7"/>
  <c r="X29" i="40" s="1"/>
  <c r="M60" i="7"/>
  <c r="M48"/>
  <c r="O89"/>
  <c r="U27" i="40" s="1"/>
  <c r="O87" i="7"/>
  <c r="U25" i="40" s="1"/>
  <c r="O88" i="7"/>
  <c r="U26" i="40" s="1"/>
  <c r="H89" i="7"/>
  <c r="N27" i="40" s="1"/>
  <c r="H88" i="7"/>
  <c r="N26" i="40" s="1"/>
  <c r="H87" i="7"/>
  <c r="N25" i="40" s="1"/>
  <c r="M89" i="7"/>
  <c r="S27" i="40" s="1"/>
  <c r="M88" i="7"/>
  <c r="S26" i="40" s="1"/>
  <c r="M87" i="7"/>
  <c r="S25" i="40" s="1"/>
  <c r="F84" i="7"/>
  <c r="L22" i="40" s="1"/>
  <c r="F85" i="7"/>
  <c r="L23" i="40" s="1"/>
  <c r="F86" i="7"/>
  <c r="L24" i="40" s="1"/>
  <c r="H84" i="7"/>
  <c r="N22" i="40" s="1"/>
  <c r="H85" i="7"/>
  <c r="N23" i="40" s="1"/>
  <c r="H86" i="7"/>
  <c r="N24" i="40" s="1"/>
  <c r="M85" i="7"/>
  <c r="S23" i="40" s="1"/>
  <c r="M84" i="7"/>
  <c r="S22" i="40" s="1"/>
  <c r="M86" i="7"/>
  <c r="S24" i="40" s="1"/>
  <c r="S48" i="7"/>
  <c r="S60"/>
  <c r="S84"/>
  <c r="Y22" i="40" s="1"/>
  <c r="S86" i="7"/>
  <c r="Y24" i="40" s="1"/>
  <c r="S85" i="7"/>
  <c r="Y23" i="40" s="1"/>
  <c r="P84" i="7"/>
  <c r="V22" i="40" s="1"/>
  <c r="P86" i="7"/>
  <c r="V24" i="40" s="1"/>
  <c r="P85" i="7"/>
  <c r="V23" i="40" s="1"/>
  <c r="E85" i="7"/>
  <c r="K23" i="40" s="1"/>
  <c r="E84" i="7"/>
  <c r="K22" i="40" s="1"/>
  <c r="E86" i="7"/>
  <c r="K24" i="40" s="1"/>
  <c r="E70" i="7"/>
  <c r="F70" s="1"/>
  <c r="G70" s="1"/>
  <c r="H70" s="1"/>
  <c r="I70" s="1"/>
  <c r="J70" s="1"/>
  <c r="K70" s="1"/>
  <c r="L70" s="1"/>
  <c r="M70" s="1"/>
  <c r="N70" s="1"/>
  <c r="O70" s="1"/>
  <c r="P70" s="1"/>
  <c r="Q70" s="1"/>
  <c r="R70" s="1"/>
  <c r="S70" s="1"/>
  <c r="N89"/>
  <c r="T27" i="40" s="1"/>
  <c r="N88" i="7"/>
  <c r="T26" i="40" s="1"/>
  <c r="N87" i="7"/>
  <c r="T25" i="40" s="1"/>
  <c r="J89" i="7"/>
  <c r="P27" i="40" s="1"/>
  <c r="J87" i="7"/>
  <c r="P25" i="40" s="1"/>
  <c r="J88" i="7"/>
  <c r="P26" i="40" s="1"/>
  <c r="J85" i="7"/>
  <c r="P23" i="40" s="1"/>
  <c r="J86" i="7"/>
  <c r="P24" i="40" s="1"/>
  <c r="J84" i="7"/>
  <c r="P22" i="40" s="1"/>
  <c r="P60" i="7"/>
  <c r="P48"/>
  <c r="L84"/>
  <c r="R22" i="40" s="1"/>
  <c r="L86" i="7"/>
  <c r="R24" i="40" s="1"/>
  <c r="L85" i="7"/>
  <c r="R23" i="40" s="1"/>
  <c r="J60" i="7"/>
  <c r="J48"/>
  <c r="F88"/>
  <c r="L26" i="40" s="1"/>
  <c r="F89" i="7"/>
  <c r="L27" i="40" s="1"/>
  <c r="F87" i="7"/>
  <c r="L25" i="40" s="1"/>
  <c r="L89" i="7"/>
  <c r="R27" i="40" s="1"/>
  <c r="L88" i="7"/>
  <c r="R26" i="40" s="1"/>
  <c r="L87" i="7"/>
  <c r="R25" i="40" s="1"/>
  <c r="O90" i="7"/>
  <c r="U28" i="40" s="1"/>
  <c r="O91" i="7"/>
  <c r="U29" i="40" s="1"/>
  <c r="O92" i="7"/>
  <c r="U30" i="40" s="1"/>
  <c r="P87" i="7"/>
  <c r="V25" i="40" s="1"/>
  <c r="P89" i="7"/>
  <c r="V27" i="40" s="1"/>
  <c r="P88" i="7"/>
  <c r="V26" i="40" s="1"/>
  <c r="R60" i="7"/>
  <c r="R48"/>
  <c r="X48"/>
  <c r="L38"/>
  <c r="F38"/>
  <c r="O33" i="34"/>
  <c r="O28"/>
  <c r="X54" i="35"/>
  <c r="X63" s="1"/>
  <c r="X76" s="1"/>
  <c r="AD34" i="40" s="1"/>
  <c r="X36" i="35"/>
  <c r="Z36" s="1"/>
  <c r="U35"/>
  <c r="U53"/>
  <c r="U62" s="1"/>
  <c r="U75" s="1"/>
  <c r="W35"/>
  <c r="W53"/>
  <c r="W62" s="1"/>
  <c r="W75" s="1"/>
  <c r="AC33" i="40" s="1"/>
  <c r="AA26" i="34"/>
  <c r="E36"/>
  <c r="J33"/>
  <c r="J28"/>
  <c r="U33"/>
  <c r="U28"/>
  <c r="E34"/>
  <c r="AA24"/>
  <c r="U34" i="35"/>
  <c r="U52"/>
  <c r="U28"/>
  <c r="T28" i="34"/>
  <c r="T33"/>
  <c r="L33"/>
  <c r="L28"/>
  <c r="S33"/>
  <c r="S28"/>
  <c r="G28"/>
  <c r="G33"/>
  <c r="K28"/>
  <c r="K33"/>
  <c r="Q33"/>
  <c r="Q28"/>
  <c r="H139"/>
  <c r="W26" i="35" s="1"/>
  <c r="I138" i="34"/>
  <c r="X25" i="35" s="1"/>
  <c r="O138" i="34"/>
  <c r="N137"/>
  <c r="M138"/>
  <c r="M139"/>
  <c r="F139"/>
  <c r="U26" i="35" s="1"/>
  <c r="Q137" i="34"/>
  <c r="N139"/>
  <c r="V139"/>
  <c r="J137"/>
  <c r="P138"/>
  <c r="X138"/>
  <c r="K138"/>
  <c r="AA18"/>
  <c r="S138"/>
  <c r="E35"/>
  <c r="AA25"/>
  <c r="V53" i="35"/>
  <c r="V62" s="1"/>
  <c r="V75" s="1"/>
  <c r="AB33" i="40" s="1"/>
  <c r="V35" i="35"/>
  <c r="H28" i="34"/>
  <c r="H33"/>
  <c r="W34" i="35"/>
  <c r="W52"/>
  <c r="W28"/>
  <c r="N33" i="34"/>
  <c r="N28"/>
  <c r="X33"/>
  <c r="X28"/>
  <c r="P28"/>
  <c r="P33"/>
  <c r="M28"/>
  <c r="M33"/>
  <c r="F28"/>
  <c r="F33"/>
  <c r="W33"/>
  <c r="W28"/>
  <c r="R28"/>
  <c r="R33"/>
  <c r="V33"/>
  <c r="V28"/>
  <c r="I28"/>
  <c r="I33"/>
  <c r="AA23"/>
  <c r="E33"/>
  <c r="E28"/>
  <c r="R139"/>
  <c r="V138"/>
  <c r="T139"/>
  <c r="T137"/>
  <c r="G137"/>
  <c r="V24" i="35" s="1"/>
  <c r="O139" i="34"/>
  <c r="W139"/>
  <c r="G139"/>
  <c r="V26" i="35" s="1"/>
  <c r="R138" i="34"/>
  <c r="U138"/>
  <c r="R137"/>
  <c r="K139"/>
  <c r="X137"/>
  <c r="I137"/>
  <c r="X24" i="35" s="1"/>
  <c r="M137" i="34"/>
  <c r="O33" i="6"/>
  <c r="O28"/>
  <c r="X54" i="7"/>
  <c r="X63" s="1"/>
  <c r="X36"/>
  <c r="Z36" s="1"/>
  <c r="H54" i="6"/>
  <c r="N13" i="40" s="1"/>
  <c r="H53" i="6"/>
  <c r="N12" i="40" s="1"/>
  <c r="H55" i="6"/>
  <c r="N14" i="40" s="1"/>
  <c r="I52" i="6"/>
  <c r="O11" i="40" s="1"/>
  <c r="I50" i="6"/>
  <c r="O9" i="40" s="1"/>
  <c r="I51" i="6"/>
  <c r="O10" i="40" s="1"/>
  <c r="O52" i="6"/>
  <c r="U11" i="40" s="1"/>
  <c r="O51" i="6"/>
  <c r="U10" i="40" s="1"/>
  <c r="O50" i="6"/>
  <c r="U9" i="40" s="1"/>
  <c r="N49" i="6"/>
  <c r="T8" i="40" s="1"/>
  <c r="N48" i="6"/>
  <c r="T7" i="40" s="1"/>
  <c r="N47" i="6"/>
  <c r="T6" i="40" s="1"/>
  <c r="M51" i="6"/>
  <c r="S10" i="40" s="1"/>
  <c r="M52" i="6"/>
  <c r="S11" i="40" s="1"/>
  <c r="M50" i="6"/>
  <c r="S9" i="40" s="1"/>
  <c r="U35" i="7"/>
  <c r="U53"/>
  <c r="U62" s="1"/>
  <c r="G54" i="6"/>
  <c r="M13" i="40" s="1"/>
  <c r="G55" i="6"/>
  <c r="M14" i="40" s="1"/>
  <c r="G53" i="6"/>
  <c r="M12" i="40" s="1"/>
  <c r="X28" i="6"/>
  <c r="X33"/>
  <c r="R51"/>
  <c r="X10" i="40" s="1"/>
  <c r="R50" i="6"/>
  <c r="X9" i="40" s="1"/>
  <c r="R52" i="6"/>
  <c r="X11" i="40" s="1"/>
  <c r="P33" i="6"/>
  <c r="P28"/>
  <c r="U51"/>
  <c r="AA10" i="40" s="1"/>
  <c r="U50" i="6"/>
  <c r="AA9" i="40" s="1"/>
  <c r="U52" i="6"/>
  <c r="AA11" i="40" s="1"/>
  <c r="R49" i="6"/>
  <c r="X8" i="40" s="1"/>
  <c r="R47" i="6"/>
  <c r="X6" i="40" s="1"/>
  <c r="R48" i="6"/>
  <c r="X7" i="40" s="1"/>
  <c r="P54" i="6"/>
  <c r="V13" i="40" s="1"/>
  <c r="P53" i="6"/>
  <c r="V12" i="40" s="1"/>
  <c r="P55" i="6"/>
  <c r="V14" i="40" s="1"/>
  <c r="T28" i="6"/>
  <c r="T33"/>
  <c r="H49"/>
  <c r="N8" i="40" s="1"/>
  <c r="H48" i="6"/>
  <c r="N7" i="40" s="1"/>
  <c r="H47" i="6"/>
  <c r="N6" i="40" s="1"/>
  <c r="N52" i="6"/>
  <c r="T11" i="40" s="1"/>
  <c r="N50" i="6"/>
  <c r="T9" i="40" s="1"/>
  <c r="N51" i="6"/>
  <c r="T10" i="40" s="1"/>
  <c r="J53" i="6"/>
  <c r="P12" i="40" s="1"/>
  <c r="J55" i="6"/>
  <c r="P14" i="40" s="1"/>
  <c r="J54" i="6"/>
  <c r="P13" i="40" s="1"/>
  <c r="K33" i="6"/>
  <c r="K28"/>
  <c r="W53"/>
  <c r="AC12" i="40" s="1"/>
  <c r="W55" i="6"/>
  <c r="AC14" i="40" s="1"/>
  <c r="W54" i="6"/>
  <c r="AC13" i="40" s="1"/>
  <c r="Q48" i="6"/>
  <c r="W7" i="40" s="1"/>
  <c r="Q47" i="6"/>
  <c r="W6" i="40" s="1"/>
  <c r="Q49" i="6"/>
  <c r="W8" i="40" s="1"/>
  <c r="N28" i="6"/>
  <c r="N33"/>
  <c r="W53" i="7"/>
  <c r="W62" s="1"/>
  <c r="W35"/>
  <c r="M48" i="6"/>
  <c r="S7" i="40" s="1"/>
  <c r="M47" i="6"/>
  <c r="S6" i="40" s="1"/>
  <c r="M49" i="6"/>
  <c r="S8" i="40" s="1"/>
  <c r="S51" i="6"/>
  <c r="Y10" i="40" s="1"/>
  <c r="S52" i="6"/>
  <c r="Y11" i="40" s="1"/>
  <c r="S50" i="6"/>
  <c r="Y9" i="40" s="1"/>
  <c r="L54" i="6"/>
  <c r="R13" i="40" s="1"/>
  <c r="L53" i="6"/>
  <c r="R12" i="40" s="1"/>
  <c r="L55" i="6"/>
  <c r="R14" i="40" s="1"/>
  <c r="X55" i="6"/>
  <c r="AD14" i="40" s="1"/>
  <c r="X54" i="6"/>
  <c r="AD13" i="40" s="1"/>
  <c r="X53" i="6"/>
  <c r="AD12" i="40" s="1"/>
  <c r="U47" i="6"/>
  <c r="AA6" i="40" s="1"/>
  <c r="U49" i="6"/>
  <c r="AA8" i="40" s="1"/>
  <c r="U48" i="6"/>
  <c r="AA7" i="40" s="1"/>
  <c r="G50" i="6"/>
  <c r="M9" i="40" s="1"/>
  <c r="G52" i="6"/>
  <c r="M11" i="40" s="1"/>
  <c r="G51" i="6"/>
  <c r="M10" i="40" s="1"/>
  <c r="R33" i="6"/>
  <c r="R28"/>
  <c r="V28"/>
  <c r="V33"/>
  <c r="P48"/>
  <c r="V7" i="40" s="1"/>
  <c r="P47" i="6"/>
  <c r="V6" i="40" s="1"/>
  <c r="P49" i="6"/>
  <c r="V8" i="40" s="1"/>
  <c r="S55" i="6"/>
  <c r="Y14" i="40" s="1"/>
  <c r="S54" i="6"/>
  <c r="Y13" i="40" s="1"/>
  <c r="S53" i="6"/>
  <c r="Y12" i="40" s="1"/>
  <c r="J28" i="6"/>
  <c r="J33"/>
  <c r="X48"/>
  <c r="AD7" i="40" s="1"/>
  <c r="X47" i="6"/>
  <c r="AD6" i="40" s="1"/>
  <c r="X49" i="6"/>
  <c r="AD8" i="40" s="1"/>
  <c r="U33" i="6"/>
  <c r="U28"/>
  <c r="Q50"/>
  <c r="W9" i="40" s="1"/>
  <c r="Q51" i="6"/>
  <c r="W10" i="40" s="1"/>
  <c r="Q52" i="6"/>
  <c r="W11" i="40" s="1"/>
  <c r="L48" i="6"/>
  <c r="R7" i="40" s="1"/>
  <c r="L47" i="6"/>
  <c r="R6" i="40" s="1"/>
  <c r="L49" i="6"/>
  <c r="R8" i="40" s="1"/>
  <c r="W47" i="6"/>
  <c r="AC6" i="40" s="1"/>
  <c r="W49" i="6"/>
  <c r="AC8" i="40" s="1"/>
  <c r="W48" i="6"/>
  <c r="AC7" i="40" s="1"/>
  <c r="F54" i="6"/>
  <c r="L13" i="40" s="1"/>
  <c r="F55" i="6"/>
  <c r="L14" i="40" s="1"/>
  <c r="F53" i="6"/>
  <c r="L12" i="40" s="1"/>
  <c r="O47" i="6"/>
  <c r="U6" i="40" s="1"/>
  <c r="O49" i="6"/>
  <c r="U8" i="40" s="1"/>
  <c r="O48" i="6"/>
  <c r="U7" i="40" s="1"/>
  <c r="Q28" i="6"/>
  <c r="Q33"/>
  <c r="AA18"/>
  <c r="H147"/>
  <c r="W26" i="7" s="1"/>
  <c r="I146" i="6"/>
  <c r="X25" i="7" s="1"/>
  <c r="O146" i="6"/>
  <c r="N145"/>
  <c r="M146"/>
  <c r="G147"/>
  <c r="V26" i="7" s="1"/>
  <c r="R146" i="6"/>
  <c r="U146"/>
  <c r="R145"/>
  <c r="P147"/>
  <c r="H145"/>
  <c r="W24" i="7" s="1"/>
  <c r="N146" i="6"/>
  <c r="J147"/>
  <c r="W147"/>
  <c r="Q145"/>
  <c r="M145"/>
  <c r="S146"/>
  <c r="R55"/>
  <c r="X14" i="40" s="1"/>
  <c r="R53" i="6"/>
  <c r="X12" i="40" s="1"/>
  <c r="R54" i="6"/>
  <c r="X13" i="40" s="1"/>
  <c r="V51" i="6"/>
  <c r="AB10" i="40" s="1"/>
  <c r="V52" i="6"/>
  <c r="AB11" i="40" s="1"/>
  <c r="V50" i="6"/>
  <c r="AB9" i="40" s="1"/>
  <c r="T54" i="6"/>
  <c r="Z13" i="40" s="1"/>
  <c r="T53" i="6"/>
  <c r="Z12" i="40" s="1"/>
  <c r="T55" i="6"/>
  <c r="Z14" i="40" s="1"/>
  <c r="T47" i="6"/>
  <c r="Z6" i="40" s="1"/>
  <c r="T48" i="6"/>
  <c r="Z7" i="40" s="1"/>
  <c r="T49" i="6"/>
  <c r="Z8" i="40" s="1"/>
  <c r="G49" i="6"/>
  <c r="M8" i="40" s="1"/>
  <c r="G47" i="6"/>
  <c r="M6" i="40" s="1"/>
  <c r="G48" i="6"/>
  <c r="M7" i="40" s="1"/>
  <c r="AA25" i="6"/>
  <c r="E35"/>
  <c r="V53" i="7"/>
  <c r="V62" s="1"/>
  <c r="V35"/>
  <c r="N55" i="6"/>
  <c r="T14" i="40" s="1"/>
  <c r="N53" i="6"/>
  <c r="T12" i="40" s="1"/>
  <c r="N54" i="6"/>
  <c r="T13" i="40" s="1"/>
  <c r="AA26" i="6"/>
  <c r="E36"/>
  <c r="V54"/>
  <c r="AB13" i="40" s="1"/>
  <c r="V55" i="6"/>
  <c r="AB14" i="40" s="1"/>
  <c r="V53" i="6"/>
  <c r="AB12" i="40" s="1"/>
  <c r="J47" i="6"/>
  <c r="P6" i="40" s="1"/>
  <c r="J48" i="6"/>
  <c r="P7" i="40" s="1"/>
  <c r="J49" i="6"/>
  <c r="P8" i="40" s="1"/>
  <c r="P50" i="6"/>
  <c r="V9" i="40" s="1"/>
  <c r="P52" i="6"/>
  <c r="V11" i="40" s="1"/>
  <c r="P51" i="6"/>
  <c r="V10" i="40" s="1"/>
  <c r="X51" i="6"/>
  <c r="AD10" i="40" s="1"/>
  <c r="X52" i="6"/>
  <c r="AD11" i="40" s="1"/>
  <c r="X50" i="6"/>
  <c r="AD9" i="40" s="1"/>
  <c r="K53" i="6"/>
  <c r="Q12" i="40" s="1"/>
  <c r="K55" i="6"/>
  <c r="Q14" i="40" s="1"/>
  <c r="K54" i="6"/>
  <c r="Q13" i="40" s="1"/>
  <c r="G33" i="6"/>
  <c r="G28"/>
  <c r="H33"/>
  <c r="H28"/>
  <c r="K51"/>
  <c r="Q10" i="40" s="1"/>
  <c r="K52" i="6"/>
  <c r="Q11" i="40" s="1"/>
  <c r="K50" i="6"/>
  <c r="Q9" i="40" s="1"/>
  <c r="I49" i="6"/>
  <c r="O8" i="40" s="1"/>
  <c r="I48" i="6"/>
  <c r="O7" i="40" s="1"/>
  <c r="I47" i="6"/>
  <c r="O6" i="40" s="1"/>
  <c r="E34" i="6"/>
  <c r="AA24"/>
  <c r="U36" i="7"/>
  <c r="U54"/>
  <c r="U63" s="1"/>
  <c r="F47" i="6"/>
  <c r="L6" i="40" s="1"/>
  <c r="F49" i="6"/>
  <c r="L8" i="40" s="1"/>
  <c r="F48" i="6"/>
  <c r="L7" i="40" s="1"/>
  <c r="L51" i="6"/>
  <c r="R10" i="40" s="1"/>
  <c r="L50" i="6"/>
  <c r="R9" i="40" s="1"/>
  <c r="L52" i="6"/>
  <c r="R11" i="40" s="1"/>
  <c r="W51" i="6"/>
  <c r="AC10" i="40" s="1"/>
  <c r="W52" i="6"/>
  <c r="AC11" i="40" s="1"/>
  <c r="W50" i="6"/>
  <c r="AC9" i="40" s="1"/>
  <c r="K48" i="6"/>
  <c r="Q7" i="40" s="1"/>
  <c r="K49" i="6"/>
  <c r="Q8" i="40" s="1"/>
  <c r="K47" i="6"/>
  <c r="Q6" i="40" s="1"/>
  <c r="I53" i="6"/>
  <c r="O12" i="40" s="1"/>
  <c r="I55" i="6"/>
  <c r="O14" i="40" s="1"/>
  <c r="I54" i="6"/>
  <c r="O13" i="40" s="1"/>
  <c r="Q55" i="6"/>
  <c r="W14" i="40" s="1"/>
  <c r="Q54" i="6"/>
  <c r="W13" i="40" s="1"/>
  <c r="Q53" i="6"/>
  <c r="W12" i="40" s="1"/>
  <c r="F28" i="6"/>
  <c r="F33"/>
  <c r="F52"/>
  <c r="L11" i="40" s="1"/>
  <c r="F50" i="6"/>
  <c r="L9" i="40" s="1"/>
  <c r="F51" i="6"/>
  <c r="L10" i="40" s="1"/>
  <c r="L33" i="6"/>
  <c r="L28"/>
  <c r="V48"/>
  <c r="AB7" i="40" s="1"/>
  <c r="V47" i="6"/>
  <c r="AB6" i="40" s="1"/>
  <c r="V49" i="6"/>
  <c r="AB8" i="40" s="1"/>
  <c r="S47" i="6"/>
  <c r="Y6" i="40" s="1"/>
  <c r="S48" i="6"/>
  <c r="Y7" i="40" s="1"/>
  <c r="S49" i="6"/>
  <c r="Y8" i="40" s="1"/>
  <c r="S28" i="6"/>
  <c r="S33"/>
  <c r="O54"/>
  <c r="U13" i="40" s="1"/>
  <c r="O55" i="6"/>
  <c r="U14" i="40" s="1"/>
  <c r="O53" i="6"/>
  <c r="U12" i="40" s="1"/>
  <c r="M55" i="6"/>
  <c r="S14" i="40" s="1"/>
  <c r="M53" i="6"/>
  <c r="S12" i="40" s="1"/>
  <c r="M54" i="6"/>
  <c r="S13" i="40" s="1"/>
  <c r="J50" i="6"/>
  <c r="P9" i="40" s="1"/>
  <c r="J52" i="6"/>
  <c r="P11" i="40" s="1"/>
  <c r="J51" i="6"/>
  <c r="P10" i="40" s="1"/>
  <c r="T50" i="6"/>
  <c r="Z9" i="40" s="1"/>
  <c r="T51" i="6"/>
  <c r="Z10" i="40" s="1"/>
  <c r="T52" i="6"/>
  <c r="Z11" i="40" s="1"/>
  <c r="U55" i="6"/>
  <c r="AA14" i="40" s="1"/>
  <c r="U53" i="6"/>
  <c r="AA12" i="40" s="1"/>
  <c r="U54" i="6"/>
  <c r="AA13" i="40" s="1"/>
  <c r="I28" i="6"/>
  <c r="I33"/>
  <c r="W28"/>
  <c r="W33"/>
  <c r="M33"/>
  <c r="M28"/>
  <c r="H51"/>
  <c r="N10" i="40" s="1"/>
  <c r="H52" i="6"/>
  <c r="N11" i="40" s="1"/>
  <c r="H50" i="6"/>
  <c r="N9" i="40" s="1"/>
  <c r="R147" i="6"/>
  <c r="V146"/>
  <c r="T147"/>
  <c r="T145"/>
  <c r="G145"/>
  <c r="V24" i="7" s="1"/>
  <c r="N147" i="6"/>
  <c r="V147"/>
  <c r="J145"/>
  <c r="P146"/>
  <c r="X146"/>
  <c r="K147"/>
  <c r="K146"/>
  <c r="I145"/>
  <c r="X24" i="7" s="1"/>
  <c r="F145" i="6"/>
  <c r="U24" i="7" s="1"/>
  <c r="L146" i="6"/>
  <c r="W146"/>
  <c r="K145"/>
  <c r="E33"/>
  <c r="E28"/>
  <c r="AA23"/>
  <c r="F65" i="35" l="1"/>
  <c r="F73"/>
  <c r="K65"/>
  <c r="K73"/>
  <c r="H65"/>
  <c r="H73"/>
  <c r="J73"/>
  <c r="J65"/>
  <c r="I65"/>
  <c r="I73"/>
  <c r="Q73"/>
  <c r="Q65"/>
  <c r="O73"/>
  <c r="O65"/>
  <c r="T65"/>
  <c r="T73"/>
  <c r="Z48"/>
  <c r="L65"/>
  <c r="L73"/>
  <c r="S65"/>
  <c r="S73"/>
  <c r="M65"/>
  <c r="M73"/>
  <c r="N73"/>
  <c r="N65"/>
  <c r="E65"/>
  <c r="E73"/>
  <c r="P65"/>
  <c r="P73"/>
  <c r="R65"/>
  <c r="R73"/>
  <c r="G65"/>
  <c r="G73"/>
  <c r="H81" i="7"/>
  <c r="H83"/>
  <c r="H82"/>
  <c r="N20" i="40" s="1"/>
  <c r="H65" i="7"/>
  <c r="Q83"/>
  <c r="Q65"/>
  <c r="Q82"/>
  <c r="W20" i="40" s="1"/>
  <c r="Q81" i="7"/>
  <c r="K82"/>
  <c r="Q20" i="40" s="1"/>
  <c r="K81" i="7"/>
  <c r="K65"/>
  <c r="K83"/>
  <c r="I83"/>
  <c r="I82"/>
  <c r="O20" i="40" s="1"/>
  <c r="I65" i="7"/>
  <c r="I81"/>
  <c r="R82"/>
  <c r="X20" i="40" s="1"/>
  <c r="R65" i="7"/>
  <c r="R81"/>
  <c r="R83"/>
  <c r="M83"/>
  <c r="M81"/>
  <c r="M65"/>
  <c r="M82"/>
  <c r="S20" i="40" s="1"/>
  <c r="L81" i="7"/>
  <c r="L65"/>
  <c r="L82"/>
  <c r="R20" i="40" s="1"/>
  <c r="L83" i="7"/>
  <c r="Z48"/>
  <c r="J81"/>
  <c r="J82"/>
  <c r="P20" i="40" s="1"/>
  <c r="J65" i="7"/>
  <c r="J83"/>
  <c r="O83"/>
  <c r="O65"/>
  <c r="O82"/>
  <c r="U20" i="40" s="1"/>
  <c r="O81" i="7"/>
  <c r="F83"/>
  <c r="F81"/>
  <c r="F82"/>
  <c r="L20" i="40" s="1"/>
  <c r="F65" i="7"/>
  <c r="G83"/>
  <c r="G65"/>
  <c r="G81"/>
  <c r="G82"/>
  <c r="M20" i="40" s="1"/>
  <c r="P65" i="7"/>
  <c r="P82"/>
  <c r="V20" i="40" s="1"/>
  <c r="P83" i="7"/>
  <c r="P81"/>
  <c r="S82"/>
  <c r="Y20" i="40" s="1"/>
  <c r="S81" i="7"/>
  <c r="S83"/>
  <c r="S65"/>
  <c r="E69"/>
  <c r="E83"/>
  <c r="E65"/>
  <c r="E82"/>
  <c r="K20" i="40" s="1"/>
  <c r="E81" i="7"/>
  <c r="N83"/>
  <c r="N65"/>
  <c r="N81"/>
  <c r="N82"/>
  <c r="T20" i="40" s="1"/>
  <c r="X52" i="35"/>
  <c r="X34"/>
  <c r="X28"/>
  <c r="V44" i="34"/>
  <c r="V38"/>
  <c r="V136"/>
  <c r="V141" s="1"/>
  <c r="W61" i="35"/>
  <c r="O44" i="34"/>
  <c r="O38"/>
  <c r="O136"/>
  <c r="O141" s="1"/>
  <c r="AA35"/>
  <c r="E46"/>
  <c r="E138"/>
  <c r="AA138" s="1"/>
  <c r="W36" i="35"/>
  <c r="W38" s="1"/>
  <c r="W54"/>
  <c r="W63" s="1"/>
  <c r="W76" s="1"/>
  <c r="AC34" i="40" s="1"/>
  <c r="S44" i="34"/>
  <c r="S38"/>
  <c r="S136"/>
  <c r="S141" s="1"/>
  <c r="U38"/>
  <c r="U44"/>
  <c r="U136"/>
  <c r="U141" s="1"/>
  <c r="AA33" i="40"/>
  <c r="V36" i="35"/>
  <c r="V38" s="1"/>
  <c r="V54"/>
  <c r="V63" s="1"/>
  <c r="V76" s="1"/>
  <c r="AB34" i="40" s="1"/>
  <c r="N44" i="34"/>
  <c r="N38"/>
  <c r="N136"/>
  <c r="N141" s="1"/>
  <c r="H38"/>
  <c r="H44"/>
  <c r="H136"/>
  <c r="H141" s="1"/>
  <c r="X53" i="35"/>
  <c r="X62" s="1"/>
  <c r="X75" s="1"/>
  <c r="AD33" i="40" s="1"/>
  <c r="X35" i="35"/>
  <c r="Z35" s="1"/>
  <c r="K44" i="34"/>
  <c r="K38"/>
  <c r="K136"/>
  <c r="K141" s="1"/>
  <c r="T38"/>
  <c r="T44"/>
  <c r="T136"/>
  <c r="T141" s="1"/>
  <c r="E47"/>
  <c r="AA36"/>
  <c r="E139"/>
  <c r="AA139" s="1"/>
  <c r="Z52" i="35"/>
  <c r="Y74" s="1"/>
  <c r="AA28" i="34"/>
  <c r="Z53" i="35"/>
  <c r="Y75" s="1"/>
  <c r="AE33" i="40" s="1"/>
  <c r="W44" i="34"/>
  <c r="W38"/>
  <c r="W136"/>
  <c r="W141" s="1"/>
  <c r="X38"/>
  <c r="X44"/>
  <c r="X136"/>
  <c r="X141" s="1"/>
  <c r="G44"/>
  <c r="G38"/>
  <c r="G136"/>
  <c r="G141" s="1"/>
  <c r="AA33"/>
  <c r="E38"/>
  <c r="E44"/>
  <c r="E136"/>
  <c r="M38"/>
  <c r="M44"/>
  <c r="M136"/>
  <c r="M141" s="1"/>
  <c r="V34" i="35"/>
  <c r="V52"/>
  <c r="V28"/>
  <c r="I38" i="34"/>
  <c r="I44"/>
  <c r="I136"/>
  <c r="I141" s="1"/>
  <c r="R38"/>
  <c r="R44"/>
  <c r="R136"/>
  <c r="R141" s="1"/>
  <c r="F44"/>
  <c r="F38"/>
  <c r="F136"/>
  <c r="F141" s="1"/>
  <c r="P38"/>
  <c r="P44"/>
  <c r="P136"/>
  <c r="P141" s="1"/>
  <c r="U54" i="35"/>
  <c r="U63" s="1"/>
  <c r="U76" s="1"/>
  <c r="Z54"/>
  <c r="Y76" s="1"/>
  <c r="AE34" i="40" s="1"/>
  <c r="U36" i="35"/>
  <c r="U38" s="1"/>
  <c r="Q38" i="34"/>
  <c r="Q44"/>
  <c r="Q136"/>
  <c r="Q141" s="1"/>
  <c r="L44"/>
  <c r="L38"/>
  <c r="L136"/>
  <c r="L141" s="1"/>
  <c r="U61" i="35"/>
  <c r="E45" i="34"/>
  <c r="AA34"/>
  <c r="E137"/>
  <c r="AA137" s="1"/>
  <c r="J44"/>
  <c r="J38"/>
  <c r="J136"/>
  <c r="J141" s="1"/>
  <c r="U34" i="7"/>
  <c r="U52"/>
  <c r="U61" s="1"/>
  <c r="G46" i="6"/>
  <c r="G45"/>
  <c r="M4" i="40" s="1"/>
  <c r="G38" i="6"/>
  <c r="G44"/>
  <c r="G144"/>
  <c r="E53"/>
  <c r="AA36"/>
  <c r="E55"/>
  <c r="E54"/>
  <c r="E147"/>
  <c r="W36" i="7"/>
  <c r="W54"/>
  <c r="W63" s="1"/>
  <c r="U44" i="6"/>
  <c r="U45"/>
  <c r="AA4" i="40" s="1"/>
  <c r="U38" i="6"/>
  <c r="U46"/>
  <c r="U144"/>
  <c r="U149" s="1"/>
  <c r="J46"/>
  <c r="J44"/>
  <c r="J45"/>
  <c r="P4" i="40" s="1"/>
  <c r="J38" i="6"/>
  <c r="J144"/>
  <c r="J149" s="1"/>
  <c r="V46"/>
  <c r="V38"/>
  <c r="V44"/>
  <c r="V45"/>
  <c r="AB4" i="40" s="1"/>
  <c r="V144" i="6"/>
  <c r="V149" s="1"/>
  <c r="N44"/>
  <c r="N46"/>
  <c r="N38"/>
  <c r="N45"/>
  <c r="T4" i="40" s="1"/>
  <c r="N144" i="6"/>
  <c r="N149" s="1"/>
  <c r="U88" i="7"/>
  <c r="AA26" i="40" s="1"/>
  <c r="U87" i="7"/>
  <c r="AA25" i="40" s="1"/>
  <c r="U89" i="7"/>
  <c r="AA27" i="40" s="1"/>
  <c r="O38" i="6"/>
  <c r="O45"/>
  <c r="U4" i="40" s="1"/>
  <c r="O46" i="6"/>
  <c r="O44"/>
  <c r="O144"/>
  <c r="O149" s="1"/>
  <c r="W46"/>
  <c r="W38"/>
  <c r="W45"/>
  <c r="AC4" i="40" s="1"/>
  <c r="W44" i="6"/>
  <c r="W144"/>
  <c r="W149" s="1"/>
  <c r="L44"/>
  <c r="L38"/>
  <c r="L46"/>
  <c r="L45"/>
  <c r="R4" i="40" s="1"/>
  <c r="L144" i="6"/>
  <c r="L149" s="1"/>
  <c r="F38"/>
  <c r="F46"/>
  <c r="F44"/>
  <c r="F45"/>
  <c r="L4" i="40" s="1"/>
  <c r="F144" i="6"/>
  <c r="U92" i="7"/>
  <c r="AA30" i="40" s="1"/>
  <c r="U91" i="7"/>
  <c r="AA29" i="40" s="1"/>
  <c r="U90" i="7"/>
  <c r="AA28" i="40" s="1"/>
  <c r="AA35" i="6"/>
  <c r="E51"/>
  <c r="E52"/>
  <c r="E50"/>
  <c r="E146"/>
  <c r="V54" i="7"/>
  <c r="V63" s="1"/>
  <c r="V36"/>
  <c r="X53"/>
  <c r="X62" s="1"/>
  <c r="X35"/>
  <c r="Z35" s="1"/>
  <c r="R38" i="6"/>
  <c r="R46"/>
  <c r="R45"/>
  <c r="X4" i="40" s="1"/>
  <c r="R44" i="6"/>
  <c r="R144"/>
  <c r="R149" s="1"/>
  <c r="W89" i="7"/>
  <c r="AC27" i="40" s="1"/>
  <c r="W88" i="7"/>
  <c r="AC26" i="40" s="1"/>
  <c r="W87" i="7"/>
  <c r="AC25" i="40" s="1"/>
  <c r="T45" i="6"/>
  <c r="Z4" i="40" s="1"/>
  <c r="T44" i="6"/>
  <c r="T38"/>
  <c r="T46"/>
  <c r="T144"/>
  <c r="T149" s="1"/>
  <c r="P46"/>
  <c r="P38"/>
  <c r="P44"/>
  <c r="P45"/>
  <c r="V4" i="40" s="1"/>
  <c r="P144" i="6"/>
  <c r="P149" s="1"/>
  <c r="X44"/>
  <c r="X38"/>
  <c r="X45"/>
  <c r="AD4" i="40" s="1"/>
  <c r="X46" i="6"/>
  <c r="X144"/>
  <c r="X149" s="1"/>
  <c r="AA28"/>
  <c r="M38"/>
  <c r="M44"/>
  <c r="M46"/>
  <c r="M45"/>
  <c r="S4" i="40" s="1"/>
  <c r="M144" i="6"/>
  <c r="M149" s="1"/>
  <c r="S45"/>
  <c r="Y4" i="40" s="1"/>
  <c r="S44" i="6"/>
  <c r="S38"/>
  <c r="S46"/>
  <c r="S144"/>
  <c r="S149" s="1"/>
  <c r="AA34"/>
  <c r="E49"/>
  <c r="E47"/>
  <c r="E48"/>
  <c r="E145"/>
  <c r="H44"/>
  <c r="H46"/>
  <c r="H38"/>
  <c r="H45"/>
  <c r="N4" i="40" s="1"/>
  <c r="H144" i="6"/>
  <c r="V87" i="7"/>
  <c r="AB25" i="40" s="1"/>
  <c r="V89" i="7"/>
  <c r="AB27" i="40" s="1"/>
  <c r="V88" i="7"/>
  <c r="AB26" i="40" s="1"/>
  <c r="W52" i="7"/>
  <c r="W61" s="1"/>
  <c r="W34"/>
  <c r="Q44" i="6"/>
  <c r="Q46"/>
  <c r="Q38"/>
  <c r="Q45"/>
  <c r="W4" i="40" s="1"/>
  <c r="Q144" i="6"/>
  <c r="Q149" s="1"/>
  <c r="X90" i="7"/>
  <c r="AD28" i="40" s="1"/>
  <c r="X92" i="7"/>
  <c r="AD30" i="40" s="1"/>
  <c r="X91" i="7"/>
  <c r="AD29" i="40" s="1"/>
  <c r="X52" i="7"/>
  <c r="X61" s="1"/>
  <c r="X34"/>
  <c r="Z34" s="1"/>
  <c r="V34"/>
  <c r="V52"/>
  <c r="V61" s="1"/>
  <c r="I44" i="6"/>
  <c r="I46"/>
  <c r="I38"/>
  <c r="I45"/>
  <c r="O4" i="40" s="1"/>
  <c r="I144" i="6"/>
  <c r="K44"/>
  <c r="K38"/>
  <c r="K46"/>
  <c r="K45"/>
  <c r="Q4" i="40" s="1"/>
  <c r="K144" i="6"/>
  <c r="K149" s="1"/>
  <c r="E46"/>
  <c r="E45"/>
  <c r="AA33"/>
  <c r="E44"/>
  <c r="E38"/>
  <c r="E144"/>
  <c r="G101" i="35" l="1"/>
  <c r="G110"/>
  <c r="G147" s="1"/>
  <c r="G103"/>
  <c r="G115"/>
  <c r="G105"/>
  <c r="G111"/>
  <c r="G148" s="1"/>
  <c r="G100"/>
  <c r="G137" s="1"/>
  <c r="G113"/>
  <c r="G112"/>
  <c r="G106"/>
  <c r="G143" s="1"/>
  <c r="G109"/>
  <c r="G146" s="1"/>
  <c r="G78"/>
  <c r="G108"/>
  <c r="G114"/>
  <c r="G151" s="1"/>
  <c r="M31" i="40"/>
  <c r="G104" i="35"/>
  <c r="G107"/>
  <c r="G102"/>
  <c r="G139" s="1"/>
  <c r="S106"/>
  <c r="S100"/>
  <c r="S137" s="1"/>
  <c r="S102"/>
  <c r="S103"/>
  <c r="S140" s="1"/>
  <c r="S78"/>
  <c r="S112"/>
  <c r="S110"/>
  <c r="S109"/>
  <c r="S114"/>
  <c r="S151" s="1"/>
  <c r="S101"/>
  <c r="S138" s="1"/>
  <c r="Y31" i="40"/>
  <c r="S107" i="35"/>
  <c r="S144" s="1"/>
  <c r="S111"/>
  <c r="S148" s="1"/>
  <c r="S104"/>
  <c r="S115"/>
  <c r="S152" s="1"/>
  <c r="S108"/>
  <c r="S145" s="1"/>
  <c r="S105"/>
  <c r="S142" s="1"/>
  <c r="S113"/>
  <c r="S150" s="1"/>
  <c r="O106"/>
  <c r="O107"/>
  <c r="O144" s="1"/>
  <c r="O114"/>
  <c r="O151" s="1"/>
  <c r="O102"/>
  <c r="O113"/>
  <c r="O100"/>
  <c r="O137" s="1"/>
  <c r="O115"/>
  <c r="O105"/>
  <c r="O101"/>
  <c r="U31" i="40"/>
  <c r="O104" i="35"/>
  <c r="O110"/>
  <c r="O111"/>
  <c r="O148" s="1"/>
  <c r="O108"/>
  <c r="O78"/>
  <c r="O109"/>
  <c r="O112"/>
  <c r="O149" s="1"/>
  <c r="O103"/>
  <c r="O140" s="1"/>
  <c r="I111"/>
  <c r="I108"/>
  <c r="I103"/>
  <c r="I115"/>
  <c r="I152" s="1"/>
  <c r="I105"/>
  <c r="I142" s="1"/>
  <c r="I106"/>
  <c r="I114"/>
  <c r="I101"/>
  <c r="I109"/>
  <c r="I146" s="1"/>
  <c r="O31" i="40"/>
  <c r="I113" i="35"/>
  <c r="I110"/>
  <c r="I147" s="1"/>
  <c r="I102"/>
  <c r="I104"/>
  <c r="I141" s="1"/>
  <c r="I107"/>
  <c r="I144" s="1"/>
  <c r="I100"/>
  <c r="I137" s="1"/>
  <c r="I112"/>
  <c r="I149" s="1"/>
  <c r="I78"/>
  <c r="N31" i="40"/>
  <c r="H112" i="35"/>
  <c r="H149" s="1"/>
  <c r="H108"/>
  <c r="H145" s="1"/>
  <c r="H100"/>
  <c r="H137" s="1"/>
  <c r="H113"/>
  <c r="H109"/>
  <c r="H146" s="1"/>
  <c r="H106"/>
  <c r="H143" s="1"/>
  <c r="H107"/>
  <c r="H115"/>
  <c r="H103"/>
  <c r="H140" s="1"/>
  <c r="H102"/>
  <c r="H111"/>
  <c r="H105"/>
  <c r="H110"/>
  <c r="H147" s="1"/>
  <c r="H101"/>
  <c r="H138" s="1"/>
  <c r="H114"/>
  <c r="H151" s="1"/>
  <c r="H78"/>
  <c r="H104"/>
  <c r="H141" s="1"/>
  <c r="F113"/>
  <c r="F100"/>
  <c r="F137" s="1"/>
  <c r="F101"/>
  <c r="F138" s="1"/>
  <c r="F78"/>
  <c r="F109"/>
  <c r="F146" s="1"/>
  <c r="F114"/>
  <c r="F103"/>
  <c r="F107"/>
  <c r="F144" s="1"/>
  <c r="F112"/>
  <c r="F149" s="1"/>
  <c r="F105"/>
  <c r="F108"/>
  <c r="F102"/>
  <c r="F139" s="1"/>
  <c r="L31" i="40"/>
  <c r="F106" i="35"/>
  <c r="F143" s="1"/>
  <c r="F111"/>
  <c r="F148" s="1"/>
  <c r="F115"/>
  <c r="F152" s="1"/>
  <c r="F104"/>
  <c r="F141" s="1"/>
  <c r="F110"/>
  <c r="R110"/>
  <c r="R109"/>
  <c r="R146" s="1"/>
  <c r="R102"/>
  <c r="R139" s="1"/>
  <c r="R111"/>
  <c r="R113"/>
  <c r="R112"/>
  <c r="R149" s="1"/>
  <c r="R107"/>
  <c r="R144" s="1"/>
  <c r="R106"/>
  <c r="R108"/>
  <c r="R115"/>
  <c r="X31" i="40"/>
  <c r="R101" i="35"/>
  <c r="R103"/>
  <c r="R104"/>
  <c r="R141" s="1"/>
  <c r="R78"/>
  <c r="R105"/>
  <c r="R114"/>
  <c r="R151" s="1"/>
  <c r="R100"/>
  <c r="R137" s="1"/>
  <c r="E78"/>
  <c r="K31" i="40"/>
  <c r="E108" i="35"/>
  <c r="E145" s="1"/>
  <c r="E184" s="1"/>
  <c r="E102"/>
  <c r="E139" s="1"/>
  <c r="E178" s="1"/>
  <c r="F178" s="1"/>
  <c r="G178" s="1"/>
  <c r="E100"/>
  <c r="E137" s="1"/>
  <c r="E101"/>
  <c r="E114"/>
  <c r="E106"/>
  <c r="E143" s="1"/>
  <c r="E182" s="1"/>
  <c r="F182" s="1"/>
  <c r="G182" s="1"/>
  <c r="H182" s="1"/>
  <c r="E103"/>
  <c r="AA73"/>
  <c r="E113"/>
  <c r="E111"/>
  <c r="E109"/>
  <c r="E146" s="1"/>
  <c r="E185" s="1"/>
  <c r="F185" s="1"/>
  <c r="G185" s="1"/>
  <c r="E107"/>
  <c r="E112"/>
  <c r="E110"/>
  <c r="E147" s="1"/>
  <c r="E186" s="1"/>
  <c r="E115"/>
  <c r="E152" s="1"/>
  <c r="E191" s="1"/>
  <c r="E105"/>
  <c r="E104"/>
  <c r="M105"/>
  <c r="M142" s="1"/>
  <c r="M115"/>
  <c r="M102"/>
  <c r="M103"/>
  <c r="M140" s="1"/>
  <c r="S31" i="40"/>
  <c r="M104" i="35"/>
  <c r="M141" s="1"/>
  <c r="M114"/>
  <c r="M113"/>
  <c r="M109"/>
  <c r="M110"/>
  <c r="M100"/>
  <c r="M137" s="1"/>
  <c r="M78"/>
  <c r="M108"/>
  <c r="M112"/>
  <c r="M101"/>
  <c r="M138" s="1"/>
  <c r="M106"/>
  <c r="M107"/>
  <c r="M144" s="1"/>
  <c r="M111"/>
  <c r="M148" s="1"/>
  <c r="L108"/>
  <c r="L102"/>
  <c r="L109"/>
  <c r="L146" s="1"/>
  <c r="L115"/>
  <c r="L152" s="1"/>
  <c r="L111"/>
  <c r="R31" i="40"/>
  <c r="L110" i="35"/>
  <c r="L101"/>
  <c r="L107"/>
  <c r="L114"/>
  <c r="L113"/>
  <c r="L150" s="1"/>
  <c r="L106"/>
  <c r="L143" s="1"/>
  <c r="L104"/>
  <c r="L105"/>
  <c r="L142" s="1"/>
  <c r="L100"/>
  <c r="L137" s="1"/>
  <c r="L78"/>
  <c r="L103"/>
  <c r="L140" s="1"/>
  <c r="L112"/>
  <c r="L149" s="1"/>
  <c r="W31" i="40"/>
  <c r="Q104" i="35"/>
  <c r="Q141" s="1"/>
  <c r="Q105"/>
  <c r="Q109"/>
  <c r="Q101"/>
  <c r="Q138" s="1"/>
  <c r="Q113"/>
  <c r="Q114"/>
  <c r="Q111"/>
  <c r="Q106"/>
  <c r="Q143" s="1"/>
  <c r="Q110"/>
  <c r="Q147" s="1"/>
  <c r="Q107"/>
  <c r="Q102"/>
  <c r="Q112"/>
  <c r="Q149" s="1"/>
  <c r="Q78"/>
  <c r="Q103"/>
  <c r="Q100"/>
  <c r="Q137" s="1"/>
  <c r="Q115"/>
  <c r="Q152" s="1"/>
  <c r="Q108"/>
  <c r="Q145" s="1"/>
  <c r="J110"/>
  <c r="J109"/>
  <c r="J78"/>
  <c r="J115"/>
  <c r="J152" s="1"/>
  <c r="J100"/>
  <c r="J137" s="1"/>
  <c r="P31" i="40"/>
  <c r="J103" i="35"/>
  <c r="J140" s="1"/>
  <c r="J104"/>
  <c r="J111"/>
  <c r="J148" s="1"/>
  <c r="J101"/>
  <c r="J138" s="1"/>
  <c r="J112"/>
  <c r="J149" s="1"/>
  <c r="J105"/>
  <c r="J142" s="1"/>
  <c r="J106"/>
  <c r="J108"/>
  <c r="J114"/>
  <c r="J151" s="1"/>
  <c r="J107"/>
  <c r="J144" s="1"/>
  <c r="J102"/>
  <c r="J139" s="1"/>
  <c r="J113"/>
  <c r="P112"/>
  <c r="P149" s="1"/>
  <c r="P100"/>
  <c r="P137" s="1"/>
  <c r="P109"/>
  <c r="P101"/>
  <c r="P78"/>
  <c r="V31" i="40"/>
  <c r="P106" i="35"/>
  <c r="P103"/>
  <c r="P110"/>
  <c r="P147" s="1"/>
  <c r="P111"/>
  <c r="P105"/>
  <c r="P113"/>
  <c r="P115"/>
  <c r="P152" s="1"/>
  <c r="P107"/>
  <c r="P144" s="1"/>
  <c r="P104"/>
  <c r="P141" s="1"/>
  <c r="P102"/>
  <c r="P139" s="1"/>
  <c r="P114"/>
  <c r="P151" s="1"/>
  <c r="P108"/>
  <c r="N104"/>
  <c r="N108"/>
  <c r="N105"/>
  <c r="N142" s="1"/>
  <c r="N115"/>
  <c r="N152" s="1"/>
  <c r="N100"/>
  <c r="N137" s="1"/>
  <c r="N102"/>
  <c r="N106"/>
  <c r="T31" i="40"/>
  <c r="N109" i="35"/>
  <c r="N146" s="1"/>
  <c r="N107"/>
  <c r="N111"/>
  <c r="N148" s="1"/>
  <c r="N103"/>
  <c r="N140" s="1"/>
  <c r="N101"/>
  <c r="N138" s="1"/>
  <c r="N113"/>
  <c r="N78"/>
  <c r="N112"/>
  <c r="N114"/>
  <c r="N110"/>
  <c r="N147" s="1"/>
  <c r="Z31" i="40"/>
  <c r="T109" i="35"/>
  <c r="T101"/>
  <c r="T105"/>
  <c r="T110"/>
  <c r="T147" s="1"/>
  <c r="T111"/>
  <c r="T112"/>
  <c r="T102"/>
  <c r="T139" s="1"/>
  <c r="T78"/>
  <c r="T104"/>
  <c r="T141" s="1"/>
  <c r="T103"/>
  <c r="T113"/>
  <c r="T150" s="1"/>
  <c r="T100"/>
  <c r="T137" s="1"/>
  <c r="T106"/>
  <c r="T143" s="1"/>
  <c r="T114"/>
  <c r="T115"/>
  <c r="T108"/>
  <c r="T145" s="1"/>
  <c r="T107"/>
  <c r="T144" s="1"/>
  <c r="K106"/>
  <c r="K104"/>
  <c r="K101"/>
  <c r="K112"/>
  <c r="K115"/>
  <c r="Q31" i="40"/>
  <c r="K113" i="35"/>
  <c r="K150" s="1"/>
  <c r="K110"/>
  <c r="K147" s="1"/>
  <c r="K103"/>
  <c r="K105"/>
  <c r="K142" s="1"/>
  <c r="K108"/>
  <c r="K145" s="1"/>
  <c r="K111"/>
  <c r="K148" s="1"/>
  <c r="K114"/>
  <c r="K109"/>
  <c r="K100"/>
  <c r="K137" s="1"/>
  <c r="K107"/>
  <c r="K144" s="1"/>
  <c r="K102"/>
  <c r="K78"/>
  <c r="N94" i="7"/>
  <c r="N131"/>
  <c r="T19" i="40"/>
  <c r="J125" i="7"/>
  <c r="J118"/>
  <c r="J155" s="1"/>
  <c r="J127"/>
  <c r="J164" s="1"/>
  <c r="J128"/>
  <c r="P21" i="40"/>
  <c r="J120" i="7"/>
  <c r="J121"/>
  <c r="J119"/>
  <c r="J122"/>
  <c r="J123"/>
  <c r="J160" s="1"/>
  <c r="J124"/>
  <c r="J130"/>
  <c r="J126"/>
  <c r="J163" s="1"/>
  <c r="J129"/>
  <c r="M124"/>
  <c r="M128"/>
  <c r="M129"/>
  <c r="M120"/>
  <c r="M126"/>
  <c r="M119"/>
  <c r="M156" s="1"/>
  <c r="M118"/>
  <c r="M155" s="1"/>
  <c r="M121"/>
  <c r="M158" s="1"/>
  <c r="M123"/>
  <c r="M160" s="1"/>
  <c r="M122"/>
  <c r="M130"/>
  <c r="M167" s="1"/>
  <c r="S21" i="40"/>
  <c r="M125" i="7"/>
  <c r="M162" s="1"/>
  <c r="M127"/>
  <c r="Q125"/>
  <c r="Q126"/>
  <c r="Q121"/>
  <c r="Q158" s="1"/>
  <c r="Q129"/>
  <c r="Q124"/>
  <c r="Q122"/>
  <c r="Q118"/>
  <c r="Q155" s="1"/>
  <c r="Q119"/>
  <c r="Q128"/>
  <c r="Q123"/>
  <c r="Q160" s="1"/>
  <c r="Q130"/>
  <c r="Q167" s="1"/>
  <c r="W21" i="40"/>
  <c r="Q120" i="7"/>
  <c r="Q127"/>
  <c r="Q164" s="1"/>
  <c r="E131"/>
  <c r="E94"/>
  <c r="K19" i="40"/>
  <c r="F69" i="7"/>
  <c r="E74"/>
  <c r="M21" i="40"/>
  <c r="G124" i="7"/>
  <c r="G121"/>
  <c r="G128"/>
  <c r="G165" s="1"/>
  <c r="G119"/>
  <c r="G126"/>
  <c r="G123"/>
  <c r="G129"/>
  <c r="G166" s="1"/>
  <c r="G122"/>
  <c r="G118"/>
  <c r="G155" s="1"/>
  <c r="G130"/>
  <c r="G120"/>
  <c r="G157" s="1"/>
  <c r="G125"/>
  <c r="G162" s="1"/>
  <c r="G127"/>
  <c r="G164" s="1"/>
  <c r="F123"/>
  <c r="F127"/>
  <c r="F125"/>
  <c r="F121"/>
  <c r="F129"/>
  <c r="F120"/>
  <c r="F157" s="1"/>
  <c r="F118"/>
  <c r="F155" s="1"/>
  <c r="F124"/>
  <c r="F126"/>
  <c r="F130"/>
  <c r="L21" i="40"/>
  <c r="F119" i="7"/>
  <c r="F122"/>
  <c r="F159" s="1"/>
  <c r="F128"/>
  <c r="F165" s="1"/>
  <c r="U21" i="40"/>
  <c r="O124" i="7"/>
  <c r="O121"/>
  <c r="O130"/>
  <c r="O167" s="1"/>
  <c r="O125"/>
  <c r="O126"/>
  <c r="O122"/>
  <c r="O159" s="1"/>
  <c r="O120"/>
  <c r="O157" s="1"/>
  <c r="O119"/>
  <c r="O129"/>
  <c r="O123"/>
  <c r="O118"/>
  <c r="O155" s="1"/>
  <c r="O128"/>
  <c r="O127"/>
  <c r="O164" s="1"/>
  <c r="P19" i="40"/>
  <c r="J131" i="7"/>
  <c r="J168" s="1"/>
  <c r="J94"/>
  <c r="M131"/>
  <c r="M168" s="1"/>
  <c r="M94"/>
  <c r="S19" i="40"/>
  <c r="K94" i="7"/>
  <c r="K131"/>
  <c r="Q19" i="40"/>
  <c r="H124" i="7"/>
  <c r="H161" s="1"/>
  <c r="H127"/>
  <c r="H120"/>
  <c r="H126"/>
  <c r="H129"/>
  <c r="H130"/>
  <c r="H118"/>
  <c r="H155" s="1"/>
  <c r="N21" i="40"/>
  <c r="H119" i="7"/>
  <c r="H156" s="1"/>
  <c r="H122"/>
  <c r="H121"/>
  <c r="H158" s="1"/>
  <c r="H125"/>
  <c r="H128"/>
  <c r="H165" s="1"/>
  <c r="H123"/>
  <c r="H160" s="1"/>
  <c r="N118"/>
  <c r="N155" s="1"/>
  <c r="N129"/>
  <c r="N130"/>
  <c r="N124"/>
  <c r="N119"/>
  <c r="N156" s="1"/>
  <c r="N125"/>
  <c r="N121"/>
  <c r="N158" s="1"/>
  <c r="N123"/>
  <c r="N126"/>
  <c r="N122"/>
  <c r="N127"/>
  <c r="N164" s="1"/>
  <c r="T21" i="40"/>
  <c r="N120" i="7"/>
  <c r="N157" s="1"/>
  <c r="N128"/>
  <c r="E124"/>
  <c r="E161" s="1"/>
  <c r="E200" s="1"/>
  <c r="E122"/>
  <c r="E125"/>
  <c r="E128"/>
  <c r="K21" i="40"/>
  <c r="E119" i="7"/>
  <c r="E126"/>
  <c r="E163" s="1"/>
  <c r="E202" s="1"/>
  <c r="E130"/>
  <c r="E120"/>
  <c r="E157" s="1"/>
  <c r="E196" s="1"/>
  <c r="F196" s="1"/>
  <c r="G196" s="1"/>
  <c r="E118"/>
  <c r="E155" s="1"/>
  <c r="E123"/>
  <c r="E129"/>
  <c r="E166" s="1"/>
  <c r="E205" s="1"/>
  <c r="E127"/>
  <c r="E164" s="1"/>
  <c r="E203" s="1"/>
  <c r="E121"/>
  <c r="S131"/>
  <c r="S94"/>
  <c r="Y19" i="40"/>
  <c r="L19"/>
  <c r="F94" i="7"/>
  <c r="F131"/>
  <c r="X19" i="40"/>
  <c r="R94" i="7"/>
  <c r="R131"/>
  <c r="V19" i="40"/>
  <c r="P94" i="7"/>
  <c r="P131"/>
  <c r="O131"/>
  <c r="O94"/>
  <c r="U19" i="40"/>
  <c r="L131" i="7"/>
  <c r="L94"/>
  <c r="R19" i="40"/>
  <c r="I124" i="7"/>
  <c r="I161" s="1"/>
  <c r="I119"/>
  <c r="I120"/>
  <c r="I128"/>
  <c r="I122"/>
  <c r="I127"/>
  <c r="O21" i="40"/>
  <c r="I121" i="7"/>
  <c r="I158" s="1"/>
  <c r="I130"/>
  <c r="I167" s="1"/>
  <c r="I129"/>
  <c r="I123"/>
  <c r="I126"/>
  <c r="I125"/>
  <c r="I162" s="1"/>
  <c r="I118"/>
  <c r="I155" s="1"/>
  <c r="H94"/>
  <c r="N19" i="40"/>
  <c r="H131" i="7"/>
  <c r="H168" s="1"/>
  <c r="Y21" i="40"/>
  <c r="S123" i="7"/>
  <c r="S128"/>
  <c r="S165" s="1"/>
  <c r="S122"/>
  <c r="S130"/>
  <c r="S118"/>
  <c r="S155" s="1"/>
  <c r="S120"/>
  <c r="S121"/>
  <c r="S126"/>
  <c r="S127"/>
  <c r="S124"/>
  <c r="S161" s="1"/>
  <c r="S119"/>
  <c r="S156" s="1"/>
  <c r="S125"/>
  <c r="S129"/>
  <c r="P123"/>
  <c r="P119"/>
  <c r="P120"/>
  <c r="P121"/>
  <c r="P128"/>
  <c r="P165" s="1"/>
  <c r="P122"/>
  <c r="P159" s="1"/>
  <c r="P125"/>
  <c r="P127"/>
  <c r="P130"/>
  <c r="V21" i="40"/>
  <c r="P126" i="7"/>
  <c r="P163" s="1"/>
  <c r="P124"/>
  <c r="P118"/>
  <c r="P155" s="1"/>
  <c r="P129"/>
  <c r="M19" i="40"/>
  <c r="G131" i="7"/>
  <c r="G94"/>
  <c r="R21" i="40"/>
  <c r="L120" i="7"/>
  <c r="L128"/>
  <c r="L130"/>
  <c r="L119"/>
  <c r="L156" s="1"/>
  <c r="L123"/>
  <c r="L127"/>
  <c r="L125"/>
  <c r="L121"/>
  <c r="L158" s="1"/>
  <c r="L124"/>
  <c r="L161" s="1"/>
  <c r="L126"/>
  <c r="L129"/>
  <c r="L166" s="1"/>
  <c r="L122"/>
  <c r="L159" s="1"/>
  <c r="L118"/>
  <c r="L155" s="1"/>
  <c r="X21" i="40"/>
  <c r="R126" i="7"/>
  <c r="R118"/>
  <c r="R155" s="1"/>
  <c r="R130"/>
  <c r="R122"/>
  <c r="R125"/>
  <c r="R127"/>
  <c r="R123"/>
  <c r="R119"/>
  <c r="R124"/>
  <c r="R129"/>
  <c r="R121"/>
  <c r="R120"/>
  <c r="R157" s="1"/>
  <c r="R128"/>
  <c r="I131"/>
  <c r="I168" s="1"/>
  <c r="I94"/>
  <c r="O19" i="40"/>
  <c r="K120" i="7"/>
  <c r="K157" s="1"/>
  <c r="K128"/>
  <c r="K118"/>
  <c r="K155" s="1"/>
  <c r="K119"/>
  <c r="K125"/>
  <c r="K162" s="1"/>
  <c r="K121"/>
  <c r="Q21" i="40"/>
  <c r="K124" i="7"/>
  <c r="K127"/>
  <c r="K123"/>
  <c r="K130"/>
  <c r="K129"/>
  <c r="K122"/>
  <c r="K126"/>
  <c r="Q131"/>
  <c r="W19" i="40"/>
  <c r="Q94" i="7"/>
  <c r="G49" i="34"/>
  <c r="M15" i="40"/>
  <c r="G74" i="34"/>
  <c r="G72"/>
  <c r="G76"/>
  <c r="G79"/>
  <c r="G81"/>
  <c r="G78"/>
  <c r="G75"/>
  <c r="G112" s="1"/>
  <c r="G82"/>
  <c r="G83"/>
  <c r="G84"/>
  <c r="G80"/>
  <c r="G117" s="1"/>
  <c r="G86"/>
  <c r="G85"/>
  <c r="G77"/>
  <c r="G73"/>
  <c r="G71"/>
  <c r="G108" s="1"/>
  <c r="Y47"/>
  <c r="AE18" i="40" s="1"/>
  <c r="AA47" i="34"/>
  <c r="K18" i="40"/>
  <c r="U49" i="34"/>
  <c r="AA15" i="40"/>
  <c r="U75" i="34"/>
  <c r="U85"/>
  <c r="U73"/>
  <c r="U82"/>
  <c r="U81"/>
  <c r="U84"/>
  <c r="U76"/>
  <c r="U86"/>
  <c r="U71"/>
  <c r="U108" s="1"/>
  <c r="U74"/>
  <c r="U111" s="1"/>
  <c r="U80"/>
  <c r="U72"/>
  <c r="U83"/>
  <c r="U120" s="1"/>
  <c r="U77"/>
  <c r="U114" s="1"/>
  <c r="U78"/>
  <c r="U79"/>
  <c r="AA46"/>
  <c r="K17" i="40"/>
  <c r="Y46" i="34"/>
  <c r="AE17" i="40" s="1"/>
  <c r="O49" i="34"/>
  <c r="O84"/>
  <c r="O80"/>
  <c r="O117" s="1"/>
  <c r="O73"/>
  <c r="O72"/>
  <c r="O86"/>
  <c r="O81"/>
  <c r="O118" s="1"/>
  <c r="O79"/>
  <c r="O78"/>
  <c r="O85"/>
  <c r="O122" s="1"/>
  <c r="O82"/>
  <c r="O119" s="1"/>
  <c r="U15" i="40"/>
  <c r="O74" i="34"/>
  <c r="O75"/>
  <c r="O112" s="1"/>
  <c r="O77"/>
  <c r="O71"/>
  <c r="O108" s="1"/>
  <c r="O83"/>
  <c r="O76"/>
  <c r="X61" i="35"/>
  <c r="X56"/>
  <c r="Q49" i="34"/>
  <c r="W15" i="40"/>
  <c r="Q71" i="34"/>
  <c r="Q108" s="1"/>
  <c r="Q81"/>
  <c r="Q84"/>
  <c r="Q73"/>
  <c r="Q77"/>
  <c r="Q83"/>
  <c r="Q85"/>
  <c r="Q122" s="1"/>
  <c r="Q78"/>
  <c r="Q74"/>
  <c r="Q72"/>
  <c r="Q79"/>
  <c r="Q76"/>
  <c r="Q75"/>
  <c r="Q82"/>
  <c r="Q119" s="1"/>
  <c r="Q80"/>
  <c r="Q117" s="1"/>
  <c r="Q86"/>
  <c r="Z34" i="35"/>
  <c r="Z38" s="1"/>
  <c r="X38"/>
  <c r="U74"/>
  <c r="U65"/>
  <c r="I49" i="34"/>
  <c r="I82"/>
  <c r="I79"/>
  <c r="I84"/>
  <c r="I76"/>
  <c r="O15" i="40"/>
  <c r="I85" i="34"/>
  <c r="I86"/>
  <c r="I75"/>
  <c r="I71"/>
  <c r="I108" s="1"/>
  <c r="I78"/>
  <c r="I81"/>
  <c r="I77"/>
  <c r="I114" s="1"/>
  <c r="I83"/>
  <c r="I120" s="1"/>
  <c r="I72"/>
  <c r="I73"/>
  <c r="I110" s="1"/>
  <c r="I74"/>
  <c r="I80"/>
  <c r="AA136"/>
  <c r="E141"/>
  <c r="AA141" s="1"/>
  <c r="X49"/>
  <c r="X76"/>
  <c r="X71"/>
  <c r="X108" s="1"/>
  <c r="X80"/>
  <c r="X83"/>
  <c r="AD15" i="40"/>
  <c r="X74" i="34"/>
  <c r="X75"/>
  <c r="X112" s="1"/>
  <c r="X85"/>
  <c r="X73"/>
  <c r="X86"/>
  <c r="X77"/>
  <c r="X84"/>
  <c r="X121" s="1"/>
  <c r="X79"/>
  <c r="X72"/>
  <c r="X109" s="1"/>
  <c r="X81"/>
  <c r="X118" s="1"/>
  <c r="X82"/>
  <c r="X78"/>
  <c r="W49"/>
  <c r="W75"/>
  <c r="W77"/>
  <c r="W82"/>
  <c r="W78"/>
  <c r="W85"/>
  <c r="W122" s="1"/>
  <c r="W72"/>
  <c r="W109" s="1"/>
  <c r="W74"/>
  <c r="W84"/>
  <c r="W80"/>
  <c r="W73"/>
  <c r="W110" s="1"/>
  <c r="W71"/>
  <c r="W108" s="1"/>
  <c r="W86"/>
  <c r="W79"/>
  <c r="W116" s="1"/>
  <c r="AC15" i="40"/>
  <c r="W81" i="34"/>
  <c r="W83"/>
  <c r="W76"/>
  <c r="W113" s="1"/>
  <c r="T49"/>
  <c r="Z15" i="40"/>
  <c r="T74" i="34"/>
  <c r="T71"/>
  <c r="T108" s="1"/>
  <c r="T86"/>
  <c r="T85"/>
  <c r="T78"/>
  <c r="T73"/>
  <c r="T110" s="1"/>
  <c r="T76"/>
  <c r="T77"/>
  <c r="T72"/>
  <c r="T84"/>
  <c r="T83"/>
  <c r="T79"/>
  <c r="T80"/>
  <c r="T82"/>
  <c r="T75"/>
  <c r="T112" s="1"/>
  <c r="T81"/>
  <c r="K49"/>
  <c r="K77"/>
  <c r="K76"/>
  <c r="K113" s="1"/>
  <c r="K85"/>
  <c r="K81"/>
  <c r="K86"/>
  <c r="K123" s="1"/>
  <c r="K72"/>
  <c r="K80"/>
  <c r="K79"/>
  <c r="Q15" i="40"/>
  <c r="K71" i="34"/>
  <c r="K108" s="1"/>
  <c r="K74"/>
  <c r="K75"/>
  <c r="K84"/>
  <c r="K82"/>
  <c r="K119" s="1"/>
  <c r="K73"/>
  <c r="K78"/>
  <c r="K83"/>
  <c r="H49"/>
  <c r="H71"/>
  <c r="H108" s="1"/>
  <c r="H75"/>
  <c r="H73"/>
  <c r="H81"/>
  <c r="H118" s="1"/>
  <c r="H83"/>
  <c r="H76"/>
  <c r="H113" s="1"/>
  <c r="H86"/>
  <c r="H123" s="1"/>
  <c r="H82"/>
  <c r="H119" s="1"/>
  <c r="H85"/>
  <c r="H84"/>
  <c r="H79"/>
  <c r="H78"/>
  <c r="H80"/>
  <c r="H72"/>
  <c r="N15" i="40"/>
  <c r="H77" i="34"/>
  <c r="H114" s="1"/>
  <c r="H74"/>
  <c r="N49"/>
  <c r="N82"/>
  <c r="N81"/>
  <c r="N118" s="1"/>
  <c r="N76"/>
  <c r="N77"/>
  <c r="N86"/>
  <c r="N85"/>
  <c r="N75"/>
  <c r="N78"/>
  <c r="N115" s="1"/>
  <c r="N73"/>
  <c r="T15" i="40"/>
  <c r="N72" i="34"/>
  <c r="N80"/>
  <c r="N71"/>
  <c r="N108" s="1"/>
  <c r="N83"/>
  <c r="N74"/>
  <c r="N79"/>
  <c r="N116" s="1"/>
  <c r="N84"/>
  <c r="W74" i="35"/>
  <c r="W65"/>
  <c r="AA45" i="34"/>
  <c r="Y45"/>
  <c r="AE16" i="40" s="1"/>
  <c r="K16"/>
  <c r="M49" i="34"/>
  <c r="M80"/>
  <c r="M76"/>
  <c r="M74"/>
  <c r="M111" s="1"/>
  <c r="M86"/>
  <c r="M82"/>
  <c r="M85"/>
  <c r="M77"/>
  <c r="M81"/>
  <c r="S15" i="40"/>
  <c r="M72" i="34"/>
  <c r="M84"/>
  <c r="M121" s="1"/>
  <c r="M83"/>
  <c r="M73"/>
  <c r="M71"/>
  <c r="M108" s="1"/>
  <c r="M78"/>
  <c r="M115" s="1"/>
  <c r="M79"/>
  <c r="M75"/>
  <c r="S49"/>
  <c r="S80"/>
  <c r="S117" s="1"/>
  <c r="S81"/>
  <c r="S79"/>
  <c r="S76"/>
  <c r="Y15" i="40"/>
  <c r="S73" i="34"/>
  <c r="S85"/>
  <c r="S77"/>
  <c r="S114" s="1"/>
  <c r="S78"/>
  <c r="S83"/>
  <c r="S74"/>
  <c r="S72"/>
  <c r="S109" s="1"/>
  <c r="S86"/>
  <c r="S123" s="1"/>
  <c r="S75"/>
  <c r="S71"/>
  <c r="S108" s="1"/>
  <c r="S84"/>
  <c r="S82"/>
  <c r="S119" s="1"/>
  <c r="AA34" i="40"/>
  <c r="AA76" i="35"/>
  <c r="R49" i="34"/>
  <c r="R72"/>
  <c r="R79"/>
  <c r="R83"/>
  <c r="R84"/>
  <c r="R121" s="1"/>
  <c r="R86"/>
  <c r="R123" s="1"/>
  <c r="R74"/>
  <c r="R73"/>
  <c r="R81"/>
  <c r="R80"/>
  <c r="R117" s="1"/>
  <c r="R76"/>
  <c r="R82"/>
  <c r="R78"/>
  <c r="R77"/>
  <c r="R114" s="1"/>
  <c r="R75"/>
  <c r="R112" s="1"/>
  <c r="X15" i="40"/>
  <c r="R85" i="34"/>
  <c r="R122" s="1"/>
  <c r="R71"/>
  <c r="R108" s="1"/>
  <c r="E49"/>
  <c r="E76"/>
  <c r="E73"/>
  <c r="E79"/>
  <c r="E81"/>
  <c r="E80"/>
  <c r="E82"/>
  <c r="E85"/>
  <c r="AA44"/>
  <c r="E83"/>
  <c r="Y44"/>
  <c r="E71"/>
  <c r="E84"/>
  <c r="E72"/>
  <c r="E86"/>
  <c r="K15" i="40"/>
  <c r="E78" i="34"/>
  <c r="E74"/>
  <c r="E75"/>
  <c r="E77"/>
  <c r="J49"/>
  <c r="J81"/>
  <c r="J75"/>
  <c r="J86"/>
  <c r="J85"/>
  <c r="J73"/>
  <c r="J77"/>
  <c r="J114" s="1"/>
  <c r="J83"/>
  <c r="J78"/>
  <c r="J84"/>
  <c r="J74"/>
  <c r="J111" s="1"/>
  <c r="J71"/>
  <c r="J108" s="1"/>
  <c r="J79"/>
  <c r="J116" s="1"/>
  <c r="J76"/>
  <c r="J82"/>
  <c r="J119" s="1"/>
  <c r="P15" i="40"/>
  <c r="J72" i="34"/>
  <c r="J80"/>
  <c r="L49"/>
  <c r="L76"/>
  <c r="L113" s="1"/>
  <c r="L78"/>
  <c r="L77"/>
  <c r="L81"/>
  <c r="L84"/>
  <c r="L71"/>
  <c r="L108" s="1"/>
  <c r="L82"/>
  <c r="R15" i="40"/>
  <c r="L74" i="34"/>
  <c r="L111" s="1"/>
  <c r="L72"/>
  <c r="L109" s="1"/>
  <c r="L73"/>
  <c r="L85"/>
  <c r="L83"/>
  <c r="L120" s="1"/>
  <c r="L75"/>
  <c r="L80"/>
  <c r="L79"/>
  <c r="L86"/>
  <c r="L123" s="1"/>
  <c r="P49"/>
  <c r="P82"/>
  <c r="P85"/>
  <c r="P84"/>
  <c r="P121" s="1"/>
  <c r="P79"/>
  <c r="V15" i="40"/>
  <c r="P77" i="34"/>
  <c r="P75"/>
  <c r="P72"/>
  <c r="P73"/>
  <c r="P78"/>
  <c r="P115" s="1"/>
  <c r="P81"/>
  <c r="P118" s="1"/>
  <c r="P80"/>
  <c r="P117" s="1"/>
  <c r="P83"/>
  <c r="P120" s="1"/>
  <c r="P74"/>
  <c r="P111" s="1"/>
  <c r="P76"/>
  <c r="P113" s="1"/>
  <c r="P86"/>
  <c r="P71"/>
  <c r="P108" s="1"/>
  <c r="F49"/>
  <c r="F77"/>
  <c r="F84"/>
  <c r="F72"/>
  <c r="F74"/>
  <c r="F73"/>
  <c r="F110" s="1"/>
  <c r="F79"/>
  <c r="F81"/>
  <c r="F80"/>
  <c r="F83"/>
  <c r="F120" s="1"/>
  <c r="L15" i="40"/>
  <c r="F75" i="34"/>
  <c r="F78"/>
  <c r="F85"/>
  <c r="F122" s="1"/>
  <c r="F71"/>
  <c r="F108" s="1"/>
  <c r="F82"/>
  <c r="F119" s="1"/>
  <c r="F76"/>
  <c r="F113" s="1"/>
  <c r="F86"/>
  <c r="F123" s="1"/>
  <c r="V61" i="35"/>
  <c r="V56"/>
  <c r="AE32" i="40"/>
  <c r="Y106" i="35"/>
  <c r="Y102"/>
  <c r="Y78"/>
  <c r="Y115"/>
  <c r="Y105"/>
  <c r="Y114"/>
  <c r="Y103"/>
  <c r="Y113"/>
  <c r="Y101"/>
  <c r="Y138" s="1"/>
  <c r="Y110"/>
  <c r="Y109"/>
  <c r="Y107"/>
  <c r="Y112"/>
  <c r="Y149" s="1"/>
  <c r="Y111"/>
  <c r="Y148" s="1"/>
  <c r="Y100"/>
  <c r="Y137" s="1"/>
  <c r="Y108"/>
  <c r="Y104"/>
  <c r="Y141" s="1"/>
  <c r="V49" i="34"/>
  <c r="V82"/>
  <c r="V85"/>
  <c r="V77"/>
  <c r="V114" s="1"/>
  <c r="V81"/>
  <c r="V75"/>
  <c r="V74"/>
  <c r="V86"/>
  <c r="V123" s="1"/>
  <c r="V76"/>
  <c r="V79"/>
  <c r="V78"/>
  <c r="V84"/>
  <c r="V80"/>
  <c r="V72"/>
  <c r="V83"/>
  <c r="V120" s="1"/>
  <c r="AB15" i="40"/>
  <c r="V71" i="34"/>
  <c r="V108" s="1"/>
  <c r="V73"/>
  <c r="V110" s="1"/>
  <c r="AA38"/>
  <c r="AA38" i="6"/>
  <c r="U56" i="35"/>
  <c r="Z56" s="1"/>
  <c r="AA75"/>
  <c r="W56"/>
  <c r="W86" i="7"/>
  <c r="AC24" i="40" s="1"/>
  <c r="W84" i="7"/>
  <c r="AC22" i="40" s="1"/>
  <c r="W85" i="7"/>
  <c r="AC23" i="40" s="1"/>
  <c r="W23" i="7"/>
  <c r="H149" i="6"/>
  <c r="N3" i="40"/>
  <c r="H57" i="6"/>
  <c r="H94"/>
  <c r="Y49"/>
  <c r="AE8" i="40" s="1"/>
  <c r="AA49" i="6"/>
  <c r="K8" i="40"/>
  <c r="P57" i="6"/>
  <c r="V3" i="40"/>
  <c r="P94" i="6"/>
  <c r="T87"/>
  <c r="T90"/>
  <c r="T91"/>
  <c r="T89"/>
  <c r="T81"/>
  <c r="T118" s="1"/>
  <c r="T83"/>
  <c r="T82"/>
  <c r="T119" s="1"/>
  <c r="Z5" i="40"/>
  <c r="T86" i="6"/>
  <c r="T84"/>
  <c r="T121" s="1"/>
  <c r="T93"/>
  <c r="T88"/>
  <c r="T85"/>
  <c r="T92"/>
  <c r="R94"/>
  <c r="R131" s="1"/>
  <c r="R57"/>
  <c r="X3" i="40"/>
  <c r="AA146" i="6"/>
  <c r="T25" i="7"/>
  <c r="F149" i="6"/>
  <c r="U23" i="7"/>
  <c r="O94" i="6"/>
  <c r="U3" i="40"/>
  <c r="O57" i="6"/>
  <c r="V84"/>
  <c r="V83"/>
  <c r="V91"/>
  <c r="V89"/>
  <c r="V82"/>
  <c r="V85"/>
  <c r="V90"/>
  <c r="V127" s="1"/>
  <c r="V86"/>
  <c r="V88"/>
  <c r="AB5" i="40"/>
  <c r="V81" i="6"/>
  <c r="V118" s="1"/>
  <c r="V93"/>
  <c r="V87"/>
  <c r="V92"/>
  <c r="J57"/>
  <c r="P3" i="40"/>
  <c r="J94" i="6"/>
  <c r="K86"/>
  <c r="K88"/>
  <c r="K125" s="1"/>
  <c r="K91"/>
  <c r="Q5" i="40"/>
  <c r="K92" i="6"/>
  <c r="K83"/>
  <c r="K120" s="1"/>
  <c r="K82"/>
  <c r="K81"/>
  <c r="K118" s="1"/>
  <c r="K90"/>
  <c r="K89"/>
  <c r="K126" s="1"/>
  <c r="K87"/>
  <c r="K85"/>
  <c r="K93"/>
  <c r="K130" s="1"/>
  <c r="K84"/>
  <c r="K121" s="1"/>
  <c r="V84" i="7"/>
  <c r="AB22" i="40" s="1"/>
  <c r="V85" i="7"/>
  <c r="AB23" i="40" s="1"/>
  <c r="V86" i="7"/>
  <c r="AB24" i="40" s="1"/>
  <c r="H81" i="6"/>
  <c r="H118" s="1"/>
  <c r="H84"/>
  <c r="H88"/>
  <c r="H91"/>
  <c r="H87"/>
  <c r="H124" s="1"/>
  <c r="H86"/>
  <c r="H82"/>
  <c r="H92"/>
  <c r="H90"/>
  <c r="N5" i="40"/>
  <c r="H85" i="6"/>
  <c r="H83"/>
  <c r="H89"/>
  <c r="H126" s="1"/>
  <c r="H93"/>
  <c r="K6" i="40"/>
  <c r="Y47" i="6"/>
  <c r="AE6" i="40" s="1"/>
  <c r="AA47" i="6"/>
  <c r="S84"/>
  <c r="S93"/>
  <c r="S86"/>
  <c r="S83"/>
  <c r="S91"/>
  <c r="S88"/>
  <c r="S82"/>
  <c r="S92"/>
  <c r="S129" s="1"/>
  <c r="S81"/>
  <c r="S118" s="1"/>
  <c r="S85"/>
  <c r="S90"/>
  <c r="Y5" i="40"/>
  <c r="S87" i="6"/>
  <c r="S89"/>
  <c r="S126" s="1"/>
  <c r="V92" i="7"/>
  <c r="AB30" i="40" s="1"/>
  <c r="V91" i="7"/>
  <c r="AB29" i="40" s="1"/>
  <c r="V90" i="7"/>
  <c r="AB28" i="40" s="1"/>
  <c r="AA51" i="6"/>
  <c r="Y51"/>
  <c r="AE10" i="40" s="1"/>
  <c r="K10"/>
  <c r="F89" i="6"/>
  <c r="F91"/>
  <c r="F92"/>
  <c r="F84"/>
  <c r="F121" s="1"/>
  <c r="F83"/>
  <c r="F87"/>
  <c r="F85"/>
  <c r="F81"/>
  <c r="F118" s="1"/>
  <c r="L5" i="40"/>
  <c r="F90" i="6"/>
  <c r="F86"/>
  <c r="F88"/>
  <c r="F125" s="1"/>
  <c r="F82"/>
  <c r="F93"/>
  <c r="L85"/>
  <c r="L91"/>
  <c r="L128" s="1"/>
  <c r="L90"/>
  <c r="L86"/>
  <c r="R5" i="40"/>
  <c r="L84" i="6"/>
  <c r="L121" s="1"/>
  <c r="L92"/>
  <c r="L82"/>
  <c r="L88"/>
  <c r="L81"/>
  <c r="L118" s="1"/>
  <c r="L83"/>
  <c r="L89"/>
  <c r="L87"/>
  <c r="L93"/>
  <c r="L130" s="1"/>
  <c r="W57"/>
  <c r="AC3" i="40"/>
  <c r="W94" i="6"/>
  <c r="T3" i="40"/>
  <c r="N57" i="6"/>
  <c r="N94"/>
  <c r="U85"/>
  <c r="U87"/>
  <c r="U84"/>
  <c r="U89"/>
  <c r="U82"/>
  <c r="AA5" i="40"/>
  <c r="U81" i="6"/>
  <c r="U118" s="1"/>
  <c r="U91"/>
  <c r="U92"/>
  <c r="U86"/>
  <c r="U83"/>
  <c r="U88"/>
  <c r="U93"/>
  <c r="U90"/>
  <c r="U127" s="1"/>
  <c r="W91" i="7"/>
  <c r="AC29" i="40" s="1"/>
  <c r="W92" i="7"/>
  <c r="AC30" i="40" s="1"/>
  <c r="W90" i="7"/>
  <c r="AC28" i="40" s="1"/>
  <c r="AA55" i="6"/>
  <c r="Y55"/>
  <c r="AE14" i="40" s="1"/>
  <c r="K14"/>
  <c r="G57" i="6"/>
  <c r="G94"/>
  <c r="G131" s="1"/>
  <c r="M3" i="40"/>
  <c r="U85" i="7"/>
  <c r="AA23" i="40" s="1"/>
  <c r="U86" i="7"/>
  <c r="AA24" i="40" s="1"/>
  <c r="U84" i="7"/>
  <c r="AA22" i="40" s="1"/>
  <c r="X23" i="7"/>
  <c r="I149" i="6"/>
  <c r="I57"/>
  <c r="I94"/>
  <c r="O3" i="40"/>
  <c r="X85" i="7"/>
  <c r="AD23" i="40" s="1"/>
  <c r="X86" i="7"/>
  <c r="AD24" i="40" s="1"/>
  <c r="X84" i="7"/>
  <c r="AD22" i="40" s="1"/>
  <c r="Q94" i="6"/>
  <c r="Q57"/>
  <c r="W3" i="40"/>
  <c r="AA48" i="6"/>
  <c r="Y48"/>
  <c r="AE7" i="40" s="1"/>
  <c r="K7"/>
  <c r="S3"/>
  <c r="M57" i="6"/>
  <c r="M94"/>
  <c r="X87"/>
  <c r="X89"/>
  <c r="X86"/>
  <c r="X123" s="1"/>
  <c r="X88"/>
  <c r="X85"/>
  <c r="X84"/>
  <c r="X91"/>
  <c r="X83"/>
  <c r="AD5" i="40"/>
  <c r="X90" i="6"/>
  <c r="X127" s="1"/>
  <c r="X82"/>
  <c r="X119" s="1"/>
  <c r="X93"/>
  <c r="X81"/>
  <c r="X118" s="1"/>
  <c r="X92"/>
  <c r="V5" i="40"/>
  <c r="P83" i="6"/>
  <c r="P91"/>
  <c r="P86"/>
  <c r="P87"/>
  <c r="P81"/>
  <c r="P118" s="1"/>
  <c r="P89"/>
  <c r="P82"/>
  <c r="P92"/>
  <c r="P129" s="1"/>
  <c r="P85"/>
  <c r="P90"/>
  <c r="P88"/>
  <c r="P84"/>
  <c r="P121" s="1"/>
  <c r="P93"/>
  <c r="T57"/>
  <c r="T94"/>
  <c r="Z3" i="40"/>
  <c r="R86" i="6"/>
  <c r="R87"/>
  <c r="R82"/>
  <c r="R81"/>
  <c r="R118" s="1"/>
  <c r="X5" i="40"/>
  <c r="R92" i="6"/>
  <c r="R88"/>
  <c r="R85"/>
  <c r="R122" s="1"/>
  <c r="R91"/>
  <c r="R84"/>
  <c r="R83"/>
  <c r="R120" s="1"/>
  <c r="R90"/>
  <c r="R127" s="1"/>
  <c r="R93"/>
  <c r="R89"/>
  <c r="AA52"/>
  <c r="K11" i="40"/>
  <c r="Y52" i="6"/>
  <c r="AE11" i="40" s="1"/>
  <c r="F57" i="6"/>
  <c r="F94"/>
  <c r="F131" s="1"/>
  <c r="L3" i="40"/>
  <c r="W85" i="6"/>
  <c r="W92"/>
  <c r="W84"/>
  <c r="W87"/>
  <c r="AC5" i="40"/>
  <c r="W83" i="6"/>
  <c r="W89"/>
  <c r="W88"/>
  <c r="W90"/>
  <c r="W82"/>
  <c r="W86"/>
  <c r="W81"/>
  <c r="W118" s="1"/>
  <c r="W93"/>
  <c r="W91"/>
  <c r="N83"/>
  <c r="N84"/>
  <c r="N91"/>
  <c r="N87"/>
  <c r="N90"/>
  <c r="N81"/>
  <c r="N118" s="1"/>
  <c r="N92"/>
  <c r="N129" s="1"/>
  <c r="N85"/>
  <c r="N89"/>
  <c r="N82"/>
  <c r="N119" s="1"/>
  <c r="T5" i="40"/>
  <c r="N88" i="6"/>
  <c r="N125" s="1"/>
  <c r="N93"/>
  <c r="N86"/>
  <c r="N123" s="1"/>
  <c r="V57"/>
  <c r="V94"/>
  <c r="AB3" i="40"/>
  <c r="U57" i="6"/>
  <c r="AA3" i="40"/>
  <c r="U94" i="6"/>
  <c r="AA54"/>
  <c r="Y54"/>
  <c r="AE13" i="40" s="1"/>
  <c r="K13"/>
  <c r="G149" i="6"/>
  <c r="V23" i="7"/>
  <c r="G85" i="6"/>
  <c r="G122" s="1"/>
  <c r="G82"/>
  <c r="G84"/>
  <c r="G83"/>
  <c r="G91"/>
  <c r="G128" s="1"/>
  <c r="G81"/>
  <c r="G118" s="1"/>
  <c r="G87"/>
  <c r="G86"/>
  <c r="G89"/>
  <c r="G93"/>
  <c r="G92"/>
  <c r="M5" i="40"/>
  <c r="G88" i="6"/>
  <c r="G125" s="1"/>
  <c r="G90"/>
  <c r="K57"/>
  <c r="K94"/>
  <c r="K131" s="1"/>
  <c r="Q3" i="40"/>
  <c r="I84" i="6"/>
  <c r="I82"/>
  <c r="I88"/>
  <c r="I83"/>
  <c r="I120" s="1"/>
  <c r="I91"/>
  <c r="O5" i="40"/>
  <c r="I89" i="6"/>
  <c r="I126" s="1"/>
  <c r="I93"/>
  <c r="I86"/>
  <c r="I81"/>
  <c r="I118" s="1"/>
  <c r="I85"/>
  <c r="I92"/>
  <c r="I129" s="1"/>
  <c r="I87"/>
  <c r="I124" s="1"/>
  <c r="I90"/>
  <c r="Q81"/>
  <c r="Q118" s="1"/>
  <c r="Q86"/>
  <c r="Q123" s="1"/>
  <c r="Q90"/>
  <c r="Q87"/>
  <c r="Q93"/>
  <c r="Q88"/>
  <c r="Q125" s="1"/>
  <c r="Q92"/>
  <c r="Q85"/>
  <c r="Q82"/>
  <c r="Q119" s="1"/>
  <c r="Q91"/>
  <c r="Q128" s="1"/>
  <c r="Q83"/>
  <c r="W5" i="40"/>
  <c r="Q89" i="6"/>
  <c r="Q84"/>
  <c r="Q121" s="1"/>
  <c r="T24" i="7"/>
  <c r="AA145" i="6"/>
  <c r="S57"/>
  <c r="S94"/>
  <c r="S131" s="1"/>
  <c r="Y3" i="40"/>
  <c r="M85" i="6"/>
  <c r="M87"/>
  <c r="M81"/>
  <c r="M118" s="1"/>
  <c r="M93"/>
  <c r="M86"/>
  <c r="M123" s="1"/>
  <c r="M92"/>
  <c r="M89"/>
  <c r="M83"/>
  <c r="M90"/>
  <c r="M88"/>
  <c r="M125" s="1"/>
  <c r="S5" i="40"/>
  <c r="M84" i="6"/>
  <c r="M121" s="1"/>
  <c r="M82"/>
  <c r="M91"/>
  <c r="X57"/>
  <c r="X94"/>
  <c r="X131" s="1"/>
  <c r="AD3" i="40"/>
  <c r="X88" i="7"/>
  <c r="AD26" i="40" s="1"/>
  <c r="X87" i="7"/>
  <c r="AD25" i="40" s="1"/>
  <c r="X89" i="7"/>
  <c r="AD27" i="40" s="1"/>
  <c r="Y50" i="6"/>
  <c r="AE9" i="40" s="1"/>
  <c r="K9"/>
  <c r="AA50" i="6"/>
  <c r="L57"/>
  <c r="L94"/>
  <c r="R3" i="40"/>
  <c r="U5"/>
  <c r="O81" i="6"/>
  <c r="O118" s="1"/>
  <c r="O85"/>
  <c r="O82"/>
  <c r="O88"/>
  <c r="O125" s="1"/>
  <c r="O86"/>
  <c r="O83"/>
  <c r="O89"/>
  <c r="O91"/>
  <c r="O128" s="1"/>
  <c r="O87"/>
  <c r="O124" s="1"/>
  <c r="O84"/>
  <c r="O121" s="1"/>
  <c r="O93"/>
  <c r="O92"/>
  <c r="O129" s="1"/>
  <c r="O90"/>
  <c r="J88"/>
  <c r="J89"/>
  <c r="J91"/>
  <c r="J128" s="1"/>
  <c r="J90"/>
  <c r="J83"/>
  <c r="J93"/>
  <c r="P5" i="40"/>
  <c r="J84" i="6"/>
  <c r="J92"/>
  <c r="J81"/>
  <c r="J118" s="1"/>
  <c r="J82"/>
  <c r="J87"/>
  <c r="J86"/>
  <c r="J85"/>
  <c r="T26" i="7"/>
  <c r="AA147" i="6"/>
  <c r="K12" i="40"/>
  <c r="Y53" i="6"/>
  <c r="AE12" i="40" s="1"/>
  <c r="AA53" i="6"/>
  <c r="E88"/>
  <c r="E81"/>
  <c r="E118" s="1"/>
  <c r="E86"/>
  <c r="E83"/>
  <c r="AA46"/>
  <c r="E85"/>
  <c r="E93"/>
  <c r="E82"/>
  <c r="K5" i="40"/>
  <c r="E84" i="6"/>
  <c r="E90"/>
  <c r="E87"/>
  <c r="E91"/>
  <c r="Y46"/>
  <c r="E89"/>
  <c r="E92"/>
  <c r="T23" i="7"/>
  <c r="E149" i="6"/>
  <c r="AA144"/>
  <c r="Y45"/>
  <c r="AE4" i="40" s="1"/>
  <c r="K4"/>
  <c r="AA45" i="6"/>
  <c r="E57"/>
  <c r="Y44"/>
  <c r="E94"/>
  <c r="K3" i="40"/>
  <c r="AA44" i="6"/>
  <c r="W124" l="1"/>
  <c r="T130"/>
  <c r="V121" i="34"/>
  <c r="P112"/>
  <c r="T120"/>
  <c r="Q111"/>
  <c r="U121"/>
  <c r="K165" i="7"/>
  <c r="U131" i="6"/>
  <c r="G168" i="7"/>
  <c r="P161"/>
  <c r="S166"/>
  <c r="G161"/>
  <c r="Q165"/>
  <c r="Q161"/>
  <c r="K146" i="35"/>
  <c r="K141"/>
  <c r="T152"/>
  <c r="T142"/>
  <c r="N150"/>
  <c r="N144"/>
  <c r="N154" s="1"/>
  <c r="N139"/>
  <c r="N145"/>
  <c r="P150"/>
  <c r="P140"/>
  <c r="P154" s="1"/>
  <c r="P138"/>
  <c r="J150"/>
  <c r="J145"/>
  <c r="J146"/>
  <c r="Q139"/>
  <c r="Q154" s="1"/>
  <c r="Q148"/>
  <c r="Q146"/>
  <c r="L151"/>
  <c r="L139"/>
  <c r="M143"/>
  <c r="M150"/>
  <c r="E141"/>
  <c r="E180" s="1"/>
  <c r="F180" s="1"/>
  <c r="E149"/>
  <c r="E188" s="1"/>
  <c r="F188" s="1"/>
  <c r="G188" s="1"/>
  <c r="H188" s="1"/>
  <c r="I188" s="1"/>
  <c r="J188" s="1"/>
  <c r="K188" s="1"/>
  <c r="L188" s="1"/>
  <c r="M188" s="1"/>
  <c r="N188" s="1"/>
  <c r="O188" s="1"/>
  <c r="P188" s="1"/>
  <c r="Q188" s="1"/>
  <c r="R188" s="1"/>
  <c r="E150"/>
  <c r="E189" s="1"/>
  <c r="E151"/>
  <c r="E190" s="1"/>
  <c r="F190" s="1"/>
  <c r="G190" s="1"/>
  <c r="H190" s="1"/>
  <c r="R140"/>
  <c r="R145"/>
  <c r="R150"/>
  <c r="R147"/>
  <c r="F145"/>
  <c r="F184" s="1"/>
  <c r="G184" s="1"/>
  <c r="H184" s="1"/>
  <c r="I184" s="1"/>
  <c r="J184" s="1"/>
  <c r="K184" s="1"/>
  <c r="L184" s="1"/>
  <c r="M184" s="1"/>
  <c r="N184" s="1"/>
  <c r="O184" s="1"/>
  <c r="P184" s="1"/>
  <c r="Q184" s="1"/>
  <c r="R184" s="1"/>
  <c r="S184" s="1"/>
  <c r="T184" s="1"/>
  <c r="F140"/>
  <c r="H142"/>
  <c r="H154" s="1"/>
  <c r="H152"/>
  <c r="H150"/>
  <c r="I150"/>
  <c r="I151"/>
  <c r="I140"/>
  <c r="O138"/>
  <c r="O150"/>
  <c r="O143"/>
  <c r="S147"/>
  <c r="S139"/>
  <c r="S154" s="1"/>
  <c r="G144"/>
  <c r="G145"/>
  <c r="G149"/>
  <c r="G142"/>
  <c r="G138"/>
  <c r="E176"/>
  <c r="I138"/>
  <c r="S146"/>
  <c r="M126" i="6"/>
  <c r="N121"/>
  <c r="U123"/>
  <c r="S120"/>
  <c r="J120" i="34"/>
  <c r="N122"/>
  <c r="Q114"/>
  <c r="K160" i="7"/>
  <c r="R166"/>
  <c r="P156"/>
  <c r="F203"/>
  <c r="G203" s="1"/>
  <c r="T148" i="35"/>
  <c r="Q150"/>
  <c r="M149"/>
  <c r="M152"/>
  <c r="F191"/>
  <c r="H185"/>
  <c r="I185" s="1"/>
  <c r="J185" s="1"/>
  <c r="K185" s="1"/>
  <c r="L185" s="1"/>
  <c r="M185" s="1"/>
  <c r="N185" s="1"/>
  <c r="O185" s="1"/>
  <c r="P185" s="1"/>
  <c r="Q185" s="1"/>
  <c r="R185" s="1"/>
  <c r="S185" s="1"/>
  <c r="T185" s="1"/>
  <c r="E140"/>
  <c r="E179" s="1"/>
  <c r="F179" s="1"/>
  <c r="F150"/>
  <c r="H139"/>
  <c r="H178" s="1"/>
  <c r="I178" s="1"/>
  <c r="J178" s="1"/>
  <c r="K178" s="1"/>
  <c r="L178" s="1"/>
  <c r="M178" s="1"/>
  <c r="N178" s="1"/>
  <c r="O178" s="1"/>
  <c r="P178" s="1"/>
  <c r="Q178" s="1"/>
  <c r="R178" s="1"/>
  <c r="S178" s="1"/>
  <c r="T178" s="1"/>
  <c r="I139"/>
  <c r="I154" s="1"/>
  <c r="I148"/>
  <c r="O141"/>
  <c r="O152"/>
  <c r="S143"/>
  <c r="G140"/>
  <c r="G154" s="1"/>
  <c r="U130" i="6"/>
  <c r="F123"/>
  <c r="H129"/>
  <c r="Y145" i="35"/>
  <c r="O113" i="34"/>
  <c r="O160" i="7"/>
  <c r="K138" i="35"/>
  <c r="K154" s="1"/>
  <c r="N143"/>
  <c r="L147"/>
  <c r="M145"/>
  <c r="M146"/>
  <c r="E148"/>
  <c r="E187" s="1"/>
  <c r="F187" s="1"/>
  <c r="G187" s="1"/>
  <c r="I182"/>
  <c r="J182" s="1"/>
  <c r="R152"/>
  <c r="O145"/>
  <c r="E124" i="6"/>
  <c r="J119"/>
  <c r="W125"/>
  <c r="P124"/>
  <c r="X128"/>
  <c r="T128"/>
  <c r="F114" i="34"/>
  <c r="J123"/>
  <c r="S115"/>
  <c r="M114"/>
  <c r="N120"/>
  <c r="W114"/>
  <c r="X119"/>
  <c r="I111"/>
  <c r="Q112"/>
  <c r="O114"/>
  <c r="G110"/>
  <c r="K163" i="7"/>
  <c r="K158"/>
  <c r="R164"/>
  <c r="P166"/>
  <c r="S158"/>
  <c r="I159"/>
  <c r="N167"/>
  <c r="F167"/>
  <c r="F164"/>
  <c r="E168"/>
  <c r="E207" s="1"/>
  <c r="F207" s="1"/>
  <c r="G207" s="1"/>
  <c r="H207" s="1"/>
  <c r="I207" s="1"/>
  <c r="J207" s="1"/>
  <c r="K207" s="1"/>
  <c r="L207" s="1"/>
  <c r="M207" s="1"/>
  <c r="J161"/>
  <c r="J158"/>
  <c r="K149" i="35"/>
  <c r="T146"/>
  <c r="N149"/>
  <c r="P145"/>
  <c r="P148"/>
  <c r="J141"/>
  <c r="L138"/>
  <c r="L154" s="1"/>
  <c r="M147"/>
  <c r="E131" i="6"/>
  <c r="J127"/>
  <c r="O127"/>
  <c r="M130"/>
  <c r="Q120"/>
  <c r="Q127"/>
  <c r="I123"/>
  <c r="N128"/>
  <c r="W127"/>
  <c r="W122"/>
  <c r="P120"/>
  <c r="X130"/>
  <c r="U120"/>
  <c r="S124"/>
  <c r="S128"/>
  <c r="H130"/>
  <c r="H121"/>
  <c r="K124"/>
  <c r="K128"/>
  <c r="V130"/>
  <c r="V123"/>
  <c r="T125"/>
  <c r="V117" i="34"/>
  <c r="V113"/>
  <c r="Y147" i="35"/>
  <c r="Y151"/>
  <c r="F116" i="34"/>
  <c r="P109"/>
  <c r="P116"/>
  <c r="L115"/>
  <c r="J115"/>
  <c r="J122"/>
  <c r="B49"/>
  <c r="R111"/>
  <c r="R116"/>
  <c r="S112"/>
  <c r="S110"/>
  <c r="M120"/>
  <c r="M118"/>
  <c r="M123"/>
  <c r="N111"/>
  <c r="N109"/>
  <c r="H111"/>
  <c r="H117"/>
  <c r="H122"/>
  <c r="K117"/>
  <c r="K122"/>
  <c r="T118"/>
  <c r="T116"/>
  <c r="T122"/>
  <c r="W118"/>
  <c r="X115"/>
  <c r="X110"/>
  <c r="X113"/>
  <c r="I117"/>
  <c r="I119"/>
  <c r="Q118"/>
  <c r="O116"/>
  <c r="O110"/>
  <c r="U117"/>
  <c r="U113"/>
  <c r="U110"/>
  <c r="G119"/>
  <c r="G116"/>
  <c r="K167" i="7"/>
  <c r="R158"/>
  <c r="R160"/>
  <c r="P162"/>
  <c r="S162"/>
  <c r="S167"/>
  <c r="I166"/>
  <c r="I164"/>
  <c r="L168"/>
  <c r="P168"/>
  <c r="N160"/>
  <c r="N170" s="1"/>
  <c r="H159"/>
  <c r="H164"/>
  <c r="O165"/>
  <c r="O162"/>
  <c r="F162"/>
  <c r="G159"/>
  <c r="G170" s="1"/>
  <c r="G156"/>
  <c r="Q166"/>
  <c r="M159"/>
  <c r="J167"/>
  <c r="J156"/>
  <c r="K139" i="35"/>
  <c r="K151"/>
  <c r="K140"/>
  <c r="K152"/>
  <c r="K143"/>
  <c r="T151"/>
  <c r="T140"/>
  <c r="T149"/>
  <c r="T138"/>
  <c r="T154" s="1"/>
  <c r="N151"/>
  <c r="N141"/>
  <c r="P142"/>
  <c r="P143"/>
  <c r="P146"/>
  <c r="J143"/>
  <c r="J154"/>
  <c r="J147"/>
  <c r="Q140"/>
  <c r="Q144"/>
  <c r="Q151"/>
  <c r="Q142"/>
  <c r="L141"/>
  <c r="L144"/>
  <c r="L148"/>
  <c r="L145"/>
  <c r="M151"/>
  <c r="M139"/>
  <c r="M154" s="1"/>
  <c r="E142"/>
  <c r="E181" s="1"/>
  <c r="E144"/>
  <c r="E183" s="1"/>
  <c r="F183" s="1"/>
  <c r="G183" s="1"/>
  <c r="H183" s="1"/>
  <c r="I183" s="1"/>
  <c r="J183" s="1"/>
  <c r="K183" s="1"/>
  <c r="L183" s="1"/>
  <c r="M183" s="1"/>
  <c r="E138"/>
  <c r="E177" s="1"/>
  <c r="F177" s="1"/>
  <c r="G177" s="1"/>
  <c r="H177" s="1"/>
  <c r="I177" s="1"/>
  <c r="J177" s="1"/>
  <c r="R142"/>
  <c r="R154" s="1"/>
  <c r="R138"/>
  <c r="R143"/>
  <c r="R148"/>
  <c r="F147"/>
  <c r="F186" s="1"/>
  <c r="G186" s="1"/>
  <c r="H186" s="1"/>
  <c r="I186" s="1"/>
  <c r="J186" s="1"/>
  <c r="K186" s="1"/>
  <c r="L186" s="1"/>
  <c r="M186" s="1"/>
  <c r="N186" s="1"/>
  <c r="O186" s="1"/>
  <c r="P186" s="1"/>
  <c r="Q186" s="1"/>
  <c r="R186" s="1"/>
  <c r="S186" s="1"/>
  <c r="T186" s="1"/>
  <c r="F142"/>
  <c r="F154" s="1"/>
  <c r="F151"/>
  <c r="H148"/>
  <c r="H144"/>
  <c r="I143"/>
  <c r="I145"/>
  <c r="O146"/>
  <c r="O147"/>
  <c r="O142"/>
  <c r="O139"/>
  <c r="O154" s="1"/>
  <c r="S141"/>
  <c r="S149"/>
  <c r="G141"/>
  <c r="G150"/>
  <c r="G152"/>
  <c r="G69" i="7"/>
  <c r="F74"/>
  <c r="U122" i="34"/>
  <c r="H166" i="7"/>
  <c r="P127" i="6"/>
  <c r="K159" i="7"/>
  <c r="K164"/>
  <c r="R165"/>
  <c r="R161"/>
  <c r="R162"/>
  <c r="R163"/>
  <c r="L162"/>
  <c r="L167"/>
  <c r="P167"/>
  <c r="P160"/>
  <c r="S157"/>
  <c r="I163"/>
  <c r="I165"/>
  <c r="F168"/>
  <c r="F205"/>
  <c r="G205" s="1"/>
  <c r="H205" s="1"/>
  <c r="E167"/>
  <c r="E206" s="1"/>
  <c r="E165"/>
  <c r="E204" s="1"/>
  <c r="F204" s="1"/>
  <c r="G204" s="1"/>
  <c r="H204" s="1"/>
  <c r="I204" s="1"/>
  <c r="N165"/>
  <c r="N159"/>
  <c r="N162"/>
  <c r="N166"/>
  <c r="H162"/>
  <c r="H163"/>
  <c r="O158"/>
  <c r="F163"/>
  <c r="F202" s="1"/>
  <c r="F166"/>
  <c r="F160"/>
  <c r="G167"/>
  <c r="G160"/>
  <c r="G158"/>
  <c r="Q159"/>
  <c r="Q163"/>
  <c r="M157"/>
  <c r="J166"/>
  <c r="J157"/>
  <c r="E194"/>
  <c r="R170"/>
  <c r="S159"/>
  <c r="M163"/>
  <c r="M161"/>
  <c r="N168"/>
  <c r="W130" i="6"/>
  <c r="R130"/>
  <c r="R113" i="34"/>
  <c r="Q168" i="7"/>
  <c r="R167"/>
  <c r="L160"/>
  <c r="L157"/>
  <c r="P157"/>
  <c r="S163"/>
  <c r="I156"/>
  <c r="I170" s="1"/>
  <c r="E158"/>
  <c r="E197" s="1"/>
  <c r="E156"/>
  <c r="E195" s="1"/>
  <c r="E159"/>
  <c r="E198" s="1"/>
  <c r="F198" s="1"/>
  <c r="N161"/>
  <c r="H167"/>
  <c r="O156"/>
  <c r="Q156"/>
  <c r="M164"/>
  <c r="M165"/>
  <c r="J165"/>
  <c r="F112" i="34"/>
  <c r="J113"/>
  <c r="K115"/>
  <c r="T109"/>
  <c r="W123"/>
  <c r="X123"/>
  <c r="I122"/>
  <c r="Q116"/>
  <c r="U109"/>
  <c r="U123"/>
  <c r="G122"/>
  <c r="K166" i="7"/>
  <c r="K161"/>
  <c r="K156"/>
  <c r="R156"/>
  <c r="R159"/>
  <c r="L163"/>
  <c r="L164"/>
  <c r="L170" s="1"/>
  <c r="L165"/>
  <c r="P164"/>
  <c r="P158"/>
  <c r="S164"/>
  <c r="S160"/>
  <c r="I160"/>
  <c r="I157"/>
  <c r="O168"/>
  <c r="R168"/>
  <c r="S168"/>
  <c r="E160"/>
  <c r="E199" s="1"/>
  <c r="E162"/>
  <c r="E201" s="1"/>
  <c r="F201" s="1"/>
  <c r="G201" s="1"/>
  <c r="H201" s="1"/>
  <c r="I201" s="1"/>
  <c r="J201" s="1"/>
  <c r="K201" s="1"/>
  <c r="L201" s="1"/>
  <c r="M201" s="1"/>
  <c r="N201" s="1"/>
  <c r="O201" s="1"/>
  <c r="P201" s="1"/>
  <c r="Q201" s="1"/>
  <c r="R201" s="1"/>
  <c r="S201" s="1"/>
  <c r="N163"/>
  <c r="H157"/>
  <c r="K168"/>
  <c r="O166"/>
  <c r="O163"/>
  <c r="O161"/>
  <c r="F156"/>
  <c r="F161"/>
  <c r="F200" s="1"/>
  <c r="F158"/>
  <c r="G163"/>
  <c r="Q157"/>
  <c r="Q162"/>
  <c r="M166"/>
  <c r="J159"/>
  <c r="J162"/>
  <c r="E114" i="34"/>
  <c r="Y77"/>
  <c r="E122"/>
  <c r="Y85"/>
  <c r="AC32" i="40"/>
  <c r="W109" i="35"/>
  <c r="W106"/>
  <c r="W102"/>
  <c r="W111"/>
  <c r="W148" s="1"/>
  <c r="W112"/>
  <c r="W78"/>
  <c r="W107"/>
  <c r="W105"/>
  <c r="W103"/>
  <c r="W140" s="1"/>
  <c r="W114"/>
  <c r="W110"/>
  <c r="W100"/>
  <c r="W137" s="1"/>
  <c r="W101"/>
  <c r="W104"/>
  <c r="W108"/>
  <c r="W145" s="1"/>
  <c r="W113"/>
  <c r="W150" s="1"/>
  <c r="W115"/>
  <c r="X74"/>
  <c r="X65"/>
  <c r="V74"/>
  <c r="V65"/>
  <c r="Y78" i="34"/>
  <c r="E115"/>
  <c r="E118"/>
  <c r="Y81"/>
  <c r="Y74"/>
  <c r="E111"/>
  <c r="Y72"/>
  <c r="E109"/>
  <c r="E120"/>
  <c r="Y83"/>
  <c r="E117"/>
  <c r="Y80"/>
  <c r="Y76"/>
  <c r="E113"/>
  <c r="AA32" i="40"/>
  <c r="U103" i="35"/>
  <c r="U100"/>
  <c r="U137" s="1"/>
  <c r="U113"/>
  <c r="U110"/>
  <c r="U107"/>
  <c r="U114"/>
  <c r="U104"/>
  <c r="U141" s="1"/>
  <c r="U115"/>
  <c r="U102"/>
  <c r="U111"/>
  <c r="U105"/>
  <c r="U142" s="1"/>
  <c r="U101"/>
  <c r="U78"/>
  <c r="U112"/>
  <c r="U149" s="1"/>
  <c r="U109"/>
  <c r="U108"/>
  <c r="U145" s="1"/>
  <c r="U106"/>
  <c r="G126" i="6"/>
  <c r="Y143" i="35"/>
  <c r="R109" i="34"/>
  <c r="K109"/>
  <c r="T113"/>
  <c r="X120"/>
  <c r="I113"/>
  <c r="V118"/>
  <c r="Y139" i="35"/>
  <c r="P123" i="34"/>
  <c r="L112"/>
  <c r="J109"/>
  <c r="S120"/>
  <c r="S118"/>
  <c r="N113"/>
  <c r="H120"/>
  <c r="K110"/>
  <c r="T114"/>
  <c r="W111"/>
  <c r="Q109"/>
  <c r="Q120"/>
  <c r="U115"/>
  <c r="G123"/>
  <c r="J123" i="6"/>
  <c r="O120"/>
  <c r="M122"/>
  <c r="I127"/>
  <c r="G124"/>
  <c r="G121"/>
  <c r="V131"/>
  <c r="W128"/>
  <c r="R126"/>
  <c r="R121"/>
  <c r="R129"/>
  <c r="R124"/>
  <c r="P126"/>
  <c r="X122"/>
  <c r="L126"/>
  <c r="L123"/>
  <c r="F130"/>
  <c r="F127"/>
  <c r="F124"/>
  <c r="S122"/>
  <c r="H122"/>
  <c r="V124"/>
  <c r="V121"/>
  <c r="T122"/>
  <c r="V109" i="34"/>
  <c r="V116"/>
  <c r="V112"/>
  <c r="V119"/>
  <c r="Y146" i="35"/>
  <c r="Y140"/>
  <c r="F118" i="34"/>
  <c r="F109"/>
  <c r="P110"/>
  <c r="P119"/>
  <c r="L117"/>
  <c r="L110"/>
  <c r="L119"/>
  <c r="L114"/>
  <c r="J117"/>
  <c r="J121"/>
  <c r="J110"/>
  <c r="J118"/>
  <c r="R119"/>
  <c r="R110"/>
  <c r="R120"/>
  <c r="S111"/>
  <c r="S122"/>
  <c r="S116"/>
  <c r="M112"/>
  <c r="M110"/>
  <c r="M119"/>
  <c r="M117"/>
  <c r="N117"/>
  <c r="N114"/>
  <c r="H109"/>
  <c r="H121"/>
  <c r="H112"/>
  <c r="K112"/>
  <c r="K116"/>
  <c r="K118"/>
  <c r="T117"/>
  <c r="T115"/>
  <c r="T111"/>
  <c r="W120"/>
  <c r="W121"/>
  <c r="W115"/>
  <c r="X111"/>
  <c r="I109"/>
  <c r="I115"/>
  <c r="I116"/>
  <c r="Q121"/>
  <c r="O120"/>
  <c r="O111"/>
  <c r="O115"/>
  <c r="O109"/>
  <c r="U116"/>
  <c r="U119"/>
  <c r="G120"/>
  <c r="G118"/>
  <c r="G111"/>
  <c r="E108"/>
  <c r="Y71"/>
  <c r="Y79"/>
  <c r="E116"/>
  <c r="Y84"/>
  <c r="E121"/>
  <c r="AA49"/>
  <c r="Y75"/>
  <c r="E112"/>
  <c r="Y86"/>
  <c r="E123"/>
  <c r="Y49"/>
  <c r="C10" s="1"/>
  <c r="AE15" i="40"/>
  <c r="Y82" i="34"/>
  <c r="E119"/>
  <c r="E110"/>
  <c r="Y73"/>
  <c r="Y142" i="35"/>
  <c r="L121" i="34"/>
  <c r="H115"/>
  <c r="T123"/>
  <c r="X122"/>
  <c r="I112"/>
  <c r="G113"/>
  <c r="F121"/>
  <c r="M116"/>
  <c r="N112"/>
  <c r="K111"/>
  <c r="W119"/>
  <c r="X116"/>
  <c r="V115"/>
  <c r="V111"/>
  <c r="V122"/>
  <c r="Y144" i="35"/>
  <c r="Y155" s="1"/>
  <c r="Y150"/>
  <c r="Y152"/>
  <c r="F115" i="34"/>
  <c r="F117"/>
  <c r="F111"/>
  <c r="P114"/>
  <c r="P122"/>
  <c r="L116"/>
  <c r="L122"/>
  <c r="L118"/>
  <c r="J112"/>
  <c r="R115"/>
  <c r="R118"/>
  <c r="S121"/>
  <c r="S113"/>
  <c r="M109"/>
  <c r="M125" s="1"/>
  <c r="M122"/>
  <c r="M113"/>
  <c r="N121"/>
  <c r="N110"/>
  <c r="N123"/>
  <c r="N119"/>
  <c r="H116"/>
  <c r="H110"/>
  <c r="H125" s="1"/>
  <c r="K120"/>
  <c r="K121"/>
  <c r="K114"/>
  <c r="T119"/>
  <c r="T121"/>
  <c r="W117"/>
  <c r="W112"/>
  <c r="X114"/>
  <c r="X117"/>
  <c r="I118"/>
  <c r="I123"/>
  <c r="I121"/>
  <c r="Q123"/>
  <c r="Q113"/>
  <c r="Q115"/>
  <c r="Q110"/>
  <c r="O123"/>
  <c r="O121"/>
  <c r="U118"/>
  <c r="U112"/>
  <c r="G114"/>
  <c r="G121"/>
  <c r="G115"/>
  <c r="G109"/>
  <c r="T34" i="7"/>
  <c r="T52"/>
  <c r="T61" s="1"/>
  <c r="Z52"/>
  <c r="X28"/>
  <c r="X33"/>
  <c r="X51"/>
  <c r="J124" i="6"/>
  <c r="J121"/>
  <c r="O123"/>
  <c r="M120"/>
  <c r="Q129"/>
  <c r="I128"/>
  <c r="I121"/>
  <c r="G127"/>
  <c r="G130"/>
  <c r="G119"/>
  <c r="R128"/>
  <c r="R123"/>
  <c r="P130"/>
  <c r="P122"/>
  <c r="X120"/>
  <c r="X125"/>
  <c r="M131"/>
  <c r="Q131"/>
  <c r="U121"/>
  <c r="L120"/>
  <c r="L129"/>
  <c r="L127"/>
  <c r="F119"/>
  <c r="F120"/>
  <c r="F126"/>
  <c r="S121"/>
  <c r="H123"/>
  <c r="K119"/>
  <c r="V126"/>
  <c r="T126"/>
  <c r="P131"/>
  <c r="Z53" i="7"/>
  <c r="T53"/>
  <c r="T62" s="1"/>
  <c r="T35"/>
  <c r="U51"/>
  <c r="U28"/>
  <c r="U33"/>
  <c r="U38" s="1"/>
  <c r="I131" i="6"/>
  <c r="U124"/>
  <c r="V128"/>
  <c r="AA149"/>
  <c r="E121"/>
  <c r="E122"/>
  <c r="J129"/>
  <c r="J120"/>
  <c r="J125"/>
  <c r="O122"/>
  <c r="L131"/>
  <c r="M119"/>
  <c r="M127"/>
  <c r="Q122"/>
  <c r="Q124"/>
  <c r="I119"/>
  <c r="G129"/>
  <c r="N122"/>
  <c r="N124"/>
  <c r="W119"/>
  <c r="W120"/>
  <c r="W129"/>
  <c r="P128"/>
  <c r="X124"/>
  <c r="U125"/>
  <c r="U128"/>
  <c r="U126"/>
  <c r="N131"/>
  <c r="L119"/>
  <c r="F128"/>
  <c r="S125"/>
  <c r="S130"/>
  <c r="H119"/>
  <c r="H125"/>
  <c r="K122"/>
  <c r="J131"/>
  <c r="V125"/>
  <c r="V119"/>
  <c r="T123"/>
  <c r="T124"/>
  <c r="Z54" i="7"/>
  <c r="T36"/>
  <c r="T54"/>
  <c r="T63" s="1"/>
  <c r="V33"/>
  <c r="V38" s="1"/>
  <c r="V28"/>
  <c r="V51"/>
  <c r="W51"/>
  <c r="W33"/>
  <c r="W38" s="1"/>
  <c r="W28"/>
  <c r="I130" i="6"/>
  <c r="H127"/>
  <c r="E126"/>
  <c r="E130"/>
  <c r="J122"/>
  <c r="J130"/>
  <c r="J126"/>
  <c r="O130"/>
  <c r="O126"/>
  <c r="O119"/>
  <c r="M128"/>
  <c r="M129"/>
  <c r="M124"/>
  <c r="Q126"/>
  <c r="Q130"/>
  <c r="I122"/>
  <c r="I125"/>
  <c r="G123"/>
  <c r="G120"/>
  <c r="N130"/>
  <c r="N126"/>
  <c r="N127"/>
  <c r="N120"/>
  <c r="W123"/>
  <c r="W126"/>
  <c r="W121"/>
  <c r="R125"/>
  <c r="R119"/>
  <c r="T131"/>
  <c r="P125"/>
  <c r="P119"/>
  <c r="P123"/>
  <c r="X129"/>
  <c r="X121"/>
  <c r="X126"/>
  <c r="U129"/>
  <c r="U119"/>
  <c r="U122"/>
  <c r="W131"/>
  <c r="L124"/>
  <c r="L125"/>
  <c r="L122"/>
  <c r="F122"/>
  <c r="F129"/>
  <c r="S127"/>
  <c r="S119"/>
  <c r="S123"/>
  <c r="H120"/>
  <c r="H128"/>
  <c r="K127"/>
  <c r="K129"/>
  <c r="K123"/>
  <c r="V129"/>
  <c r="V122"/>
  <c r="V120"/>
  <c r="O131"/>
  <c r="T129"/>
  <c r="T120"/>
  <c r="T127"/>
  <c r="H131"/>
  <c r="T33" i="7"/>
  <c r="T28"/>
  <c r="Z51"/>
  <c r="T51"/>
  <c r="E128" i="6"/>
  <c r="E125"/>
  <c r="AA57"/>
  <c r="B57"/>
  <c r="E127"/>
  <c r="E123"/>
  <c r="AE5" i="40"/>
  <c r="Y92" i="6"/>
  <c r="Y90"/>
  <c r="Y84"/>
  <c r="Y88"/>
  <c r="Y87"/>
  <c r="Y82"/>
  <c r="Y89"/>
  <c r="Y86"/>
  <c r="Y93"/>
  <c r="Y130" s="1"/>
  <c r="Y91"/>
  <c r="Y128" s="1"/>
  <c r="Y85"/>
  <c r="Y122" s="1"/>
  <c r="Y81"/>
  <c r="Y118" s="1"/>
  <c r="Y83"/>
  <c r="Y94"/>
  <c r="AE3" i="40"/>
  <c r="Y57" i="6"/>
  <c r="C10" s="1"/>
  <c r="E129"/>
  <c r="E119"/>
  <c r="E120"/>
  <c r="E133" l="1"/>
  <c r="E134" s="1"/>
  <c r="U184" i="35"/>
  <c r="U138"/>
  <c r="W142"/>
  <c r="F170" i="7"/>
  <c r="O170"/>
  <c r="F195"/>
  <c r="G195" s="1"/>
  <c r="H195" s="1"/>
  <c r="I195" s="1"/>
  <c r="J195" s="1"/>
  <c r="P170"/>
  <c r="J170"/>
  <c r="I205"/>
  <c r="J205" s="1"/>
  <c r="K205" s="1"/>
  <c r="L205" s="1"/>
  <c r="M205" s="1"/>
  <c r="N205" s="1"/>
  <c r="S170"/>
  <c r="N183" i="35"/>
  <c r="O183" s="1"/>
  <c r="P183" s="1"/>
  <c r="Q183" s="1"/>
  <c r="R183" s="1"/>
  <c r="S183" s="1"/>
  <c r="T183" s="1"/>
  <c r="H203" i="7"/>
  <c r="I203" s="1"/>
  <c r="J203" s="1"/>
  <c r="K203" s="1"/>
  <c r="L203" s="1"/>
  <c r="M203" s="1"/>
  <c r="N203" s="1"/>
  <c r="O203" s="1"/>
  <c r="P203" s="1"/>
  <c r="Q203" s="1"/>
  <c r="R203" s="1"/>
  <c r="S203" s="1"/>
  <c r="S188" i="35"/>
  <c r="T188" s="1"/>
  <c r="O125" i="34"/>
  <c r="J125"/>
  <c r="P125"/>
  <c r="W152" i="35"/>
  <c r="W146"/>
  <c r="H170" i="7"/>
  <c r="F199"/>
  <c r="G199" s="1"/>
  <c r="H199" s="1"/>
  <c r="I199" s="1"/>
  <c r="J199" s="1"/>
  <c r="K199" s="1"/>
  <c r="L199" s="1"/>
  <c r="M199" s="1"/>
  <c r="N199" s="1"/>
  <c r="O199" s="1"/>
  <c r="P199" s="1"/>
  <c r="Q199" s="1"/>
  <c r="R199" s="1"/>
  <c r="S199" s="1"/>
  <c r="G198"/>
  <c r="H198" s="1"/>
  <c r="I198" s="1"/>
  <c r="F206"/>
  <c r="K177" i="35"/>
  <c r="L177" s="1"/>
  <c r="M177" s="1"/>
  <c r="N177" s="1"/>
  <c r="O177" s="1"/>
  <c r="P177" s="1"/>
  <c r="Q177" s="1"/>
  <c r="R177" s="1"/>
  <c r="S177" s="1"/>
  <c r="T177" s="1"/>
  <c r="H187"/>
  <c r="I187" s="1"/>
  <c r="J187" s="1"/>
  <c r="K187" s="1"/>
  <c r="L187" s="1"/>
  <c r="M187" s="1"/>
  <c r="N187" s="1"/>
  <c r="O187" s="1"/>
  <c r="P187" s="1"/>
  <c r="Q187" s="1"/>
  <c r="R187" s="1"/>
  <c r="S187" s="1"/>
  <c r="T187" s="1"/>
  <c r="G191"/>
  <c r="H191" s="1"/>
  <c r="I191" s="1"/>
  <c r="J191" s="1"/>
  <c r="K191" s="1"/>
  <c r="L191" s="1"/>
  <c r="M191" s="1"/>
  <c r="N191" s="1"/>
  <c r="O191" s="1"/>
  <c r="P191" s="1"/>
  <c r="Q191" s="1"/>
  <c r="R191" s="1"/>
  <c r="S191" s="1"/>
  <c r="T191" s="1"/>
  <c r="F189"/>
  <c r="G189" s="1"/>
  <c r="H189" s="1"/>
  <c r="I189" s="1"/>
  <c r="J189" s="1"/>
  <c r="K189" s="1"/>
  <c r="L189" s="1"/>
  <c r="M189" s="1"/>
  <c r="N189" s="1"/>
  <c r="O189" s="1"/>
  <c r="P189" s="1"/>
  <c r="Q189" s="1"/>
  <c r="R189" s="1"/>
  <c r="S189" s="1"/>
  <c r="T189" s="1"/>
  <c r="E193"/>
  <c r="F176"/>
  <c r="T125" i="34"/>
  <c r="K170" i="7"/>
  <c r="G202"/>
  <c r="H202" s="1"/>
  <c r="I202" s="1"/>
  <c r="J202" s="1"/>
  <c r="K202" s="1"/>
  <c r="L202" s="1"/>
  <c r="M202" s="1"/>
  <c r="N202" s="1"/>
  <c r="O202" s="1"/>
  <c r="P202" s="1"/>
  <c r="Q202" s="1"/>
  <c r="R202" s="1"/>
  <c r="S202" s="1"/>
  <c r="K182" i="35"/>
  <c r="L182" s="1"/>
  <c r="M182" s="1"/>
  <c r="N182" s="1"/>
  <c r="O182" s="1"/>
  <c r="P182" s="1"/>
  <c r="Q182" s="1"/>
  <c r="R182" s="1"/>
  <c r="S182" s="1"/>
  <c r="T182" s="1"/>
  <c r="I190"/>
  <c r="J190" s="1"/>
  <c r="K190" s="1"/>
  <c r="L190" s="1"/>
  <c r="M190" s="1"/>
  <c r="N190" s="1"/>
  <c r="O190" s="1"/>
  <c r="P190" s="1"/>
  <c r="Q190" s="1"/>
  <c r="R190" s="1"/>
  <c r="S190" s="1"/>
  <c r="T190" s="1"/>
  <c r="U188"/>
  <c r="U146"/>
  <c r="U185" s="1"/>
  <c r="U181"/>
  <c r="U150"/>
  <c r="U189" s="1"/>
  <c r="Q170" i="7"/>
  <c r="G200"/>
  <c r="H200" s="1"/>
  <c r="I200" s="1"/>
  <c r="J200" s="1"/>
  <c r="K200" s="1"/>
  <c r="L200" s="1"/>
  <c r="M200" s="1"/>
  <c r="N200" s="1"/>
  <c r="O200" s="1"/>
  <c r="P200" s="1"/>
  <c r="Q200" s="1"/>
  <c r="R200" s="1"/>
  <c r="S200" s="1"/>
  <c r="M170"/>
  <c r="F181" i="35"/>
  <c r="G181" s="1"/>
  <c r="H181" s="1"/>
  <c r="I181" s="1"/>
  <c r="J181" s="1"/>
  <c r="K181" s="1"/>
  <c r="L181" s="1"/>
  <c r="M181" s="1"/>
  <c r="N181" s="1"/>
  <c r="O181" s="1"/>
  <c r="P181" s="1"/>
  <c r="Q181" s="1"/>
  <c r="R181" s="1"/>
  <c r="S181" s="1"/>
  <c r="T181" s="1"/>
  <c r="G179"/>
  <c r="H179" s="1"/>
  <c r="I179" s="1"/>
  <c r="J179" s="1"/>
  <c r="K179" s="1"/>
  <c r="L179" s="1"/>
  <c r="M179" s="1"/>
  <c r="N179" s="1"/>
  <c r="O179" s="1"/>
  <c r="P179" s="1"/>
  <c r="Q179" s="1"/>
  <c r="R179" s="1"/>
  <c r="S179" s="1"/>
  <c r="T179" s="1"/>
  <c r="E154"/>
  <c r="E155" s="1"/>
  <c r="F155" s="1"/>
  <c r="G155" s="1"/>
  <c r="H155" s="1"/>
  <c r="I155" s="1"/>
  <c r="J155" s="1"/>
  <c r="K155" s="1"/>
  <c r="L155" s="1"/>
  <c r="M155" s="1"/>
  <c r="N155" s="1"/>
  <c r="O155" s="1"/>
  <c r="P155" s="1"/>
  <c r="Q155" s="1"/>
  <c r="R155" s="1"/>
  <c r="S155" s="1"/>
  <c r="T155" s="1"/>
  <c r="G180"/>
  <c r="H180" s="1"/>
  <c r="I180" s="1"/>
  <c r="J180" s="1"/>
  <c r="K180" s="1"/>
  <c r="L180" s="1"/>
  <c r="M180" s="1"/>
  <c r="N180" s="1"/>
  <c r="O180" s="1"/>
  <c r="P180" s="1"/>
  <c r="Q180" s="1"/>
  <c r="R180" s="1"/>
  <c r="S180" s="1"/>
  <c r="T180" s="1"/>
  <c r="U180" s="1"/>
  <c r="F194" i="7"/>
  <c r="E209"/>
  <c r="H69"/>
  <c r="G74"/>
  <c r="X125" i="34"/>
  <c r="W125"/>
  <c r="N125"/>
  <c r="J204" i="7"/>
  <c r="K204" s="1"/>
  <c r="L204" s="1"/>
  <c r="M204" s="1"/>
  <c r="N204" s="1"/>
  <c r="O204" s="1"/>
  <c r="P204" s="1"/>
  <c r="Q204" s="1"/>
  <c r="R204" s="1"/>
  <c r="S204" s="1"/>
  <c r="H196"/>
  <c r="I196" s="1"/>
  <c r="J196" s="1"/>
  <c r="K196" s="1"/>
  <c r="L196" s="1"/>
  <c r="M196" s="1"/>
  <c r="N196" s="1"/>
  <c r="O196" s="1"/>
  <c r="P196" s="1"/>
  <c r="Q196" s="1"/>
  <c r="R196" s="1"/>
  <c r="S196" s="1"/>
  <c r="Y126" i="6"/>
  <c r="L125" i="34"/>
  <c r="F125"/>
  <c r="I125"/>
  <c r="Y110"/>
  <c r="R125"/>
  <c r="V125"/>
  <c r="Q125"/>
  <c r="F197" i="7"/>
  <c r="G197" s="1"/>
  <c r="H197" s="1"/>
  <c r="I197" s="1"/>
  <c r="J197" s="1"/>
  <c r="K197" s="1"/>
  <c r="L197" s="1"/>
  <c r="M197" s="1"/>
  <c r="N197" s="1"/>
  <c r="O197" s="1"/>
  <c r="P197" s="1"/>
  <c r="Q197" s="1"/>
  <c r="R197" s="1"/>
  <c r="S197" s="1"/>
  <c r="E170"/>
  <c r="E171" s="1"/>
  <c r="K195"/>
  <c r="L195" s="1"/>
  <c r="M195" s="1"/>
  <c r="N195" s="1"/>
  <c r="O195" s="1"/>
  <c r="P195" s="1"/>
  <c r="Q195" s="1"/>
  <c r="R195" s="1"/>
  <c r="S195" s="1"/>
  <c r="O205"/>
  <c r="P205" s="1"/>
  <c r="Q205" s="1"/>
  <c r="R205" s="1"/>
  <c r="S205" s="1"/>
  <c r="Y120" i="6"/>
  <c r="Y124"/>
  <c r="H133"/>
  <c r="R133"/>
  <c r="I133"/>
  <c r="G125" i="34"/>
  <c r="U125"/>
  <c r="K125"/>
  <c r="S125"/>
  <c r="J198" i="7"/>
  <c r="K198" s="1"/>
  <c r="L198" s="1"/>
  <c r="M198" s="1"/>
  <c r="N198" s="1"/>
  <c r="O198" s="1"/>
  <c r="P198" s="1"/>
  <c r="Q198" s="1"/>
  <c r="R198" s="1"/>
  <c r="S198" s="1"/>
  <c r="N207"/>
  <c r="O207" s="1"/>
  <c r="P207" s="1"/>
  <c r="Q207" s="1"/>
  <c r="R207" s="1"/>
  <c r="S207" s="1"/>
  <c r="G206"/>
  <c r="H206" s="1"/>
  <c r="I206" s="1"/>
  <c r="J206" s="1"/>
  <c r="K206" s="1"/>
  <c r="L206" s="1"/>
  <c r="M206" s="1"/>
  <c r="N206" s="1"/>
  <c r="O206" s="1"/>
  <c r="P206" s="1"/>
  <c r="Q206" s="1"/>
  <c r="R206" s="1"/>
  <c r="S206" s="1"/>
  <c r="E125" i="34"/>
  <c r="E126" s="1"/>
  <c r="Y108"/>
  <c r="AB32" i="40"/>
  <c r="V112" i="35"/>
  <c r="V111"/>
  <c r="V148" s="1"/>
  <c r="V108"/>
  <c r="V102"/>
  <c r="V109"/>
  <c r="V103"/>
  <c r="V140" s="1"/>
  <c r="V115"/>
  <c r="V106"/>
  <c r="V107"/>
  <c r="V144" s="1"/>
  <c r="V105"/>
  <c r="V142" s="1"/>
  <c r="V181" s="1"/>
  <c r="W181" s="1"/>
  <c r="V113"/>
  <c r="V150" s="1"/>
  <c r="V101"/>
  <c r="V110"/>
  <c r="V147" s="1"/>
  <c r="V78"/>
  <c r="AA78" s="1"/>
  <c r="B78" s="1"/>
  <c r="V114"/>
  <c r="V151" s="1"/>
  <c r="V104"/>
  <c r="V100"/>
  <c r="V137" s="1"/>
  <c r="C10"/>
  <c r="W133" i="6"/>
  <c r="V189" i="35"/>
  <c r="W189" s="1"/>
  <c r="Y117" i="34"/>
  <c r="Y118"/>
  <c r="U147" i="35"/>
  <c r="U186" s="1"/>
  <c r="AA74"/>
  <c r="Y109" i="34"/>
  <c r="W138" i="35"/>
  <c r="W149"/>
  <c r="K133" i="6"/>
  <c r="U133"/>
  <c r="O133"/>
  <c r="U143" i="35"/>
  <c r="U144"/>
  <c r="U183" s="1"/>
  <c r="V183" s="1"/>
  <c r="W151"/>
  <c r="AD32" i="40"/>
  <c r="X112" i="35"/>
  <c r="X103"/>
  <c r="X105"/>
  <c r="X106"/>
  <c r="X101"/>
  <c r="X114"/>
  <c r="X151" s="1"/>
  <c r="X108"/>
  <c r="X100"/>
  <c r="X137" s="1"/>
  <c r="X113"/>
  <c r="X150" s="1"/>
  <c r="X109"/>
  <c r="X107"/>
  <c r="X144" s="1"/>
  <c r="X115"/>
  <c r="X78"/>
  <c r="X111"/>
  <c r="X148" s="1"/>
  <c r="X104"/>
  <c r="X141" s="1"/>
  <c r="X102"/>
  <c r="X110"/>
  <c r="L133" i="6"/>
  <c r="Y114" i="34"/>
  <c r="J133" i="6"/>
  <c r="Q133"/>
  <c r="F133"/>
  <c r="X133"/>
  <c r="Y112" i="34"/>
  <c r="Y121"/>
  <c r="U152" i="35"/>
  <c r="U191" s="1"/>
  <c r="T133" i="6"/>
  <c r="S133"/>
  <c r="P133"/>
  <c r="U139" i="35"/>
  <c r="U178" s="1"/>
  <c r="U140"/>
  <c r="U179" s="1"/>
  <c r="Y120" i="34"/>
  <c r="W141" i="35"/>
  <c r="W143"/>
  <c r="Y122" i="34"/>
  <c r="V133" i="6"/>
  <c r="N133"/>
  <c r="G133"/>
  <c r="M133"/>
  <c r="Y119" i="34"/>
  <c r="Y123"/>
  <c r="Y116"/>
  <c r="U148" i="35"/>
  <c r="U151"/>
  <c r="U190" s="1"/>
  <c r="Y113" i="34"/>
  <c r="Y111"/>
  <c r="Y115"/>
  <c r="W147" i="35"/>
  <c r="W144"/>
  <c r="W139"/>
  <c r="V60" i="7"/>
  <c r="V56"/>
  <c r="Y89"/>
  <c r="AE27" i="40" s="1"/>
  <c r="Y88" i="7"/>
  <c r="AE26" i="40" s="1"/>
  <c r="Y87" i="7"/>
  <c r="AE25" i="40" s="1"/>
  <c r="Z33" i="7"/>
  <c r="Z38" s="1"/>
  <c r="X38"/>
  <c r="W56"/>
  <c r="W60"/>
  <c r="T92"/>
  <c r="T91"/>
  <c r="T90"/>
  <c r="T72"/>
  <c r="U72" s="1"/>
  <c r="V72" s="1"/>
  <c r="W72" s="1"/>
  <c r="X72" s="1"/>
  <c r="T89"/>
  <c r="T87"/>
  <c r="T71"/>
  <c r="U71" s="1"/>
  <c r="V71" s="1"/>
  <c r="W71" s="1"/>
  <c r="X71" s="1"/>
  <c r="T88"/>
  <c r="X60"/>
  <c r="X56"/>
  <c r="T85"/>
  <c r="T70"/>
  <c r="U70" s="1"/>
  <c r="V70" s="1"/>
  <c r="W70" s="1"/>
  <c r="X70" s="1"/>
  <c r="T84"/>
  <c r="T86"/>
  <c r="Y84"/>
  <c r="AE22" i="40" s="1"/>
  <c r="Y85" i="7"/>
  <c r="AE23" i="40" s="1"/>
  <c r="Y86" i="7"/>
  <c r="AE24" i="40" s="1"/>
  <c r="F134" i="6"/>
  <c r="G134" s="1"/>
  <c r="Y129"/>
  <c r="Y91" i="7"/>
  <c r="AE29" i="40" s="1"/>
  <c r="Y90" i="7"/>
  <c r="AE28" i="40" s="1"/>
  <c r="Y92" i="7"/>
  <c r="AE30" i="40" s="1"/>
  <c r="U60" i="7"/>
  <c r="U56"/>
  <c r="T38"/>
  <c r="Y131" i="6"/>
  <c r="Y119"/>
  <c r="Y127"/>
  <c r="Y82" i="7"/>
  <c r="AE20" i="40" s="1"/>
  <c r="Y83" i="7"/>
  <c r="Y81"/>
  <c r="Y121" i="6"/>
  <c r="T60" i="7"/>
  <c r="T56"/>
  <c r="Y123" i="6"/>
  <c r="Y125"/>
  <c r="G176" i="35" l="1"/>
  <c r="F193"/>
  <c r="U187"/>
  <c r="V187" s="1"/>
  <c r="W187" s="1"/>
  <c r="X187" s="1"/>
  <c r="V179"/>
  <c r="W179" s="1"/>
  <c r="X139"/>
  <c r="W154"/>
  <c r="V152"/>
  <c r="V145"/>
  <c r="V184" s="1"/>
  <c r="W184" s="1"/>
  <c r="F171" i="7"/>
  <c r="G171" s="1"/>
  <c r="H171" s="1"/>
  <c r="I171" s="1"/>
  <c r="J171" s="1"/>
  <c r="K171" s="1"/>
  <c r="L171" s="1"/>
  <c r="M171" s="1"/>
  <c r="N171" s="1"/>
  <c r="O171" s="1"/>
  <c r="P171" s="1"/>
  <c r="Q171" s="1"/>
  <c r="R171" s="1"/>
  <c r="S171" s="1"/>
  <c r="U182" i="35"/>
  <c r="X189"/>
  <c r="U177"/>
  <c r="G194" i="7"/>
  <c r="F209"/>
  <c r="H74"/>
  <c r="I69"/>
  <c r="H134" i="6"/>
  <c r="I134" s="1"/>
  <c r="J134" s="1"/>
  <c r="K134" s="1"/>
  <c r="L134" s="1"/>
  <c r="M134" s="1"/>
  <c r="N134" s="1"/>
  <c r="O134" s="1"/>
  <c r="P134" s="1"/>
  <c r="Q134" s="1"/>
  <c r="R134" s="1"/>
  <c r="S134" s="1"/>
  <c r="T134" s="1"/>
  <c r="U134" s="1"/>
  <c r="V134" s="1"/>
  <c r="W134" s="1"/>
  <c r="X134" s="1"/>
  <c r="F126" i="34"/>
  <c r="G126" s="1"/>
  <c r="H126" s="1"/>
  <c r="I126" s="1"/>
  <c r="J126" s="1"/>
  <c r="K126" s="1"/>
  <c r="L126" s="1"/>
  <c r="M126" s="1"/>
  <c r="N126" s="1"/>
  <c r="O126" s="1"/>
  <c r="P126" s="1"/>
  <c r="Q126" s="1"/>
  <c r="R126" s="1"/>
  <c r="S126" s="1"/>
  <c r="T126" s="1"/>
  <c r="U126" s="1"/>
  <c r="V126" s="1"/>
  <c r="W126" s="1"/>
  <c r="X126" s="1"/>
  <c r="X145" i="35"/>
  <c r="X184" s="1"/>
  <c r="Y134" i="6"/>
  <c r="X152" i="35"/>
  <c r="X143"/>
  <c r="Y126" i="34"/>
  <c r="V190" i="35"/>
  <c r="W190" s="1"/>
  <c r="X190" s="1"/>
  <c r="X147"/>
  <c r="X138"/>
  <c r="X154" s="1"/>
  <c r="X149"/>
  <c r="V186"/>
  <c r="W186" s="1"/>
  <c r="X186" s="1"/>
  <c r="V141"/>
  <c r="V180" s="1"/>
  <c r="W180" s="1"/>
  <c r="X180" s="1"/>
  <c r="V138"/>
  <c r="V177" s="1"/>
  <c r="W177" s="1"/>
  <c r="V143"/>
  <c r="V182" s="1"/>
  <c r="W182" s="1"/>
  <c r="V139"/>
  <c r="X142"/>
  <c r="X181" s="1"/>
  <c r="V191"/>
  <c r="W191" s="1"/>
  <c r="U154"/>
  <c r="U155" s="1"/>
  <c r="X146"/>
  <c r="X140"/>
  <c r="X179" s="1"/>
  <c r="W183"/>
  <c r="X183" s="1"/>
  <c r="V146"/>
  <c r="V185" s="1"/>
  <c r="W185" s="1"/>
  <c r="V149"/>
  <c r="V188" s="1"/>
  <c r="W188" s="1"/>
  <c r="X188" s="1"/>
  <c r="Z22" i="40"/>
  <c r="AA84" i="7"/>
  <c r="X82"/>
  <c r="AD20" i="40" s="1"/>
  <c r="X83" i="7"/>
  <c r="X81"/>
  <c r="X65"/>
  <c r="AA89"/>
  <c r="Z27" i="40"/>
  <c r="AA92" i="7"/>
  <c r="Z30" i="40"/>
  <c r="AA88" i="7"/>
  <c r="Z26" i="40"/>
  <c r="W83" i="7"/>
  <c r="W82"/>
  <c r="AC20" i="40" s="1"/>
  <c r="W81" i="7"/>
  <c r="W65"/>
  <c r="V65"/>
  <c r="V81"/>
  <c r="V83"/>
  <c r="V82"/>
  <c r="AB20" i="40" s="1"/>
  <c r="AA86" i="7"/>
  <c r="Z24" i="40"/>
  <c r="Z25"/>
  <c r="AA87" i="7"/>
  <c r="AA91"/>
  <c r="Z29" i="40"/>
  <c r="Z56" i="7"/>
  <c r="U83"/>
  <c r="U81"/>
  <c r="U82"/>
  <c r="AA20" i="40" s="1"/>
  <c r="U65" i="7"/>
  <c r="Z23" i="40"/>
  <c r="AA85" i="7"/>
  <c r="Z28" i="40"/>
  <c r="AA90" i="7"/>
  <c r="Y125"/>
  <c r="Y126"/>
  <c r="Y122"/>
  <c r="AE21" i="40"/>
  <c r="Y128" i="7"/>
  <c r="Y129"/>
  <c r="Y120"/>
  <c r="Y118"/>
  <c r="Y155" s="1"/>
  <c r="Y123"/>
  <c r="Y160" s="1"/>
  <c r="Y121"/>
  <c r="Y127"/>
  <c r="Y119"/>
  <c r="Y156" s="1"/>
  <c r="Y124"/>
  <c r="Y130"/>
  <c r="Y167" s="1"/>
  <c r="AE19" i="40"/>
  <c r="Y94" i="7"/>
  <c r="Y131"/>
  <c r="T82"/>
  <c r="T65"/>
  <c r="T83"/>
  <c r="T81"/>
  <c r="H176" i="35" l="1"/>
  <c r="G193"/>
  <c r="V154"/>
  <c r="V178"/>
  <c r="W178" s="1"/>
  <c r="X178" s="1"/>
  <c r="X185"/>
  <c r="X182"/>
  <c r="H194" i="7"/>
  <c r="G209"/>
  <c r="J69"/>
  <c r="I74"/>
  <c r="V155" i="35"/>
  <c r="W155" s="1"/>
  <c r="X155" s="1"/>
  <c r="X177"/>
  <c r="X191"/>
  <c r="V94" i="7"/>
  <c r="V131"/>
  <c r="AB19" i="40"/>
  <c r="Y164" i="7"/>
  <c r="AA19" i="40"/>
  <c r="U94" i="7"/>
  <c r="U131"/>
  <c r="W120"/>
  <c r="W125"/>
  <c r="AC21" i="40"/>
  <c r="W129" i="7"/>
  <c r="W122"/>
  <c r="W121"/>
  <c r="W130"/>
  <c r="W127"/>
  <c r="W128"/>
  <c r="W123"/>
  <c r="W124"/>
  <c r="W118"/>
  <c r="W155" s="1"/>
  <c r="W119"/>
  <c r="W126"/>
  <c r="W163" s="1"/>
  <c r="X131"/>
  <c r="AD19" i="40"/>
  <c r="X94" i="7"/>
  <c r="V122"/>
  <c r="V119"/>
  <c r="V118"/>
  <c r="V155" s="1"/>
  <c r="V129"/>
  <c r="V127"/>
  <c r="AB21" i="40"/>
  <c r="V121" i="7"/>
  <c r="V125"/>
  <c r="V126"/>
  <c r="V120"/>
  <c r="V123"/>
  <c r="V124"/>
  <c r="V128"/>
  <c r="V165" s="1"/>
  <c r="V130"/>
  <c r="AC19" i="40"/>
  <c r="W131" i="7"/>
  <c r="W94"/>
  <c r="U119"/>
  <c r="U118"/>
  <c r="U155" s="1"/>
  <c r="U125"/>
  <c r="U120"/>
  <c r="U128"/>
  <c r="U126"/>
  <c r="U123"/>
  <c r="U160" s="1"/>
  <c r="U124"/>
  <c r="AA21" i="40"/>
  <c r="U122" i="7"/>
  <c r="U127"/>
  <c r="U164" s="1"/>
  <c r="U129"/>
  <c r="U130"/>
  <c r="U121"/>
  <c r="X127"/>
  <c r="X164" s="1"/>
  <c r="X120"/>
  <c r="X123"/>
  <c r="X126"/>
  <c r="AD21" i="40"/>
  <c r="X122" i="7"/>
  <c r="X125"/>
  <c r="X119"/>
  <c r="X130"/>
  <c r="X129"/>
  <c r="X128"/>
  <c r="X118"/>
  <c r="X155" s="1"/>
  <c r="X121"/>
  <c r="X124"/>
  <c r="Y168"/>
  <c r="Y165"/>
  <c r="Y162"/>
  <c r="T121"/>
  <c r="T128"/>
  <c r="AA83"/>
  <c r="T126"/>
  <c r="T122"/>
  <c r="T119"/>
  <c r="T130"/>
  <c r="Z21" i="40"/>
  <c r="T127" i="7"/>
  <c r="T129"/>
  <c r="T124"/>
  <c r="T125"/>
  <c r="T120"/>
  <c r="T118"/>
  <c r="T155" s="1"/>
  <c r="T123"/>
  <c r="AA81"/>
  <c r="T131"/>
  <c r="Z19" i="40"/>
  <c r="T94" i="7"/>
  <c r="AA82"/>
  <c r="Z20" i="40"/>
  <c r="Y161" i="7"/>
  <c r="Y158"/>
  <c r="Y166"/>
  <c r="Y163"/>
  <c r="Y157"/>
  <c r="Y159"/>
  <c r="W168" l="1"/>
  <c r="V161"/>
  <c r="I176" i="35"/>
  <c r="H193"/>
  <c r="T166" i="7"/>
  <c r="T205" s="1"/>
  <c r="V157"/>
  <c r="I194"/>
  <c r="H209"/>
  <c r="K69"/>
  <c r="J74"/>
  <c r="T168"/>
  <c r="T207" s="1"/>
  <c r="T157"/>
  <c r="T196" s="1"/>
  <c r="T164"/>
  <c r="T203" s="1"/>
  <c r="U203" s="1"/>
  <c r="X161"/>
  <c r="X166"/>
  <c r="X159"/>
  <c r="X157"/>
  <c r="U166"/>
  <c r="U161"/>
  <c r="U157"/>
  <c r="V163"/>
  <c r="V159"/>
  <c r="W160"/>
  <c r="W158"/>
  <c r="W162"/>
  <c r="X163"/>
  <c r="V158"/>
  <c r="V164"/>
  <c r="X165"/>
  <c r="X162"/>
  <c r="X160"/>
  <c r="U167"/>
  <c r="U165"/>
  <c r="U156"/>
  <c r="V167"/>
  <c r="V156"/>
  <c r="X168"/>
  <c r="W161"/>
  <c r="W167"/>
  <c r="V168"/>
  <c r="X156"/>
  <c r="U158"/>
  <c r="U159"/>
  <c r="U163"/>
  <c r="V160"/>
  <c r="W164"/>
  <c r="W166"/>
  <c r="U168"/>
  <c r="Y170"/>
  <c r="X158"/>
  <c r="X167"/>
  <c r="U162"/>
  <c r="V162"/>
  <c r="V166"/>
  <c r="W156"/>
  <c r="W165"/>
  <c r="W159"/>
  <c r="W157"/>
  <c r="C10"/>
  <c r="AA94"/>
  <c r="T160"/>
  <c r="T199" s="1"/>
  <c r="U199" s="1"/>
  <c r="T161"/>
  <c r="T200" s="1"/>
  <c r="T167"/>
  <c r="T206" s="1"/>
  <c r="T159"/>
  <c r="T198" s="1"/>
  <c r="B94"/>
  <c r="T162"/>
  <c r="T201" s="1"/>
  <c r="T163"/>
  <c r="T202" s="1"/>
  <c r="T158"/>
  <c r="T197" s="1"/>
  <c r="U197" s="1"/>
  <c r="T156"/>
  <c r="T195" s="1"/>
  <c r="T165"/>
  <c r="T204" s="1"/>
  <c r="V203" l="1"/>
  <c r="W203" s="1"/>
  <c r="X203" s="1"/>
  <c r="U205"/>
  <c r="J176" i="35"/>
  <c r="I193"/>
  <c r="V197" i="7"/>
  <c r="W197" s="1"/>
  <c r="X197" s="1"/>
  <c r="J194"/>
  <c r="I209"/>
  <c r="K74"/>
  <c r="L69"/>
  <c r="U207"/>
  <c r="V207" s="1"/>
  <c r="W207" s="1"/>
  <c r="X207" s="1"/>
  <c r="V170"/>
  <c r="X170"/>
  <c r="U195"/>
  <c r="V195" s="1"/>
  <c r="W195" s="1"/>
  <c r="X195" s="1"/>
  <c r="V199"/>
  <c r="W199" s="1"/>
  <c r="X199" s="1"/>
  <c r="W170"/>
  <c r="U196"/>
  <c r="V196" s="1"/>
  <c r="W196" s="1"/>
  <c r="X196" s="1"/>
  <c r="U200"/>
  <c r="V200" s="1"/>
  <c r="W200" s="1"/>
  <c r="X200" s="1"/>
  <c r="U170"/>
  <c r="V205"/>
  <c r="W205" s="1"/>
  <c r="X205" s="1"/>
  <c r="U201"/>
  <c r="V201" s="1"/>
  <c r="W201" s="1"/>
  <c r="X201" s="1"/>
  <c r="U202"/>
  <c r="V202" s="1"/>
  <c r="W202" s="1"/>
  <c r="X202" s="1"/>
  <c r="U204"/>
  <c r="V204" s="1"/>
  <c r="W204" s="1"/>
  <c r="X204" s="1"/>
  <c r="U198"/>
  <c r="V198" s="1"/>
  <c r="W198" s="1"/>
  <c r="X198" s="1"/>
  <c r="U206"/>
  <c r="V206" s="1"/>
  <c r="W206" s="1"/>
  <c r="X206" s="1"/>
  <c r="T170"/>
  <c r="T171" s="1"/>
  <c r="U171" s="1"/>
  <c r="V171" s="1"/>
  <c r="W171" s="1"/>
  <c r="X171" s="1"/>
  <c r="K176" i="35" l="1"/>
  <c r="J193"/>
  <c r="K194" i="7"/>
  <c r="J209"/>
  <c r="M69"/>
  <c r="L74"/>
  <c r="L176" i="35" l="1"/>
  <c r="K193"/>
  <c r="L194" i="7"/>
  <c r="K209"/>
  <c r="N69"/>
  <c r="M74"/>
  <c r="M176" i="35" l="1"/>
  <c r="L193"/>
  <c r="M194" i="7"/>
  <c r="L209"/>
  <c r="N74"/>
  <c r="O69"/>
  <c r="N176" i="35" l="1"/>
  <c r="M193"/>
  <c r="N194" i="7"/>
  <c r="M209"/>
  <c r="O74"/>
  <c r="P69"/>
  <c r="O176" i="35" l="1"/>
  <c r="N193"/>
  <c r="O194" i="7"/>
  <c r="N209"/>
  <c r="P74"/>
  <c r="Q69"/>
  <c r="P176" i="35" l="1"/>
  <c r="O193"/>
  <c r="P194" i="7"/>
  <c r="O209"/>
  <c r="R69"/>
  <c r="Q74"/>
  <c r="Q176" i="35" l="1"/>
  <c r="P193"/>
  <c r="Q194" i="7"/>
  <c r="P209"/>
  <c r="S69"/>
  <c r="R74"/>
  <c r="R176" i="35" l="1"/>
  <c r="Q193"/>
  <c r="R194" i="7"/>
  <c r="Q209"/>
  <c r="S74"/>
  <c r="T69"/>
  <c r="S176" i="35" l="1"/>
  <c r="R193"/>
  <c r="U69" i="7"/>
  <c r="T74"/>
  <c r="S194"/>
  <c r="R209"/>
  <c r="T176" i="35" l="1"/>
  <c r="S193"/>
  <c r="V69" i="7"/>
  <c r="U74"/>
  <c r="S209"/>
  <c r="T194"/>
  <c r="T193" i="35" l="1"/>
  <c r="U176"/>
  <c r="T209" i="7"/>
  <c r="U194"/>
  <c r="W69"/>
  <c r="V74"/>
  <c r="U193" i="35" l="1"/>
  <c r="V176"/>
  <c r="U209" i="7"/>
  <c r="V194"/>
  <c r="W74"/>
  <c r="X69"/>
  <c r="X74" s="1"/>
  <c r="W176" i="35" l="1"/>
  <c r="V193"/>
  <c r="W194" i="7"/>
  <c r="V209"/>
  <c r="W193" i="35" l="1"/>
  <c r="X176"/>
  <c r="X193" s="1"/>
  <c r="X194" i="7"/>
  <c r="X209" s="1"/>
  <c r="W209"/>
</calcChain>
</file>

<file path=xl/comments1.xml><?xml version="1.0" encoding="utf-8"?>
<comments xmlns="http://schemas.openxmlformats.org/spreadsheetml/2006/main">
  <authors>
    <author xml:space="preserve"> </author>
    <author>Tina Jayaweera</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BH4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5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2.xml><?xml version="1.0" encoding="utf-8"?>
<comments xmlns="http://schemas.openxmlformats.org/spreadsheetml/2006/main">
  <authors>
    <author xml:space="preserve"> </author>
  </authors>
  <commentList>
    <comment ref="K5"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Q5"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C6"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D6"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E6"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F6" authorId="0">
      <text>
        <r>
          <rPr>
            <b/>
            <sz val="8"/>
            <color indexed="81"/>
            <rFont val="Tahoma"/>
            <family val="2"/>
          </rPr>
          <t xml:space="preserve"> :ProCost</t>
        </r>
        <r>
          <rPr>
            <sz val="8"/>
            <color indexed="81"/>
            <rFont val="Tahoma"/>
            <family val="2"/>
          </rPr>
          <t xml:space="preserve">
Physical life of the measure in years.  Must be &gt;=1.</t>
        </r>
      </text>
    </comment>
    <comment ref="G6"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H6"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I6"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J6"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K6"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L6"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M6"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N6"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O6"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P6"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Q6" authorId="0">
      <text>
        <r>
          <rPr>
            <b/>
            <sz val="8"/>
            <color indexed="81"/>
            <rFont val="Tahoma"/>
            <family val="2"/>
          </rPr>
          <t xml:space="preserve"> :</t>
        </r>
        <r>
          <rPr>
            <sz val="8"/>
            <color indexed="81"/>
            <rFont val="Tahoma"/>
            <family val="2"/>
          </rPr>
          <t xml:space="preserve">
Annual gas savings, or increases, in therms.</t>
        </r>
      </text>
    </comment>
    <comment ref="R6"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K35"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Q35"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C36"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D36"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E36"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F36" authorId="0">
      <text>
        <r>
          <rPr>
            <b/>
            <sz val="8"/>
            <color indexed="81"/>
            <rFont val="Tahoma"/>
            <family val="2"/>
          </rPr>
          <t xml:space="preserve"> :ProCost</t>
        </r>
        <r>
          <rPr>
            <sz val="8"/>
            <color indexed="81"/>
            <rFont val="Tahoma"/>
            <family val="2"/>
          </rPr>
          <t xml:space="preserve">
Physical life of the measure in years.  Must be &gt;=1.</t>
        </r>
      </text>
    </comment>
    <comment ref="G36"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H36"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I36"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J36"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K36"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L36"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M36"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N36"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O36"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P36"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Q36" authorId="0">
      <text>
        <r>
          <rPr>
            <b/>
            <sz val="8"/>
            <color indexed="81"/>
            <rFont val="Tahoma"/>
            <family val="2"/>
          </rPr>
          <t xml:space="preserve"> :</t>
        </r>
        <r>
          <rPr>
            <sz val="8"/>
            <color indexed="81"/>
            <rFont val="Tahoma"/>
            <family val="2"/>
          </rPr>
          <t xml:space="preserve">
Annual gas savings, or increases, in therms.</t>
        </r>
      </text>
    </comment>
    <comment ref="R36"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comments3.xml><?xml version="1.0" encoding="utf-8"?>
<comments xmlns="http://schemas.openxmlformats.org/spreadsheetml/2006/main">
  <authors>
    <author xml:space="preserve"> </author>
  </authors>
  <commentList>
    <comment ref="K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Q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C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D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E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F7" authorId="0">
      <text>
        <r>
          <rPr>
            <b/>
            <sz val="8"/>
            <color indexed="81"/>
            <rFont val="Tahoma"/>
            <family val="2"/>
          </rPr>
          <t xml:space="preserve"> :ProCost</t>
        </r>
        <r>
          <rPr>
            <sz val="8"/>
            <color indexed="81"/>
            <rFont val="Tahoma"/>
            <family val="2"/>
          </rPr>
          <t xml:space="preserve">
Physical life of the measure in years.  Must be &gt;=1.</t>
        </r>
      </text>
    </comment>
    <comment ref="G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H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I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J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K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O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P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Q7" authorId="0">
      <text>
        <r>
          <rPr>
            <b/>
            <sz val="8"/>
            <color indexed="81"/>
            <rFont val="Tahoma"/>
            <family val="2"/>
          </rPr>
          <t xml:space="preserve"> :</t>
        </r>
        <r>
          <rPr>
            <sz val="8"/>
            <color indexed="81"/>
            <rFont val="Tahoma"/>
            <family val="2"/>
          </rPr>
          <t xml:space="preserve">
Annual gas savings, or increases, in therms.</t>
        </r>
      </text>
    </comment>
    <comment ref="R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comments4.xml><?xml version="1.0" encoding="utf-8"?>
<comments xmlns="http://schemas.openxmlformats.org/spreadsheetml/2006/main">
  <authors>
    <author>Christian</author>
  </authors>
  <commentList>
    <comment ref="AS11" authorId="0">
      <text>
        <r>
          <rPr>
            <b/>
            <sz val="9"/>
            <color indexed="81"/>
            <rFont val="Tahoma"/>
            <family val="2"/>
          </rPr>
          <t>Christian:</t>
        </r>
        <r>
          <rPr>
            <sz val="9"/>
            <color indexed="81"/>
            <rFont val="Tahoma"/>
            <family val="2"/>
          </rPr>
          <t xml:space="preserve">
Relative to 2014 standard - current practice baseline may be more efficient.</t>
        </r>
      </text>
    </comment>
  </commentList>
</comments>
</file>

<file path=xl/comments5.xml><?xml version="1.0" encoding="utf-8"?>
<comments xmlns="http://schemas.openxmlformats.org/spreadsheetml/2006/main">
  <authors>
    <author>Christian</author>
  </authors>
  <commentList>
    <comment ref="D7" authorId="0">
      <text>
        <r>
          <rPr>
            <b/>
            <sz val="9"/>
            <color indexed="81"/>
            <rFont val="Tahoma"/>
            <family val="2"/>
          </rPr>
          <t>Christian:</t>
        </r>
        <r>
          <rPr>
            <sz val="9"/>
            <color indexed="81"/>
            <rFont val="Tahoma"/>
            <family val="2"/>
          </rPr>
          <t xml:space="preserve">
This table taken from DOE TSD workbook 'EERE-2008-BT-STD-0012-0120.xls'</t>
        </r>
      </text>
    </comment>
  </commentList>
</comments>
</file>

<file path=xl/sharedStrings.xml><?xml version="1.0" encoding="utf-8"?>
<sst xmlns="http://schemas.openxmlformats.org/spreadsheetml/2006/main" count="40439" uniqueCount="4989">
  <si>
    <t>Data Set Name</t>
  </si>
  <si>
    <t>Measure Index Name</t>
  </si>
  <si>
    <t>Costs must be denominated in the same year as 'Input Cost Reference Year' =</t>
  </si>
  <si>
    <t>Input Data</t>
  </si>
  <si>
    <t>Periodic Replacement Costs and Savings and Replacement Period</t>
  </si>
  <si>
    <t>Gas Inputs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</si>
  <si>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</si>
  <si>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</si>
  <si>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</si>
  <si>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</si>
  <si>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</si>
  <si>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</si>
  <si>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</si>
  <si>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</si>
  <si>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</si>
  <si>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</si>
  <si>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</si>
  <si>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</si>
  <si>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</si>
  <si>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</si>
  <si>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</si>
  <si>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Category</t>
  </si>
  <si>
    <t>Measure</t>
  </si>
  <si>
    <t>TRC B/C Ratio</t>
  </si>
  <si>
    <t>TRC Net Levelized Cost (Net of All Benefits) in mills/kWh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</si>
  <si>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</si>
  <si>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</si>
  <si>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</si>
  <si>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</si>
  <si>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</si>
  <si>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</si>
  <si>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</si>
  <si>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</si>
  <si>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</si>
  <si>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</si>
  <si>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</si>
  <si>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</si>
  <si>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</si>
  <si>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</si>
  <si>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</si>
  <si>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</si>
  <si>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</si>
  <si>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</si>
  <si>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</si>
  <si>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</si>
  <si>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Shaped Savings Results; By Category and sorted by TRC BC ratio</t>
  </si>
  <si>
    <t>Busbar Savings</t>
  </si>
  <si>
    <t>Concatenate</t>
  </si>
  <si>
    <t>Make savings incremental</t>
  </si>
  <si>
    <t>Segment</t>
  </si>
  <si>
    <t>Vintage</t>
  </si>
  <si>
    <t>Single Family</t>
  </si>
  <si>
    <t>Multifamily - Low Rise</t>
  </si>
  <si>
    <t>Multifamily - High Rise</t>
  </si>
  <si>
    <t>Manufactured</t>
  </si>
  <si>
    <t>Methodology</t>
  </si>
  <si>
    <t>New Homes only.  Also use this to calculate New Homes not addressed due to acheivability, and send that to the NR/Retrofit pool.</t>
  </si>
  <si>
    <t>New</t>
  </si>
  <si>
    <t>Measure Bundle</t>
  </si>
  <si>
    <t>Report Year</t>
  </si>
  <si>
    <t># homes</t>
  </si>
  <si>
    <t>REG_TOTAL_STOCK_# HOMES</t>
  </si>
  <si>
    <t>Total Regional Stock</t>
  </si>
  <si>
    <t>Applicability</t>
  </si>
  <si>
    <t>Achievability =&gt;</t>
  </si>
  <si>
    <t>SUPPLY CURVE SAVINGS BY BUNDLE</t>
  </si>
  <si>
    <t>kWh per home</t>
  </si>
  <si>
    <t>lvlcost</t>
  </si>
  <si>
    <t>segment</t>
  </si>
  <si>
    <t>measure</t>
  </si>
  <si>
    <t>RECOMBINE MEASURE BUNDLES INTO SUPPLY CURVE CUMULATIVE</t>
  </si>
  <si>
    <t>Block 1: &lt;= 0 mills/kWh</t>
  </si>
  <si>
    <t>&gt;=-9999</t>
  </si>
  <si>
    <t>&lt;=0</t>
  </si>
  <si>
    <t>Block 2: &lt;= 10 mills/kWh</t>
  </si>
  <si>
    <t>&gt;0</t>
  </si>
  <si>
    <t>&lt;=10</t>
  </si>
  <si>
    <t>Block 3: 10-20 mills/kWh</t>
  </si>
  <si>
    <t>&gt;10</t>
  </si>
  <si>
    <t>&lt;=20</t>
  </si>
  <si>
    <t>Block 4: 20-30 mills/kWh</t>
  </si>
  <si>
    <t>&gt;20</t>
  </si>
  <si>
    <t>&lt;=30</t>
  </si>
  <si>
    <t>Block 5: 30-40 mills/kWh</t>
  </si>
  <si>
    <t>&gt;30</t>
  </si>
  <si>
    <t>&lt;=40</t>
  </si>
  <si>
    <t>Block 6: 40-50 mills/kWh</t>
  </si>
  <si>
    <t>&gt;40</t>
  </si>
  <si>
    <t>&lt;=50</t>
  </si>
  <si>
    <t>Block 7: 50-60 mills/kWh</t>
  </si>
  <si>
    <t>&gt;50</t>
  </si>
  <si>
    <t>&lt;=60</t>
  </si>
  <si>
    <t>Block 8: 60-70 mills/kWh</t>
  </si>
  <si>
    <t>&gt;60</t>
  </si>
  <si>
    <t>&lt;=70</t>
  </si>
  <si>
    <t>Block 9: 70-80 mills/kWh</t>
  </si>
  <si>
    <t>&gt;70</t>
  </si>
  <si>
    <t>&lt;=80</t>
  </si>
  <si>
    <t>Block 10: 80-90 mills/kWh</t>
  </si>
  <si>
    <t>&gt;80</t>
  </si>
  <si>
    <t>&lt;=90</t>
  </si>
  <si>
    <t>Block 11: 90-100 mills/kWh</t>
  </si>
  <si>
    <t>&gt;90</t>
  </si>
  <si>
    <t>&lt;=100</t>
  </si>
  <si>
    <t>Block 12: 100-110 mills/kWh</t>
  </si>
  <si>
    <t>&gt;100</t>
  </si>
  <si>
    <t>&lt;=110</t>
  </si>
  <si>
    <t>Block 13: 110-120 mills/kWh</t>
  </si>
  <si>
    <t>&gt;110</t>
  </si>
  <si>
    <t>&lt;=120</t>
  </si>
  <si>
    <t>Block 14: 120-130 mills/kWh</t>
  </si>
  <si>
    <t>&gt;120</t>
  </si>
  <si>
    <t>&lt;=130</t>
  </si>
  <si>
    <t>Block 15: 130-140 mills/kWh</t>
  </si>
  <si>
    <t>&gt;130</t>
  </si>
  <si>
    <t>&lt;=140</t>
  </si>
  <si>
    <t>Block 16: 140-150 mills/kWh</t>
  </si>
  <si>
    <t>&gt;140</t>
  </si>
  <si>
    <t>&lt;=150</t>
  </si>
  <si>
    <t>Block 17: 150-160 mills/kWh</t>
  </si>
  <si>
    <t>&gt;150</t>
  </si>
  <si>
    <t>&lt;=160</t>
  </si>
  <si>
    <t>Block 18: 160-170 mills/kWh</t>
  </si>
  <si>
    <t>&gt;160</t>
  </si>
  <si>
    <t>&lt;=170</t>
  </si>
  <si>
    <t>Block 19: 170-180 mills/kWh</t>
  </si>
  <si>
    <t>&gt;170</t>
  </si>
  <si>
    <t>&lt;=180</t>
  </si>
  <si>
    <t>Block 20: 180-190 mills/kWh</t>
  </si>
  <si>
    <t>&gt;180</t>
  </si>
  <si>
    <t>&lt;=190</t>
  </si>
  <si>
    <t>Block 21: 190-200 mills/kWh</t>
  </si>
  <si>
    <t>&gt;190</t>
  </si>
  <si>
    <t>&lt;=200</t>
  </si>
  <si>
    <t>Block 22: &gt; 200 mills/kWh</t>
  </si>
  <si>
    <t>&gt;200</t>
  </si>
  <si>
    <t>&lt;=9999</t>
  </si>
  <si>
    <t>RECOMBINE MEASURE BUNDLES INTO SUPPLY CURVE INCREMENTAL</t>
  </si>
  <si>
    <t>SC_New</t>
  </si>
  <si>
    <t>Total per Year</t>
  </si>
  <si>
    <t>Total Cumulative</t>
  </si>
  <si>
    <t>CALCULATE # HOMES NOT ADDRESSED BY MEASURE AND ADD TO NR/RETROFIT POOL</t>
  </si>
  <si>
    <t># HOMES RESIDUAL &amp; AVAILABLE TO NR/RETROFIT POOL</t>
  </si>
  <si>
    <t>APPLICABLE NEW STOCK MINUS TREATED</t>
  </si>
  <si>
    <t>Homes</t>
  </si>
  <si>
    <t>Total Residual to NR/Retro Pool</t>
  </si>
  <si>
    <t>NR</t>
  </si>
  <si>
    <t># Homes FOR EXISTING STOCK</t>
  </si>
  <si>
    <t># Homes NOT TREATED FROM NEW STOCK AND THUS AVAILABLE FOR NR POOL FROM SC-NEW</t>
  </si>
  <si>
    <t>New Stock into NR/Retro Pool</t>
  </si>
  <si>
    <t>EXISTING STOCK AVAILABLE TO NR/RETROFIT POOL</t>
  </si>
  <si>
    <t>MAX</t>
  </si>
  <si>
    <t>Turnover Rate</t>
  </si>
  <si>
    <t>Saturation</t>
  </si>
  <si>
    <t>CUMULATIVE ADOPTION</t>
  </si>
  <si>
    <t>APPLY MEASURE APPLICABILITY, SATURATION TURNOVER RATE FOR MAX ANNUAL # UNITS</t>
  </si>
  <si>
    <t>INCREMENTAL ACHIEVABILITY</t>
  </si>
  <si>
    <t>ONLY INCLUDE AFTER ONE EUL</t>
  </si>
  <si>
    <t>='[7P Forecasts D1.xlsx]Res Forecast (Base Case)'!$D$5</t>
  </si>
  <si>
    <t>Brand Name</t>
  </si>
  <si>
    <t>Model Number</t>
  </si>
  <si>
    <t>Type</t>
  </si>
  <si>
    <t>Automatic</t>
  </si>
  <si>
    <t>No</t>
  </si>
  <si>
    <t>Avanti</t>
  </si>
  <si>
    <t>Bosch</t>
  </si>
  <si>
    <t>Daewoo</t>
  </si>
  <si>
    <t>Danby</t>
  </si>
  <si>
    <t>Crosley</t>
  </si>
  <si>
    <t>Frigidaire</t>
  </si>
  <si>
    <t>Kenmore</t>
  </si>
  <si>
    <t>Fisher &amp; Paykel</t>
  </si>
  <si>
    <t>Hotpoint</t>
  </si>
  <si>
    <t>Maytag</t>
  </si>
  <si>
    <t>Amana</t>
  </si>
  <si>
    <t>Miele</t>
  </si>
  <si>
    <t>Samsung</t>
  </si>
  <si>
    <t>Whirlpool</t>
  </si>
  <si>
    <t>Electrolux</t>
  </si>
  <si>
    <t>GE</t>
  </si>
  <si>
    <t>GE Profile</t>
  </si>
  <si>
    <t>Haier</t>
  </si>
  <si>
    <t>Yes</t>
  </si>
  <si>
    <t>Product Class</t>
  </si>
  <si>
    <t>Refrigerator</t>
  </si>
  <si>
    <t>Res tables taken from Electronic Code of Regulations (e-CFR) on 9/15/2014. Accessed at http://www.ecfr.gov/cgi-bin/text-idx?c=ecfr&amp;sid=eb391aeb28bfb5d696faaac534d4523c&amp;rgn=div8&amp;view=text&amp;node=10:3.0.1.4.18.3.9.2&amp;idno=10</t>
  </si>
  <si>
    <t>Dropdown Lists</t>
  </si>
  <si>
    <t>Upright Freezer</t>
  </si>
  <si>
    <t>Manual</t>
  </si>
  <si>
    <t>Freezer</t>
  </si>
  <si>
    <t>Chest Freezer</t>
  </si>
  <si>
    <t>Bottom Freezer</t>
  </si>
  <si>
    <t>Side-by-Side</t>
  </si>
  <si>
    <t>Top Freezer</t>
  </si>
  <si>
    <t>Compact</t>
  </si>
  <si>
    <t>Freezerless and Single Door</t>
  </si>
  <si>
    <t>Refrigerators manufactured on or after September 15, 2014:</t>
  </si>
  <si>
    <t>Equations for Maximum Energy Use (kWh/yr)</t>
  </si>
  <si>
    <t>based on av (L)</t>
  </si>
  <si>
    <t>Cat</t>
  </si>
  <si>
    <t>Defrost</t>
  </si>
  <si>
    <t>Built-In</t>
  </si>
  <si>
    <t>Thru-Door</t>
  </si>
  <si>
    <t>Ice Maker</t>
  </si>
  <si>
    <t>Concat</t>
  </si>
  <si>
    <t>Class</t>
  </si>
  <si>
    <t>Coeff</t>
  </si>
  <si>
    <t>Const</t>
  </si>
  <si>
    <t>1. Refrigerator-freezers and refrigerators other than all-refrigerators with manual defrost.</t>
  </si>
  <si>
    <t>7.99AV + 225.0</t>
  </si>
  <si>
    <t>0.282av + 225.0</t>
  </si>
  <si>
    <t>1A</t>
  </si>
  <si>
    <t>1A. All-refrigerators—manual defrost.</t>
  </si>
  <si>
    <t>6.79AV + 193.6</t>
  </si>
  <si>
    <t>0.240av + 193.6</t>
  </si>
  <si>
    <t>2. Refrigerator-freezers—partial automatic defrost</t>
  </si>
  <si>
    <t>3. Refrigerator-freezers—automatic defrost with top-mounted freezer without an automatic icemaker.</t>
  </si>
  <si>
    <t>8.07AV + 233.7</t>
  </si>
  <si>
    <t>0.285av + 233.7</t>
  </si>
  <si>
    <t>3-BI</t>
  </si>
  <si>
    <t>3-BI. Built-in refrigerator-freezer—automatic defrost with top-mounted freezer without an automatic icemaker.</t>
  </si>
  <si>
    <t>9.15AV + 264.9</t>
  </si>
  <si>
    <t>0.323av + 264.9</t>
  </si>
  <si>
    <t>3I</t>
  </si>
  <si>
    <t>3I. Refrigerator-freezers—automatic defrost with top-mounted freezer with an automatic icemaker without through-the-door ice service.</t>
  </si>
  <si>
    <t>8.07AV + 317.7</t>
  </si>
  <si>
    <t>0.285av + 317.7</t>
  </si>
  <si>
    <t>3I-BI</t>
  </si>
  <si>
    <t>3I-BI. Built-in refrigerator-freezers—automatic defrost with top-mounted freezer with an automatic icemaker without through-the-door ice service.</t>
  </si>
  <si>
    <t>9.15AV + 348.9</t>
  </si>
  <si>
    <t>0.323av + 348.9</t>
  </si>
  <si>
    <t>3A</t>
  </si>
  <si>
    <t>3A. All-refrigerators—automatic defrost.</t>
  </si>
  <si>
    <t>7.07AV + 201.6</t>
  </si>
  <si>
    <t>0.250av + 201.6</t>
  </si>
  <si>
    <t>3A-BI</t>
  </si>
  <si>
    <t>3A-BI. Built-in all-refrigerators—automatic defrost.</t>
  </si>
  <si>
    <t>8.02AV + 228.5</t>
  </si>
  <si>
    <t>0.283av + 228.5</t>
  </si>
  <si>
    <t>4. Refrigerator-freezers—automatic defrost with side-mounted freezer without an automatic icemaker.</t>
  </si>
  <si>
    <t>8.51AV + 297.8</t>
  </si>
  <si>
    <t>0.301av + 297.8</t>
  </si>
  <si>
    <t>4-BI</t>
  </si>
  <si>
    <t>4-BI. Built-in refrigerator-freezers—automatic defrost with side-mounted freezer without an automatic icemaker.</t>
  </si>
  <si>
    <t>10.22AV + 357.4</t>
  </si>
  <si>
    <t>0.361av + 357.4</t>
  </si>
  <si>
    <t>4I</t>
  </si>
  <si>
    <t>4I. Refrigerator-freezers—automatic defrost with side-mounted freezer with an automatic icemaker without through-the-door ice service.</t>
  </si>
  <si>
    <t>8.51AV + 381.8</t>
  </si>
  <si>
    <t>0.301av + 381.8</t>
  </si>
  <si>
    <t>4I-BI</t>
  </si>
  <si>
    <t>4I-BI. Built-in refrigerator-freezers—automatic defrost with side-mounted freezer with an automatic icemaker without through-the-door ice service.</t>
  </si>
  <si>
    <t>10.22AV + 441.4</t>
  </si>
  <si>
    <t>0.361av + 441.4</t>
  </si>
  <si>
    <t>5. Refrigerator-freezers—automatic defrost with bottom-mounted freezer without an automatic icemaker.</t>
  </si>
  <si>
    <t>8.85AV + 317.0</t>
  </si>
  <si>
    <t>0.312av + 317.0</t>
  </si>
  <si>
    <t>5-BI</t>
  </si>
  <si>
    <t>5-BI. Built-in refrigerator-freezers—automatic defrost with bottom-mounted freezer without an automatic icemaker.</t>
  </si>
  <si>
    <t>9.40AV + 336.9</t>
  </si>
  <si>
    <t>0.332av + 336.9</t>
  </si>
  <si>
    <t>5I</t>
  </si>
  <si>
    <t>5I. Refrigerator-freezers—automatic defrost with bottom-mounted freezer with an automatic icemaker without through-the-door ice service.</t>
  </si>
  <si>
    <t>8.85AV + 401.0</t>
  </si>
  <si>
    <t>0.312av + 401.0</t>
  </si>
  <si>
    <t>5I-BI</t>
  </si>
  <si>
    <t>5I-BI. Built-in refrigerator-freezers—automatic defrost with bottom-mounted freezer with an automatic icemaker without through-the-door ice service.</t>
  </si>
  <si>
    <t>9.40AV + 420.9</t>
  </si>
  <si>
    <t>0.332av + 420.9</t>
  </si>
  <si>
    <t>5A</t>
  </si>
  <si>
    <t>5A. Refrigerator-freezer—automatic defrost with bottom-mounted freezer with through-the-door ice service.</t>
  </si>
  <si>
    <t>9.25AV + 475.4</t>
  </si>
  <si>
    <t>0.327av + 475.4</t>
  </si>
  <si>
    <t>5A-BI</t>
  </si>
  <si>
    <t>5A-BI. Built-in refrigerator-freezer—automatic defrost with bottom-mounted freezer with through-the-door ice service.</t>
  </si>
  <si>
    <t>9.83AV + 499.9</t>
  </si>
  <si>
    <t>0.347av + 499.9</t>
  </si>
  <si>
    <t>6. Refrigerator-freezers—automatic defrost with top-mounted freezer with through-the-door ice service.</t>
  </si>
  <si>
    <t>8.40AV + 385.4</t>
  </si>
  <si>
    <t>0.297av + 385.4</t>
  </si>
  <si>
    <t xml:space="preserve">7. Refrigerator-freezers—automatic defrost with side-mounted freezer with through-the-door ice service. </t>
  </si>
  <si>
    <t>8.54AV + 432.8</t>
  </si>
  <si>
    <t>0.302av + 432.8</t>
  </si>
  <si>
    <t>7-BI</t>
  </si>
  <si>
    <t>7-BI. Built-in refrigerator-freezers—automatic defrost with side-mounted freezer with through-the-door ice service.</t>
  </si>
  <si>
    <t>10.25AV + 502.6</t>
  </si>
  <si>
    <t>0.362av + 502.6</t>
  </si>
  <si>
    <t>8. Upright freezers with manual defrost.</t>
  </si>
  <si>
    <t>5.57AV + 193.7</t>
  </si>
  <si>
    <t>0.197av + 193.7</t>
  </si>
  <si>
    <t xml:space="preserve">9. Upright freezers with automatic defrost without an automatic icemaker. </t>
  </si>
  <si>
    <t>8.62AV + 228.3</t>
  </si>
  <si>
    <t>0.305av + 228.3</t>
  </si>
  <si>
    <t>9I</t>
  </si>
  <si>
    <t xml:space="preserve">9I. Upright freezers with automatic defrost with an automatic icemaker. </t>
  </si>
  <si>
    <t>8.62AV + 312.3</t>
  </si>
  <si>
    <t>0.305av + 312.3</t>
  </si>
  <si>
    <t>9-BI</t>
  </si>
  <si>
    <t>9-BI. Built-in upright freezers with automatic defrost without an automatic icemaker.</t>
  </si>
  <si>
    <t>9.86AV + 260.9</t>
  </si>
  <si>
    <t>0.348av + 260.9</t>
  </si>
  <si>
    <t>9I-BI</t>
  </si>
  <si>
    <t>9I-BI. Built-in upright freezers with automatic defrost with an automatic icemaker.</t>
  </si>
  <si>
    <t>9.86AV + 344.9</t>
  </si>
  <si>
    <t>0.348av + 344.9</t>
  </si>
  <si>
    <t>10. Chest freezers and all other freezers except compact freezers.</t>
  </si>
  <si>
    <t>7.29AV + 107.8</t>
  </si>
  <si>
    <t>0.257av + 107.8</t>
  </si>
  <si>
    <t>10A</t>
  </si>
  <si>
    <t>10A. Chest freezers with automatic defrost.</t>
  </si>
  <si>
    <t>10.24AV + 148.1</t>
  </si>
  <si>
    <t>0.362av + 148.1</t>
  </si>
  <si>
    <t>11. Compact refrigerator-freezers and refrigerators other than all-refrigerators with manual defrost.</t>
  </si>
  <si>
    <t>9.03AV + 252.3</t>
  </si>
  <si>
    <t>0.319av + 252.3</t>
  </si>
  <si>
    <t>11A</t>
  </si>
  <si>
    <t>11A.Compact all-refrigerators—manual defrost.</t>
  </si>
  <si>
    <t>7.84AV + 219.1</t>
  </si>
  <si>
    <t>0.277av + 219.1</t>
  </si>
  <si>
    <t>12. Compact refrigerator-freezers—partial automatic defrost</t>
  </si>
  <si>
    <t>5.91AV + 335.8</t>
  </si>
  <si>
    <t>0.209av + 335.8</t>
  </si>
  <si>
    <t>13. Compact refrigerator-freezers—automatic defrost with top-mounted freezer without an automatic icemaker.</t>
  </si>
  <si>
    <t>11.80AV + 339.2</t>
  </si>
  <si>
    <t>0.417av + 339.2</t>
  </si>
  <si>
    <t>13I</t>
  </si>
  <si>
    <t>13I. Compact refrigerator-freezers—automatic defrost with top-mounted freezer with an automatic icemaker.</t>
  </si>
  <si>
    <t>11.80AV + 423.2</t>
  </si>
  <si>
    <t>0.417av + 423.2</t>
  </si>
  <si>
    <t>13A</t>
  </si>
  <si>
    <t>13A. Compact all-refrigerators—automatic defrost.</t>
  </si>
  <si>
    <t>9.17AV + 259.3</t>
  </si>
  <si>
    <t>0.324av + 259.3</t>
  </si>
  <si>
    <t>14. Compact refrigerator-freezers—automatic defrost with side-mounted freezer without an automatic icemaker.</t>
  </si>
  <si>
    <t>6.82AV + 456.9</t>
  </si>
  <si>
    <t>0.241av + 456.9</t>
  </si>
  <si>
    <t>14I</t>
  </si>
  <si>
    <t>14I. Compact refrigerator-freezers—automatic defrost with side-mounted freezer with an automatic icemaker.</t>
  </si>
  <si>
    <t>6.82AV + 540.9</t>
  </si>
  <si>
    <t>0.241av + 540.9</t>
  </si>
  <si>
    <t>15. Compact refrigerator-freezers—automatic defrost with bottom-mounted freezer without an automatic icemaker.</t>
  </si>
  <si>
    <t>15I</t>
  </si>
  <si>
    <t>15I. Compact refrigerator-freezers—automatic defrost with bottom-mounted freezer with an automatic icemaker.</t>
  </si>
  <si>
    <t>16. Compact upright freezers with manual defrost.</t>
  </si>
  <si>
    <t>8.65AV + 225.7</t>
  </si>
  <si>
    <t>0.306av + 225.7</t>
  </si>
  <si>
    <t>17. Compact upright freezers with automatic defrost.</t>
  </si>
  <si>
    <t>10.17AV + 351.9</t>
  </si>
  <si>
    <t>0.359av + 351.9</t>
  </si>
  <si>
    <t>18. Compact chest freezers.</t>
  </si>
  <si>
    <t>9.25AV + 136.8</t>
  </si>
  <si>
    <t>0.327av + 136.8</t>
  </si>
  <si>
    <t>AV= adjusted volume in cubic feet; av = adjusted volume in liters;</t>
  </si>
  <si>
    <t>Refrigerator-Freezers: AV = fresh food internal volume + 1.76 * freezer internal volume</t>
  </si>
  <si>
    <t>Freezers: AV = 1.76 * freezer internal volume</t>
  </si>
  <si>
    <t>Refrigerators with freezer compartments: AV = fresh food internal volume + 1.47 * freezer internal volume</t>
  </si>
  <si>
    <t>All-Refrigerators: AV = internal volume</t>
  </si>
  <si>
    <t>Data pulled from Energy Star's website on 9/15/2014.</t>
  </si>
  <si>
    <t>Product Scoping</t>
  </si>
  <si>
    <t>Fields added for analyis</t>
  </si>
  <si>
    <t>PD_ID</t>
  </si>
  <si>
    <t>Additional Model Information</t>
  </si>
  <si>
    <t>Defrost Type</t>
  </si>
  <si>
    <t>Built-in</t>
  </si>
  <si>
    <t>Thru the Door Dispenser</t>
  </si>
  <si>
    <t>Counter Depth</t>
  </si>
  <si>
    <t>Height (in)</t>
  </si>
  <si>
    <t>Width (in)</t>
  </si>
  <si>
    <t>Capacity (Total Volume) (ft3)</t>
  </si>
  <si>
    <t>Adjusted Volume (ft3)</t>
  </si>
  <si>
    <t>Annual Energy Use (kWh/yr)</t>
  </si>
  <si>
    <t>US Federal Standard (kWh/yr)</t>
  </si>
  <si>
    <t>Percent Less Energy Use than US Federal Standard</t>
  </si>
  <si>
    <t>Connected Functionality</t>
  </si>
  <si>
    <t>Connected Demand Response Functionality Tested</t>
  </si>
  <si>
    <t>Date Available On Market</t>
  </si>
  <si>
    <t>Date Qualified</t>
  </si>
  <si>
    <t>Markets</t>
  </si>
  <si>
    <t>ENERGY STAR Model Identifier</t>
  </si>
  <si>
    <t>Meets ENERGY STAR Most Efficient 2014 Criteria</t>
  </si>
  <si>
    <t>Calculated Maximum 2014 Ann Energy Use</t>
  </si>
  <si>
    <t>Listed Max Energy Use</t>
  </si>
  <si>
    <t>Product Ann Energy Use</t>
  </si>
  <si>
    <t>Meets 2014 Standard?</t>
  </si>
  <si>
    <t>Estimated Energy Savings (kWh/year)</t>
  </si>
  <si>
    <t>Estimated Annual Savings (kWh)</t>
  </si>
  <si>
    <t>RF170W******</t>
  </si>
  <si>
    <t>United States, Canada</t>
  </si>
  <si>
    <t>ES_31708_RF170W******_06262014195016_2216546</t>
  </si>
  <si>
    <t>ES_31708_RF170W******_06262014195055_2255773</t>
  </si>
  <si>
    <t>RF201A*****</t>
  </si>
  <si>
    <t>ES_31708_RF201A*****_07162014141247_9967729</t>
  </si>
  <si>
    <t>ES_31708_RF201A*****_07162014141952_0392680</t>
  </si>
  <si>
    <t>DGHF2360P**A</t>
  </si>
  <si>
    <t>ES_1021080_DGHF2360P**A_07312014020047_7000967</t>
  </si>
  <si>
    <t>DGUS2645L**A</t>
  </si>
  <si>
    <t>ES_1021080_DGUS2645L**A_07082014043217_7000866</t>
  </si>
  <si>
    <t>FFED2322Q*</t>
  </si>
  <si>
    <t>ES_1021080_FFED2322Q*_07312014013553_70009750</t>
  </si>
  <si>
    <t>FFEG2322Q*</t>
  </si>
  <si>
    <t>ES_1021080_FFEG2322Q*_07312014013553_70009750</t>
  </si>
  <si>
    <t>FFEN2822Q*</t>
  </si>
  <si>
    <t>ES_1021080_FFEN2822Q*_07312014013553_70009750</t>
  </si>
  <si>
    <t>FFET1022Q*</t>
  </si>
  <si>
    <t>ES_1021080_FFET1022Q*_02202014035839_2703373</t>
  </si>
  <si>
    <t>FFET1222Q*</t>
  </si>
  <si>
    <t>ES_1021080_FFET1222Q*_02202014035831_2703373</t>
  </si>
  <si>
    <t>FFHB2740P**A</t>
  </si>
  <si>
    <t>ES_1021080_FFHB2740P**A_07292014023015_70009251</t>
  </si>
  <si>
    <t>FFHI1831Q*</t>
  </si>
  <si>
    <t>ES_1021080_FFHI1831Q*_09102014041751_70011353</t>
  </si>
  <si>
    <t>FFHI2131Q*</t>
  </si>
  <si>
    <t>ES_1021080_FFHI2131Q*_09152014011833_70011921</t>
  </si>
  <si>
    <t>FFHN2740P**A</t>
  </si>
  <si>
    <t>ES_1021080_FFHN2740P**A_07292014023015_70009251</t>
  </si>
  <si>
    <t>FFHT1514Q*</t>
  </si>
  <si>
    <t>ES_1021080_FFHT1514Q*IM_07222014031607_7000858</t>
  </si>
  <si>
    <t>ES_1021080_FFHT1514Q*_07222014031607_7000858</t>
  </si>
  <si>
    <t>FFHT1521Q*</t>
  </si>
  <si>
    <t>ES_1021080_FFHT1521Q*_07222014031607_7000858</t>
  </si>
  <si>
    <t>FFHT1614Q*</t>
  </si>
  <si>
    <t>ES_1021080_FFHT1614Q*_07222014031607_7000858</t>
  </si>
  <si>
    <t>ES_1021080_FFHT1614Q*IM_07222014031607_7000858</t>
  </si>
  <si>
    <t>FFHT1621Q*</t>
  </si>
  <si>
    <t>ES_1021080_FFHT1621Q*_07222014031607_7000858</t>
  </si>
  <si>
    <t>ES_1021080_FFHT1621Q*IM_07222014031607_7000858</t>
  </si>
  <si>
    <t>FFHT1814Q*</t>
  </si>
  <si>
    <t>ES_1021080_FFHT1814Q*_09102014041751_70011353</t>
  </si>
  <si>
    <t>ES_1021080_FFHT1814Q*_I_09102014041751_70011353</t>
  </si>
  <si>
    <t>FFHT1821Q*</t>
  </si>
  <si>
    <t>ES_1021080_FFHT1821Q*_09102014041751_70011353</t>
  </si>
  <si>
    <t>ES_1021080_FFHT1821Q*_I_09102014041751_70011353</t>
  </si>
  <si>
    <t>FFHT1831Q*</t>
  </si>
  <si>
    <t>ES_1021080_FFHT1831Q*_09102014041751_70011353</t>
  </si>
  <si>
    <t>ES_1021080_FFHT1831Q*_I_09102014041751_70011353</t>
  </si>
  <si>
    <t>FFHT2021Q*</t>
  </si>
  <si>
    <t>ES_1021080_FFHT2021Q*_09102014041751_70011353</t>
  </si>
  <si>
    <t>ES_1021080_FFHT2021Q*_I_09102014041751_70011353</t>
  </si>
  <si>
    <t>FFHT2131Q*</t>
  </si>
  <si>
    <t>ES_1021080_FFHT2131Q*_09152014011833_70011921</t>
  </si>
  <si>
    <t>ES_1021080_FFHT2131Q*_I_09152014011833_70011921</t>
  </si>
  <si>
    <t>FFPE2411QB</t>
  </si>
  <si>
    <t>ES_1021080_FFPE2411QB_05062014004120_6880769</t>
  </si>
  <si>
    <t>FFPE33B1QM</t>
  </si>
  <si>
    <t>ES_1021080_FFPE33B1QM_05062014004325_7005212</t>
  </si>
  <si>
    <t>FFPE4522QB</t>
  </si>
  <si>
    <t>ES_1021080_FFPE4522QB_05062014004549_7149151</t>
  </si>
  <si>
    <t>FFPE4522QM</t>
  </si>
  <si>
    <t>ES_1021080_FFPE4522QM_05062014004611_7171202</t>
  </si>
  <si>
    <t>FFPE45B2QM</t>
  </si>
  <si>
    <t>ES_1021080_FFPE45B2QM_05062014004408_7048178</t>
  </si>
  <si>
    <t>FFPE45C2QB</t>
  </si>
  <si>
    <t>ES_1021080_FFPE45C2QB_05062014004451_7091634</t>
  </si>
  <si>
    <t>FFPE45C2QM</t>
  </si>
  <si>
    <t>ES_1021080_FFPE45C2QM_05062014004523_7123138</t>
  </si>
  <si>
    <t>FFPE45L2QM</t>
  </si>
  <si>
    <t>ES_1021080_FFPE45L2QM_05062014004630_7190209</t>
  </si>
  <si>
    <t>FFPS3122QM</t>
  </si>
  <si>
    <t>ES_1021080_FFPS3122QM_05062014004236_6956679</t>
  </si>
  <si>
    <t>FFPS31B2QM</t>
  </si>
  <si>
    <t>ES_1021080_FFPS31B2QM_05062014004139_6899713</t>
  </si>
  <si>
    <t>FFPS31C2QM</t>
  </si>
  <si>
    <t>ES_1021080_FFPS31C2QM_05062014004157_6917658</t>
  </si>
  <si>
    <t>FFPS31L2QM</t>
  </si>
  <si>
    <t>ES_1021080_FFPS31L2QM_05062014004220_6940407</t>
  </si>
  <si>
    <t>FFPS4533QM</t>
  </si>
  <si>
    <t>ES_0045781_FFPS4533QM_02202014035902_2701396</t>
  </si>
  <si>
    <t>FFPS45B3QM</t>
  </si>
  <si>
    <t>ES_0045781_FFPS45B3QM_02202014035901_2701396</t>
  </si>
  <si>
    <t>FFPS45L3QM</t>
  </si>
  <si>
    <t>ES_0045781_FFPS45L3QM_02202014035903_2701396</t>
  </si>
  <si>
    <t>FGEX26D6Q**A</t>
  </si>
  <si>
    <t>ES_1021080_FGEX26D6Q**A_07082014043217_7000866</t>
  </si>
  <si>
    <t>FGHB2866P*</t>
  </si>
  <si>
    <t>ES_1021080_FGHB2866P*_05262014034241_7000640</t>
  </si>
  <si>
    <t>FGHB2866P**A</t>
  </si>
  <si>
    <t>ES_1021080_FGHB2866P**A_07292014023015_70009251</t>
  </si>
  <si>
    <t>FGHF2366P**A</t>
  </si>
  <si>
    <t>ES_1021080_FGHF2366P**A_07312014020047_7000967</t>
  </si>
  <si>
    <t>FGHF2367Q*</t>
  </si>
  <si>
    <t>ES_1021080_FGHF2367Q*_07312014020047_7000967</t>
  </si>
  <si>
    <t>FGHG2366P**A</t>
  </si>
  <si>
    <t>ES_1021080_FGHG2366P**A_07292014023015_70009251</t>
  </si>
  <si>
    <t>FGHN2866P**A</t>
  </si>
  <si>
    <t>ES_1021080_FGHN2866P**A_07292014023015_70009251</t>
  </si>
  <si>
    <t>FGHS2355P**A</t>
  </si>
  <si>
    <t>ES_1021080_FGHS2355P**A_07082014043217_7000866</t>
  </si>
  <si>
    <t>FGHS2631P**A</t>
  </si>
  <si>
    <t>ES_1021080_FGHS2631P**A_07082014043217_7000866</t>
  </si>
  <si>
    <t>FGHS2655P**A</t>
  </si>
  <si>
    <t>ES_1021080_FGHS2655P**A_07082014043217_7000866</t>
  </si>
  <si>
    <t>FPHB2899P*</t>
  </si>
  <si>
    <t>ES_1021080_FPHB2899P*_05262014034241_7000640</t>
  </si>
  <si>
    <t>FPHB2899P**A</t>
  </si>
  <si>
    <t>ES_1021080_FPHB2899P**A_07292014023015_70009251</t>
  </si>
  <si>
    <t>FPHF2399P*</t>
  </si>
  <si>
    <t>ES_1021080_FPHF2399P*_05262014034241_7000640</t>
  </si>
  <si>
    <t>FPHF2399P**A</t>
  </si>
  <si>
    <t>ES_1021080_FPHF2399P**A_07312014020047_7000967</t>
  </si>
  <si>
    <t>FPHG2399P**A</t>
  </si>
  <si>
    <t>ES_1021080_FPHG2399P**A_07292014023015_70009251</t>
  </si>
  <si>
    <t>FPHS2399P**A</t>
  </si>
  <si>
    <t>ES_1021080_FPHS2399P**A_07082014043217_7000866</t>
  </si>
  <si>
    <t>FPHS2699P**A</t>
  </si>
  <si>
    <t>ES_1021080_FPHS2699P**A_07082014043217_7000866</t>
  </si>
  <si>
    <t>FRD01W3MMG</t>
  </si>
  <si>
    <t>United States</t>
  </si>
  <si>
    <t>ES_1021080_FRD01W3MMG_05052014224037_9637445</t>
  </si>
  <si>
    <t>FRD01W3MMW</t>
  </si>
  <si>
    <t>ES_1021080_FRD01W3MMW_05052014224016_9616885</t>
  </si>
  <si>
    <t>FRD02W3MMW</t>
  </si>
  <si>
    <t>ES_1021080_FRD02W3MMW_05052014223919_9559911</t>
  </si>
  <si>
    <t>FRD03W3MMW</t>
  </si>
  <si>
    <t>ES_1021080_FRD03W3MMW_05052014224049_9649428</t>
  </si>
  <si>
    <t>FRT03G3MMG</t>
  </si>
  <si>
    <t>ES_1021080_FRT03G3MMG_05052014223949_9589415</t>
  </si>
  <si>
    <t>FRT03G3MMS</t>
  </si>
  <si>
    <t>ES_1021080_FRT03G3MMS_05052014224003_9603638</t>
  </si>
  <si>
    <t>FRT03G3MMW</t>
  </si>
  <si>
    <t>ES_1021080_FRT03G3MMW_05052014223933_9573833</t>
  </si>
  <si>
    <t>Absocold</t>
  </si>
  <si>
    <t>ARD244A*10R/L</t>
  </si>
  <si>
    <t>ES_0092255_ ARD244A*10R/L _08272014021903_2752402</t>
  </si>
  <si>
    <t>ARD298C*14R</t>
  </si>
  <si>
    <t>ES_0092255_ ARD298C*14R _08272014021903_2752402</t>
  </si>
  <si>
    <t>ARD369A*14R/L</t>
  </si>
  <si>
    <t>ES_0092255_ARD369A*14R/L_08272014021903_2752402</t>
  </si>
  <si>
    <t>ARD484F*10R/L</t>
  </si>
  <si>
    <t>ES_0092255_ARD484F*10R/L_08272014021903_2752402</t>
  </si>
  <si>
    <t>AMA43BKE</t>
  </si>
  <si>
    <t>ES_1108549_AMA43BKE_03122014054518_2688030</t>
  </si>
  <si>
    <t>Arctic King</t>
  </si>
  <si>
    <t>AFRM024AES</t>
  </si>
  <si>
    <t>ES_1030337_AFRM024AES_05152014191325_1205231</t>
  </si>
  <si>
    <t>ARF44MW1</t>
  </si>
  <si>
    <t>ES_1030337_ARF44MW1_05062014015057_1057943</t>
  </si>
  <si>
    <t>ATMA100AEB</t>
  </si>
  <si>
    <t>ES_1030337_ATMA100AEB_06102014031821_2731476</t>
  </si>
  <si>
    <t>ATMA100AES</t>
  </si>
  <si>
    <t>ES_1030337_ATMA100AES_06102014031821_2731476</t>
  </si>
  <si>
    <t>ATMA100AEW</t>
  </si>
  <si>
    <t>ES_1030337_ATMA100AEW_06102014031821_2731476</t>
  </si>
  <si>
    <t>ATMA115AEB</t>
  </si>
  <si>
    <t>ES_1030337_ATMA115AEB_06102014031821_2731476</t>
  </si>
  <si>
    <t>ATMA115AES</t>
  </si>
  <si>
    <t>ES_1030337_ATMA115AES_06102014031821_2731476</t>
  </si>
  <si>
    <t>ATMA115AEW</t>
  </si>
  <si>
    <t>ES_1030337_ATMA115AEW_06102014031821_2731476</t>
  </si>
  <si>
    <t>ATMP031AEB</t>
  </si>
  <si>
    <t>ES_1030337_ATMP031AEB_05152014191223_1143492</t>
  </si>
  <si>
    <t>FKAFRM024AEU</t>
  </si>
  <si>
    <t>ES_1030337_FKAFRM024AEU_05152014191341_1221863</t>
  </si>
  <si>
    <t>FKATMP031AEB</t>
  </si>
  <si>
    <t>ES_1030337_FKATMP031AEB_05152014191309_1189487</t>
  </si>
  <si>
    <t>FKATMP031AEW</t>
  </si>
  <si>
    <t>ES_1030337_FKATMP031AEW_05152014191256_1176684</t>
  </si>
  <si>
    <t>AR2406W</t>
  </si>
  <si>
    <t>ES_92257_AR2406W_07212014164849_4965174</t>
  </si>
  <si>
    <t>AR321BB</t>
  </si>
  <si>
    <t>ES_92257_AR321BB_07092014154345_4110223</t>
  </si>
  <si>
    <t>AR4446B</t>
  </si>
  <si>
    <t>ES_92257_AR4446B_07092014155859_6016198</t>
  </si>
  <si>
    <t>FF45006W</t>
  </si>
  <si>
    <t>ES_92257_FF45006W_06252014162621_991174</t>
  </si>
  <si>
    <t>FFBM45136SS</t>
  </si>
  <si>
    <t>ES_92257_FFBM45136SS_07072014111550_6561512</t>
  </si>
  <si>
    <t>RA3106WT</t>
  </si>
  <si>
    <t>RA3116BT; RA3126PST; RA3136SST</t>
  </si>
  <si>
    <t>ES_92257_RA3106WT_07092014155027_2381708</t>
  </si>
  <si>
    <t>RA7306WT</t>
  </si>
  <si>
    <t>RA7316PST</t>
  </si>
  <si>
    <t>ES_92257_RA7306WT_07092014155251_1173822</t>
  </si>
  <si>
    <t>RM24206W</t>
  </si>
  <si>
    <t>ES_92257_RM24206W_07092014154631_8407556</t>
  </si>
  <si>
    <t>RM3316B</t>
  </si>
  <si>
    <t>ES_92257_RM3316B_07092014151134_5711633</t>
  </si>
  <si>
    <t>RM4106W</t>
  </si>
  <si>
    <t>ES_92257_RM4106W_07092014151551_7372094</t>
  </si>
  <si>
    <t>RM4406W</t>
  </si>
  <si>
    <t>ES_92257_RM4406W_07092014153250_4381372</t>
  </si>
  <si>
    <t>RMS550PS</t>
  </si>
  <si>
    <t>ES_0092257_RMS550PS _06192014035200_2738658</t>
  </si>
  <si>
    <t>RMS551SS</t>
  </si>
  <si>
    <t>ES_0092257_RMS551SS_06192014035200_2738658</t>
  </si>
  <si>
    <t>B11CB50SSS/01</t>
  </si>
  <si>
    <t>ES_31649_B11CB50SSS/01_04012014095958_155</t>
  </si>
  <si>
    <t>Commercial Cool</t>
  </si>
  <si>
    <t>WCR16B</t>
  </si>
  <si>
    <t>ES_1105798_HISENSE RONSHEN (GUANGDONG) REFRIGERATOR CO LTD (153223) | WCR16B_12262013220825_5705832</t>
  </si>
  <si>
    <t>WCR16V</t>
  </si>
  <si>
    <t>ES_1126481_WCR16V_05152014230058_4858488</t>
  </si>
  <si>
    <t>WCR16W</t>
  </si>
  <si>
    <t>ES_1105798_HISENSE RONSHEN (GUANGDONG) REFRIGERATOR CO LTD (153223) | WCR16W_12262013220847_5727079</t>
  </si>
  <si>
    <t>WCR27W</t>
  </si>
  <si>
    <t>WCR27B; WCR27V</t>
  </si>
  <si>
    <t>ES_1126481_WCR27W_02132014152440_5475733</t>
  </si>
  <si>
    <t>WCR44W</t>
  </si>
  <si>
    <t>WCR44B; WCR44V</t>
  </si>
  <si>
    <t>ES_1126481_WCR44W_02252014214137_8625436</t>
  </si>
  <si>
    <t>WCRD31W</t>
  </si>
  <si>
    <t>WCRD31B; WCRD31V</t>
  </si>
  <si>
    <t>ES_1126481_WCRD31W_05092014172614_3944650</t>
  </si>
  <si>
    <t>Continental Electric</t>
  </si>
  <si>
    <t>CP7215*ES</t>
  </si>
  <si>
    <t>ES_1092528_CP7215*ES_06182014185831_9963189</t>
  </si>
  <si>
    <t>CP7244*ES</t>
  </si>
  <si>
    <t>ES_1092528_CP7244*ES_06182014190302_1934472</t>
  </si>
  <si>
    <t>Criterion</t>
  </si>
  <si>
    <t>CCR15CE1B</t>
  </si>
  <si>
    <t>ES_1034167_CCR15CE1B_06182014184642_8902246</t>
  </si>
  <si>
    <t>CCR312DCE1B</t>
  </si>
  <si>
    <t>ES_1034167_CCR312DCE1B_06182014190449_7423211</t>
  </si>
  <si>
    <t>CCR33CE1B</t>
  </si>
  <si>
    <t>ES_1034167_CCR33CE1B_06182014185058_1840326</t>
  </si>
  <si>
    <t>CCR44CE1W</t>
  </si>
  <si>
    <t>ES_1034167_CCR44CE1W_06182014185333_2623254</t>
  </si>
  <si>
    <t>CTMR73A1W</t>
  </si>
  <si>
    <t>ES_1034167_CTMR73A1W_07092014155611_4338189</t>
  </si>
  <si>
    <t>CFD28SDQ*</t>
  </si>
  <si>
    <t>ES_1021080_CFD28SDQ*_07312014013553_70009750</t>
  </si>
  <si>
    <t>CFD28WIQ*</t>
  </si>
  <si>
    <t>ES_1021080_CFD28WIQ*_07312014013553_70009750</t>
  </si>
  <si>
    <t>CRT151HQ*</t>
  </si>
  <si>
    <t>ES_1021080_CRT151HQ*IM_07222014031607_7000858</t>
  </si>
  <si>
    <t>ES_1021080_CRT151HQ*_07222014031607_7000858</t>
  </si>
  <si>
    <t>CRT182HQ*</t>
  </si>
  <si>
    <t>ES_1021080_CRT182HQ*_09102014041751_70011353</t>
  </si>
  <si>
    <t>ES_1021080_CRT182HQ*_I_09102014041751_70011353</t>
  </si>
  <si>
    <t>CRT186HQ*</t>
  </si>
  <si>
    <t>ES_1021080_CRT186HQ*_09102014041751_70011353</t>
  </si>
  <si>
    <t>ES_1021080_CRT186HQ*_I__09102014041751_70011353</t>
  </si>
  <si>
    <t>CRT206HQ*</t>
  </si>
  <si>
    <t>ES_1021080_CRT206HQ*_09102014041751_70011353</t>
  </si>
  <si>
    <t>ES_1021080_CRT206HQ*_I_09102014041751_70011353</t>
  </si>
  <si>
    <t>Dacor</t>
  </si>
  <si>
    <t>RF36NDFSS*</t>
  </si>
  <si>
    <t>ES_0022856_RF36NDFSS*_03282014113836_2714961</t>
  </si>
  <si>
    <t>FR-016RWE</t>
  </si>
  <si>
    <t>ES_1108205_FR-016RWE_05152014192928_2168207</t>
  </si>
  <si>
    <t>FR-024RBE1</t>
  </si>
  <si>
    <t>ES_1108205_FR-024RBE1_06182014161622_8182755</t>
  </si>
  <si>
    <t>FR-033RVBE</t>
  </si>
  <si>
    <t>ES_1108205_FR-033RVBE_05152014192940_2180262</t>
  </si>
  <si>
    <t>FR-033RVWE</t>
  </si>
  <si>
    <t>ES_1108205_FR-033RVWE_05152014192948_2188682</t>
  </si>
  <si>
    <t>FR-044RVSE</t>
  </si>
  <si>
    <t>ES_1108205_FR-044RVSE_08142014154645_1205581</t>
  </si>
  <si>
    <t>FR-044RVWE</t>
  </si>
  <si>
    <t>ES_1108205_FR-044RVWE_06182014161633_8193197</t>
  </si>
  <si>
    <t>DAR055D1BSSPR</t>
  </si>
  <si>
    <t>ES_0031682_DAR055D1BSSPR_04212014124136_2719894</t>
  </si>
  <si>
    <t>DAR055D1BSSPRO</t>
  </si>
  <si>
    <t>ES_0031682_DAR055D1BSSPRO_04212014124137_2719894</t>
  </si>
  <si>
    <t>DCR016C1BDB</t>
  </si>
  <si>
    <t>ES_1104918_DCR016C1BDB_08112014124727_2752930</t>
  </si>
  <si>
    <t>DCR016C1WDB</t>
  </si>
  <si>
    <t>ES_1104918_DCR016C1WDB_08112014124727_2752930</t>
  </si>
  <si>
    <t>DCR023C1WDB</t>
  </si>
  <si>
    <t>ES_1104918_DCR023C1WDB_08112014124727_2752930</t>
  </si>
  <si>
    <t>DCR044B1*</t>
  </si>
  <si>
    <t>ES_31682_DCR044B1*_07082014153420_2983667</t>
  </si>
  <si>
    <t>DDFF048A4WDB</t>
  </si>
  <si>
    <t>ES_0031682_DDFF048A4WDB_08272014021903_2752402</t>
  </si>
  <si>
    <t>DFF092C1BSLDB</t>
  </si>
  <si>
    <t>ES_1104918_DFF092C1BSLDB_08112014124727_2752930</t>
  </si>
  <si>
    <t>DFF092C1WDB</t>
  </si>
  <si>
    <t>ES_1104918_DFF092C1WDB_08112014124727_2752930</t>
  </si>
  <si>
    <t>DPF074B1*</t>
  </si>
  <si>
    <t>ES_31682_DPF074B1*_07082014155043_3785669</t>
  </si>
  <si>
    <t>Danby Designer</t>
  </si>
  <si>
    <t>DAR110A1*</t>
  </si>
  <si>
    <t>ES_0031682_DAR110A1*_07222014114047_2736942</t>
  </si>
  <si>
    <t>DCR031B1*</t>
  </si>
  <si>
    <t>ES_31682_DCR031B1*_07082014155345_5905572</t>
  </si>
  <si>
    <t>DFF100C2BSLDD</t>
  </si>
  <si>
    <t>ES_1104918_DFF100C2BSLDD_08112014124727_2752930</t>
  </si>
  <si>
    <t>DFF100C2WDD</t>
  </si>
  <si>
    <t>ES_1104918_DFF100C2WDD_08112014124727_2752930</t>
  </si>
  <si>
    <t>ES_31682_DPF074B1*_07082014154556_5337945</t>
  </si>
  <si>
    <t>Danby or Danby Designer</t>
  </si>
  <si>
    <t>DAR017A2*</t>
  </si>
  <si>
    <t>ES_0031682_DAR017A2*_06102014033951_2718267</t>
  </si>
  <si>
    <t>DAR026A1*</t>
  </si>
  <si>
    <t>ES_0031682_DAR026A1*_06102014033951_2718267</t>
  </si>
  <si>
    <t>DAR033A1*</t>
  </si>
  <si>
    <t>ES_0031682_DAR033A1*_06102014033951_2718267</t>
  </si>
  <si>
    <t>DAR044A4*</t>
  </si>
  <si>
    <t>ES_0031682_DAR044A4*_06102014033951_2718267</t>
  </si>
  <si>
    <t>DAR044A5*</t>
  </si>
  <si>
    <t>ES_0031682_DAR044A5*_06102014033951_2718267</t>
  </si>
  <si>
    <t>DCR016A3*</t>
  </si>
  <si>
    <t>ES_0031682_DCR016A3*_06102014033951_2718267</t>
  </si>
  <si>
    <t>DCR032A2*</t>
  </si>
  <si>
    <t>ES_0031682_DCR032A2*_06102014033951_2718267</t>
  </si>
  <si>
    <t>DCR044A2*</t>
  </si>
  <si>
    <t>ES_0031682_DCR044A2*_06102014033951_2718267</t>
  </si>
  <si>
    <t>Edgestar</t>
  </si>
  <si>
    <t>CRF321SS</t>
  </si>
  <si>
    <t>ES_1074063_CRF321SS_06162014152141_2101547</t>
  </si>
  <si>
    <t>EI23BC30K**A</t>
  </si>
  <si>
    <t>ES_1021080_EI23BC30K**A_07312014020047_7000967</t>
  </si>
  <si>
    <t>EI23BC35K**A</t>
  </si>
  <si>
    <t>ES_1021080_EI23BC35K**A_07312014020047_7000967</t>
  </si>
  <si>
    <t>EI23BC60K**A</t>
  </si>
  <si>
    <t>ES_1021080_EI23B360K**A_07312014020047_7000967</t>
  </si>
  <si>
    <t>EI23BC65K**A</t>
  </si>
  <si>
    <t>ES_1021080_EI23BC65K**A_07312014020047_7000967</t>
  </si>
  <si>
    <t>EI26SS30J**A</t>
  </si>
  <si>
    <t>ES_1021080_EI26SS30J**A_07082014043217_7000866</t>
  </si>
  <si>
    <t>EI28BS65K**A</t>
  </si>
  <si>
    <t>ES_1021080_EI28BS65K**A_07292014023015_70009251</t>
  </si>
  <si>
    <t>ERD05W3MMS</t>
  </si>
  <si>
    <t>ES_1021080_ERD05W3MMS_05052014220852_7732282</t>
  </si>
  <si>
    <t>ERD07W3MMS</t>
  </si>
  <si>
    <t>ES_1021080_ERD07W3MMS_05052014220907_7747468</t>
  </si>
  <si>
    <t>ERD09W3MMS</t>
  </si>
  <si>
    <t>ES_1021080_ERD09W3MMS_05052014220918_7758730</t>
  </si>
  <si>
    <t>FRD04W3MMG</t>
  </si>
  <si>
    <t>ES_1021080_FRD04W3MMG_05052014220929_7769975</t>
  </si>
  <si>
    <t>FRD04W3MMS</t>
  </si>
  <si>
    <t>ES_1021080_FRD04W3MMS_05052014220952_7792716</t>
  </si>
  <si>
    <t>FRD04W3MMW</t>
  </si>
  <si>
    <t>ES_1021080_FRD04W3MMW_05052014221006_7806906</t>
  </si>
  <si>
    <t>Emerald Cool</t>
  </si>
  <si>
    <t>RF1802W</t>
  </si>
  <si>
    <t>ES_1128872_RF1802W_06142014111707_4627329</t>
  </si>
  <si>
    <t>RF45ESS</t>
  </si>
  <si>
    <t>ES_1128872_RF45ESS_06232014183805_8685816</t>
  </si>
  <si>
    <t>RF45ESW</t>
  </si>
  <si>
    <t>ES_1128872_RF45ESW_06232014183824_8704524</t>
  </si>
  <si>
    <t>Emerson</t>
  </si>
  <si>
    <t>CR170WE</t>
  </si>
  <si>
    <t>ES_1105798_HISENSE RONSHEN (GUANGDONG) REFRIGERATOR CO LTD (153223) | CR170WE_03052013192518_1518197</t>
  </si>
  <si>
    <t>CR177WE2</t>
  </si>
  <si>
    <t>ES_1122227_CR177WE2_05152014222222_2542127</t>
  </si>
  <si>
    <t>CR275BSE2</t>
  </si>
  <si>
    <t>ES_1122227_CR275BSE2_02132014152441_9675546</t>
  </si>
  <si>
    <t>CR501E2</t>
  </si>
  <si>
    <t>ES_1122227_CR501E2_05092014172614_5529139</t>
  </si>
  <si>
    <t>CR513E</t>
  </si>
  <si>
    <t>CR513BE; CR513BSE; CR513WE; CR533BE; CR533BSE; CR533E; CR533W</t>
  </si>
  <si>
    <t>ES_1122227_CR513E_07072014135914_3694880</t>
  </si>
  <si>
    <t>CR519BE2</t>
  </si>
  <si>
    <t>ES_1122227_CR519BE2_02252014214137_5521509</t>
  </si>
  <si>
    <t>Fagor</t>
  </si>
  <si>
    <t>BMF-200X</t>
  </si>
  <si>
    <t>ES_1128133_BMF-200X_05092014163435_1356928</t>
  </si>
  <si>
    <t>E522B******</t>
  </si>
  <si>
    <t>ES_31708_E522B******_06262014195217_2337797</t>
  </si>
  <si>
    <t>ES_31708_E522B******_06262014195258_2378698</t>
  </si>
  <si>
    <t>RB36S</t>
  </si>
  <si>
    <t>ES_31708_RB36S_07232014182036_9636892</t>
  </si>
  <si>
    <t>Hisense</t>
  </si>
  <si>
    <t>RT33D6AAE</t>
  </si>
  <si>
    <t>RD-12DR1S*; RT33D6**E; RT33D6**E/*</t>
  </si>
  <si>
    <t>ES_1110877_RT33D6AAE_07072014135914_1527673</t>
  </si>
  <si>
    <t>HOMESUN</t>
  </si>
  <si>
    <t>BC-65</t>
  </si>
  <si>
    <t>ES_1124240_BC-65_07222014102118_9229699</t>
  </si>
  <si>
    <t>HPE15BTH****</t>
  </si>
  <si>
    <t>ES_1123206_HPE15BTH****_04012014024148_2716298</t>
  </si>
  <si>
    <t>ES_1123206_HPE15BTH****_06092014034946_2734391</t>
  </si>
  <si>
    <t>IGLOO</t>
  </si>
  <si>
    <t>FR551</t>
  </si>
  <si>
    <t>United States, Australia, New Zealand, Switzerland, Europe, Taiwan, Japan, Canada</t>
  </si>
  <si>
    <t>ES_1120898_FR551_04112014023054_2717445</t>
  </si>
  <si>
    <t>Ikea</t>
  </si>
  <si>
    <t>IX3HHEXDS*</t>
  </si>
  <si>
    <t>ES_1092750_IX3HHEXDS*_08082014033533_2752426</t>
  </si>
  <si>
    <t>IX6HHEXDS*</t>
  </si>
  <si>
    <t>ES_1092750_IX6HHEXDS*_08082014033533_2752426</t>
  </si>
  <si>
    <t>IX7DDEXDS*</t>
  </si>
  <si>
    <t>ES_1092750_IX7DDEXDS*_08082014033533_2752426</t>
  </si>
  <si>
    <t>IX7HHEXDS*</t>
  </si>
  <si>
    <t>ES_1092750_IX7HHEXDS*_08082014033533_2752426</t>
  </si>
  <si>
    <t>Jenn-Air</t>
  </si>
  <si>
    <t>JB36NXFXLE**</t>
  </si>
  <si>
    <t>ES_0022856_JB36NXFXLE**_08292014120532_2758676</t>
  </si>
  <si>
    <t>JB36NXFXRE**</t>
  </si>
  <si>
    <t>ES_0022856_JB36NXFXRE**_08292014120532_2758676</t>
  </si>
  <si>
    <t>JB36SSFX*A**</t>
  </si>
  <si>
    <t>ES_0022856_JB36SSFX*A**_08292014120532_2758676</t>
  </si>
  <si>
    <t>JFC2089BE*</t>
  </si>
  <si>
    <t>ES_0022856_JFC2089BE*_03282014113834_2714961</t>
  </si>
  <si>
    <t>JFX2597AE*</t>
  </si>
  <si>
    <t>ES_22856_JFX2597AE*_08082014033533_2752426</t>
  </si>
  <si>
    <t>Kegco</t>
  </si>
  <si>
    <t>MDC160-1**</t>
  </si>
  <si>
    <t>ES_1030337_MDC160-1**_05052014235403_4043561</t>
  </si>
  <si>
    <t>MDC240-1**</t>
  </si>
  <si>
    <t>ES_1030337_MDC240-1**_05052014235340_4020996</t>
  </si>
  <si>
    <t>MDC315-2**</t>
  </si>
  <si>
    <t>ES_1030337_MDC315-2**_05052014235352_4032834</t>
  </si>
  <si>
    <t>MDC330-1**</t>
  </si>
  <si>
    <t>ES_1030337_MDC330-1**_05052014235426_4066482</t>
  </si>
  <si>
    <t>MDC445-1**</t>
  </si>
  <si>
    <t>ES_1030337_MDC445-1**_05052014235445_4085044</t>
  </si>
  <si>
    <t>2536011*41</t>
  </si>
  <si>
    <t>ES_1021080_2536011*41_09152014011833_70011921</t>
  </si>
  <si>
    <t>ES_1021080_2536011*41_I_09152014011833_70011921</t>
  </si>
  <si>
    <t>2536031*41</t>
  </si>
  <si>
    <t>ES_1021080_2536031*41IM_07222014031607_7000858</t>
  </si>
  <si>
    <t>ES_1021080_2536031*41_07222014031607_7000858</t>
  </si>
  <si>
    <t>2536038*41</t>
  </si>
  <si>
    <t>ES_1021080_2536038*41_07222014031607_7000858</t>
  </si>
  <si>
    <t>ES_1021080_2536038*41IM_07222014031607_7000858</t>
  </si>
  <si>
    <t>2536060*41</t>
  </si>
  <si>
    <t>ES_1021080_2536060*41_09102014041751_70011353</t>
  </si>
  <si>
    <t>ES_1021080_2536060*41_I_09102014041751_70011353</t>
  </si>
  <si>
    <t>2537034*21</t>
  </si>
  <si>
    <t>ES_0015649_2537034*21_07032014120904_7000857</t>
  </si>
  <si>
    <t>2537034*41</t>
  </si>
  <si>
    <t>ES_1021080_2537034*41_07082014043217_7000866</t>
  </si>
  <si>
    <t>253.7041*41</t>
  </si>
  <si>
    <t>ES_1021080_253.7041*41_07312014013553_70009750</t>
  </si>
  <si>
    <t>2537042*41</t>
  </si>
  <si>
    <t>ES_1021080_2537042*41_07292014023015_70009251</t>
  </si>
  <si>
    <t>2537044*21</t>
  </si>
  <si>
    <t>ES_0015649_2537044*21_07032014120904_7000857</t>
  </si>
  <si>
    <t>2537044*41</t>
  </si>
  <si>
    <t>ES_1021080_2537044*41_07082014043217_7000866</t>
  </si>
  <si>
    <t>2537060*41</t>
  </si>
  <si>
    <t>ES_1021080_2537060*41_09102014041751_70011353</t>
  </si>
  <si>
    <t>51823#</t>
  </si>
  <si>
    <t>ES_1118034_51823#_07232014031350_70009304</t>
  </si>
  <si>
    <t>6803#</t>
  </si>
  <si>
    <t>ES_1118034_6803#_06302014030700_7000838</t>
  </si>
  <si>
    <t>MicroFridge</t>
  </si>
  <si>
    <t>3.0MF4R</t>
  </si>
  <si>
    <t>ES_0092273_ 3.0MF4R _08272014021903_2752402</t>
  </si>
  <si>
    <t>3.0MF4RCB</t>
  </si>
  <si>
    <t>ES_0092273_ 3.0MF4RCB _08272014021903_2752402</t>
  </si>
  <si>
    <t>3.0MF4RS</t>
  </si>
  <si>
    <t>ES_0092273_ 3.0MF4RS _08272014021903_2752402</t>
  </si>
  <si>
    <t>3.0MF4RSCB</t>
  </si>
  <si>
    <t>ES_0092273_ 3.0MF4RSCB _08272014021903_2752402</t>
  </si>
  <si>
    <t>3.0RMF4RW</t>
  </si>
  <si>
    <t>ES_0092273_ 3.0RMF4RW _08272014021903_2752402</t>
  </si>
  <si>
    <t>3.6MF4RA</t>
  </si>
  <si>
    <t>ES_0092273_3.6MF4RA_08272014021903_2752402</t>
  </si>
  <si>
    <t>3.6MF4RAS</t>
  </si>
  <si>
    <t>ES_0092273_3.6MF4RAS_08272014021903_2752402</t>
  </si>
  <si>
    <t>3.6MF4RAW</t>
  </si>
  <si>
    <t>ES_0092273_3.6MF4RAW_08272014021903_2752402</t>
  </si>
  <si>
    <t>4.8LMF4RW</t>
  </si>
  <si>
    <t>ES_0092273_4.8LMF4RW_08272014021903_2752402</t>
  </si>
  <si>
    <t>4.8MF4R</t>
  </si>
  <si>
    <t>ES_0092273_4.8MF4R_08272014021903_2752402</t>
  </si>
  <si>
    <t>4.8MF4RW</t>
  </si>
  <si>
    <t>ES_0092273_4.8MF4RW_08272014021903_2752402</t>
  </si>
  <si>
    <t>4.8RMF4RW</t>
  </si>
  <si>
    <t>ES_0092273_4.8RMF4RW_08272014021903_2752402</t>
  </si>
  <si>
    <t>MICROFRIDGE with SAFE PLUG</t>
  </si>
  <si>
    <t>2.5MF4RE</t>
  </si>
  <si>
    <t>ES_0031682_2.5MF4RE_06102014033951_2718267</t>
  </si>
  <si>
    <t>Midea</t>
  </si>
  <si>
    <t>HD-113FN(SNZ1)</t>
  </si>
  <si>
    <t>ES_1030337_HD-113FN(SNZ1)_07022014172259_1779685</t>
  </si>
  <si>
    <t>HD-165FWN(SZ)</t>
  </si>
  <si>
    <t>ES_1030337_HD-165FWN(SZ)_12132013050732_2668645</t>
  </si>
  <si>
    <t>HD-366FWEN(SZ)</t>
  </si>
  <si>
    <t>ES_1030337_HD-366FWEN(SZ)_12312013013256_8888888</t>
  </si>
  <si>
    <t>HD-423FWEN(SZ)</t>
  </si>
  <si>
    <t>ES_1030337_HD-423FWEN(SZ)_12312013013257_8888888</t>
  </si>
  <si>
    <t>HD-663W</t>
  </si>
  <si>
    <t>ES_1030337_HD-663W_05052014190110_6470547</t>
  </si>
  <si>
    <t>MFRM017AEB</t>
  </si>
  <si>
    <t>ES_1030337_MFRM017AEB_05062014013745_0265854</t>
  </si>
  <si>
    <t>MFRM017AES</t>
  </si>
  <si>
    <t>ES_1030337_MFRM017AES_05062014013712_0232109</t>
  </si>
  <si>
    <t>MFRM017AEW</t>
  </si>
  <si>
    <t>ES_1030337_MFRM017AEW_05062014013729_0249393</t>
  </si>
  <si>
    <t>UR-BCD127WC1-S</t>
  </si>
  <si>
    <t>ES_1030337_UR-BCD127WC1-S_12132013050731_2668645</t>
  </si>
  <si>
    <t>UR-BCD280WE-S</t>
  </si>
  <si>
    <t>ES_1030337_UR-BCD280WE-S_12312013013258_8888888</t>
  </si>
  <si>
    <t>UR-BCD326WE-S</t>
  </si>
  <si>
    <t>ES_1030337_UR-BCD326WE-S_12312013013259_8888888</t>
  </si>
  <si>
    <t>WHD-113FB1</t>
  </si>
  <si>
    <t>ES_1030337_WHD-113FB1_05062014013205_9925748</t>
  </si>
  <si>
    <t>WHD-113FSS1</t>
  </si>
  <si>
    <t>ES_1030337_WHD-113FSS1_05062014013228_9948207</t>
  </si>
  <si>
    <t>WHD-113FW1</t>
  </si>
  <si>
    <t>ES_1030337_WHD-113FW1_05062014013155_9915594</t>
  </si>
  <si>
    <t>WHS-121LB1</t>
  </si>
  <si>
    <t>ES_1030337_WHS-121LB1_05062014014603_0763673</t>
  </si>
  <si>
    <t>WHS-121LSS1</t>
  </si>
  <si>
    <t>ES_1030337_WHS-121LSS1_05062014014618_0778448</t>
  </si>
  <si>
    <t>WHS-121LW1</t>
  </si>
  <si>
    <t>ES_1030337_WHS-121LW1_05062014014547_0747348</t>
  </si>
  <si>
    <t>WHS-160RB1</t>
  </si>
  <si>
    <t>ES_1030337_WHS-160RB1_05062014015139_1099745</t>
  </si>
  <si>
    <t>WHS-160RSS1</t>
  </si>
  <si>
    <t>ES_1030337_WHS-160RSS1_05062014015156_1116250</t>
  </si>
  <si>
    <t>WHS-160RW1</t>
  </si>
  <si>
    <t>ES_1030337_WHS-160RW1_05062014015125_1085243</t>
  </si>
  <si>
    <t>WHS-65LB1</t>
  </si>
  <si>
    <t>ES_1030337_WHS-65LB1_05062014013835_0315881</t>
  </si>
  <si>
    <t>WHS-65LSS1</t>
  </si>
  <si>
    <t>ES_1030337_WHS-65LSS1_05062014013852_0332467</t>
  </si>
  <si>
    <t>WHS-65LW1</t>
  </si>
  <si>
    <t>ES_1030337_WHS-65LW1_05062014013817_0297244</t>
  </si>
  <si>
    <t>WHS-87LB1</t>
  </si>
  <si>
    <t>ES_1030337_WHS-87LB1_05062014012637_9597188</t>
  </si>
  <si>
    <t>WHS-87LSS1</t>
  </si>
  <si>
    <t>ES_1030337_WHS-87LSS1_05062014012650_9610357</t>
  </si>
  <si>
    <t>6935*</t>
  </si>
  <si>
    <t>ES_0022856_6935*_03282014113838_2714961</t>
  </si>
  <si>
    <t>6936*</t>
  </si>
  <si>
    <t>ES_0022856_6936*_03282014113839_2714961</t>
  </si>
  <si>
    <t>6938*</t>
  </si>
  <si>
    <t>ES_0022856_6938*_03282014113842_2714961</t>
  </si>
  <si>
    <t>7131#</t>
  </si>
  <si>
    <t>ES_1118034_7131#_01282014023914_2697957</t>
  </si>
  <si>
    <t>7132#</t>
  </si>
  <si>
    <t>ES_1118034_7132#_01282014023919_2697957</t>
  </si>
  <si>
    <t>7160#</t>
  </si>
  <si>
    <t>ES_1118034_7160#_03072014052437_70003935</t>
  </si>
  <si>
    <t>7248#</t>
  </si>
  <si>
    <t>ES_15649_7248#_04302014031244_7000587</t>
  </si>
  <si>
    <t>7303#</t>
  </si>
  <si>
    <t>ES_0015649_7303#_08152014020610_70010470</t>
  </si>
  <si>
    <t>7305#</t>
  </si>
  <si>
    <t>ES_0015649_7305#_06052014023523_2733287</t>
  </si>
  <si>
    <t>7313#</t>
  </si>
  <si>
    <t>ES_1118034_7313#_06302014030700_7000838</t>
  </si>
  <si>
    <t>7401#</t>
  </si>
  <si>
    <t>ES_1118034_7401#_09132014034722_70011124</t>
  </si>
  <si>
    <t>7402#</t>
  </si>
  <si>
    <t>ES_0015649_7402#_05282014105834_2731744</t>
  </si>
  <si>
    <t>7403#</t>
  </si>
  <si>
    <t>ES_0015649_7403#_05282014105834_2731744</t>
  </si>
  <si>
    <t>7404#</t>
  </si>
  <si>
    <t>ES_0015649_7404#_05282014105834_2731744</t>
  </si>
  <si>
    <t>7405#</t>
  </si>
  <si>
    <t>ES_0015649_7405#_05282014105834_2731744</t>
  </si>
  <si>
    <t>7409#</t>
  </si>
  <si>
    <t>ES_1118034_7409#_07282014035205_70009618</t>
  </si>
  <si>
    <t>7803#</t>
  </si>
  <si>
    <t>ES_1118034_7803#_06302014030700_7000838</t>
  </si>
  <si>
    <t>7902#</t>
  </si>
  <si>
    <t>ES_1118034_7902#_03072014055209_7000394</t>
  </si>
  <si>
    <t>7904#</t>
  </si>
  <si>
    <t>ES_1118034_7904#_01282014023916_2697957</t>
  </si>
  <si>
    <t>7941*</t>
  </si>
  <si>
    <t>ES_0015649_7941*_04302014021518_2723440</t>
  </si>
  <si>
    <t>7942*</t>
  </si>
  <si>
    <t>ES_0015649_7942*_04302014021517_2723440</t>
  </si>
  <si>
    <t>7943#</t>
  </si>
  <si>
    <t>ES_1118034_7943#_06302014030700_7000838</t>
  </si>
  <si>
    <t>7946*</t>
  </si>
  <si>
    <t>ES_0015649_7946*_04302014021519_2723440</t>
  </si>
  <si>
    <t>970R4242*</t>
  </si>
  <si>
    <t>ES_1021080_970R4242*_09102014041751_70011353</t>
  </si>
  <si>
    <t>ES_1021080_970R4242*_I_09102014041751_70011353</t>
  </si>
  <si>
    <t>970R4243*</t>
  </si>
  <si>
    <t>ES_1021080_970R4243*_I_09102014041751_70011353</t>
  </si>
  <si>
    <t>ES_1021080_970R4243*_09102014041751_70011353</t>
  </si>
  <si>
    <t>970R7240*</t>
  </si>
  <si>
    <t>ES_1021080_970R7240*_03282014112639_7000421</t>
  </si>
  <si>
    <t>970R7242*</t>
  </si>
  <si>
    <t>ES_0015649_970R7242*_05262014034241_7000640</t>
  </si>
  <si>
    <t>970R7243*</t>
  </si>
  <si>
    <t>ES_0015649_970R7243*_05262014034241_7000640</t>
  </si>
  <si>
    <t>ES_31914_99742_05052014192003_7603038</t>
  </si>
  <si>
    <t>ES_31914_99763_05052014191951_7591276</t>
  </si>
  <si>
    <t>ES_31914_99782_05052014192041_7641921</t>
  </si>
  <si>
    <t>ES_31914_99783_05052014192013_7613527</t>
  </si>
  <si>
    <t>ES_31914_99789_05052014192028_7628692</t>
  </si>
  <si>
    <t>Keystone</t>
  </si>
  <si>
    <t>KSTRC24CBP</t>
  </si>
  <si>
    <t>ES_1055302_KSTRC24CBP_08142014142630_6390601</t>
  </si>
  <si>
    <t>KSTRC24CBU</t>
  </si>
  <si>
    <t>ES_1055302_KSTRC24CBU_08142014145859_8339811</t>
  </si>
  <si>
    <t>KSTRC312CB</t>
  </si>
  <si>
    <t>ES_1055302_KSTRC312CB_08142014162132_3292497</t>
  </si>
  <si>
    <t>KSTRC312CW</t>
  </si>
  <si>
    <t>ES_1055302_KSTRC312CW_08142014162208_3328409</t>
  </si>
  <si>
    <t>KSTRC44CB</t>
  </si>
  <si>
    <t>ES_1055302_KSTRC44CB_08142014155412_1652927</t>
  </si>
  <si>
    <t>KSTRC44CW</t>
  </si>
  <si>
    <t>ES_1055302_KSTRC44CW_08142014155449_1689291</t>
  </si>
  <si>
    <t>KitchenAid</t>
  </si>
  <si>
    <t>KBBR306EPA**</t>
  </si>
  <si>
    <t>ES_0022856_KBBR306EPA**_08292014120532_2758676</t>
  </si>
  <si>
    <t>KBBR306ESS**</t>
  </si>
  <si>
    <t>ES_0022856_KBBR306ESS**_08292014120532_2758676</t>
  </si>
  <si>
    <t>KBFN502EPA**</t>
  </si>
  <si>
    <t>ES_0022856_KBFN502EPA**_08292014120532_2758676</t>
  </si>
  <si>
    <t>KBFN502ESS**</t>
  </si>
  <si>
    <t>ES_0022856_KBFN502ESS**_08292014120532_2758676</t>
  </si>
  <si>
    <t>KBFS20EC*</t>
  </si>
  <si>
    <t>ES_0022856_KBFS20EC*_03282014113833_2714961</t>
  </si>
  <si>
    <t>KBFS22EC*</t>
  </si>
  <si>
    <t>ES_0022856_KBFS22EC*_03282014113829_2714961</t>
  </si>
  <si>
    <t>KBFS25EC*</t>
  </si>
  <si>
    <t>ES_0022856_KBFS25EC*_03282014113832_2714961</t>
  </si>
  <si>
    <t>KBLC36FTS**</t>
  </si>
  <si>
    <t>ES_0022856_KBLC36FTS**_08292014120532_2758676</t>
  </si>
  <si>
    <t>KBLO36FTX**</t>
  </si>
  <si>
    <t>ES_0022856_KBLO36FTX**_08292014120532_2758676</t>
  </si>
  <si>
    <t>KBRC36FTS**</t>
  </si>
  <si>
    <t>ES_0022856_KBRC36FTS**_08292014120532_2758676</t>
  </si>
  <si>
    <t>KBRO36FTX**</t>
  </si>
  <si>
    <t>ES_0022856_KBRO36FTX**_08292014120532_2758676</t>
  </si>
  <si>
    <t>KB*S19KC*</t>
  </si>
  <si>
    <t>ES_0022856_RF36NDFSS*_03282014113824_2714961</t>
  </si>
  <si>
    <t>KB*S22KC*</t>
  </si>
  <si>
    <t>ES_0022856_KB*S22KC*_03282014113826_2714961</t>
  </si>
  <si>
    <t>KBWG11NCSS</t>
  </si>
  <si>
    <t>ES_22856_KBWG11NCSS_08132014180313_2993577</t>
  </si>
  <si>
    <t>KFXS25RY*</t>
  </si>
  <si>
    <t>ES_22856_KFXS25RY*_08082014033533_2752426</t>
  </si>
  <si>
    <t>KSSC42QVS**</t>
  </si>
  <si>
    <t>ES_1092750_KSSC42QVS**_08082014033533_2752426</t>
  </si>
  <si>
    <t>KSSC48QVS**</t>
  </si>
  <si>
    <t>ES_1092750_KSSC48QVS**_08082014033533_2752426</t>
  </si>
  <si>
    <t>LG</t>
  </si>
  <si>
    <t>LBC24360**</t>
  </si>
  <si>
    <t>ES_1118034_LBC24360**_05202014080817_7000636</t>
  </si>
  <si>
    <t>LBN22370**</t>
  </si>
  <si>
    <t>ES_1118034_LBN22370**_05202014080817_7000636</t>
  </si>
  <si>
    <t>LDC22370**</t>
  </si>
  <si>
    <t>ES_1118034_LDC22370**_03072014055208_7000394</t>
  </si>
  <si>
    <t>LDC24370**</t>
  </si>
  <si>
    <t>ES_1118034_LDC24370**_01282014023915_2697957</t>
  </si>
  <si>
    <t>LDN22470**</t>
  </si>
  <si>
    <t>ES_1118034_LDN22470**_03172014015509_7000408</t>
  </si>
  <si>
    <t>LFC21776**</t>
  </si>
  <si>
    <t>ES_1118034_LFC21776**05122014110604_7000597</t>
  </si>
  <si>
    <t>LFC22770**</t>
  </si>
  <si>
    <t>ES_1118034_LFC22770**_01282014023917_2697957</t>
  </si>
  <si>
    <t>LFC24770**</t>
  </si>
  <si>
    <t>ES_1118034_LFC24770**_01282014023913_2697957</t>
  </si>
  <si>
    <t>LFC24786**</t>
  </si>
  <si>
    <t>ES_1118034_LFC24786**_01282014023912_2697957</t>
  </si>
  <si>
    <t>LFC25776**</t>
  </si>
  <si>
    <t>ES_1118034_LFC25776**_03072014052436_70003935</t>
  </si>
  <si>
    <t>LFC28768**</t>
  </si>
  <si>
    <t>ES_1118034_LFC28768**_03072014052438_70003935</t>
  </si>
  <si>
    <t>LFCS31626*</t>
  </si>
  <si>
    <t>ES_1118034_LFCS31626*_09132014034722_70011124</t>
  </si>
  <si>
    <t>LFD22786**</t>
  </si>
  <si>
    <t>ES_1118034_LFD22786**_01282014023918_2697957</t>
  </si>
  <si>
    <t>LFX21976**</t>
  </si>
  <si>
    <t>ES_1118034_LFX21976**_07222014030549_7000922</t>
  </si>
  <si>
    <t>LFX28968**</t>
  </si>
  <si>
    <t>ES_1118034_LFX28968**_03072014052435_70003935</t>
  </si>
  <si>
    <t>LFX29937**</t>
  </si>
  <si>
    <t>ES_1118034_LFX29937**_01282014023957_2697955</t>
  </si>
  <si>
    <t>LFXC24726*</t>
  </si>
  <si>
    <t>ES_1118034_LFXC24726*_05282014105834_2731744</t>
  </si>
  <si>
    <t>LFXC24766*</t>
  </si>
  <si>
    <t>ES_1118034_LFXC24766*_05262014034027_2730794</t>
  </si>
  <si>
    <t>LFXS24623*</t>
  </si>
  <si>
    <t>ES_1118034_LFXS24623*_06302014030700_7000838</t>
  </si>
  <si>
    <t>LFXS24663*</t>
  </si>
  <si>
    <t>ES_0015649_LFXS24663*_08152014020610_70010470</t>
  </si>
  <si>
    <t>LFXS27566*</t>
  </si>
  <si>
    <t>ES_1118034_LFXS27566*_07222014030549_7000922</t>
  </si>
  <si>
    <t>LFXS29626*</t>
  </si>
  <si>
    <t>ES_1118034_LFXS29626*_07282014035205_70009618</t>
  </si>
  <si>
    <t>LFXS29766*</t>
  </si>
  <si>
    <t>ES_1118034_LFXS29766*_07282014035205_70009618</t>
  </si>
  <si>
    <t>LFXS30726*</t>
  </si>
  <si>
    <t>ES_1118034_LFXS30726*_05282014105834_2731744</t>
  </si>
  <si>
    <t>LFXS30766*</t>
  </si>
  <si>
    <t>ES_1118034_LFXS30766*_05082014104944_2721096</t>
  </si>
  <si>
    <t>LFXS32726*</t>
  </si>
  <si>
    <t>ES_1118034_LFXS32726*_07282014035205_70009618</t>
  </si>
  <si>
    <t>LFXS32766*</t>
  </si>
  <si>
    <t>ES_1118034_LFXS32766*_07282014035205_70009618</t>
  </si>
  <si>
    <t>LMXC23746*</t>
  </si>
  <si>
    <t>ES_1118034_LMXC23746*_09132014034722_70011124</t>
  </si>
  <si>
    <t>LMXS27626*</t>
  </si>
  <si>
    <t>ES_1118034_LMXS27626*_08112014122647_70010341</t>
  </si>
  <si>
    <t>LMXS30746*</t>
  </si>
  <si>
    <t>ES_1118034_LMXS30746*_04302014031244_7000587</t>
  </si>
  <si>
    <t>LMXS30776*</t>
  </si>
  <si>
    <t>ES_1118034_LMXS30776*_03032014031004_7000387</t>
  </si>
  <si>
    <t>LSFD2491**</t>
  </si>
  <si>
    <t>ES_1118034_LSFD2491**_05262014034027_2730794</t>
  </si>
  <si>
    <t>LSXS22423*</t>
  </si>
  <si>
    <t>ES_1118034_LSXS22423*_07232014031350_70009304</t>
  </si>
  <si>
    <t>LTCS20220*</t>
  </si>
  <si>
    <t>ES_0015649_LTCS20220*_08152014020610_70010470</t>
  </si>
  <si>
    <t>LTCS24223*</t>
  </si>
  <si>
    <t>ES_1118034_LTCS24223*_06302014030700_7000838</t>
  </si>
  <si>
    <t>Liebherr</t>
  </si>
  <si>
    <t>BF 1061</t>
  </si>
  <si>
    <t>ES_1017655_BF 1061_08152014020158_2754362</t>
  </si>
  <si>
    <t>CS 1200</t>
  </si>
  <si>
    <t>ES_1017655_CS 1200_08152014020158_2754362</t>
  </si>
  <si>
    <t>HC 1000B</t>
  </si>
  <si>
    <t>ES_1017655_HC 1000B_02122014024550_2701475</t>
  </si>
  <si>
    <t>HC 1001B</t>
  </si>
  <si>
    <t>ES_1017655_HC 1001B_02122014024551_2701475</t>
  </si>
  <si>
    <t>HC 1030</t>
  </si>
  <si>
    <t>ES_1017655_HC 1030_03282014113943_2712307</t>
  </si>
  <si>
    <t>HC 1070</t>
  </si>
  <si>
    <t>ES_1017655_HC 1070_03282014113942_2712307</t>
  </si>
  <si>
    <t>HRB 1120</t>
  </si>
  <si>
    <t>ES_1017655_HRB 1120_03282014113944_2712307</t>
  </si>
  <si>
    <t>RB 1410</t>
  </si>
  <si>
    <t>ES_1017655_RB 1410_08152014020158_2754362</t>
  </si>
  <si>
    <t>Lorell</t>
  </si>
  <si>
    <t>LLR72310</t>
  </si>
  <si>
    <t>ES_1030337_LLR72310_05052014172611_0771600</t>
  </si>
  <si>
    <t>LLR72311</t>
  </si>
  <si>
    <t>ES_1030337_LLR72311_05052014172553_0753614</t>
  </si>
  <si>
    <t>LLR72312</t>
  </si>
  <si>
    <t>ES_1030337_LLR72312_05052014172628_0788702</t>
  </si>
  <si>
    <t>LLR72313</t>
  </si>
  <si>
    <t>ES_1030337_LLR72313_05052014172645_0805054</t>
  </si>
  <si>
    <t>Magic Chef</t>
  </si>
  <si>
    <t>HMBR265BE1</t>
  </si>
  <si>
    <t>ES_1107227_HMBR265BE1_06232014192219_1339412</t>
  </si>
  <si>
    <t>HMBR265SE1</t>
  </si>
  <si>
    <t>ES_1107227_HMBR265SE1_06232014192237_1357679</t>
  </si>
  <si>
    <t>HMBR265WE1</t>
  </si>
  <si>
    <t>ES_1107227_HMBR265WE1_06232014192210_1330193</t>
  </si>
  <si>
    <t>HMBR350**</t>
  </si>
  <si>
    <t>ES_1107227_HMBR350**_07032014034642_8888888</t>
  </si>
  <si>
    <t>HMBR350***</t>
  </si>
  <si>
    <t>ES_1107227_HMBR350***_06302014013918_2737338</t>
  </si>
  <si>
    <t>HMBR440**</t>
  </si>
  <si>
    <t>ES_1107227_HMBR440**_08142014145026_4049646</t>
  </si>
  <si>
    <t>HMDR310**</t>
  </si>
  <si>
    <t>ES_1107227_HMDR310**_08152014103818_4206354</t>
  </si>
  <si>
    <t>HSBR170**</t>
  </si>
  <si>
    <t>ES_1107227_HSBR170**_07032014034642_8888888</t>
  </si>
  <si>
    <t>HSBR350**</t>
  </si>
  <si>
    <t>ES_1107227_HSBR350**_07032014034642_8888888</t>
  </si>
  <si>
    <t>HSBR350***</t>
  </si>
  <si>
    <t>ES_1107227_HSBR350***_06302014013918_2737338</t>
  </si>
  <si>
    <t>MCBM920B1</t>
  </si>
  <si>
    <t>ES_1104918_MCBM920B1 _08112014124727_2752930</t>
  </si>
  <si>
    <t>MCBM920BE1</t>
  </si>
  <si>
    <t>ES_1104918_MCBM920BE1_08112014124727_2752930</t>
  </si>
  <si>
    <t>MCBM920S1</t>
  </si>
  <si>
    <t>ES_1104918_MCBM920S1_08112014124727_2752930</t>
  </si>
  <si>
    <t>MCBM920W1</t>
  </si>
  <si>
    <t>ES_1104918_MCBM920W1_08112014124727_2752930</t>
  </si>
  <si>
    <t>MCBR350***</t>
  </si>
  <si>
    <t>ES_1107227_MCBR350***_06302014013918_2737338</t>
  </si>
  <si>
    <t>MCBR360*</t>
  </si>
  <si>
    <t>ES_1107227_MCBR360*_07032014034642_8888888</t>
  </si>
  <si>
    <t>MCBR360**</t>
  </si>
  <si>
    <t>ES_1107227_MCBR360**_06302014013918_2737338</t>
  </si>
  <si>
    <t>MCBR410**</t>
  </si>
  <si>
    <t>ES_1107227_MCBR410**_07032014034642_8888888</t>
  </si>
  <si>
    <t>MCBR920SE1</t>
  </si>
  <si>
    <t>ES_1104918_MCBR920SE1_08112014124727_2752930</t>
  </si>
  <si>
    <t>MCBR920WE1</t>
  </si>
  <si>
    <t>ES_1104918_MCBR920WE1_08112014124727_2752930</t>
  </si>
  <si>
    <t>MCDR430*</t>
  </si>
  <si>
    <t>ES_1107227_MCDR430*_04092014122924_2713978</t>
  </si>
  <si>
    <t>MCR1010WEF</t>
  </si>
  <si>
    <t>ES_1104918_MCR1010WEF_08112014124727_2752930</t>
  </si>
  <si>
    <t>Magic Cool</t>
  </si>
  <si>
    <t>MC552SS</t>
  </si>
  <si>
    <t>ES_0092257_MC552SS_06192014035200_2738658</t>
  </si>
  <si>
    <t>MB*1957DE*</t>
  </si>
  <si>
    <t>ES_0022856_WRF540CWB*_03282014113823_2714961</t>
  </si>
  <si>
    <t>MBF1953DE*</t>
  </si>
  <si>
    <t>ES_0022856_JFC2089BE*_03282014113822_2714961</t>
  </si>
  <si>
    <t>MBF1958DE*</t>
  </si>
  <si>
    <t>ES_0022856_KBFS20EC*_03282014113821_2714961</t>
  </si>
  <si>
    <t>MBF2258DE*</t>
  </si>
  <si>
    <t>ES_0022856_MBF2258DE*_03282014113828_2714961</t>
  </si>
  <si>
    <t>MFC2062DEM*</t>
  </si>
  <si>
    <t>ES_0022856_MFC2062DEM*_03282014113837_2714961</t>
  </si>
  <si>
    <t>MFF2258DE*</t>
  </si>
  <si>
    <t>ES_0022856_MFC2062DEM*_03282014113825_2714961</t>
  </si>
  <si>
    <t>MFF2558DE*</t>
  </si>
  <si>
    <t>ES_0022856_MFF2558DE*_03282014113831_2714961</t>
  </si>
  <si>
    <t>MFT2574DE*</t>
  </si>
  <si>
    <t>ES_0022856_MFT2574DE*_04302014021518_2723440</t>
  </si>
  <si>
    <t>MFT2776DE*</t>
  </si>
  <si>
    <t>ES_1092750_MFT2776DE*_08082014033533_2752426</t>
  </si>
  <si>
    <t>MEILING</t>
  </si>
  <si>
    <t>BCD-260WHA</t>
  </si>
  <si>
    <t>ES_1104918_BCD-260WHA_08112014124727_2752930</t>
  </si>
  <si>
    <t>MR-50</t>
  </si>
  <si>
    <t>ES_1104918_MR-50_08112014124727_2752930</t>
  </si>
  <si>
    <t>MR-78</t>
  </si>
  <si>
    <t>ES_1104918_MR-78_08112014124727_2752930</t>
  </si>
  <si>
    <t>MRF-276W</t>
  </si>
  <si>
    <t>ES_1104918_MRF-276W_08112014124727_2752930</t>
  </si>
  <si>
    <t>MRF-280WFA</t>
  </si>
  <si>
    <t>ES_1104918_MRF-280WFA_08112014124727_2752930</t>
  </si>
  <si>
    <t>MicroChill</t>
  </si>
  <si>
    <t>MCH3G14</t>
  </si>
  <si>
    <t>Refrigerator-Freezer,MCH3G14SS,</t>
  </si>
  <si>
    <t>ES_1114425_MCH3G14_08062014204345_7825876</t>
  </si>
  <si>
    <t>2.3MF4R</t>
  </si>
  <si>
    <t>ES_0092273_2.3MF4R_08272014021903_2752402</t>
  </si>
  <si>
    <t>2.3MF4RS</t>
  </si>
  <si>
    <t>ES_0092273_2.3MF4RS_08272014021903_2752402</t>
  </si>
  <si>
    <t>2.3MF4RW</t>
  </si>
  <si>
    <t>ES_0092273_2.3MF4RW_08272014021903_2752402</t>
  </si>
  <si>
    <t>3.0LMF4RW</t>
  </si>
  <si>
    <t>ES_0092273_ 3.0LMF4RW _08272014021903_2752402</t>
  </si>
  <si>
    <t>LFHB2741P**A</t>
  </si>
  <si>
    <t>ES_1021080_LFHB2741P**A_07292014023015_70009251</t>
  </si>
  <si>
    <t>LFHT1831Q*</t>
  </si>
  <si>
    <t>ES_1021080_LFHT1831Q*_09102014041751_70011353</t>
  </si>
  <si>
    <t>ES_1021080_LFHT1831Q*_I_09102014041751_70011353</t>
  </si>
  <si>
    <t>LFHT2131Q*</t>
  </si>
  <si>
    <t>ES_1021080_LFHT2131Q*_09152014011833_70011921</t>
  </si>
  <si>
    <t>ES_1021080_LFHT2131Q*_I_09152014011833_70011921</t>
  </si>
  <si>
    <t>LGHB2867P*</t>
  </si>
  <si>
    <t>ES_1021080_LGHB2867P*_05262014034241_7000640</t>
  </si>
  <si>
    <t>LGHB2867P**A</t>
  </si>
  <si>
    <t>ES_1021080_LGHB2867P**A_07292014023015_70009251</t>
  </si>
  <si>
    <t>Frigidiare</t>
  </si>
  <si>
    <t>ES_1021080_FFHT1521Q*IM_07222014031607_7000858</t>
  </si>
  <si>
    <t>Galanz</t>
  </si>
  <si>
    <t>BC-127-62H</t>
  </si>
  <si>
    <t>ES_1108549_BC-127-62H_03122014054514_2688030</t>
  </si>
  <si>
    <t>BC-127B62H</t>
  </si>
  <si>
    <t>ES_1108549_BC-127B62H_03122014054515_2688030</t>
  </si>
  <si>
    <t>DSE25JGH****</t>
  </si>
  <si>
    <t>ES_1123206_DSE25JGH****_08292014120636_2758166</t>
  </si>
  <si>
    <t>DSE25JMH****</t>
  </si>
  <si>
    <t>ES_1123206_DSE25JMH****_08292014120636_2758166</t>
  </si>
  <si>
    <t>DSE25JSH****</t>
  </si>
  <si>
    <t>ES_1123206_DSE25JSH****_08292014120636_2758166</t>
  </si>
  <si>
    <t>GCE06GGH****</t>
  </si>
  <si>
    <t>ES_1123206_GCE06GGH****_06232014030230_2739746</t>
  </si>
  <si>
    <t>GCE06GSH****</t>
  </si>
  <si>
    <t>ES_1123206_GCE06GSH****_06232014030230_2739746</t>
  </si>
  <si>
    <t>GDE03GGH****</t>
  </si>
  <si>
    <t>ES_1119301_GDE03GGH****_03282014113738_2715397</t>
  </si>
  <si>
    <t>GDE03GLH****</t>
  </si>
  <si>
    <t>ES_1119301_GDE03GLH****_03282014113737_2715397</t>
  </si>
  <si>
    <t>GDE20GGH****</t>
  </si>
  <si>
    <t>ES_1123206_GDE20GGH****_08292014120636_2758166</t>
  </si>
  <si>
    <t>GDE23GGH****</t>
  </si>
  <si>
    <t>ES_1123206_GDE23GGH****_08292014120636_2758166</t>
  </si>
  <si>
    <t>GDE23GSH****</t>
  </si>
  <si>
    <t>ES_1123206_GDE23GSH****_08292014120636_2758166</t>
  </si>
  <si>
    <t>GIE16DGH****</t>
  </si>
  <si>
    <t>ES_1123206_GIE16DGH****_06092014034946_2734391</t>
  </si>
  <si>
    <t>GIE16GSH****</t>
  </si>
  <si>
    <t>ES_1123206_GIE16GSH****_04012014024113_2716298</t>
  </si>
  <si>
    <t>GME04GGH****</t>
  </si>
  <si>
    <t>ES_1119301_GME04GGH****_03282014113735_2715397</t>
  </si>
  <si>
    <t>GME04GLH****</t>
  </si>
  <si>
    <t>ES_1119301_GME04GLH****_03282014113736_2715397</t>
  </si>
  <si>
    <t>GNE29GGH****</t>
  </si>
  <si>
    <t>ES_1123206_GNE29GGH****_09092014043655_2760575</t>
  </si>
  <si>
    <t>GNE29GMH****</t>
  </si>
  <si>
    <t>ES_1123206_GNE29GMH****_09092014043655_2760575</t>
  </si>
  <si>
    <t>GNE29GSH****</t>
  </si>
  <si>
    <t>ES_1123206_GNE29GSH****_09092014043655_2760575</t>
  </si>
  <si>
    <t>GPE16DTH****</t>
  </si>
  <si>
    <t>ES_1123206_GPE16DTH****_04012014024149_2716298</t>
  </si>
  <si>
    <t>ES_1123206_GPE16DTH****_06092014034946_2734391</t>
  </si>
  <si>
    <t>GSE22ESH****</t>
  </si>
  <si>
    <t>ES_1123206_GSE22ESH****_08292014010726_2758165</t>
  </si>
  <si>
    <t>GSE25ESH****</t>
  </si>
  <si>
    <t>ES_1123206_GSE25ESH****_08292014010726_2758165</t>
  </si>
  <si>
    <t>GSE25GGH****</t>
  </si>
  <si>
    <t>ES_1123206_GSE25GGH****_08292014120636_2758166</t>
  </si>
  <si>
    <t>GSE25GSH****</t>
  </si>
  <si>
    <t>ES_1123206_GSE25GSH****_08292014120636_2758166</t>
  </si>
  <si>
    <t>GSE25HGH****</t>
  </si>
  <si>
    <t>ES_1123206_GSE25HGH****_08292014120636_2758166</t>
  </si>
  <si>
    <t>GSE25HMH****</t>
  </si>
  <si>
    <t>ES_1123206_GSE25HMH****_08292014120636_2758166</t>
  </si>
  <si>
    <t>GSE25HSH****</t>
  </si>
  <si>
    <t>ES_1123206_GSE25HSH****_08292014120636_2758166</t>
  </si>
  <si>
    <t>GTE15CTH****</t>
  </si>
  <si>
    <t>ES_1123206_GTE15CTH****_04012014024147_2716298</t>
  </si>
  <si>
    <t>ES_1123206_GTE15CTH****_06092014034946_2734391</t>
  </si>
  <si>
    <t>GTE16DTH****</t>
  </si>
  <si>
    <t>ES_1123206_GTE16DTH****_04012014024110_2716298</t>
  </si>
  <si>
    <t>ES_1123206_GTE16DTH****_06092014034946_2734391</t>
  </si>
  <si>
    <t>GTE16GSH****</t>
  </si>
  <si>
    <t>ES_1123206_GTE16GSH****_04012014024112_2716298</t>
  </si>
  <si>
    <t>ES_1123206_GTE16GSH****_06092014034946_2734391</t>
  </si>
  <si>
    <t>GTE16GTH****</t>
  </si>
  <si>
    <t>ES_1123206_GTE16GTH****_04012014024111_2716298</t>
  </si>
  <si>
    <t>ES_1123206_GTE16GTH****_06092014034946_2734391</t>
  </si>
  <si>
    <t>GE Cafe</t>
  </si>
  <si>
    <t>CFE28TSH****</t>
  </si>
  <si>
    <t>ES_1123206_CFE28TSH****_07102014040214_2744372</t>
  </si>
  <si>
    <t>CYE22TSH****</t>
  </si>
  <si>
    <t>ES_1123206_CYE22TSH****_07102014040214_2744372</t>
  </si>
  <si>
    <t>GE Monogram</t>
  </si>
  <si>
    <t>ZIR360NH****</t>
  </si>
  <si>
    <t>ES_1123206_ZIR360NH****_08292014010726_2758165</t>
  </si>
  <si>
    <t>ZIRP360NH****</t>
  </si>
  <si>
    <t>ES_1123206_ZIRP360NH****_08292014010726_2758165</t>
  </si>
  <si>
    <t>ZIRS360NH****</t>
  </si>
  <si>
    <t>ES_1123206_ZIRS360NH****_08292014010726_2758165</t>
  </si>
  <si>
    <t>PFE28RSH****</t>
  </si>
  <si>
    <t>ES_1123206_PFE28RSH****_07232014033304_70009472</t>
  </si>
  <si>
    <t>PSE25KGH****</t>
  </si>
  <si>
    <t>ES_1123206_PSE25KGH****_08292014120636_2758166</t>
  </si>
  <si>
    <t>PSE25KSH****</t>
  </si>
  <si>
    <t>ES_1123206_PSE25KSH****_08292014120636_2758166</t>
  </si>
  <si>
    <t>PWE23KGD****</t>
  </si>
  <si>
    <t>ES_1123206_PWE23KGD****_02112014013900_2701288</t>
  </si>
  <si>
    <t>PWE23KMD****</t>
  </si>
  <si>
    <t>ES_1123206_PWE23KMD****_02112014013902_2701288</t>
  </si>
  <si>
    <t>PWE23KSD****</t>
  </si>
  <si>
    <t>ES_1123206_PWE23KSD****_02112014013901_2701288</t>
  </si>
  <si>
    <t>PYE22PSH****</t>
  </si>
  <si>
    <t>ES_1123206_PYE22PSH****_07232014033304_70009472</t>
  </si>
  <si>
    <t>HC17SF15RB</t>
  </si>
  <si>
    <t>ES_0031566_HC17SF15RB_12292013100419_2690593</t>
  </si>
  <si>
    <t>HC17SF15RW</t>
  </si>
  <si>
    <t>ES_0031566_HC17SF15RW_12292013100418_2690593</t>
  </si>
  <si>
    <t>HC17SG42RB</t>
  </si>
  <si>
    <t>ES_0031566_HC17SG42RB_11062013032833_2670486</t>
  </si>
  <si>
    <t>ES_0031566_HC17SG42RB_12292013100417_2690593</t>
  </si>
  <si>
    <t>HC17SG42RW</t>
  </si>
  <si>
    <t>ES_0031566_HC17SG42RW_11062013032832_2670486</t>
  </si>
  <si>
    <t>HT18TS78**</t>
  </si>
  <si>
    <t>ES_0031566_HT18TS78**_07222014105058_2740118</t>
  </si>
  <si>
    <t>HT21TS78**</t>
  </si>
  <si>
    <t>HT21TS85**,HT21TS85**,</t>
  </si>
  <si>
    <t>ES_0031566_HT21TS78**_07222014105058_2740118</t>
  </si>
  <si>
    <t>Hanover</t>
  </si>
  <si>
    <t>HANRT10C*</t>
  </si>
  <si>
    <t>ES_1055302_HANRT10C*_07302014031206_2728755</t>
  </si>
  <si>
    <t>HANRT12C*</t>
  </si>
  <si>
    <t>ES_1055302_HANRT12C*_07302014031206_2728755</t>
  </si>
  <si>
    <t>RB14N6ASE</t>
  </si>
  <si>
    <t>ES_1110877_RB14N6ASE_08192014153924_2091028</t>
  </si>
  <si>
    <t>RB17N6ASE</t>
  </si>
  <si>
    <t>ES_1110877_RB17N6ASE_08192014154742_8918115</t>
  </si>
  <si>
    <t>RD-11DR1SA</t>
  </si>
  <si>
    <t>ES_1110877_RD-11DR1SA_05092014172614_7724115</t>
  </si>
  <si>
    <t>RD-46WC1H*</t>
  </si>
  <si>
    <t>RB13N1E*E</t>
  </si>
  <si>
    <t>ES_1110877_RD-46WC1H*_05092014163435_1682397</t>
  </si>
  <si>
    <t>RS-09DR1SS</t>
  </si>
  <si>
    <t>RR27D7ALE</t>
  </si>
  <si>
    <t>ES_1110877_RS-09DR1SS_02132014152440_8946344</t>
  </si>
  <si>
    <t>RS-13DR1SS</t>
  </si>
  <si>
    <t>RR35D7AWE</t>
  </si>
  <si>
    <t>ES_1110877_RS-13DR1SS_02262014102400_9552118</t>
  </si>
  <si>
    <t>RS-17DR1SA</t>
  </si>
  <si>
    <t>ES_1110877_RS-17DR1SA_02252014214137_1158563</t>
  </si>
  <si>
    <t>WHS-87LW1</t>
  </si>
  <si>
    <t>ES_1030337_WHS-87LW1_05062014012626_9586833</t>
  </si>
  <si>
    <t>WHS-95RB1</t>
  </si>
  <si>
    <t>ES_1030337_WHS-95RB1_05062014015708_1428781</t>
  </si>
  <si>
    <t>WHS-95RSS1</t>
  </si>
  <si>
    <t>ES_1030337_WHS-95RSS1_05062014015724_1444228</t>
  </si>
  <si>
    <t>WHS-95RW1</t>
  </si>
  <si>
    <t>ES_1030337_WHS-95RW1_05062014015654_1414782</t>
  </si>
  <si>
    <t>KFNS 37692 iDe</t>
  </si>
  <si>
    <t>ES_31629_KFNS 37692 iDe_08152014020158_2754362</t>
  </si>
  <si>
    <t>KNF 12823 SD edt/cs-2</t>
  </si>
  <si>
    <t>ES_31629_KNF 12823 SD edt/cs-2_08152014020158_2754362</t>
  </si>
  <si>
    <t>ONLY</t>
  </si>
  <si>
    <t>BCD-132FL</t>
  </si>
  <si>
    <t>ES_1120206_BCD-132FL_07072014113223_2305813</t>
  </si>
  <si>
    <t>PREMIUM</t>
  </si>
  <si>
    <t>PRN4550MW</t>
  </si>
  <si>
    <t>ES_1030337_PRN4550MW_12132013050733_2668645</t>
  </si>
  <si>
    <t>PRN4560MS</t>
  </si>
  <si>
    <t>ES_1030337_PRN4560MS_12132013050734_2668645</t>
  </si>
  <si>
    <t>Professional Series</t>
  </si>
  <si>
    <t>CE6124*ES</t>
  </si>
  <si>
    <t>ES_1092528_CE6124*ES_06182014190719_4960443</t>
  </si>
  <si>
    <t>RF23HC*DB**</t>
  </si>
  <si>
    <t>ES_1023593_RF23HCEDTSR_12062013112246_2670618</t>
  </si>
  <si>
    <t>RF23HC*DT**</t>
  </si>
  <si>
    <t>ES_1023593_RF23HCEDTSR_12062013112245_2670618</t>
  </si>
  <si>
    <t>RF23HS*SB**</t>
  </si>
  <si>
    <t>ES_1023593_RF23HS*SB**_02192014102605_2703028</t>
  </si>
  <si>
    <t>RF23HT*DB**</t>
  </si>
  <si>
    <t>ES_1023593_RF23HT*DB**_05302014021416_2732417</t>
  </si>
  <si>
    <t>RF24FS*DB**</t>
  </si>
  <si>
    <t>ES_1023593_RF24FS*DB**_12292013031325_8888888</t>
  </si>
  <si>
    <t>RF25HM*DB**</t>
  </si>
  <si>
    <t>ES_1023593_RF25HM*DB**_12292013030037_8888888</t>
  </si>
  <si>
    <t>RF260B*AE**</t>
  </si>
  <si>
    <t>ES_1023593_RF260B*AE**_12292013025749_2690169</t>
  </si>
  <si>
    <t>RF261BEAE**</t>
  </si>
  <si>
    <t>ES_1023593_RF261BEAE**_12292013025748_2690169</t>
  </si>
  <si>
    <t>RF261BIAESR</t>
  </si>
  <si>
    <t>ES_1023593_RF261BIAESR_12292013031326_8888888</t>
  </si>
  <si>
    <t>RF263B*AE**</t>
  </si>
  <si>
    <t>ES_1023593_RF263B*AE**_12292013025745_2690169</t>
  </si>
  <si>
    <t>RF263T*AE**</t>
  </si>
  <si>
    <t>ES_1023593_RF263T*AE**_12292013025744_2690169</t>
  </si>
  <si>
    <t>RF26HFPNB**</t>
  </si>
  <si>
    <t>ES_1023593_RF26HFPNB**_02202014104941_2703365</t>
  </si>
  <si>
    <t>RF28HD*DB**</t>
  </si>
  <si>
    <t>ES_1023593_RF28HD*DB**_02202014104943_2703365</t>
  </si>
  <si>
    <t>RF28HD*DT**</t>
  </si>
  <si>
    <t>ES_1023593_RF28HD*DT**_02202014104942_2703365</t>
  </si>
  <si>
    <t>RF28HF*DT**</t>
  </si>
  <si>
    <t>ES_1023593_RF28HF*DT**_12292013030036_8888888</t>
  </si>
  <si>
    <t>RF28HFEDB**</t>
  </si>
  <si>
    <t>ES_1023593_RF28HF*DB**_12292013030035_8888888</t>
  </si>
  <si>
    <t>RF28HFPDB**</t>
  </si>
  <si>
    <t>ES_1023593_RF28HFPDB**_03242014123349_2712428</t>
  </si>
  <si>
    <t>RF28HM*DB**</t>
  </si>
  <si>
    <t>ES_1023593_RF28HM*DB**_12292013030038_8888888</t>
  </si>
  <si>
    <t>RF28HM*LB**</t>
  </si>
  <si>
    <t>ES_1023593_RF28HM*LB**_03172014075736_2710459</t>
  </si>
  <si>
    <t>RF30HB*DB**</t>
  </si>
  <si>
    <t>ES_1023593_RF30HB*DB**_03172014075415_2710458</t>
  </si>
  <si>
    <t>RF30HD*DT**</t>
  </si>
  <si>
    <t>ES_1023593_RF30HD*DT**_03122014054400_2709526</t>
  </si>
  <si>
    <t>RF31FM*DB**</t>
  </si>
  <si>
    <t>ES_1023593_RF31FM*DB**_12292013031324_8888888</t>
  </si>
  <si>
    <t>RF31FM*SB**</t>
  </si>
  <si>
    <t>ES_1023593_RF31FM*SB**_12292013031323_8888888</t>
  </si>
  <si>
    <t>RF323T*DB**</t>
  </si>
  <si>
    <t>ES_1023593_RF323T*DB**_12292013025746_2690169</t>
  </si>
  <si>
    <t>RF32FM*DB**</t>
  </si>
  <si>
    <t>ES_1023593_RF32FM*DB**_12292013025747_2690169</t>
  </si>
  <si>
    <t>RF34H9950**</t>
  </si>
  <si>
    <t>ES_1023593_RF34H9950**_01212014042442_2695937</t>
  </si>
  <si>
    <t>RF34H9960**</t>
  </si>
  <si>
    <t>ES_1023593_RF34H9960**_01212014042441_2695937</t>
  </si>
  <si>
    <t>RH22H9010*</t>
  </si>
  <si>
    <t>ES_1023593_RH22H9010*_02082014020018_2700516</t>
  </si>
  <si>
    <t>RH29H9000**</t>
  </si>
  <si>
    <t>ES_1023593_RH29H9000**_02082014020019_2700516</t>
  </si>
  <si>
    <t>RL220N*TA**</t>
  </si>
  <si>
    <t>ES_1023593_RL220N*TA**_08252014032519_2756802</t>
  </si>
  <si>
    <t>RL225N*TA**</t>
  </si>
  <si>
    <t>ES_1023593_RL225N*TA**_08252014032519_2756802</t>
  </si>
  <si>
    <t>RS22HD*PN**</t>
  </si>
  <si>
    <t>ES_1023593_RS22HD*PN**_12062013112247_2670618</t>
  </si>
  <si>
    <t>RS25H5111**</t>
  </si>
  <si>
    <t>ES_1023593_RS25H5111**_12292013025028_8888888</t>
  </si>
  <si>
    <t>RS25H5121**</t>
  </si>
  <si>
    <t>ES_1023593_RS25H5121**_12292013025027_8888888</t>
  </si>
  <si>
    <t>Silhouette Professional</t>
  </si>
  <si>
    <t>ES_0031682_DAR055D1BSSPR_04212014124138_2719894</t>
  </si>
  <si>
    <t>ES_0031682_DAR055D1BSSPRO_04212014124139_2719894</t>
  </si>
  <si>
    <t>snack mate by MICROFRIDGE</t>
  </si>
  <si>
    <t>2.6SM4R</t>
  </si>
  <si>
    <t>ES_0031682_2.6SM4R_06102014033951_2718267</t>
  </si>
  <si>
    <t>3.2SM4RA</t>
  </si>
  <si>
    <t>ES_0031682_3.2SM4RA_06102014033951_2718267</t>
  </si>
  <si>
    <t>3.3SM4R</t>
  </si>
  <si>
    <t>ES_0031682_3.3SM4R_06102014033951_2718267</t>
  </si>
  <si>
    <t>SPT</t>
  </si>
  <si>
    <t>RF-164SS</t>
  </si>
  <si>
    <t>ES_1084573_RF-164SS_05052014183116_4676189</t>
  </si>
  <si>
    <t>RF-244SS</t>
  </si>
  <si>
    <t>ES_1084573_RF-244SS_05052014182558_4358510</t>
  </si>
  <si>
    <t>RF-244W</t>
  </si>
  <si>
    <t>ES_1084573_RF-244W_05052014182507_4307271</t>
  </si>
  <si>
    <t>RF-314SS</t>
  </si>
  <si>
    <t>ES_1084573_RF-314SS_05052014184937_5777885</t>
  </si>
  <si>
    <t>RF-314W</t>
  </si>
  <si>
    <t>ES_1084573_RF-314W_05052014184921_5761135</t>
  </si>
  <si>
    <t>RF-334SS</t>
  </si>
  <si>
    <t>ES_1084573_RF-334SS_05052014183438_4878483</t>
  </si>
  <si>
    <t>RF-444SS</t>
  </si>
  <si>
    <t>ES_1084573_RF-444SS_05052014184012_5212372</t>
  </si>
  <si>
    <t>Sub-Zero</t>
  </si>
  <si>
    <t>IC-24R</t>
  </si>
  <si>
    <t>ES_0031863_IC-24R_05222014030921_2730201</t>
  </si>
  <si>
    <t>IC-30R**</t>
  </si>
  <si>
    <t>ES_0031863_IC-30R**_05222014030921_2730201</t>
  </si>
  <si>
    <t>ID-24R</t>
  </si>
  <si>
    <t>ES_0031863_ID-24R_04302014021434_2723809</t>
  </si>
  <si>
    <t>ID-27R</t>
  </si>
  <si>
    <t>ES_0031863_ID-27R_05222014030921_2730201</t>
  </si>
  <si>
    <t>ID-30C</t>
  </si>
  <si>
    <t>ES_0031863_ID-30C_04302014021436_2723809</t>
  </si>
  <si>
    <t>ID-30CI</t>
  </si>
  <si>
    <t>ES_0031863_ID-30CI_04302014021435_2723809</t>
  </si>
  <si>
    <t>ID-30R*</t>
  </si>
  <si>
    <t>ES_0031863_ID-30R*_04302014021438_2723809</t>
  </si>
  <si>
    <t>ID-36R*</t>
  </si>
  <si>
    <t>ES_0031863_ID-36R*_05222014030921_2730201</t>
  </si>
  <si>
    <t>IT-30CI**</t>
  </si>
  <si>
    <t>ES_0031863_IT-30CI**_05222014030921_2730201</t>
  </si>
  <si>
    <t>IT-30R**</t>
  </si>
  <si>
    <t>ES_0031863_IT-30R**_04012014030045_2716302</t>
  </si>
  <si>
    <t>IT-36CI**</t>
  </si>
  <si>
    <t>ES_0031863_IT-36CI**_05222014030921_2730201</t>
  </si>
  <si>
    <t>IT-36R**</t>
  </si>
  <si>
    <t>ES_0031863_IT-36R**_05222014030921_2730201</t>
  </si>
  <si>
    <t>Summit</t>
  </si>
  <si>
    <t>CP351W</t>
  </si>
  <si>
    <t>ES_0092282_CP351W_08272014021903_2752402</t>
  </si>
  <si>
    <t>FF412ES</t>
  </si>
  <si>
    <t>ES_0092282_FF412ES_08272014021903_2752402</t>
  </si>
  <si>
    <t>FF433ES</t>
  </si>
  <si>
    <t>ES_0092282_FF433ES_08272014021903_2752402</t>
  </si>
  <si>
    <t>FF71ES</t>
  </si>
  <si>
    <t>ES_0092282_FF71ES_08272014021903_2752402</t>
  </si>
  <si>
    <t>FF73</t>
  </si>
  <si>
    <t>ES_92282_FF73_06252014162932_6238824</t>
  </si>
  <si>
    <t>Tatung</t>
  </si>
  <si>
    <t>TR-3HS</t>
  </si>
  <si>
    <t>ES_20405_TR-3HS_02252014211811_7203180</t>
  </si>
  <si>
    <t>TR-5HS</t>
  </si>
  <si>
    <t>ES_20405_TR-5HS_02262014102400_8603479</t>
  </si>
  <si>
    <t>TR-7HS</t>
  </si>
  <si>
    <t>ES_20405_TR-7HS_02252014214137_1272813</t>
  </si>
  <si>
    <t>Vissani</t>
  </si>
  <si>
    <t>HVDR430*</t>
  </si>
  <si>
    <t>ES_1107227_HVDR430*_04092014122924_2713978</t>
  </si>
  <si>
    <t>Wanbao</t>
  </si>
  <si>
    <t>WD-125FWE</t>
  </si>
  <si>
    <t>ES_1096578_WD-125FWE_04252014164850_8197442</t>
  </si>
  <si>
    <t>WH43S1E</t>
  </si>
  <si>
    <t>ES_1108549_WH43S1E_03122014054516_2688030</t>
  </si>
  <si>
    <t>WH43S2QE</t>
  </si>
  <si>
    <t>ES_1108549_WH43S2QE_03122014054517_2688030</t>
  </si>
  <si>
    <t>WRB119WFB*</t>
  </si>
  <si>
    <t>ES_0022856_KBFS25EC*_03282014113820_2714961</t>
  </si>
  <si>
    <t>WRB322DMB</t>
  </si>
  <si>
    <t>ES_0022856_WRB322DMB_03282014113827_2714961</t>
  </si>
  <si>
    <t>WRB329DMB*</t>
  </si>
  <si>
    <t>ES_0022856_WRF535SWB*_03282014113818_2714961</t>
  </si>
  <si>
    <t>WRB329*FB*</t>
  </si>
  <si>
    <t>ES_0022856_MFF2558DE*_03282014113819_2714961</t>
  </si>
  <si>
    <t>WRB551WNBS</t>
  </si>
  <si>
    <t>ES_22856_WRB551WNBS_08132014180745_3265598</t>
  </si>
  <si>
    <t>WRF532SMB*</t>
  </si>
  <si>
    <t>ES_0022856_WRF532SMB*_03282014113840_2714961</t>
  </si>
  <si>
    <t>WRF532SNB*</t>
  </si>
  <si>
    <t>ES_0022856_WRF532SNB*_03282014113841_2714961</t>
  </si>
  <si>
    <t>WRF535SMB*</t>
  </si>
  <si>
    <t>ES_0022856_WRF535SMB*_03282014113843_2714961</t>
  </si>
  <si>
    <t>WRF535SWB*</t>
  </si>
  <si>
    <t>ES_0022856_WRF535SWB*_03282014113830_2714961</t>
  </si>
  <si>
    <t>WRF540CWB*</t>
  </si>
  <si>
    <t>ES_0022856_WRF540CWB*_03282014113835_2714961</t>
  </si>
  <si>
    <t>WRF736SDA*</t>
  </si>
  <si>
    <t>ES_22856_WRF736SDA*_08082014033533_2752426</t>
  </si>
  <si>
    <t>WRS386FID*</t>
  </si>
  <si>
    <t>ES_0022856_WRS386FID*_09092014043753_2760577</t>
  </si>
  <si>
    <t>WRS586FLD*</t>
  </si>
  <si>
    <t>ES_0022856_WRS586FLD*_09092014043753_2760577</t>
  </si>
  <si>
    <t>WRT134TFD*0*</t>
  </si>
  <si>
    <t>ES_0022856_WRT134TFD*0*_07032014112129_2742899</t>
  </si>
  <si>
    <t>WRT138FZD*</t>
  </si>
  <si>
    <t>ES_0022856_WRT138FZD*_08292014120532_2758676</t>
  </si>
  <si>
    <t>WRT148FZD*</t>
  </si>
  <si>
    <t>ES_0022856_WRT148FZD*_08292014120532_2758676</t>
  </si>
  <si>
    <t>WRT541SZD*0*</t>
  </si>
  <si>
    <t>ES_0022856_WRT541SZD*0*_08292014120532_2758676</t>
  </si>
  <si>
    <t>WRT549SZD*</t>
  </si>
  <si>
    <t>ES_0022856_WRT549SZD*_09092014043753_2760577</t>
  </si>
  <si>
    <t>White-Westinghouse</t>
  </si>
  <si>
    <t>WRD01W3MMW</t>
  </si>
  <si>
    <t>ES_1021080_WRD01W3MMW_05052014232821_2501927</t>
  </si>
  <si>
    <t>WRD04W3MMG</t>
  </si>
  <si>
    <t>ES_1021080_WRD04W3MMG_05052014232856_2536187</t>
  </si>
  <si>
    <t>WRD04W3MMW</t>
  </si>
  <si>
    <t>ES_1021080_WRD04W3MMW_05052014232838_2518513</t>
  </si>
  <si>
    <t>Interaction factors for analysis</t>
  </si>
  <si>
    <t>% in Conditioned Space (from RBSA)</t>
  </si>
  <si>
    <t>HVAC Interaction (therms/kWh)</t>
  </si>
  <si>
    <t>HVAC Interaction (RTF SIW Interaction Factors for Lighting)</t>
  </si>
  <si>
    <t>From RBSA 2011, SF Database</t>
  </si>
  <si>
    <t>http://neea.org/docs/default-source/rbsa/2011-rbsa-single-family-database.zip?sfvrsn=4</t>
  </si>
  <si>
    <t>Unique Styles</t>
  </si>
  <si>
    <t>RBSA</t>
  </si>
  <si>
    <t>RTF Analysis</t>
  </si>
  <si>
    <t>Style</t>
  </si>
  <si>
    <t>Is Freezer Only?</t>
  </si>
  <si>
    <t>siteid</t>
  </si>
  <si>
    <t>refrigerator_it</t>
  </si>
  <si>
    <t>GeneralNotes</t>
  </si>
  <si>
    <t>RefEStar</t>
  </si>
  <si>
    <t>RefIcemaker</t>
  </si>
  <si>
    <t>RefIcemakerWorks</t>
  </si>
  <si>
    <t>RefLocation</t>
  </si>
  <si>
    <t>RefManufacturer</t>
  </si>
  <si>
    <t>RefModel</t>
  </si>
  <si>
    <t>RefStyle</t>
  </si>
  <si>
    <t>RefUse</t>
  </si>
  <si>
    <t>RefVolume</t>
  </si>
  <si>
    <t>RefYear</t>
  </si>
  <si>
    <t>Is Compact?</t>
  </si>
  <si>
    <t>Is Freezer Only</t>
  </si>
  <si>
    <t>Location</t>
  </si>
  <si>
    <t># of Refrigerators / Freezers</t>
  </si>
  <si>
    <t>Freezer, chest</t>
  </si>
  <si>
    <t>YES</t>
  </si>
  <si>
    <t/>
  </si>
  <si>
    <t>False</t>
  </si>
  <si>
    <t>None</t>
  </si>
  <si>
    <t>Conditioned</t>
  </si>
  <si>
    <t>lch0501pw</t>
  </si>
  <si>
    <t>Freezer Only</t>
  </si>
  <si>
    <t>All</t>
  </si>
  <si>
    <t>% Conditioned</t>
  </si>
  <si>
    <t>R/F Top freezer</t>
  </si>
  <si>
    <t>NO</t>
  </si>
  <si>
    <t>Kitchen Aid</t>
  </si>
  <si>
    <t>ktrp18kdwho3</t>
  </si>
  <si>
    <t>R/F Side by Side</t>
  </si>
  <si>
    <t>Through Door</t>
  </si>
  <si>
    <t>True</t>
  </si>
  <si>
    <t>363.59522994</t>
  </si>
  <si>
    <t>Freezer, upright</t>
  </si>
  <si>
    <t>Unconditioned</t>
  </si>
  <si>
    <t>P/N 118033</t>
  </si>
  <si>
    <t>R/F Bottom freezer</t>
  </si>
  <si>
    <t>SZD25NW</t>
  </si>
  <si>
    <t>Side By Side w/ Bottom Freezer</t>
  </si>
  <si>
    <t>795.71012.010</t>
  </si>
  <si>
    <t>Full Size Single Refridgerator Only</t>
  </si>
  <si>
    <t>In Freezer</t>
  </si>
  <si>
    <t>106.72292201</t>
  </si>
  <si>
    <t>9631611</t>
  </si>
  <si>
    <t>ffu1152dw4</t>
  </si>
  <si>
    <t>arb8057cw</t>
  </si>
  <si>
    <t>253.9262010</t>
  </si>
  <si>
    <t>could not find</t>
  </si>
  <si>
    <t>ASD2624HEW</t>
  </si>
  <si>
    <t>MFD2562VEW2</t>
  </si>
  <si>
    <t>CTX18CLB</t>
  </si>
  <si>
    <t>SSD22NW</t>
  </si>
  <si>
    <t>Sears</t>
  </si>
  <si>
    <t>253.9284213</t>
  </si>
  <si>
    <t>10651254102</t>
  </si>
  <si>
    <t>ctx14cazfrwh</t>
  </si>
  <si>
    <t>253.44383400</t>
  </si>
  <si>
    <t>59212990</t>
  </si>
  <si>
    <t>363.8691512</t>
  </si>
  <si>
    <t>ed22dqxbw01</t>
  </si>
  <si>
    <t>Magic  Chef</t>
  </si>
  <si>
    <t>000</t>
  </si>
  <si>
    <t>CSX20EAS</t>
  </si>
  <si>
    <t>644.73871</t>
  </si>
  <si>
    <t>106.72104107</t>
  </si>
  <si>
    <t>mfi2269vew1</t>
  </si>
  <si>
    <t>General Electric</t>
  </si>
  <si>
    <t>CA13DWE</t>
  </si>
  <si>
    <t>CSF24DCB</t>
  </si>
  <si>
    <t>lmx25984sb/00</t>
  </si>
  <si>
    <t>BG21V1W</t>
  </si>
  <si>
    <t>106.724251</t>
  </si>
  <si>
    <t>PLHT217TAB2</t>
  </si>
  <si>
    <t>MFC05M1FW1</t>
  </si>
  <si>
    <t>TX18VW</t>
  </si>
  <si>
    <t>GTR11AAPBRWW</t>
  </si>
  <si>
    <t>GR2SHTXML00</t>
  </si>
  <si>
    <t>TAX10SNTCRWH</t>
  </si>
  <si>
    <t>FCM7HDNAWH</t>
  </si>
  <si>
    <t>RT19F9WT3B</t>
  </si>
  <si>
    <t>FRS6HR5HW6</t>
  </si>
  <si>
    <t>E522BRX</t>
  </si>
  <si>
    <t>KBF520ETSS01</t>
  </si>
  <si>
    <t>59665934402</t>
  </si>
  <si>
    <t>mrt188scw6</t>
  </si>
  <si>
    <t>wwht2126lw2</t>
  </si>
  <si>
    <t>105.61282101</t>
  </si>
  <si>
    <t>363.9612716</t>
  </si>
  <si>
    <t>psh23psra sv</t>
  </si>
  <si>
    <t>2539366281</t>
  </si>
  <si>
    <t>GTL21KBWBS</t>
  </si>
  <si>
    <t>CTX18EABKRWW</t>
  </si>
  <si>
    <t>ET20RKXZWW00</t>
  </si>
  <si>
    <t>ET18PKXAW00</t>
  </si>
  <si>
    <t>ffu14m5hwa</t>
  </si>
  <si>
    <t>TFX26KPDAWW</t>
  </si>
  <si>
    <t>420640TFU20BW</t>
  </si>
  <si>
    <t>CTHY14CRLRWH</t>
  </si>
  <si>
    <t>LFX25971ST</t>
  </si>
  <si>
    <t>TC20D</t>
  </si>
  <si>
    <t>NO SERIAL NUMBER VISIBLE</t>
  </si>
  <si>
    <t>69461</t>
  </si>
  <si>
    <t>10652582202</t>
  </si>
  <si>
    <t>frs3r5emb8</t>
  </si>
  <si>
    <t>106. 8601380</t>
  </si>
  <si>
    <t>NO NAME PLATE AVAILABLE . ICED OVER INSIDE.</t>
  </si>
  <si>
    <t>Kelvinator</t>
  </si>
  <si>
    <t>363.68162892</t>
  </si>
  <si>
    <t>frs22pr</t>
  </si>
  <si>
    <t>gr2fhtxvooo</t>
  </si>
  <si>
    <t>tbx145axkrwh</t>
  </si>
  <si>
    <t>ktrpl8kdal07</t>
  </si>
  <si>
    <t>ARB2557CB</t>
  </si>
  <si>
    <t>KFIS25XVMS</t>
  </si>
  <si>
    <t>MF D2562VEB0</t>
  </si>
  <si>
    <t>arb2217cw</t>
  </si>
  <si>
    <t>RF266AERS</t>
  </si>
  <si>
    <t>arb221kb</t>
  </si>
  <si>
    <t>fr139072</t>
  </si>
  <si>
    <t>PFSS5NJXA</t>
  </si>
  <si>
    <t>596.72212200</t>
  </si>
  <si>
    <t>TBX21JABLRAA</t>
  </si>
  <si>
    <t>RB215LASH</t>
  </si>
  <si>
    <t>106 9532820</t>
  </si>
  <si>
    <t>ed25texhw92</t>
  </si>
  <si>
    <t>ET1BPKXFW01</t>
  </si>
  <si>
    <t>10658976701</t>
  </si>
  <si>
    <t>2539668091</t>
  </si>
  <si>
    <t>glr234zab2</t>
  </si>
  <si>
    <t>ksrp22fnbt00</t>
  </si>
  <si>
    <t>KFCS22EVBLO</t>
  </si>
  <si>
    <t>gt17a7a</t>
  </si>
  <si>
    <t>W8RXNGMWD02</t>
  </si>
  <si>
    <t>LFFC09M5HWN</t>
  </si>
  <si>
    <t>KSBP25INSS01</t>
  </si>
  <si>
    <t>U-line</t>
  </si>
  <si>
    <t>U117WCS01</t>
  </si>
  <si>
    <t>KTRS19KMWH00</t>
  </si>
  <si>
    <t>er6ahkxpq02</t>
  </si>
  <si>
    <t>Sanyo</t>
  </si>
  <si>
    <t>253.9262011</t>
  </si>
  <si>
    <t>ser # 073742BQ300098B  Samsung not in appliance decoder.</t>
  </si>
  <si>
    <t>RF266ABPN</t>
  </si>
  <si>
    <t>fridge 18.5cuft</t>
  </si>
  <si>
    <t>106.63832301</t>
  </si>
  <si>
    <t>hts22gbmarww</t>
  </si>
  <si>
    <t>10o6.50582001</t>
  </si>
  <si>
    <t>106.9751782</t>
  </si>
  <si>
    <t>E12CS55GS3</t>
  </si>
  <si>
    <t>frt18nncw2</t>
  </si>
  <si>
    <t>596.73509203</t>
  </si>
  <si>
    <t>ctx17BAZDRAD</t>
  </si>
  <si>
    <t>363.9522750</t>
  </si>
  <si>
    <t>LFFU14F5HWG</t>
  </si>
  <si>
    <t>253.77173509</t>
  </si>
  <si>
    <t>csx22ga</t>
  </si>
  <si>
    <t>ABB2224DEQ</t>
  </si>
  <si>
    <t>MRT15CNEWA</t>
  </si>
  <si>
    <t>TT14DKXKQ000</t>
  </si>
  <si>
    <t>363.77962790</t>
  </si>
  <si>
    <t>85171</t>
  </si>
  <si>
    <t>106.74942401</t>
  </si>
  <si>
    <t>ED2KHAXVT01</t>
  </si>
  <si>
    <t>ET1FTKXK009</t>
  </si>
  <si>
    <t>MSD2651KES</t>
  </si>
  <si>
    <t>DUF44WDD</t>
  </si>
  <si>
    <t>PTC22MFMARWW</t>
  </si>
  <si>
    <t>363. 9771612</t>
  </si>
  <si>
    <t>106.628220</t>
  </si>
  <si>
    <t>frs26r4ab5</t>
  </si>
  <si>
    <t>arb2117aw0</t>
  </si>
  <si>
    <t>KBSLS20ETSS01</t>
  </si>
  <si>
    <t>lfd21860st</t>
  </si>
  <si>
    <t>ER8AHMXRL01</t>
  </si>
  <si>
    <t>9622680</t>
  </si>
  <si>
    <t>253.14502103</t>
  </si>
  <si>
    <t>RT18AKXKQ01</t>
  </si>
  <si>
    <t>rt251099</t>
  </si>
  <si>
    <t>TVX22PRYGLAA</t>
  </si>
  <si>
    <t>BX21TL</t>
  </si>
  <si>
    <t>FFU1724DW8</t>
  </si>
  <si>
    <t>12819165CT</t>
  </si>
  <si>
    <t>Kirkland</t>
  </si>
  <si>
    <t>106.95457551</t>
  </si>
  <si>
    <t>ssd10dmp</t>
  </si>
  <si>
    <t>ffu1764dw4</t>
  </si>
  <si>
    <t>can't read</t>
  </si>
  <si>
    <t>106.56834603</t>
  </si>
  <si>
    <t>ARS2665AW0</t>
  </si>
  <si>
    <t>AFU1504AW</t>
  </si>
  <si>
    <t>kbfa25erss01</t>
  </si>
  <si>
    <t>mzd2766ge</t>
  </si>
  <si>
    <t>CA 21 OLD</t>
  </si>
  <si>
    <t>w8txngfw001</t>
  </si>
  <si>
    <t>Gibson</t>
  </si>
  <si>
    <t>fv16m6wt</t>
  </si>
  <si>
    <t>TCD18PADBWW</t>
  </si>
  <si>
    <t>ksrk25fvms01</t>
  </si>
  <si>
    <t>frt17g4bw9</t>
  </si>
  <si>
    <t>LFFU14F5HWH</t>
  </si>
  <si>
    <t>FRT21G3HWO</t>
  </si>
  <si>
    <t>hts17gbsarwws</t>
  </si>
  <si>
    <t>ARB1905CC</t>
  </si>
  <si>
    <t>PSF22MBS</t>
  </si>
  <si>
    <t>CTA12CRB</t>
  </si>
  <si>
    <t>106.54783803</t>
  </si>
  <si>
    <t>tbx25prbslbb</t>
  </si>
  <si>
    <t>on back of fridge</t>
  </si>
  <si>
    <t>older name plate not accessible</t>
  </si>
  <si>
    <t>ESV20HW</t>
  </si>
  <si>
    <t>no info</t>
  </si>
  <si>
    <t>60852990</t>
  </si>
  <si>
    <t>tff22ra</t>
  </si>
  <si>
    <t>ctx25gmr</t>
  </si>
  <si>
    <t>nt19l6</t>
  </si>
  <si>
    <t>106.9550710</t>
  </si>
  <si>
    <t>12EC86-4</t>
  </si>
  <si>
    <t>MZD2752GRW</t>
  </si>
  <si>
    <t>UFS211MM0W</t>
  </si>
  <si>
    <t>795.71023.010</t>
  </si>
  <si>
    <t>serial # 0604009320</t>
  </si>
  <si>
    <t>Igloo</t>
  </si>
  <si>
    <t>FR280</t>
  </si>
  <si>
    <t>FFU14FC4 W7</t>
  </si>
  <si>
    <t>CFCP1NIXA SS</t>
  </si>
  <si>
    <t>GTS18GCSBRBB</t>
  </si>
  <si>
    <t>no nameplate</t>
  </si>
  <si>
    <t>FUM21SVCRWW</t>
  </si>
  <si>
    <t>ED25DWXTW03</t>
  </si>
  <si>
    <t>GD5SHAXLQ02</t>
  </si>
  <si>
    <t>650/F</t>
  </si>
  <si>
    <t>ARS2464BS</t>
  </si>
  <si>
    <t>ED5HVEXV002</t>
  </si>
  <si>
    <t>Roper</t>
  </si>
  <si>
    <t>RT18DRXXW00</t>
  </si>
  <si>
    <t>mbb1956gew</t>
  </si>
  <si>
    <t>8X2ORW</t>
  </si>
  <si>
    <t>rt18dkxal00</t>
  </si>
  <si>
    <t>550</t>
  </si>
  <si>
    <t>frt1885jw4</t>
  </si>
  <si>
    <t>253.64812406</t>
  </si>
  <si>
    <t>5.6cu ft</t>
  </si>
  <si>
    <t>255.19502010</t>
  </si>
  <si>
    <t>W8TXNGMWQ01</t>
  </si>
  <si>
    <t>GLRS64ZEW7</t>
  </si>
  <si>
    <t>ED22TEXHN00</t>
  </si>
  <si>
    <t>GX5SHDXVQ01</t>
  </si>
  <si>
    <t>23738</t>
  </si>
  <si>
    <t>kbfs25evmos</t>
  </si>
  <si>
    <t>tax4anxdwn</t>
  </si>
  <si>
    <t>106.62852100</t>
  </si>
  <si>
    <t>GLRT185TDS0</t>
  </si>
  <si>
    <t>fthd18p4kw1</t>
  </si>
  <si>
    <t>tfx26ppda</t>
  </si>
  <si>
    <t>MTB1956GEW</t>
  </si>
  <si>
    <t>GD5RHAXNQ00</t>
  </si>
  <si>
    <t>ET18NKXFW8</t>
  </si>
  <si>
    <t>2537184210c</t>
  </si>
  <si>
    <t>jcd2389ge</t>
  </si>
  <si>
    <t>000000</t>
  </si>
  <si>
    <t>363.9761514</t>
  </si>
  <si>
    <t>g7s18fbmfrww</t>
  </si>
  <si>
    <t>ff15b</t>
  </si>
  <si>
    <t>CTX14CA7BLAD</t>
  </si>
  <si>
    <t>363.9514711</t>
  </si>
  <si>
    <t>tx18vw</t>
  </si>
  <si>
    <t>ffco723dw17</t>
  </si>
  <si>
    <t>632/S</t>
  </si>
  <si>
    <t>tg18rbl</t>
  </si>
  <si>
    <t>253.9165510</t>
  </si>
  <si>
    <t>GTS18HCRERWW</t>
  </si>
  <si>
    <t>GTS18GBSARCC</t>
  </si>
  <si>
    <t>10650562991</t>
  </si>
  <si>
    <t>GSH25JFXN WW</t>
  </si>
  <si>
    <t>GTS17BBSAZCC</t>
  </si>
  <si>
    <t>ET20DKXVW04</t>
  </si>
  <si>
    <t>MFI2569VEM1</t>
  </si>
  <si>
    <t>ASD2324HEB</t>
  </si>
  <si>
    <t>ARB8057CC</t>
  </si>
  <si>
    <t>GFC05M3EW4</t>
  </si>
  <si>
    <t>253.37842892</t>
  </si>
  <si>
    <t>FRT17L3FW2</t>
  </si>
  <si>
    <t>253.21211101</t>
  </si>
  <si>
    <t>rt12vkxkq00</t>
  </si>
  <si>
    <t>SR-3660S</t>
  </si>
  <si>
    <t>PHS69EJSSO</t>
  </si>
  <si>
    <t>kbfs20etss01</t>
  </si>
  <si>
    <t>ctx14cabnrww</t>
  </si>
  <si>
    <t>POS22SFSBRSS</t>
  </si>
  <si>
    <t>TDX18DBP</t>
  </si>
  <si>
    <t>jfc2089hes;</t>
  </si>
  <si>
    <t>no nameplate available. age based on age of home.</t>
  </si>
  <si>
    <t>Viking</t>
  </si>
  <si>
    <t>no nameplate visible. model number of info sheet, age based on participant response</t>
  </si>
  <si>
    <t>21680550a</t>
  </si>
  <si>
    <t>GTL18JCPBRBS</t>
  </si>
  <si>
    <t>nameplate not available. Wine fridge.</t>
  </si>
  <si>
    <t>Vinotemp</t>
  </si>
  <si>
    <t>FRT21LR8DK9</t>
  </si>
  <si>
    <t>Admiral</t>
  </si>
  <si>
    <t>abb2527dew</t>
  </si>
  <si>
    <t>mff2558vebo</t>
  </si>
  <si>
    <t>CTX25GMR</t>
  </si>
  <si>
    <t>unk Sanyo</t>
  </si>
  <si>
    <t>ed20db</t>
  </si>
  <si>
    <t>2009</t>
  </si>
  <si>
    <t>106955923</t>
  </si>
  <si>
    <t>mfu12mobw3</t>
  </si>
  <si>
    <t>MRT18DNEW1</t>
  </si>
  <si>
    <t>Old.  Nameplate non-existent.</t>
  </si>
  <si>
    <t>MBFS25EVMS00</t>
  </si>
  <si>
    <t>253.26072101</t>
  </si>
  <si>
    <t>10678214800</t>
  </si>
  <si>
    <t>xx00xx00</t>
  </si>
  <si>
    <t>SR25GL</t>
  </si>
  <si>
    <t>pdssomfxbrss</t>
  </si>
  <si>
    <t>2536419240g</t>
  </si>
  <si>
    <t>fvj190w2</t>
  </si>
  <si>
    <t>rb17fa-2a</t>
  </si>
  <si>
    <t>mrt18bscw6</t>
  </si>
  <si>
    <t>aff2534feb1</t>
  </si>
  <si>
    <t>TBX19QABRRWW</t>
  </si>
  <si>
    <t>79577242602</t>
  </si>
  <si>
    <t>eh23ofxp</t>
  </si>
  <si>
    <t>MITXEMMW00</t>
  </si>
  <si>
    <t>FRS20WR</t>
  </si>
  <si>
    <t>SSX22GRB6WW</t>
  </si>
  <si>
    <t xml:space="preserve">model #48B-01226, not represented in decoder ,actuall 4.6 cu ft </t>
  </si>
  <si>
    <t>Montgomery Ward</t>
  </si>
  <si>
    <t>FFT-8013-00B</t>
  </si>
  <si>
    <t>WRT8A1EW4</t>
  </si>
  <si>
    <t>FFHT1817LB3//</t>
  </si>
  <si>
    <t>MFF2258VEW2</t>
  </si>
  <si>
    <t>BF0AH0E0100</t>
  </si>
  <si>
    <t>253.9289110</t>
  </si>
  <si>
    <t>ST14CKXHW00</t>
  </si>
  <si>
    <t>TBX21MASRRAD</t>
  </si>
  <si>
    <t>106.8692211</t>
  </si>
  <si>
    <t>106.52272201</t>
  </si>
  <si>
    <t>251.21201100</t>
  </si>
  <si>
    <t>KCS25INSS01</t>
  </si>
  <si>
    <t>10677861791</t>
  </si>
  <si>
    <t>0000</t>
  </si>
  <si>
    <t>gsl25jfpcbs</t>
  </si>
  <si>
    <t>UFS16N-WX2</t>
  </si>
  <si>
    <t>BX20QW</t>
  </si>
  <si>
    <t>mf2558veb</t>
  </si>
  <si>
    <t>P1196508WW</t>
  </si>
  <si>
    <t>253.28262802</t>
  </si>
  <si>
    <t>CA16SMCRWH</t>
  </si>
  <si>
    <t>FRT17G4BW9</t>
  </si>
  <si>
    <t>106.6422170</t>
  </si>
  <si>
    <t>HTS16GBRFRWW</t>
  </si>
  <si>
    <t>CTB1821ARW</t>
  </si>
  <si>
    <t>3639762811</t>
  </si>
  <si>
    <t>SQ025MB4W</t>
  </si>
  <si>
    <t>HTH17CBT2RWW</t>
  </si>
  <si>
    <t>FFU17F5HWG</t>
  </si>
  <si>
    <t>lfc20760st</t>
  </si>
  <si>
    <t>LRSC26925TT</t>
  </si>
  <si>
    <t>MTB24550PW</t>
  </si>
  <si>
    <t>ed5fhaxso02</t>
  </si>
  <si>
    <t>TBF16SAB</t>
  </si>
  <si>
    <t>106.625222</t>
  </si>
  <si>
    <t>ASD2626HEW</t>
  </si>
  <si>
    <t>SR2149455</t>
  </si>
  <si>
    <t>FRS26LH5DSB</t>
  </si>
  <si>
    <t>GB2FHDXWQ01</t>
  </si>
  <si>
    <t>rf217abpn</t>
  </si>
  <si>
    <t>KSRG22FKSS04</t>
  </si>
  <si>
    <t>mbf1956keq2</t>
  </si>
  <si>
    <t>tg18rl</t>
  </si>
  <si>
    <t>SK3328559</t>
  </si>
  <si>
    <t>UL5000ECW4</t>
  </si>
  <si>
    <t>50582001</t>
  </si>
  <si>
    <t>ffc09jk0bw0</t>
  </si>
  <si>
    <t>mf12266aeb</t>
  </si>
  <si>
    <t>tr21v2l</t>
  </si>
  <si>
    <t>253.63883302</t>
  </si>
  <si>
    <t>HSM25GFTASA</t>
  </si>
  <si>
    <t>253.21721103</t>
  </si>
  <si>
    <t>PLHT217TAK2</t>
  </si>
  <si>
    <t>511</t>
  </si>
  <si>
    <t>106.724530</t>
  </si>
  <si>
    <t>650/S</t>
  </si>
  <si>
    <t>GR2FHTXVO00</t>
  </si>
  <si>
    <t>KSR922KGW04</t>
  </si>
  <si>
    <t>fvb16cvb</t>
  </si>
  <si>
    <t>et18pkxfn0</t>
  </si>
  <si>
    <t>FRT18S6AW9</t>
  </si>
  <si>
    <t>ET18GTX</t>
  </si>
  <si>
    <t>25366873502</t>
  </si>
  <si>
    <t>PFCS1NJWASS</t>
  </si>
  <si>
    <t>fpem18f</t>
  </si>
  <si>
    <t>ffu13m2hw0</t>
  </si>
  <si>
    <t>263.16922102</t>
  </si>
  <si>
    <t>FRT22IRSHK0</t>
  </si>
  <si>
    <t>mfc07m3fw1</t>
  </si>
  <si>
    <t>2536482340g</t>
  </si>
  <si>
    <t>105.70192000</t>
  </si>
  <si>
    <t>JCPenny</t>
  </si>
  <si>
    <t>1416</t>
  </si>
  <si>
    <t>106.76934400</t>
  </si>
  <si>
    <t>ksrg25evms05</t>
  </si>
  <si>
    <t>106.70287990</t>
  </si>
  <si>
    <t>36367962790</t>
  </si>
  <si>
    <t>TBXZKB</t>
  </si>
  <si>
    <t>et1phkxpq08</t>
  </si>
  <si>
    <t>frig in garage could not find lable</t>
  </si>
  <si>
    <t>0</t>
  </si>
  <si>
    <t>105.60262990</t>
  </si>
  <si>
    <t>ATB1836ARS</t>
  </si>
  <si>
    <t>MXD2768GE</t>
  </si>
  <si>
    <t>ARB2117BB</t>
  </si>
  <si>
    <t>mini fridge no tag</t>
  </si>
  <si>
    <t>7.5 cu mini freezer no tag</t>
  </si>
  <si>
    <t>GS2SHEXNSOO</t>
  </si>
  <si>
    <t>106.52259100</t>
  </si>
  <si>
    <t>106.8562980</t>
  </si>
  <si>
    <t>823936R1H</t>
  </si>
  <si>
    <t>GMR04HANABS</t>
  </si>
  <si>
    <t>FRT18NNCW2</t>
  </si>
  <si>
    <t>PFSF6PKXEWW</t>
  </si>
  <si>
    <t>0240</t>
  </si>
  <si>
    <t>RSH220XW3</t>
  </si>
  <si>
    <t>CTX18EAXCRWH</t>
  </si>
  <si>
    <t>VCBB363LSS</t>
  </si>
  <si>
    <t>GTS18FBMFRWW</t>
  </si>
  <si>
    <t>ffu1423dw3</t>
  </si>
  <si>
    <t>rb150pw</t>
  </si>
  <si>
    <t>ED5VHEXVB01</t>
  </si>
  <si>
    <t>JCB2282KTB</t>
  </si>
  <si>
    <t>10657022601</t>
  </si>
  <si>
    <t>GSSS22JEMC</t>
  </si>
  <si>
    <t>EHT201ZKNR3</t>
  </si>
  <si>
    <t>nameplate not available</t>
  </si>
  <si>
    <t>2539668010</t>
  </si>
  <si>
    <t>ED19HK</t>
  </si>
  <si>
    <t>no sticker , 2000's , stainless looks newer</t>
  </si>
  <si>
    <t xml:space="preserve">older no tag, 5.6 cu ft    Original survey noted brand as white westinghouse, with these model and man. dates. Replaced unk in these fields with original survey info     </t>
  </si>
  <si>
    <t>198.8181680</t>
  </si>
  <si>
    <t>GTL8JCPARBS</t>
  </si>
  <si>
    <t>KSRL25FXMS01</t>
  </si>
  <si>
    <t>Frig outside with no label - assumed the age based on design.</t>
  </si>
  <si>
    <t>TBX18N1ZARAA</t>
  </si>
  <si>
    <t>106.55244400</t>
  </si>
  <si>
    <t>ev190fxwn00</t>
  </si>
  <si>
    <t>DTS18ICSMRWW</t>
  </si>
  <si>
    <t>et8mhkxmqo2</t>
  </si>
  <si>
    <t>WCR17-ZW</t>
  </si>
  <si>
    <t>LFX25976ST</t>
  </si>
  <si>
    <t>ED2JHGXRQ00</t>
  </si>
  <si>
    <t>TBX18SAXGRWW</t>
  </si>
  <si>
    <t xml:space="preserve">S/N 10BC4402 , decoder does not make sense </t>
  </si>
  <si>
    <t>UF-16J</t>
  </si>
  <si>
    <t>PTS25SHPARBS</t>
  </si>
  <si>
    <t>253.21421104</t>
  </si>
  <si>
    <t>PFS22SISBSS</t>
  </si>
  <si>
    <t>mfu21m3bw4</t>
  </si>
  <si>
    <t>D9505W</t>
  </si>
  <si>
    <t>age unknown, guest &lt;1980.  Serial #: 96X-HH6821</t>
  </si>
  <si>
    <t>FFT893900A</t>
  </si>
  <si>
    <t>253.19701990</t>
  </si>
  <si>
    <t>SCD22JW</t>
  </si>
  <si>
    <t>PTB19AAGRW</t>
  </si>
  <si>
    <t>TFX27PFX</t>
  </si>
  <si>
    <t>253.16922100</t>
  </si>
  <si>
    <t>pfs22sisbss</t>
  </si>
  <si>
    <t>p1190301ww</t>
  </si>
  <si>
    <t>253. 21082100</t>
  </si>
  <si>
    <t>fphc2399kf2</t>
  </si>
  <si>
    <t>S5025TW</t>
  </si>
  <si>
    <t>10650592003</t>
  </si>
  <si>
    <t>gx5shdxv801</t>
  </si>
  <si>
    <t>25311321100</t>
  </si>
  <si>
    <t>CTX21GLR</t>
  </si>
  <si>
    <t>CTX21GACBRWW</t>
  </si>
  <si>
    <t>AFU2005BW</t>
  </si>
  <si>
    <t>RF26XAEWP</t>
  </si>
  <si>
    <t>rb195abwp</t>
  </si>
  <si>
    <t>BC20E-G</t>
  </si>
  <si>
    <t>FFU20FC6AW4</t>
  </si>
  <si>
    <t>NO MFR TAG VISIBLE</t>
  </si>
  <si>
    <t>TFF19DWB</t>
  </si>
  <si>
    <t>Americana</t>
  </si>
  <si>
    <t>A3316ABSERBB</t>
  </si>
  <si>
    <t>198.8173313</t>
  </si>
  <si>
    <t>TT18DKXRQ01</t>
  </si>
  <si>
    <t>ARB9059CS</t>
  </si>
  <si>
    <t>et8chmxkt06</t>
  </si>
  <si>
    <t>tc18hw</t>
  </si>
  <si>
    <t xml:space="preserve">mini beverage fridge/freezer     2.7 cu ft 2005 Kenmore Wine/Beverage  fridge Model # 183.14242500,    5.7 cu ft 2009 Kenmore mini freezer model # 564.28502700  564.28502700  </t>
  </si>
  <si>
    <t>183.14242500</t>
  </si>
  <si>
    <t>pds18sbmclbs</t>
  </si>
  <si>
    <t>e74wskk002</t>
  </si>
  <si>
    <t>et18nkxrwr2</t>
  </si>
  <si>
    <t>FRT211L50BR</t>
  </si>
  <si>
    <t>gds20scsdss6</t>
  </si>
  <si>
    <t>HTS16HBRFRWW</t>
  </si>
  <si>
    <t>fuf17svarww</t>
  </si>
  <si>
    <t>105.51274200</t>
  </si>
  <si>
    <t>25378821890</t>
  </si>
  <si>
    <t>GSCS3PGXCFSS</t>
  </si>
  <si>
    <t>51272200</t>
  </si>
  <si>
    <t>106.8580280</t>
  </si>
  <si>
    <t>MFI2568AEW</t>
  </si>
  <si>
    <t>253.65802508</t>
  </si>
  <si>
    <t>253.26722100</t>
  </si>
  <si>
    <t>KSRG25FKWH18</t>
  </si>
  <si>
    <t>GF6NFEXRQ00</t>
  </si>
  <si>
    <t>SERIAL TAG NOT VISIBLE</t>
  </si>
  <si>
    <t>ET18GKXHW0</t>
  </si>
  <si>
    <t>564.92365100</t>
  </si>
  <si>
    <t>WINE FRIDGE.  age based on participant guess</t>
  </si>
  <si>
    <t>MCBC180MCG</t>
  </si>
  <si>
    <t>Oster</t>
  </si>
  <si>
    <t>OW0912H6H</t>
  </si>
  <si>
    <t>106.60962990</t>
  </si>
  <si>
    <t>gbsc0hbxcrcc</t>
  </si>
  <si>
    <t>gth17jbx2rbb</t>
  </si>
  <si>
    <t>ffu14f7hwh</t>
  </si>
  <si>
    <t>ETR55ARO</t>
  </si>
  <si>
    <t>3522BB</t>
  </si>
  <si>
    <t>ARB1917CC</t>
  </si>
  <si>
    <t>36358251892</t>
  </si>
  <si>
    <t>GTH18EBTZRWW</t>
  </si>
  <si>
    <t>pkbra22klwh01</t>
  </si>
  <si>
    <t>FRTB7B4EMB2</t>
  </si>
  <si>
    <t>532ss</t>
  </si>
  <si>
    <t>TT18HPXL001</t>
  </si>
  <si>
    <t>mr15csewn</t>
  </si>
  <si>
    <t>253.11711102</t>
  </si>
  <si>
    <t>HTR16ABSELWW</t>
  </si>
  <si>
    <t>ET20DMXAW00</t>
  </si>
  <si>
    <t>LFFU14FSHWA</t>
  </si>
  <si>
    <t>106.5254101</t>
  </si>
  <si>
    <t>596.65234402</t>
  </si>
  <si>
    <t>BC21VW</t>
  </si>
  <si>
    <t>CA21SMDRWH</t>
  </si>
  <si>
    <t>100.724232</t>
  </si>
  <si>
    <t>253.7419240p</t>
  </si>
  <si>
    <t>GTR11AAPARWW</t>
  </si>
  <si>
    <t>363.9112716</t>
  </si>
  <si>
    <t>FCM7SUBWW</t>
  </si>
  <si>
    <t>MTF2142EES01</t>
  </si>
  <si>
    <t>pfss6pkw</t>
  </si>
  <si>
    <t>TBX18DIXJRWW</t>
  </si>
  <si>
    <t>FRS3R3JB3</t>
  </si>
  <si>
    <t xml:space="preserve">old sears coldspot , tag was unreadable </t>
  </si>
  <si>
    <t>Coldspot</t>
  </si>
  <si>
    <t>u</t>
  </si>
  <si>
    <t>MODEL # 57F07851</t>
  </si>
  <si>
    <t>FFT4935</t>
  </si>
  <si>
    <t>mini fridge in renters room</t>
  </si>
  <si>
    <t>MCBR415S</t>
  </si>
  <si>
    <t>gt2shmxms04</t>
  </si>
  <si>
    <t>br20nl</t>
  </si>
  <si>
    <t>ffu14c4aw1</t>
  </si>
  <si>
    <t>rt14zkxfwo1</t>
  </si>
  <si>
    <t>plfu1778es2</t>
  </si>
  <si>
    <t>plru1778eso</t>
  </si>
  <si>
    <t>LRBC20512WW</t>
  </si>
  <si>
    <t>STt21PKXXQOO</t>
  </si>
  <si>
    <t>106.64932400</t>
  </si>
  <si>
    <t>106.726250</t>
  </si>
  <si>
    <t>EH070CFXCQ00</t>
  </si>
  <si>
    <t>564.97362690</t>
  </si>
  <si>
    <t>LFC25776SW/00</t>
  </si>
  <si>
    <t>KSRS22K68T01</t>
  </si>
  <si>
    <t>795.75193401</t>
  </si>
  <si>
    <t>plhs67egsb1</t>
  </si>
  <si>
    <t>aqf1613tew03</t>
  </si>
  <si>
    <t>106.7670610</t>
  </si>
  <si>
    <t>TFF20DCM</t>
  </si>
  <si>
    <t>106.7659510</t>
  </si>
  <si>
    <t>glrt13tes8</t>
  </si>
  <si>
    <t>253.3184210a</t>
  </si>
  <si>
    <t>363.9738510</t>
  </si>
  <si>
    <t>10656862600</t>
  </si>
  <si>
    <t>sxd25mp2w</t>
  </si>
  <si>
    <t>ED22PQXDN02</t>
  </si>
  <si>
    <t>HCM050LA</t>
  </si>
  <si>
    <t>58582892</t>
  </si>
  <si>
    <t>tbx18jaxkrww</t>
  </si>
  <si>
    <t>PSH25PSWCSS</t>
  </si>
  <si>
    <t>FRU17G4JW10</t>
  </si>
  <si>
    <t>GLFU1767FWS</t>
  </si>
  <si>
    <t>RB2155SW</t>
  </si>
  <si>
    <t>ED5JHGXRB02</t>
  </si>
  <si>
    <t>596.65939402</t>
  </si>
  <si>
    <t>106.71192100</t>
  </si>
  <si>
    <t>FFCO0723DW18</t>
  </si>
  <si>
    <t>tbx18alb</t>
  </si>
  <si>
    <t>2539348420</t>
  </si>
  <si>
    <t>106.78865891</t>
  </si>
  <si>
    <t>FFC0723DW18</t>
  </si>
  <si>
    <t>eh050fxan00</t>
  </si>
  <si>
    <t>363.9616585</t>
  </si>
  <si>
    <t>jfi2089aep</t>
  </si>
  <si>
    <t>ffu21c4cw2</t>
  </si>
  <si>
    <t>GT2SHMXMS04</t>
  </si>
  <si>
    <t>106.70262990</t>
  </si>
  <si>
    <t>253.65812502</t>
  </si>
  <si>
    <t>253.61822104</t>
  </si>
  <si>
    <t>usk40556</t>
  </si>
  <si>
    <t>rft17craw0</t>
  </si>
  <si>
    <t>ts18a3w</t>
  </si>
  <si>
    <t>ed22pqxdw04</t>
  </si>
  <si>
    <t>106.39432990</t>
  </si>
  <si>
    <t>FFU1724DW5</t>
  </si>
  <si>
    <t>1FF20RAB</t>
  </si>
  <si>
    <t>FRT22RGCD9</t>
  </si>
  <si>
    <t>E23CS78HPS2</t>
  </si>
  <si>
    <t>106.53564201</t>
  </si>
  <si>
    <t>FFU14F5HWB</t>
  </si>
  <si>
    <t>tx21vl</t>
  </si>
  <si>
    <t>CTB1925GR</t>
  </si>
  <si>
    <t>106.53269201</t>
  </si>
  <si>
    <t>ET22PMXAW00</t>
  </si>
  <si>
    <t>253.67879503</t>
  </si>
  <si>
    <t>mtb2456aew</t>
  </si>
  <si>
    <t>106.42102300</t>
  </si>
  <si>
    <t>FFU11FK1CW1</t>
  </si>
  <si>
    <t>AR8220ZCW</t>
  </si>
  <si>
    <t>2539758010</t>
  </si>
  <si>
    <t>NO MFR LABEL LOCATED.</t>
  </si>
  <si>
    <t>no tag</t>
  </si>
  <si>
    <t>109535-1</t>
  </si>
  <si>
    <t>795.78753.800</t>
  </si>
  <si>
    <t>FFU2065FW2</t>
  </si>
  <si>
    <t>UF-21H-W*6</t>
  </si>
  <si>
    <t>ridge nameplate not available. date per participant</t>
  </si>
  <si>
    <t>lfc25760tt</t>
  </si>
  <si>
    <t>253.6480240e</t>
  </si>
  <si>
    <t>frig lable not available</t>
  </si>
  <si>
    <t>ARB194RCB</t>
  </si>
  <si>
    <t>253.6419240</t>
  </si>
  <si>
    <t>ET18CKXHW0</t>
  </si>
  <si>
    <t>freezer chest is 20+ years old but does not have model label</t>
  </si>
  <si>
    <t>795.75199401</t>
  </si>
  <si>
    <t>tff24rcb</t>
  </si>
  <si>
    <t>79575196401</t>
  </si>
  <si>
    <t>ffu145hwc</t>
  </si>
  <si>
    <t>ffu14f5hwg</t>
  </si>
  <si>
    <t>ET18PKXFW0</t>
  </si>
  <si>
    <t>frt18tphwo</t>
  </si>
  <si>
    <t>EB21DKXDW01</t>
  </si>
  <si>
    <t>RFG237AARS</t>
  </si>
  <si>
    <t>CFX20E</t>
  </si>
  <si>
    <t>CTX21EPB</t>
  </si>
  <si>
    <t>KTRS22KABL10</t>
  </si>
  <si>
    <t>It's old...70's. Note left in model number field</t>
  </si>
  <si>
    <t>Can't Tell-left in model number field</t>
  </si>
  <si>
    <t>et20dkxan00</t>
  </si>
  <si>
    <t>frt17g4bw7</t>
  </si>
  <si>
    <t>mfc15m4fw3</t>
  </si>
  <si>
    <t>frt18prhwo</t>
  </si>
  <si>
    <t>ED25DQXAB00</t>
  </si>
  <si>
    <t>No nameplate.  I would guess early 1980s.</t>
  </si>
  <si>
    <t>BCI21VC</t>
  </si>
  <si>
    <t>No nameplate</t>
  </si>
  <si>
    <t>MSD2454GRW</t>
  </si>
  <si>
    <t>no nameplate, older guess of age ; 1991</t>
  </si>
  <si>
    <t>WC Woods</t>
  </si>
  <si>
    <t>A3316ABSERWW</t>
  </si>
  <si>
    <t>MFI2569VEM</t>
  </si>
  <si>
    <t>ED22DQXEN01</t>
  </si>
  <si>
    <t>LFFU14F5HWD</t>
  </si>
  <si>
    <t>106.77992791</t>
  </si>
  <si>
    <t>106.57267791</t>
  </si>
  <si>
    <t>363.9715915</t>
  </si>
  <si>
    <t>59209991</t>
  </si>
  <si>
    <t>et14jmyxw00</t>
  </si>
  <si>
    <t>561</t>
  </si>
  <si>
    <t>IKEA</t>
  </si>
  <si>
    <t>IR8GSMXRW00</t>
  </si>
  <si>
    <t>gd25d1xhs00</t>
  </si>
  <si>
    <t>rf266aepn</t>
  </si>
  <si>
    <t>25316502105</t>
  </si>
  <si>
    <t>ET1PHKXP009</t>
  </si>
  <si>
    <t>TS25AF</t>
  </si>
  <si>
    <t>596.76052701</t>
  </si>
  <si>
    <t>MCUF88W</t>
  </si>
  <si>
    <t>gi6fdrxxq01</t>
  </si>
  <si>
    <t>EV205FXKQ00 JO</t>
  </si>
  <si>
    <t>25361832100</t>
  </si>
  <si>
    <t>afb2534deq</t>
  </si>
  <si>
    <t>ARB220ZCC</t>
  </si>
  <si>
    <t>GFSF6KEXCBB</t>
  </si>
  <si>
    <t>MCBR44D</t>
  </si>
  <si>
    <t>DCF520W</t>
  </si>
  <si>
    <t>JCD2295KES</t>
  </si>
  <si>
    <t>THI21S3W</t>
  </si>
  <si>
    <t>ET8MHKXMB04</t>
  </si>
  <si>
    <t>253.14702101</t>
  </si>
  <si>
    <t>et8mtmxkq0</t>
  </si>
  <si>
    <t>MFU14M2GW0</t>
  </si>
  <si>
    <t>PSS27NHMC CC</t>
  </si>
  <si>
    <t>ARB2117AW</t>
  </si>
  <si>
    <t>fum 12sabrwh</t>
  </si>
  <si>
    <t>PSHS6RGXCDSS</t>
  </si>
  <si>
    <t>2010</t>
  </si>
  <si>
    <t>UF-13N-L*3</t>
  </si>
  <si>
    <t>795.71212500</t>
  </si>
  <si>
    <t>79578549800</t>
  </si>
  <si>
    <t>ul5000ca5</t>
  </si>
  <si>
    <t>795.69009.900</t>
  </si>
  <si>
    <t>haier brand, model # unk</t>
  </si>
  <si>
    <t>ksrc22dbal00</t>
  </si>
  <si>
    <t>tps24ppba bs</t>
  </si>
  <si>
    <t>E522B</t>
  </si>
  <si>
    <t>frig does not have label visible for serial # could not get year almost all appliances are from the early to mid 90's beige in color brown handles</t>
  </si>
  <si>
    <t>et14jk2l</t>
  </si>
  <si>
    <t>ET19DKXDW01</t>
  </si>
  <si>
    <t>BR22TW</t>
  </si>
  <si>
    <t>198.8111852</t>
  </si>
  <si>
    <t>ctx21gicbrww</t>
  </si>
  <si>
    <t>LFHT1513LW3</t>
  </si>
  <si>
    <t>TFX22VMB</t>
  </si>
  <si>
    <t>106.724201</t>
  </si>
  <si>
    <t>lrts19a</t>
  </si>
  <si>
    <t>pds22lbnww</t>
  </si>
  <si>
    <t>tbx21j1xrbraa</t>
  </si>
  <si>
    <t>RFG298AAP</t>
  </si>
  <si>
    <t>PFS22MIWCBB</t>
  </si>
  <si>
    <t>20638</t>
  </si>
  <si>
    <t>RF26XAERS</t>
  </si>
  <si>
    <t>KTRS22KHBT00</t>
  </si>
  <si>
    <t>MSD2559XEM03</t>
  </si>
  <si>
    <t>gts18fbrerww</t>
  </si>
  <si>
    <t>795.1016.010</t>
  </si>
  <si>
    <t>HTST17CBT2RWW</t>
  </si>
  <si>
    <t>253.92841110</t>
  </si>
  <si>
    <t>FRT15G4BW0</t>
  </si>
  <si>
    <t>795.71013.2010</t>
  </si>
  <si>
    <t>GTS18SBSWRSS</t>
  </si>
  <si>
    <t>gb2shdxts02</t>
  </si>
  <si>
    <t>ET21MMXJT01</t>
  </si>
  <si>
    <t>PSW26SGPA</t>
  </si>
  <si>
    <t>et1chexvb01</t>
  </si>
  <si>
    <t>253.78172801</t>
  </si>
  <si>
    <t>25336611890</t>
  </si>
  <si>
    <t>msd2573ves03</t>
  </si>
  <si>
    <t>RB15FNOAA</t>
  </si>
  <si>
    <t>RF197ACRS</t>
  </si>
  <si>
    <t>363.9450418</t>
  </si>
  <si>
    <t>ed5fvgxw500</t>
  </si>
  <si>
    <t>ed25texhw02</t>
  </si>
  <si>
    <t>TFX20PRA</t>
  </si>
  <si>
    <t>253 68982801</t>
  </si>
  <si>
    <t>DSS25kgra</t>
  </si>
  <si>
    <t>fp21dsdrwh</t>
  </si>
  <si>
    <t>frs26rlecsg</t>
  </si>
  <si>
    <t>KSC525FKSS01</t>
  </si>
  <si>
    <t>ARB1917cc</t>
  </si>
  <si>
    <t>tsi19tw</t>
  </si>
  <si>
    <t>ET18PKXG0</t>
  </si>
  <si>
    <t>freezer was not to be opened full of black mold , nasty !</t>
  </si>
  <si>
    <t>106.9638380</t>
  </si>
  <si>
    <t>FRT18S6JQ1</t>
  </si>
  <si>
    <t>Philco</t>
  </si>
  <si>
    <t>PLHT219TCKC</t>
  </si>
  <si>
    <t>106.55249400</t>
  </si>
  <si>
    <t>106.9512880</t>
  </si>
  <si>
    <t>FRS26ZRFW1</t>
  </si>
  <si>
    <t>ESTIMATED AGE based on participant response, no nameplate available</t>
  </si>
  <si>
    <t>AR176MW10R</t>
  </si>
  <si>
    <t>age based on participant response</t>
  </si>
  <si>
    <t>fv15f6</t>
  </si>
  <si>
    <t>596.71103101</t>
  </si>
  <si>
    <t>GFSS6KEXASS</t>
  </si>
  <si>
    <t>105.50202993</t>
  </si>
  <si>
    <t>gts18xcmfrww</t>
  </si>
  <si>
    <t>lrfc22750sw</t>
  </si>
  <si>
    <t>frt18kc3bwz</t>
  </si>
  <si>
    <t>106.55242400</t>
  </si>
  <si>
    <t>tz19ql</t>
  </si>
  <si>
    <t>795.77304600</t>
  </si>
  <si>
    <t>RTD1900AAW/071633</t>
  </si>
  <si>
    <t>fpci-170t-7</t>
  </si>
  <si>
    <t>ksrg25fkss04</t>
  </si>
  <si>
    <t>eev203fno</t>
  </si>
  <si>
    <t>LFX28978ST/00</t>
  </si>
  <si>
    <t>kbfa20er22</t>
  </si>
  <si>
    <t>parb1914cbo</t>
  </si>
  <si>
    <t>LBC22520SW</t>
  </si>
  <si>
    <t>w9rxemmw001</t>
  </si>
  <si>
    <t>GS6SHAXMB00</t>
  </si>
  <si>
    <t>TBX18PKE</t>
  </si>
  <si>
    <t>MF12266AEU</t>
  </si>
  <si>
    <t>GSS22WGPA</t>
  </si>
  <si>
    <t>ms02756ges</t>
  </si>
  <si>
    <t>rt18dkxhw00</t>
  </si>
  <si>
    <t>TBX22PASMRWW</t>
  </si>
  <si>
    <t>GFSL2KEYC LS</t>
  </si>
  <si>
    <t>2538648013</t>
  </si>
  <si>
    <t>JFC2089HE</t>
  </si>
  <si>
    <t>FRS26KR4JW0</t>
  </si>
  <si>
    <t>KBF20EVMS5</t>
  </si>
  <si>
    <t>596.73509200</t>
  </si>
  <si>
    <t>Not accessible</t>
  </si>
  <si>
    <t>253.67872504</t>
  </si>
  <si>
    <t>ABB1922FEW</t>
  </si>
  <si>
    <t>LFFU1465DW6</t>
  </si>
  <si>
    <t>564.61912401</t>
  </si>
  <si>
    <t>FRT18KG4DWC</t>
  </si>
  <si>
    <t>795.51376</t>
  </si>
  <si>
    <t>10677292790</t>
  </si>
  <si>
    <t>Marvel</t>
  </si>
  <si>
    <t>6barte, ser 030405024</t>
  </si>
  <si>
    <t>ab02533deb</t>
  </si>
  <si>
    <t>brf20tw</t>
  </si>
  <si>
    <t>afu2067aw</t>
  </si>
  <si>
    <t>363.68432891, serial 84573565</t>
  </si>
  <si>
    <t>PTB19AAFRW</t>
  </si>
  <si>
    <t>106.57378700</t>
  </si>
  <si>
    <t>GTS18GBSARWW</t>
  </si>
  <si>
    <t>kscs25inss01</t>
  </si>
  <si>
    <t>ctb1922arw</t>
  </si>
  <si>
    <t>ffu21f5hwg</t>
  </si>
  <si>
    <t>FRS22ZRFW1</t>
  </si>
  <si>
    <t>Holland</t>
  </si>
  <si>
    <t>DF20J</t>
  </si>
  <si>
    <t>ctb1925grw</t>
  </si>
  <si>
    <t>mff2557hew</t>
  </si>
  <si>
    <t>et1mtkxkq87</t>
  </si>
  <si>
    <t>sxd23ww</t>
  </si>
  <si>
    <t>GTS17JBWERBB</t>
  </si>
  <si>
    <t>CTX14PGR</t>
  </si>
  <si>
    <t>HTS20GBNCWW</t>
  </si>
  <si>
    <t>et18nkxfw0 1</t>
  </si>
  <si>
    <t>106.9651810</t>
  </si>
  <si>
    <t>TBF16DVD</t>
  </si>
  <si>
    <t>mff2258vea2</t>
  </si>
  <si>
    <t>LCM070LC</t>
  </si>
  <si>
    <t>ffu21m7hwb</t>
  </si>
  <si>
    <t>106.8752610</t>
  </si>
  <si>
    <t>tbx18pb</t>
  </si>
  <si>
    <t>LSC26905TT</t>
  </si>
  <si>
    <t>ET18PKXSNO2</t>
  </si>
  <si>
    <t>gts22kcpbrbb</t>
  </si>
  <si>
    <t>no nameplate but it looks pretty old, i would say its at least mid 90's</t>
  </si>
  <si>
    <t>BX22A2E</t>
  </si>
  <si>
    <t>tfx26zpda ww</t>
  </si>
  <si>
    <t>ET1MHKXMQ00</t>
  </si>
  <si>
    <t>SCF0710KQ01</t>
  </si>
  <si>
    <t>tfh30prtb</t>
  </si>
  <si>
    <t>363.59572994</t>
  </si>
  <si>
    <t>PDSF5NBWA</t>
  </si>
  <si>
    <t>ARSE66ZBS</t>
  </si>
  <si>
    <t>690/F</t>
  </si>
  <si>
    <t>TX21VL</t>
  </si>
  <si>
    <t>KSSC42QKS00</t>
  </si>
  <si>
    <t>301142446061</t>
  </si>
  <si>
    <t>25371792102</t>
  </si>
  <si>
    <t>bx21vw</t>
  </si>
  <si>
    <t>FRT18KD4AW2</t>
  </si>
  <si>
    <t>FUM 21DTBRWH</t>
  </si>
  <si>
    <t>BR22VL</t>
  </si>
  <si>
    <t>FRS22PR</t>
  </si>
  <si>
    <t>Excellence</t>
  </si>
  <si>
    <t>EDSLVAXWB00</t>
  </si>
  <si>
    <t>596.69272993</t>
  </si>
  <si>
    <t>253.26052102</t>
  </si>
  <si>
    <t>253.60721006</t>
  </si>
  <si>
    <t>10812207gw</t>
  </si>
  <si>
    <t>106.8559211</t>
  </si>
  <si>
    <t>in basement</t>
  </si>
  <si>
    <t>EET141JKWR1</t>
  </si>
  <si>
    <t>in basement , very old , homeowner thinks approx 20yrs</t>
  </si>
  <si>
    <t>Rheem</t>
  </si>
  <si>
    <t>DF21GH</t>
  </si>
  <si>
    <t xml:space="preserve">in basement , oldest one I have every seen , approx 40 yrs </t>
  </si>
  <si>
    <t>105.78207890</t>
  </si>
  <si>
    <t>PFSS5PJYASS</t>
  </si>
  <si>
    <t>25368837792</t>
  </si>
  <si>
    <t>TZ19QL</t>
  </si>
  <si>
    <t>MFF2558VEM0</t>
  </si>
  <si>
    <t>glrt185tdso</t>
  </si>
  <si>
    <t>RF267AARS</t>
  </si>
  <si>
    <t xml:space="preserve">homeowner has coverd the outside of this freezer with ridgid foam board and no make or model visible , very old freezer in garage </t>
  </si>
  <si>
    <t>1068590311</t>
  </si>
  <si>
    <t>gts18fbsarww</t>
  </si>
  <si>
    <t>2539240411</t>
  </si>
  <si>
    <t>795.71604.010</t>
  </si>
  <si>
    <t>rf266abpn</t>
  </si>
  <si>
    <t>GT2SHKXMS01</t>
  </si>
  <si>
    <t>hts18gbsarww</t>
  </si>
  <si>
    <t>KTRS22KHXH00</t>
  </si>
  <si>
    <t>Gilts 38 EEPW0</t>
  </si>
  <si>
    <t>253.29401999</t>
  </si>
  <si>
    <t>OLD NO NAMEPLATE ACCESSIBLE</t>
  </si>
  <si>
    <t>TBF14D</t>
  </si>
  <si>
    <t>TPX24BRYFBB</t>
  </si>
  <si>
    <t>2538604081</t>
  </si>
  <si>
    <t>et20pkxdw00</t>
  </si>
  <si>
    <t>25321711103</t>
  </si>
  <si>
    <t>gsh25jsxnss</t>
  </si>
  <si>
    <t>frt21qrcw1</t>
  </si>
  <si>
    <t>79576202901</t>
  </si>
  <si>
    <t>LFX25975ST 00</t>
  </si>
  <si>
    <t>MBB1952HEW</t>
  </si>
  <si>
    <t>ksrc25fvms00</t>
  </si>
  <si>
    <t>564.93445100</t>
  </si>
  <si>
    <t>fv21m2wxfd</t>
  </si>
  <si>
    <t>ctx16cazgrad</t>
  </si>
  <si>
    <t>thi21tw</t>
  </si>
  <si>
    <t>106.74206402</t>
  </si>
  <si>
    <t>wcc12/e7 lo</t>
  </si>
  <si>
    <t>SM606937 serial number  appears to be 1955.</t>
  </si>
  <si>
    <t>LM10-MW1</t>
  </si>
  <si>
    <t>FV21M2WEFB</t>
  </si>
  <si>
    <t>106.58242890</t>
  </si>
  <si>
    <t>ARB2107AS</t>
  </si>
  <si>
    <t>arb2217csl</t>
  </si>
  <si>
    <t>FGHT2146KP0</t>
  </si>
  <si>
    <t>RTT1700DAE</t>
  </si>
  <si>
    <t>FRS3R4EB4</t>
  </si>
  <si>
    <t>FCM5SMAWH</t>
  </si>
  <si>
    <t>106.71182101</t>
  </si>
  <si>
    <t>FUF14DTARWH</t>
  </si>
  <si>
    <t>ET8MTKXKQ0</t>
  </si>
  <si>
    <t>PSS25SGMDBS</t>
  </si>
  <si>
    <t>TBX21CIZBRWW</t>
  </si>
  <si>
    <t>108KR00036</t>
  </si>
  <si>
    <t>253.14922101</t>
  </si>
  <si>
    <t>eat175kyr1</t>
  </si>
  <si>
    <t>lfuh21f7lmo</t>
  </si>
  <si>
    <t>AFD2535DES</t>
  </si>
  <si>
    <t>MTB2156Bea</t>
  </si>
  <si>
    <t>BR18V2C</t>
  </si>
  <si>
    <t>MFC07M3FW1</t>
  </si>
  <si>
    <t>afb2534deb</t>
  </si>
  <si>
    <t>RFG298AARS</t>
  </si>
  <si>
    <t>27 (could not access)</t>
  </si>
  <si>
    <t>PSS26LSRDSS</t>
  </si>
  <si>
    <t>CTB215DRW</t>
  </si>
  <si>
    <t>OLDER</t>
  </si>
  <si>
    <t>CA19D</t>
  </si>
  <si>
    <t>106.6685300</t>
  </si>
  <si>
    <t>et18ckxhwo 1</t>
  </si>
  <si>
    <t>ET20NKXDW00</t>
  </si>
  <si>
    <t>363.67572791</t>
  </si>
  <si>
    <t>uf-13d-l*5</t>
  </si>
  <si>
    <t>596.75232402</t>
  </si>
  <si>
    <t>csx22dme</t>
  </si>
  <si>
    <t>ff180118</t>
  </si>
  <si>
    <t>ed5gtgxnq00</t>
  </si>
  <si>
    <t>TFX22ZASA</t>
  </si>
  <si>
    <t>ktrp21kkwh00</t>
  </si>
  <si>
    <t>MFF2258VEA2</t>
  </si>
  <si>
    <t>59665232401</t>
  </si>
  <si>
    <t>363.9638710</t>
  </si>
  <si>
    <t>arb2117AW</t>
  </si>
  <si>
    <t>ehb191mknr1</t>
  </si>
  <si>
    <t>106.71982100</t>
  </si>
  <si>
    <t>rb217abpn</t>
  </si>
  <si>
    <t>frs22zrfw1</t>
  </si>
  <si>
    <t>FFC05M1CW4</t>
  </si>
  <si>
    <t>106.9728511</t>
  </si>
  <si>
    <t>FRT18B5JM1</t>
  </si>
  <si>
    <t>CTX16HABBRWW</t>
  </si>
  <si>
    <t>lffh21f7hwj</t>
  </si>
  <si>
    <t>jrsd2490tw</t>
  </si>
  <si>
    <t>bx20nw</t>
  </si>
  <si>
    <t>frt18b4aw2</t>
  </si>
  <si>
    <t>CT19Y4W</t>
  </si>
  <si>
    <t>BG20TW</t>
  </si>
  <si>
    <t>795.75199400</t>
  </si>
  <si>
    <t>szd27me</t>
  </si>
  <si>
    <t>older model. the serial number didnt follow traditional ge scheme.  1980 was homeowners guess</t>
  </si>
  <si>
    <t>2fv520h</t>
  </si>
  <si>
    <t>rt14hdxq00</t>
  </si>
  <si>
    <t>et18gkxdw05</t>
  </si>
  <si>
    <t>escm050ec</t>
  </si>
  <si>
    <t>couldnt find the gosh darn nameplate</t>
  </si>
  <si>
    <t>ed5fhexvs02</t>
  </si>
  <si>
    <t>et8ftkxkt02</t>
  </si>
  <si>
    <t>ffu14m5hwb</t>
  </si>
  <si>
    <t>68902890</t>
  </si>
  <si>
    <t>c100fw</t>
  </si>
  <si>
    <t>et8mhkxmq04</t>
  </si>
  <si>
    <t>wine cooler in mini fridge manufacture date not verified  from decoder but 2007 was in serial number</t>
  </si>
  <si>
    <t>vt-28teds-t</t>
  </si>
  <si>
    <t>RS267TDBP</t>
  </si>
  <si>
    <t>FRT13CRHW0</t>
  </si>
  <si>
    <t>TBX21JIBRRWW</t>
  </si>
  <si>
    <t>106.70192001</t>
  </si>
  <si>
    <t>looks like late 80's early 90's</t>
  </si>
  <si>
    <t>80's</t>
  </si>
  <si>
    <t>43158</t>
  </si>
  <si>
    <t>165. 59292994</t>
  </si>
  <si>
    <t>253.21421101</t>
  </si>
  <si>
    <t>EHL151FXRQ00L0</t>
  </si>
  <si>
    <t>tcx22za</t>
  </si>
  <si>
    <t>ca-21d</t>
  </si>
  <si>
    <t>20205</t>
  </si>
  <si>
    <t>lrtw22a</t>
  </si>
  <si>
    <t>59562990</t>
  </si>
  <si>
    <t>ET1MHKXMQ03</t>
  </si>
  <si>
    <t>lfus2613lpo</t>
  </si>
  <si>
    <t>W8TXNGMWQOO</t>
  </si>
  <si>
    <t>GTS18GCSARBBB</t>
  </si>
  <si>
    <t>DCR12B4L8</t>
  </si>
  <si>
    <t>596.62832200</t>
  </si>
  <si>
    <t>2539203281</t>
  </si>
  <si>
    <t>FRS6HR5JMB3</t>
  </si>
  <si>
    <t>et1fttxkq00</t>
  </si>
  <si>
    <t>fum14dparwh</t>
  </si>
  <si>
    <t>CSH22GR</t>
  </si>
  <si>
    <t>ABB2222FEB</t>
  </si>
  <si>
    <t>Ranchero</t>
  </si>
  <si>
    <t>2751</t>
  </si>
  <si>
    <t>ASD2522VRS00</t>
  </si>
  <si>
    <t>GTS18ECTBRWW</t>
  </si>
  <si>
    <t>253 52332200</t>
  </si>
  <si>
    <t>rb9ha-2a</t>
  </si>
  <si>
    <t>sn 112-6543561 gibson budget master in the home pre 1986 this date is a guess</t>
  </si>
  <si>
    <t>fv21m2wlfa</t>
  </si>
  <si>
    <t>51062100</t>
  </si>
  <si>
    <t>106.79172990</t>
  </si>
  <si>
    <t>tbx18dasgrwh</t>
  </si>
  <si>
    <t>ctb2125grw</t>
  </si>
  <si>
    <t>106 70842`00</t>
  </si>
  <si>
    <t>HMG18090</t>
  </si>
  <si>
    <t>MQU1556AEW</t>
  </si>
  <si>
    <t>ST14CKXKQ01</t>
  </si>
  <si>
    <t>ET4WSKXKQ06</t>
  </si>
  <si>
    <t>ynk</t>
  </si>
  <si>
    <t>2578132892</t>
  </si>
  <si>
    <t>TFX24VRSMAD</t>
  </si>
  <si>
    <t>FP21DSCRWH</t>
  </si>
  <si>
    <t>small fridge has not label not plugged in or used most of the year</t>
  </si>
  <si>
    <t>g15fvaxvq01</t>
  </si>
  <si>
    <t>79575312900</t>
  </si>
  <si>
    <t>79571023011</t>
  </si>
  <si>
    <t>106724130</t>
  </si>
  <si>
    <t>FV16M2WLFB</t>
  </si>
  <si>
    <t>253.28052806</t>
  </si>
  <si>
    <t>GTS18FBSARWW</t>
  </si>
  <si>
    <t>79577562600</t>
  </si>
  <si>
    <t>10652552100</t>
  </si>
  <si>
    <t>msd2456gew</t>
  </si>
  <si>
    <t>fu133rrw4</t>
  </si>
  <si>
    <t>59661272101</t>
  </si>
  <si>
    <t>563. 93361100</t>
  </si>
  <si>
    <t>fght1834kw2</t>
  </si>
  <si>
    <t>et18pkxaw00</t>
  </si>
  <si>
    <t>mfu17m3gw1</t>
  </si>
  <si>
    <t>25368801791</t>
  </si>
  <si>
    <t>surveyor did not collect</t>
  </si>
  <si>
    <t>gfc05m3aw1</t>
  </si>
  <si>
    <t>msd2756dew</t>
  </si>
  <si>
    <t>2536580250a</t>
  </si>
  <si>
    <t>rm18f6ds1e</t>
  </si>
  <si>
    <t>106.629420</t>
  </si>
  <si>
    <t>ktrs19khbt00</t>
  </si>
  <si>
    <t>253.73092302</t>
  </si>
  <si>
    <t>V706N-1</t>
  </si>
  <si>
    <t>564.24702400</t>
  </si>
  <si>
    <t>564.9349110</t>
  </si>
  <si>
    <t>106. 8579280</t>
  </si>
  <si>
    <t>mfi2569vem</t>
  </si>
  <si>
    <t>KTRS21MDWH01</t>
  </si>
  <si>
    <t>FFU09K0FW0</t>
  </si>
  <si>
    <t>EET-171MK</t>
  </si>
  <si>
    <t>mf12568aes</t>
  </si>
  <si>
    <t>ars2365aw</t>
  </si>
  <si>
    <t>ffu2124dw1</t>
  </si>
  <si>
    <t>afb2534dew</t>
  </si>
  <si>
    <t>PFSS6PKXBSS</t>
  </si>
  <si>
    <t>bs24y9dbc</t>
  </si>
  <si>
    <t>ctx18e6br1</t>
  </si>
  <si>
    <t>rt18akx6w00</t>
  </si>
  <si>
    <t>FRS26ZNHW1</t>
  </si>
  <si>
    <t>253.64802404</t>
  </si>
  <si>
    <t>106.7622010</t>
  </si>
  <si>
    <t>BM20TBW</t>
  </si>
  <si>
    <t>RT14DKXEN00</t>
  </si>
  <si>
    <t>FRS23H5ASB8</t>
  </si>
  <si>
    <t>FUM14DMDRWH</t>
  </si>
  <si>
    <t>S/N 83026162</t>
  </si>
  <si>
    <t>363.58272891</t>
  </si>
  <si>
    <t>EV120FXXNDD</t>
  </si>
  <si>
    <t>abb1924wewo</t>
  </si>
  <si>
    <t>tbx18daxjrww</t>
  </si>
  <si>
    <t>fh22dsawh</t>
  </si>
  <si>
    <t>TFX22ZR</t>
  </si>
  <si>
    <t>SCD23VW</t>
  </si>
  <si>
    <t>253.68977802</t>
  </si>
  <si>
    <t>ktrs20kaal10</t>
  </si>
  <si>
    <t>8968</t>
  </si>
  <si>
    <t>sx25jw</t>
  </si>
  <si>
    <t>HTR15BBMBRWW</t>
  </si>
  <si>
    <t>frt21b4jw1</t>
  </si>
  <si>
    <t>198. v15437</t>
  </si>
  <si>
    <t>253. 14512102</t>
  </si>
  <si>
    <t>FFU21C4CW2</t>
  </si>
  <si>
    <t>FRS26LH5DS3</t>
  </si>
  <si>
    <t>tbx18qpnr</t>
  </si>
  <si>
    <t>frt21hs6jwo</t>
  </si>
  <si>
    <t>GLRT212IDW5</t>
  </si>
  <si>
    <t>FUM14DTARWH</t>
  </si>
  <si>
    <t>1068770683</t>
  </si>
  <si>
    <t>ET1FTTXKQ00</t>
  </si>
  <si>
    <t>trt18grew5</t>
  </si>
  <si>
    <t>253. 13500100</t>
  </si>
  <si>
    <t>795.78543.804</t>
  </si>
  <si>
    <t>253.24092103</t>
  </si>
  <si>
    <t>RB2155SH</t>
  </si>
  <si>
    <t>tbx18jabkrww</t>
  </si>
  <si>
    <t>Coop</t>
  </si>
  <si>
    <t>qh15</t>
  </si>
  <si>
    <t>tag is damaged no date found standard late 80s texture in good shape</t>
  </si>
  <si>
    <t>frt18s6a</t>
  </si>
  <si>
    <t>MFF2558VEB3</t>
  </si>
  <si>
    <t>TBF16SGB</t>
  </si>
  <si>
    <t>LTF2112ARW</t>
  </si>
  <si>
    <t>CSX20ERA</t>
  </si>
  <si>
    <t>TB14SAB</t>
  </si>
  <si>
    <t>s/n    74015111</t>
  </si>
  <si>
    <t>363.9552754</t>
  </si>
  <si>
    <t>mzd2665heb</t>
  </si>
  <si>
    <t>mfc2061heb</t>
  </si>
  <si>
    <t>FRT15B3AW3</t>
  </si>
  <si>
    <t>106. 57022600</t>
  </si>
  <si>
    <t>bf0132e0100</t>
  </si>
  <si>
    <t>GLRS2677DB4</t>
  </si>
  <si>
    <t>MER55550AW</t>
  </si>
  <si>
    <t>25324042102</t>
  </si>
  <si>
    <t>abb2222few</t>
  </si>
  <si>
    <t>OLD- PROBABLY EARLY 80'S , LATE 70'S ??</t>
  </si>
  <si>
    <t>FRT21NNGW3</t>
  </si>
  <si>
    <t>RT176LCD0</t>
  </si>
  <si>
    <t>NAMEPLATE NOT AVAILABLE. age based on participant response</t>
  </si>
  <si>
    <t>bx22s5w</t>
  </si>
  <si>
    <t>eh070cfxcq00</t>
  </si>
  <si>
    <t>pbf1951kew</t>
  </si>
  <si>
    <t>GSL25JFXB LB</t>
  </si>
  <si>
    <t>GSS22UFMD</t>
  </si>
  <si>
    <t>tb305ypw43</t>
  </si>
  <si>
    <t>106.8550510</t>
  </si>
  <si>
    <t>601rf</t>
  </si>
  <si>
    <t>601f</t>
  </si>
  <si>
    <t>LSS25XSTBSS</t>
  </si>
  <si>
    <t>GD5RHAXN000</t>
  </si>
  <si>
    <t>253.9287110</t>
  </si>
  <si>
    <t>ED20DFXEBO1</t>
  </si>
  <si>
    <t>596.71852100</t>
  </si>
  <si>
    <t>TDX11SNSCRWH</t>
  </si>
  <si>
    <t>GSH25ISZB SS</t>
  </si>
  <si>
    <t>PBB2255GES</t>
  </si>
  <si>
    <t>ED5CHQXVB03</t>
  </si>
  <si>
    <t>GSS22JFMAWW</t>
  </si>
  <si>
    <t>MQU1554AEW</t>
  </si>
  <si>
    <t>GSHF6LGZBCBB</t>
  </si>
  <si>
    <t>FFUU21C3AW1</t>
  </si>
  <si>
    <t>HTS18GBSFRWW</t>
  </si>
  <si>
    <t>59675532400</t>
  </si>
  <si>
    <t>thi18s3w</t>
  </si>
  <si>
    <t>ET18PKXGW0</t>
  </si>
  <si>
    <t>795.78552.800</t>
  </si>
  <si>
    <t>FRT8S6ESBG</t>
  </si>
  <si>
    <t>3638791582</t>
  </si>
  <si>
    <t>rt14hdxbw01</t>
  </si>
  <si>
    <t>Based on model number style is mini-fridge</t>
  </si>
  <si>
    <t>rm172w/173b/174ss</t>
  </si>
  <si>
    <t>10678182891</t>
  </si>
  <si>
    <t>fh08m5dlfa</t>
  </si>
  <si>
    <t>w25344392405</t>
  </si>
  <si>
    <t>GSS22IFPD</t>
  </si>
  <si>
    <t>DF12J</t>
  </si>
  <si>
    <t>601R/0</t>
  </si>
  <si>
    <t>FFU2064DW3</t>
  </si>
  <si>
    <t>CSH24GRTA</t>
  </si>
  <si>
    <t>MZD2663KEB</t>
  </si>
  <si>
    <t>25321721103</t>
  </si>
  <si>
    <t>10651512100</t>
  </si>
  <si>
    <t>10663854302</t>
  </si>
  <si>
    <t>frt18s6aws</t>
  </si>
  <si>
    <t>frs6lf7fw6</t>
  </si>
  <si>
    <t>lmx25984sw/00</t>
  </si>
  <si>
    <t>ev190nxwn00</t>
  </si>
  <si>
    <t>598.71102101</t>
  </si>
  <si>
    <t>TKG180EN1D</t>
  </si>
  <si>
    <t>looks like mid 80s possibly early 90s. could not find the nameplate</t>
  </si>
  <si>
    <t>BX2255W</t>
  </si>
  <si>
    <t>9203381</t>
  </si>
  <si>
    <t>2170712</t>
  </si>
  <si>
    <t>8838</t>
  </si>
  <si>
    <t>5967221420</t>
  </si>
  <si>
    <t>MFF2557HEW</t>
  </si>
  <si>
    <t>frs6lr5es2</t>
  </si>
  <si>
    <t>363.9562512</t>
  </si>
  <si>
    <t>253.54622408</t>
  </si>
  <si>
    <t>BX21VE</t>
  </si>
  <si>
    <t>253.8193380</t>
  </si>
  <si>
    <t>KSRS27QAAL07</t>
  </si>
  <si>
    <t>MFU21M3BW4</t>
  </si>
  <si>
    <t>tt18akxbw01</t>
  </si>
  <si>
    <t>1001287</t>
  </si>
  <si>
    <t>frt18l4jm5</t>
  </si>
  <si>
    <t>105.70834100</t>
  </si>
  <si>
    <t>ed20zkxdw02</t>
  </si>
  <si>
    <t>CSX22GRZAWW</t>
  </si>
  <si>
    <t>ARB1917CSL</t>
  </si>
  <si>
    <t>LRBN20512WW</t>
  </si>
  <si>
    <t>MFD256OHES</t>
  </si>
  <si>
    <t>RT21LMXK005</t>
  </si>
  <si>
    <t>TS22AFXKQ05</t>
  </si>
  <si>
    <t>FV12CLD</t>
  </si>
  <si>
    <t>frt18drh</t>
  </si>
  <si>
    <t>25323414101</t>
  </si>
  <si>
    <t>rtw22e0dae</t>
  </si>
  <si>
    <t>25351232102</t>
  </si>
  <si>
    <t>106.566112500</t>
  </si>
  <si>
    <t>gb2fhdxws01</t>
  </si>
  <si>
    <t>RF265ABWP</t>
  </si>
  <si>
    <t>GFU21M4GW0</t>
  </si>
  <si>
    <t>st21hpxlq01</t>
  </si>
  <si>
    <t>25323024101</t>
  </si>
  <si>
    <t>GSH25JFTEWW</t>
  </si>
  <si>
    <t>2539629110</t>
  </si>
  <si>
    <t>ev200nxgwo3</t>
  </si>
  <si>
    <t>ed25texhw00</t>
  </si>
  <si>
    <t>ED22DQXAN10</t>
  </si>
  <si>
    <t>V20NAB</t>
  </si>
  <si>
    <t>GRU17B2JW0</t>
  </si>
  <si>
    <t>363.8651584</t>
  </si>
  <si>
    <t>ed2nhgxtooo</t>
  </si>
  <si>
    <t>79571602011</t>
  </si>
  <si>
    <t>596. 65932401</t>
  </si>
  <si>
    <t>u12f</t>
  </si>
  <si>
    <t>ED2NHGXVQ00</t>
  </si>
  <si>
    <t>LFX2590SB</t>
  </si>
  <si>
    <t>363.9731713</t>
  </si>
  <si>
    <t>FFT-8838-00A</t>
  </si>
  <si>
    <t>ED5LHEXTD00</t>
  </si>
  <si>
    <t>TM18V2L</t>
  </si>
  <si>
    <t>NEW FRIDGE INSTALOING IN KITCHEN AFTER RMODEL</t>
  </si>
  <si>
    <t>LSC27921ST/05</t>
  </si>
  <si>
    <t>no label storage on top of freezer</t>
  </si>
  <si>
    <t>36359522996</t>
  </si>
  <si>
    <t>1067281630</t>
  </si>
  <si>
    <t>10653094300</t>
  </si>
  <si>
    <t>HSW02C</t>
  </si>
  <si>
    <t>frt18il6dw8</t>
  </si>
  <si>
    <t>1193452 sn 322403721</t>
  </si>
  <si>
    <t>106 721202 sn</t>
  </si>
  <si>
    <t>ssx130sm1d sn102r338721</t>
  </si>
  <si>
    <t>ET18GKXDW03</t>
  </si>
  <si>
    <t>hsm25gftasa</t>
  </si>
  <si>
    <t>CTB1925DRW</t>
  </si>
  <si>
    <t>ASD2522WRW03</t>
  </si>
  <si>
    <t>ed5shgxmq08</t>
  </si>
  <si>
    <t>mfco5m3bw4</t>
  </si>
  <si>
    <t>frt8b5ewa</t>
  </si>
  <si>
    <t>RF26VABBP</t>
  </si>
  <si>
    <t>V20WUA</t>
  </si>
  <si>
    <t>KTRS25KAAL12</t>
  </si>
  <si>
    <t>bz22qw</t>
  </si>
  <si>
    <t>et21dkxdw00</t>
  </si>
  <si>
    <t>MFU14M2FW0</t>
  </si>
  <si>
    <t>52564100</t>
  </si>
  <si>
    <t>LRFC22750TT</t>
  </si>
  <si>
    <t>WMR04BAPBBB</t>
  </si>
  <si>
    <t>FRT18P6BSB0</t>
  </si>
  <si>
    <t>2539287414</t>
  </si>
  <si>
    <t>W4TXNWFWQ01</t>
  </si>
  <si>
    <t>CA12EB</t>
  </si>
  <si>
    <t>106.76232402</t>
  </si>
  <si>
    <t>hmg191240</t>
  </si>
  <si>
    <t>106.8648512</t>
  </si>
  <si>
    <t>867882031112</t>
  </si>
  <si>
    <t>25363462301</t>
  </si>
  <si>
    <t>gts18jbparww</t>
  </si>
  <si>
    <t>ed5shaxnqo01</t>
  </si>
  <si>
    <t>EV200FXEN00 C0</t>
  </si>
  <si>
    <t>ET20NKXDN00</t>
  </si>
  <si>
    <t>ER2CHMXPB06</t>
  </si>
  <si>
    <t>EEV122FWO</t>
  </si>
  <si>
    <t>afd2535fes</t>
  </si>
  <si>
    <t>aqf2013tew03</t>
  </si>
  <si>
    <t>pf7-4303-07</t>
  </si>
  <si>
    <t>st14ckxhw00</t>
  </si>
  <si>
    <t>gts18gbrercc</t>
  </si>
  <si>
    <t>gts18fbmfrww</t>
  </si>
  <si>
    <t>CTX18GASQRWH</t>
  </si>
  <si>
    <t>253.24452103</t>
  </si>
  <si>
    <t>ATB2232MRW00</t>
  </si>
  <si>
    <t>TBF17BFCR1</t>
  </si>
  <si>
    <t>ET1FTKXKQO5</t>
  </si>
  <si>
    <t>NO SERIAL #</t>
  </si>
  <si>
    <t>FH15C</t>
  </si>
  <si>
    <t>CA15EWB</t>
  </si>
  <si>
    <t>ONTOP OF FREEZER. CNT GET TO NAME PLATE ON BACK.</t>
  </si>
  <si>
    <t>59672232200</t>
  </si>
  <si>
    <t>could not read label w/o moving fridge</t>
  </si>
  <si>
    <t>FPCI170TG7</t>
  </si>
  <si>
    <t>WCV15F</t>
  </si>
  <si>
    <t>fkch17f7hwa</t>
  </si>
  <si>
    <t>fkch17f7hwc</t>
  </si>
  <si>
    <t>ED5SHAXMT00</t>
  </si>
  <si>
    <t>FFC0522FW9</t>
  </si>
  <si>
    <t>RC131LLA7</t>
  </si>
  <si>
    <t>106.DVD-B</t>
  </si>
  <si>
    <t>lgus2642lpo</t>
  </si>
  <si>
    <t>FCM15DPFWH</t>
  </si>
  <si>
    <t>GSH25JSXJSS</t>
  </si>
  <si>
    <t>ED20TWXDW00</t>
  </si>
  <si>
    <t>ELV-21S</t>
  </si>
  <si>
    <t>564. 9349110</t>
  </si>
  <si>
    <t>59672283202</t>
  </si>
  <si>
    <t>FCM5SUCWW</t>
  </si>
  <si>
    <t>non-functioning icemaker type unk</t>
  </si>
  <si>
    <t>253.4802400</t>
  </si>
  <si>
    <t>sbi20tpsw</t>
  </si>
  <si>
    <t>8630583</t>
  </si>
  <si>
    <t>650/ F</t>
  </si>
  <si>
    <t>FRT18IDRHD0</t>
  </si>
  <si>
    <t>253. 16502100</t>
  </si>
  <si>
    <t>106. 76236400</t>
  </si>
  <si>
    <t>arb2107</t>
  </si>
  <si>
    <t>TFX20RNB</t>
  </si>
  <si>
    <t>hts17gbsbrww</t>
  </si>
  <si>
    <t>fum14svarww</t>
  </si>
  <si>
    <t>RB170PA</t>
  </si>
  <si>
    <t>MFU16F7FW0</t>
  </si>
  <si>
    <t>FRS26ZRF</t>
  </si>
  <si>
    <t>253.24042101</t>
  </si>
  <si>
    <t>ksra25kkss00</t>
  </si>
  <si>
    <t>ffu21c4cw1</t>
  </si>
  <si>
    <t>ffu20fc6aw4</t>
  </si>
  <si>
    <t>CTB212DRW</t>
  </si>
  <si>
    <t>253.60722009</t>
  </si>
  <si>
    <t>253.28092802</t>
  </si>
  <si>
    <t>ED2VHEXVQ01</t>
  </si>
  <si>
    <t>ET22DMXTN00</t>
  </si>
  <si>
    <t>MFI2569VEW1</t>
  </si>
  <si>
    <t>2539282110</t>
  </si>
  <si>
    <t>71203101</t>
  </si>
  <si>
    <t>2539235716</t>
  </si>
  <si>
    <t>253.63702201</t>
  </si>
  <si>
    <t>2513</t>
  </si>
  <si>
    <t>tbx22pasnrbb</t>
  </si>
  <si>
    <t>2538192381</t>
  </si>
  <si>
    <t>sr366w</t>
  </si>
  <si>
    <t>frt18b5jw0</t>
  </si>
  <si>
    <t>106. 8251520</t>
  </si>
  <si>
    <t>el05ccxhw</t>
  </si>
  <si>
    <t>ar956mw10r</t>
  </si>
  <si>
    <t>st14ckxk000</t>
  </si>
  <si>
    <t>eet201zknro</t>
  </si>
  <si>
    <t>253.64522404</t>
  </si>
  <si>
    <t>TBF17DA</t>
  </si>
  <si>
    <t>106 51552104</t>
  </si>
  <si>
    <t>W1TXEMMWO00</t>
  </si>
  <si>
    <t>363.9664721</t>
  </si>
  <si>
    <t>FFU17FK1CWO</t>
  </si>
  <si>
    <t>TBX21N1XERAA</t>
  </si>
  <si>
    <t>ksrp25ftss00</t>
  </si>
  <si>
    <t>tc18mw</t>
  </si>
  <si>
    <t>RT153MLD0</t>
  </si>
  <si>
    <t>105.78902891</t>
  </si>
  <si>
    <t>ard366mw10r</t>
  </si>
  <si>
    <t>CTX14CYTDRAD</t>
  </si>
  <si>
    <t>ARB2517CSR</t>
  </si>
  <si>
    <t>FFU2124DW1</t>
  </si>
  <si>
    <t>FRT21LR7AB9</t>
  </si>
  <si>
    <t>253.4680240E</t>
  </si>
  <si>
    <t>BX21V1E</t>
  </si>
  <si>
    <t>hu39716619</t>
  </si>
  <si>
    <t>ksrb25fkbl14</t>
  </si>
  <si>
    <t>1069530410</t>
  </si>
  <si>
    <t>ffu2124dw8</t>
  </si>
  <si>
    <t>106724201</t>
  </si>
  <si>
    <t>9532510</t>
  </si>
  <si>
    <t>TBX18JAXGRAA</t>
  </si>
  <si>
    <t>TB14SABD</t>
  </si>
  <si>
    <t>ER2CHMXPB04</t>
  </si>
  <si>
    <t>HSS25GFPEWW</t>
  </si>
  <si>
    <t>ET14AKXSNO3</t>
  </si>
  <si>
    <t>FPGS18T1AW3</t>
  </si>
  <si>
    <t>abb2224deb</t>
  </si>
  <si>
    <t>GSF26C4EXT00</t>
  </si>
  <si>
    <t>MFU14M2Gwo</t>
  </si>
  <si>
    <t>RF268ABWP</t>
  </si>
  <si>
    <t>EEV204FW0</t>
  </si>
  <si>
    <t>ET20RKXZW00</t>
  </si>
  <si>
    <t>frt18b4aw4</t>
  </si>
  <si>
    <t>2-6x2-0x1-4 model number is a guess - only number on sticker on back - no hard tag</t>
  </si>
  <si>
    <t>ffco7kofwo</t>
  </si>
  <si>
    <t>ET1MHKXMB04</t>
  </si>
  <si>
    <t>TFH22PRSM</t>
  </si>
  <si>
    <t>FPGC18TALP</t>
  </si>
  <si>
    <t>WRT351SFYW00</t>
  </si>
  <si>
    <t>lffh2067dw7</t>
  </si>
  <si>
    <t>MF2558VEB3</t>
  </si>
  <si>
    <t>EEH182F</t>
  </si>
  <si>
    <t>106.56542400</t>
  </si>
  <si>
    <t>UN</t>
  </si>
  <si>
    <t>10674932400</t>
  </si>
  <si>
    <t>2539185211</t>
  </si>
  <si>
    <t>ED5HQXKQ01</t>
  </si>
  <si>
    <t>ssd14cab</t>
  </si>
  <si>
    <t>asd2627keb</t>
  </si>
  <si>
    <t>RFA17NAC</t>
  </si>
  <si>
    <t>International Harvester</t>
  </si>
  <si>
    <t>10654786801</t>
  </si>
  <si>
    <t>EV2OOFXAN99</t>
  </si>
  <si>
    <t>GBSC3HBXCRBB</t>
  </si>
  <si>
    <t>253.29201000</t>
  </si>
  <si>
    <t>253.26052100</t>
  </si>
  <si>
    <t>MSD2572VEB00</t>
  </si>
  <si>
    <t>FP21SSDRWH</t>
  </si>
  <si>
    <t>106. 9555712</t>
  </si>
  <si>
    <t>RB15KA-OA</t>
  </si>
  <si>
    <t>25363872300</t>
  </si>
  <si>
    <t>JSD2695KESA</t>
  </si>
  <si>
    <t>GFU17M4AW1</t>
  </si>
  <si>
    <t>ED2GTQXKQ00</t>
  </si>
  <si>
    <t>HMG191470</t>
  </si>
  <si>
    <t>ESCM050EC</t>
  </si>
  <si>
    <t>3639701410</t>
  </si>
  <si>
    <t>2538195680</t>
  </si>
  <si>
    <t>CSX22G</t>
  </si>
  <si>
    <t>ppe26vwjwkl</t>
  </si>
  <si>
    <t>KSRS25CKBL03</t>
  </si>
  <si>
    <t>1069512810</t>
  </si>
  <si>
    <t>CSX20EKC</t>
  </si>
  <si>
    <t>EEL-131CT</t>
  </si>
  <si>
    <t>106. 8265981</t>
  </si>
  <si>
    <t>lfx25960st</t>
  </si>
  <si>
    <t>10677062791</t>
  </si>
  <si>
    <t>rtsa154aae</t>
  </si>
  <si>
    <t>2539185212</t>
  </si>
  <si>
    <t>glrt183tdwh</t>
  </si>
  <si>
    <t>msb2154gr</t>
  </si>
  <si>
    <t>795.78502.803</t>
  </si>
  <si>
    <t>FSK190JNOD</t>
  </si>
  <si>
    <t>106.51572201</t>
  </si>
  <si>
    <t>Unk, old</t>
  </si>
  <si>
    <t>TBX21JABLRBB</t>
  </si>
  <si>
    <t>FRT18B4BW6</t>
  </si>
  <si>
    <t>tbx21iabrrww</t>
  </si>
  <si>
    <t>tbf17dab</t>
  </si>
  <si>
    <t>FRT18NNC</t>
  </si>
  <si>
    <t>frs26lh5dw4</t>
  </si>
  <si>
    <t>GS6SHXMQ00</t>
  </si>
  <si>
    <t>COULD NOT READ</t>
  </si>
  <si>
    <t>OLD NO LABEL</t>
  </si>
  <si>
    <t>MSD2957AEW</t>
  </si>
  <si>
    <t>JWC2450ARB</t>
  </si>
  <si>
    <t>ABB2221FEB</t>
  </si>
  <si>
    <t>79577543U00</t>
  </si>
  <si>
    <t>1067291640</t>
  </si>
  <si>
    <t>FFT496900A</t>
  </si>
  <si>
    <t>mtb2156dew</t>
  </si>
  <si>
    <t>frt8b6ebc</t>
  </si>
  <si>
    <t>HSS25IFMC WW</t>
  </si>
  <si>
    <t>TZ19QW</t>
  </si>
  <si>
    <t>OLD, AND LIKELY NOT VERY EFFICIENT? NO LABELS  80'S?</t>
  </si>
  <si>
    <t>OLD, NO LABELS  1986 IS AGUESS</t>
  </si>
  <si>
    <t>LSC27910TT/01</t>
  </si>
  <si>
    <t>KSSO42QMB01</t>
  </si>
  <si>
    <t>ZIDI240PAII</t>
  </si>
  <si>
    <t>CR11FFW</t>
  </si>
  <si>
    <t>UF-21H</t>
  </si>
  <si>
    <t>TZ22R2L</t>
  </si>
  <si>
    <t>rt14dkxgw02</t>
  </si>
  <si>
    <t>frt18sjgd2</t>
  </si>
  <si>
    <t>plh239zdbr</t>
  </si>
  <si>
    <t>lffco9m5hwm</t>
  </si>
  <si>
    <t>LSC269055W</t>
  </si>
  <si>
    <t>CTX18CLT</t>
  </si>
  <si>
    <t>8562713</t>
  </si>
  <si>
    <t>hmg46500b</t>
  </si>
  <si>
    <t>TFX24RLR</t>
  </si>
  <si>
    <t>ed5lhextd00</t>
  </si>
  <si>
    <t>Eht221mknr1</t>
  </si>
  <si>
    <t>TFX22R</t>
  </si>
  <si>
    <t>TBX21JISRRWH</t>
  </si>
  <si>
    <t>TS25AFXKQ03</t>
  </si>
  <si>
    <t>106.8770980</t>
  </si>
  <si>
    <t>FV16M6WKFA</t>
  </si>
  <si>
    <t>MFI2569VEM4</t>
  </si>
  <si>
    <t>79551312011</t>
  </si>
  <si>
    <t>TBF17DB</t>
  </si>
  <si>
    <t>10644423603</t>
  </si>
  <si>
    <t>1068559281</t>
  </si>
  <si>
    <t>fzrfrwht</t>
  </si>
  <si>
    <t>pfss2mjycss</t>
  </si>
  <si>
    <t>ei23bc36is3</t>
  </si>
  <si>
    <t>frs26r2awc</t>
  </si>
  <si>
    <t>mfu21m3gw1</t>
  </si>
  <si>
    <t>KSRY25CVMS01</t>
  </si>
  <si>
    <t>253. 16082101</t>
  </si>
  <si>
    <t>GT22SBXARSS</t>
  </si>
  <si>
    <t>106.79852990</t>
  </si>
  <si>
    <t>FV19M2WV</t>
  </si>
  <si>
    <t>KSRS25QDAL00</t>
  </si>
  <si>
    <t>596.76603601</t>
  </si>
  <si>
    <t>TS25AFXK004</t>
  </si>
  <si>
    <t>RTSA54AAE</t>
  </si>
  <si>
    <t>253.71132105</t>
  </si>
  <si>
    <t>HMG198540A</t>
  </si>
  <si>
    <t>csx20elp</t>
  </si>
  <si>
    <t>atb2136arw</t>
  </si>
  <si>
    <t>795.77543600</t>
  </si>
  <si>
    <t>FRS26H7CW0</t>
  </si>
  <si>
    <t>KSRG25FKWH05</t>
  </si>
  <si>
    <t>ED2FHAXSOO3</t>
  </si>
  <si>
    <t>O'keefe &amp; Merritt</t>
  </si>
  <si>
    <t>gts22qbparww</t>
  </si>
  <si>
    <t>TS18R2L</t>
  </si>
  <si>
    <t>FREEZER 2 HAD NO NAMEPLATE, BUT LOOKED TO BE MADE IN THE 1980'S</t>
  </si>
  <si>
    <t>106.57706700</t>
  </si>
  <si>
    <t>EKV11CWR0</t>
  </si>
  <si>
    <t>mff2558vew3</t>
  </si>
  <si>
    <t>TFX22PPDA CC</t>
  </si>
  <si>
    <t>PFCS1NJWA SS</t>
  </si>
  <si>
    <t>ETOWSRXML03</t>
  </si>
  <si>
    <t>MBF2556HW</t>
  </si>
  <si>
    <t>NO LABEL</t>
  </si>
  <si>
    <t>FRS20ZRG</t>
  </si>
  <si>
    <t>EV200F</t>
  </si>
  <si>
    <t>RF26VABWP</t>
  </si>
  <si>
    <t>cta14cbc</t>
  </si>
  <si>
    <t>1055544400</t>
  </si>
  <si>
    <t>mrt17crbw2</t>
  </si>
  <si>
    <t>GDS18LCRAWW</t>
  </si>
  <si>
    <t>tfx22zrxd aa</t>
  </si>
  <si>
    <t>msd2456de</t>
  </si>
  <si>
    <t>tbx23zgb</t>
  </si>
  <si>
    <t>fft-8958-080a</t>
  </si>
  <si>
    <t>KSRS22QAAL20</t>
  </si>
  <si>
    <t>COULD NOTCACCESS</t>
  </si>
  <si>
    <t>frs6lf7fm9</t>
  </si>
  <si>
    <t>ffc07c3aw2</t>
  </si>
  <si>
    <t>HTS18GBSBRWW</t>
  </si>
  <si>
    <t>RF267ABRS</t>
  </si>
  <si>
    <t>RB150TV</t>
  </si>
  <si>
    <t>asd26266heb</t>
  </si>
  <si>
    <t>106 6683002</t>
  </si>
  <si>
    <t>na freezer locked</t>
  </si>
  <si>
    <t>no plate</t>
  </si>
  <si>
    <t>KSRS2506WH00</t>
  </si>
  <si>
    <t>ars2664aw</t>
  </si>
  <si>
    <t>MFF2558VEW2</t>
  </si>
  <si>
    <t>GX5FHDXVQ0</t>
  </si>
  <si>
    <t>253.23724100</t>
  </si>
  <si>
    <t>253.74221703</t>
  </si>
  <si>
    <t>MSD2652KES</t>
  </si>
  <si>
    <t>FFU17C4CW1</t>
  </si>
  <si>
    <t>ET1MHKXMBO1</t>
  </si>
  <si>
    <t>CANT GET TO LABEL ON CHEST FREEZER OWNER SAYS ABOUT 7-8 YEARS OLD</t>
  </si>
  <si>
    <t>10659429800</t>
  </si>
  <si>
    <t>older fridge no medl plate</t>
  </si>
  <si>
    <t>Western Royal</t>
  </si>
  <si>
    <t>probably 60s</t>
  </si>
  <si>
    <t>AA84</t>
  </si>
  <si>
    <t>25328262804</t>
  </si>
  <si>
    <t>10660262990</t>
  </si>
  <si>
    <t>KSRS22QXWH00</t>
  </si>
  <si>
    <t>FPGS18TPWO</t>
  </si>
  <si>
    <t>MFC25MHFWO</t>
  </si>
  <si>
    <t>ARB224RCW</t>
  </si>
  <si>
    <t>sn s007169376</t>
  </si>
  <si>
    <t>2539202381</t>
  </si>
  <si>
    <t>no tags visible</t>
  </si>
  <si>
    <t>et18nkxrnro</t>
  </si>
  <si>
    <t>ED22MMXRNR0</t>
  </si>
  <si>
    <t>homeowner believes it to be estar but no tag found</t>
  </si>
  <si>
    <t>70284991</t>
  </si>
  <si>
    <t>plug in and out at holidays thanksgiving through new years</t>
  </si>
  <si>
    <t>2539287110</t>
  </si>
  <si>
    <t>ctb1925drw</t>
  </si>
  <si>
    <t>mtb1954mew00</t>
  </si>
  <si>
    <t>ABB1924DEQ</t>
  </si>
  <si>
    <t>Frost queen</t>
  </si>
  <si>
    <t>FPK190EN2D</t>
  </si>
  <si>
    <t>TSK210JNOD</t>
  </si>
  <si>
    <t>tsi18a3w</t>
  </si>
  <si>
    <t>cta12cvb</t>
  </si>
  <si>
    <t>fft8529002</t>
  </si>
  <si>
    <t>KSRW25FHWW01</t>
  </si>
  <si>
    <t>Imperial</t>
  </si>
  <si>
    <t>UL5000CA5</t>
  </si>
  <si>
    <t>The serial number was impossible to read.  The model number was just barely legible and it could still be incorrect.</t>
  </si>
  <si>
    <t>TB14SBB</t>
  </si>
  <si>
    <t>GD25SFXHS02</t>
  </si>
  <si>
    <t>OLD commercial pepsi refrigerator</t>
  </si>
  <si>
    <t>Sanden Corp</t>
  </si>
  <si>
    <t>AGV-182IUP</t>
  </si>
  <si>
    <t>363.9550920</t>
  </si>
  <si>
    <t>pds22scrblss</t>
  </si>
  <si>
    <t>106 70232900</t>
  </si>
  <si>
    <t>dshs9ngyacss</t>
  </si>
  <si>
    <t>frt18il6jw3</t>
  </si>
  <si>
    <t>mtb1954arw</t>
  </si>
  <si>
    <t>253.23414100</t>
  </si>
  <si>
    <t>106.50522101</t>
  </si>
  <si>
    <t>The serial number cant be seen anymore</t>
  </si>
  <si>
    <t>ESP22MPO</t>
  </si>
  <si>
    <t>Couldn't find the nameplate</t>
  </si>
  <si>
    <t>596.77599800</t>
  </si>
  <si>
    <t>106.53652300</t>
  </si>
  <si>
    <t>LRBC2252WW</t>
  </si>
  <si>
    <t>253.26442100</t>
  </si>
  <si>
    <t>RT176LCDO</t>
  </si>
  <si>
    <t>fft8942</t>
  </si>
  <si>
    <t>RT196W</t>
  </si>
  <si>
    <t>363.9654316</t>
  </si>
  <si>
    <t>253.</t>
  </si>
  <si>
    <t>LFC21760ST</t>
  </si>
  <si>
    <t>KTRS25KGWH00</t>
  </si>
  <si>
    <t>UFS212RMOW</t>
  </si>
  <si>
    <t>253.19531990</t>
  </si>
  <si>
    <t>FRT21P5AW7</t>
  </si>
  <si>
    <t>NO LABEL ON SMALL FREEZER</t>
  </si>
  <si>
    <t>et1fhtxmq01</t>
  </si>
  <si>
    <t>MRT18CSEWO</t>
  </si>
  <si>
    <t>CAN NOT ACCESS FREEZER INFO NO LABEL UPRIGHT IS 1990 MODEL CHEST FREEZER 1970 OR OLDER</t>
  </si>
  <si>
    <t>Coronado</t>
  </si>
  <si>
    <t>SMALL FRIDGE IN MASTER BED CAN NOT MOVE TO ACCESS LABEL</t>
  </si>
  <si>
    <t>rs2530bbpxxa</t>
  </si>
  <si>
    <t>hmg191497</t>
  </si>
  <si>
    <t>afd759mw10r</t>
  </si>
  <si>
    <t>CTX18CAXCLWH</t>
  </si>
  <si>
    <t>2000 or 1988</t>
  </si>
  <si>
    <t>tfx28pb</t>
  </si>
  <si>
    <t>glrt13e4w</t>
  </si>
  <si>
    <t>ffc07c3aw8</t>
  </si>
  <si>
    <t>MBF2258HEQ</t>
  </si>
  <si>
    <t>59542990</t>
  </si>
  <si>
    <t>FHT1826LK2</t>
  </si>
  <si>
    <t>fft-4935-00m</t>
  </si>
  <si>
    <t>9638612</t>
  </si>
  <si>
    <t>TZI18U2W</t>
  </si>
  <si>
    <t>GSH25JFTAWW</t>
  </si>
  <si>
    <t>253.14502104</t>
  </si>
  <si>
    <t>106.7685220</t>
  </si>
  <si>
    <t>1067699281</t>
  </si>
  <si>
    <t>mfu09m2bw3</t>
  </si>
  <si>
    <t>MSB2154AR</t>
  </si>
  <si>
    <t>ksrs22qdwh00</t>
  </si>
  <si>
    <t>esu17c-l</t>
  </si>
  <si>
    <t>rt21akxgw01</t>
  </si>
  <si>
    <t>GTS22KHPARWW</t>
  </si>
  <si>
    <t>FFU14C3CWI</t>
  </si>
  <si>
    <t>rs25awxww00</t>
  </si>
  <si>
    <t>596.67277790</t>
  </si>
  <si>
    <t>FFU2124DW5</t>
  </si>
  <si>
    <t>FCM25SUDWM</t>
  </si>
  <si>
    <t>253.9185212</t>
  </si>
  <si>
    <t>MZD2766GEQ</t>
  </si>
  <si>
    <t>frt21il5dwn</t>
  </si>
  <si>
    <t>CTA14CYC</t>
  </si>
  <si>
    <t>This was a very old freezer could not find any numbers or name plates on it.</t>
  </si>
  <si>
    <t>no name plate .</t>
  </si>
  <si>
    <t>RTF19000AE</t>
  </si>
  <si>
    <t>1068607362</t>
  </si>
  <si>
    <t>UFS133SM1W</t>
  </si>
  <si>
    <t>ED5FHEXL01A</t>
  </si>
  <si>
    <t>could not find a model plate</t>
  </si>
  <si>
    <t>ED5PVEXWS00</t>
  </si>
  <si>
    <t>KBRS21KDAL00</t>
  </si>
  <si>
    <t>SN    6RFI        M/102495037</t>
  </si>
  <si>
    <t>102495037</t>
  </si>
  <si>
    <t>ev170nylq01</t>
  </si>
  <si>
    <t>RA186GCD1</t>
  </si>
  <si>
    <t>LBC2252</t>
  </si>
  <si>
    <t>Coldspot freezer serial #:  0A421000</t>
  </si>
  <si>
    <t>106.6025160</t>
  </si>
  <si>
    <t>GSH25JSTFSS</t>
  </si>
  <si>
    <t>253.9252510</t>
  </si>
  <si>
    <t>1068748512</t>
  </si>
  <si>
    <t>ca15drb</t>
  </si>
  <si>
    <t>ed2fhexssoo</t>
  </si>
  <si>
    <t>10641519100</t>
  </si>
  <si>
    <t>HTS15BBMFRWW</t>
  </si>
  <si>
    <t>WCC15F</t>
  </si>
  <si>
    <t>FCM7DNBWH</t>
  </si>
  <si>
    <t>106.57062601</t>
  </si>
  <si>
    <t>253.16342101</t>
  </si>
  <si>
    <t>ET18ZKXDW01</t>
  </si>
  <si>
    <t>ATB2136ARB</t>
  </si>
  <si>
    <t>abc2037deb</t>
  </si>
  <si>
    <t>et18mkxsw03</t>
  </si>
  <si>
    <t>W2RXEMMWQ01</t>
  </si>
  <si>
    <t>FV21M2</t>
  </si>
  <si>
    <t>RE479200</t>
  </si>
  <si>
    <t>CTX18LYGRWH</t>
  </si>
  <si>
    <t>msd2651hew</t>
  </si>
  <si>
    <t>afu2004awjo</t>
  </si>
  <si>
    <t>BR22S6W</t>
  </si>
  <si>
    <t>106.6323150</t>
  </si>
  <si>
    <t>253.9284212</t>
  </si>
  <si>
    <t>dshf9ngyacww</t>
  </si>
  <si>
    <t>25368132890</t>
  </si>
  <si>
    <t>25361462100</t>
  </si>
  <si>
    <t>p1317402ww</t>
  </si>
  <si>
    <t>1/2 size chest</t>
  </si>
  <si>
    <t>301203446061</t>
  </si>
  <si>
    <t>3639731587</t>
  </si>
  <si>
    <t>ktra25kwal0</t>
  </si>
  <si>
    <t>3638452410</t>
  </si>
  <si>
    <t>GSS25KGSC CC</t>
  </si>
  <si>
    <t>CAF16C RB</t>
  </si>
  <si>
    <t>10655392400</t>
  </si>
  <si>
    <t>lfc25770sw</t>
  </si>
  <si>
    <t>CA16DABW</t>
  </si>
  <si>
    <t>757725922</t>
  </si>
  <si>
    <t>ED5FTGXQ02</t>
  </si>
  <si>
    <t>CA13DFC</t>
  </si>
  <si>
    <t>no access</t>
  </si>
  <si>
    <t>pbb1951grw</t>
  </si>
  <si>
    <t>not found</t>
  </si>
  <si>
    <t>1065705791</t>
  </si>
  <si>
    <t>1067292050</t>
  </si>
  <si>
    <t>jfc2089hes</t>
  </si>
  <si>
    <t>UNICO</t>
  </si>
  <si>
    <t>ucf120 ao</t>
  </si>
  <si>
    <t>mcbr445s1</t>
  </si>
  <si>
    <t>596.711303101</t>
  </si>
  <si>
    <t>EV190FXWN00</t>
  </si>
  <si>
    <t>253.64892499/BA42007242</t>
  </si>
  <si>
    <t>596.50692001</t>
  </si>
  <si>
    <t>Can't find the name plate</t>
  </si>
  <si>
    <t>T17F2DMGA</t>
  </si>
  <si>
    <t>36339715989</t>
  </si>
  <si>
    <t>253.31619101</t>
  </si>
  <si>
    <t>ed2khaxvb01</t>
  </si>
  <si>
    <t>kthc18kbal00</t>
  </si>
  <si>
    <t>2kdr2805</t>
  </si>
  <si>
    <t>ATB1832ARW</t>
  </si>
  <si>
    <t>FRT17G5CSBB</t>
  </si>
  <si>
    <t>TX18VL</t>
  </si>
  <si>
    <t>ET18PKXGNO</t>
  </si>
  <si>
    <t>FRT8BHWO</t>
  </si>
  <si>
    <t>BD101G</t>
  </si>
  <si>
    <t>rt188kxkq03</t>
  </si>
  <si>
    <t>ET8AHMXRT00</t>
  </si>
  <si>
    <t>106.52542101</t>
  </si>
  <si>
    <t>ed2nhgxmq10</t>
  </si>
  <si>
    <t>56421501100</t>
  </si>
  <si>
    <t>FRF6LF7FB2</t>
  </si>
  <si>
    <t>363.8597980</t>
  </si>
  <si>
    <t>ABB1922FED1</t>
  </si>
  <si>
    <t>TFX22JRZBWW</t>
  </si>
  <si>
    <t>EV200FXMQO4</t>
  </si>
  <si>
    <t>TFF24RVE</t>
  </si>
  <si>
    <t>ktrs22mawh10</t>
  </si>
  <si>
    <t>501R</t>
  </si>
  <si>
    <t>KTRS20MAAL10</t>
  </si>
  <si>
    <t>ET20DKXVW02</t>
  </si>
  <si>
    <t>253.28042804</t>
  </si>
  <si>
    <t>253. 28272801</t>
  </si>
  <si>
    <t>363. 9534713</t>
  </si>
  <si>
    <t>SXD26VW</t>
  </si>
  <si>
    <t>FKFH21F7HWA</t>
  </si>
  <si>
    <t>DRS2663BW</t>
  </si>
  <si>
    <t>RB17KA1A</t>
  </si>
  <si>
    <t>FCF88W</t>
  </si>
  <si>
    <t>KSRP22FNSS00</t>
  </si>
  <si>
    <t>HMG621860</t>
  </si>
  <si>
    <t>FUM21DMARWH</t>
  </si>
  <si>
    <t>253. 58682897</t>
  </si>
  <si>
    <t>fu161erw1</t>
  </si>
  <si>
    <t>frs23lh5db4</t>
  </si>
  <si>
    <t>eb21dkxdn00</t>
  </si>
  <si>
    <t>HMG199227A</t>
  </si>
  <si>
    <t>lsc2793</t>
  </si>
  <si>
    <t>253.1111104</t>
  </si>
  <si>
    <t>jfi2589aep</t>
  </si>
  <si>
    <t>fum14dmdrwh</t>
  </si>
  <si>
    <t>LRSW24A</t>
  </si>
  <si>
    <t>MFC15M4FW2</t>
  </si>
  <si>
    <t>RT17F5WV4A</t>
  </si>
  <si>
    <t>363. 9654317</t>
  </si>
  <si>
    <t>59678579801</t>
  </si>
  <si>
    <t>ET22PKXBW00</t>
  </si>
  <si>
    <t>MBF2256KEW</t>
  </si>
  <si>
    <t>HTS18GBSARWW</t>
  </si>
  <si>
    <t>rs22brxal00</t>
  </si>
  <si>
    <t>bc20hl</t>
  </si>
  <si>
    <t>253. 16582104</t>
  </si>
  <si>
    <t>9512881</t>
  </si>
  <si>
    <t>GTS18HCMFRWW</t>
  </si>
  <si>
    <t>TZ19RW</t>
  </si>
  <si>
    <t>glrt183tdqf</t>
  </si>
  <si>
    <t>253.26462101</t>
  </si>
  <si>
    <t>tt14dkxkq01</t>
  </si>
  <si>
    <t>glfc1526fw1</t>
  </si>
  <si>
    <t>GS5SHGXLS00</t>
  </si>
  <si>
    <t>LFX28978SW/00</t>
  </si>
  <si>
    <t>LFFH17F7HWC</t>
  </si>
  <si>
    <t>gth18ebt2rww</t>
  </si>
  <si>
    <t>106.8678211</t>
  </si>
  <si>
    <t>ffu2124dw10</t>
  </si>
  <si>
    <t>fkfu13m2hw1</t>
  </si>
  <si>
    <t>gfu09m2aw4</t>
  </si>
  <si>
    <t>et18pkxsw10</t>
  </si>
  <si>
    <t>HTS17GBSERWW</t>
  </si>
  <si>
    <t>564.923700</t>
  </si>
  <si>
    <t>et8chkkt05</t>
  </si>
  <si>
    <t>9701512</t>
  </si>
  <si>
    <t>fu211erw3</t>
  </si>
  <si>
    <t>SXD27Q2W</t>
  </si>
  <si>
    <t>2539618110</t>
  </si>
  <si>
    <t>2539100180</t>
  </si>
  <si>
    <t>ET25DKXBN02</t>
  </si>
  <si>
    <t>9532512</t>
  </si>
  <si>
    <t>106.51284200</t>
  </si>
  <si>
    <t>OLD INNACESSIBLE NAME PLATE - 1980'S</t>
  </si>
  <si>
    <t>FRT21IL4FW4</t>
  </si>
  <si>
    <t>rf2668ewp</t>
  </si>
  <si>
    <t>BX22S5E</t>
  </si>
  <si>
    <t>FRT18L6JM1</t>
  </si>
  <si>
    <t>GTS18JBPARWW</t>
  </si>
  <si>
    <t>FRT15B3AWF</t>
  </si>
  <si>
    <t>et18nkxrnr3</t>
  </si>
  <si>
    <t>ev190fxsnoo</t>
  </si>
  <si>
    <t>RB19ALV</t>
  </si>
  <si>
    <t>ed25qfxhw02</t>
  </si>
  <si>
    <t>1001903</t>
  </si>
  <si>
    <t>22SISB55</t>
  </si>
  <si>
    <t>795762049008</t>
  </si>
  <si>
    <t>ESVF20HW</t>
  </si>
  <si>
    <t>aff2534fes4</t>
  </si>
  <si>
    <t>lffu1153dw3</t>
  </si>
  <si>
    <t>GTS22ICMBRWW</t>
  </si>
  <si>
    <t>59676609601</t>
  </si>
  <si>
    <t>CSX22BCXA</t>
  </si>
  <si>
    <t>596.58642891</t>
  </si>
  <si>
    <t>TA12SNC</t>
  </si>
  <si>
    <t>TBX18DAXPRWW</t>
  </si>
  <si>
    <t>253.9133381</t>
  </si>
  <si>
    <t>FRT21H7ASB2</t>
  </si>
  <si>
    <t>CTB1502AEW</t>
  </si>
  <si>
    <t>PHSC39EHSS2</t>
  </si>
  <si>
    <t>W8TXNGMWQ00</t>
  </si>
  <si>
    <t>rtd21a</t>
  </si>
  <si>
    <t>106 8201630</t>
  </si>
  <si>
    <t>363.9514780</t>
  </si>
  <si>
    <t>MFC05M1FW0</t>
  </si>
  <si>
    <t>EEV-123E</t>
  </si>
  <si>
    <t>ksra25ilss02</t>
  </si>
  <si>
    <t>rh1500raw00</t>
  </si>
  <si>
    <t>rs26wiew</t>
  </si>
  <si>
    <t>glfc2027fw6</t>
  </si>
  <si>
    <t>CTX21DABLRWW</t>
  </si>
  <si>
    <t>106.9430480</t>
  </si>
  <si>
    <t>8053</t>
  </si>
  <si>
    <t>263.16502107</t>
  </si>
  <si>
    <t>ASD2522URS00</t>
  </si>
  <si>
    <t>mrt15csew6</t>
  </si>
  <si>
    <t>v20nab</t>
  </si>
  <si>
    <t>78182891</t>
  </si>
  <si>
    <t>25323425100</t>
  </si>
  <si>
    <t>pht219jkm0</t>
  </si>
  <si>
    <t>GBS22KBNC22</t>
  </si>
  <si>
    <t>PLHS267ZDB2</t>
  </si>
  <si>
    <t>MTB2156DEW</t>
  </si>
  <si>
    <t>mrt15dncdo</t>
  </si>
  <si>
    <t>MFD2560HEW</t>
  </si>
  <si>
    <t>tb15spfl</t>
  </si>
  <si>
    <t>ffu21d9cw2</t>
  </si>
  <si>
    <t>tc18nl</t>
  </si>
  <si>
    <t>GB2SHDXTQ01</t>
  </si>
  <si>
    <t>LEFCO9M5HWL</t>
  </si>
  <si>
    <t>sr37708</t>
  </si>
  <si>
    <t>KSRS25QGWH01</t>
  </si>
  <si>
    <t>70182001</t>
  </si>
  <si>
    <t>esu20hw</t>
  </si>
  <si>
    <t>106. 8670380</t>
  </si>
  <si>
    <t>198716611</t>
  </si>
  <si>
    <t>MTF2142MES00</t>
  </si>
  <si>
    <t>ED5JHEXTB10</t>
  </si>
  <si>
    <t>253.60721002</t>
  </si>
  <si>
    <t>253.9280213</t>
  </si>
  <si>
    <t>gi6fdrxxy00</t>
  </si>
  <si>
    <t>tm16jl</t>
  </si>
  <si>
    <t>59207990</t>
  </si>
  <si>
    <t>LFFH21F7HWG</t>
  </si>
  <si>
    <t>PLH267ZCB1</t>
  </si>
  <si>
    <t>FFU1423DW3</t>
  </si>
  <si>
    <t>LFC22740SW</t>
  </si>
  <si>
    <t>KFC022EVBL2</t>
  </si>
  <si>
    <t>EV201NZTQ</t>
  </si>
  <si>
    <t>ed20pkxbn00</t>
  </si>
  <si>
    <t>frs26zgewo</t>
  </si>
  <si>
    <t>106.8739483</t>
  </si>
  <si>
    <t>Unable to identify - more than 10 yrs.</t>
  </si>
  <si>
    <t>UFO-4979-20-D</t>
  </si>
  <si>
    <t>KSRU25CRSSO2</t>
  </si>
  <si>
    <t>237313</t>
  </si>
  <si>
    <t>10658966700</t>
  </si>
  <si>
    <t>2539284213</t>
  </si>
  <si>
    <t>bh2055w</t>
  </si>
  <si>
    <t>103h</t>
  </si>
  <si>
    <t>8943</t>
  </si>
  <si>
    <t>KTRS20KAWH10</t>
  </si>
  <si>
    <t>FV13M2WXFD</t>
  </si>
  <si>
    <t>lrbn20512ww</t>
  </si>
  <si>
    <t>LFHT2117LW0</t>
  </si>
  <si>
    <t>HMG194442A</t>
  </si>
  <si>
    <t>GSH25JSTASS</t>
  </si>
  <si>
    <t>25321421105</t>
  </si>
  <si>
    <t>asd2626hew</t>
  </si>
  <si>
    <t>253.54703408</t>
  </si>
  <si>
    <t>TBXI8DIXCRWW</t>
  </si>
  <si>
    <t>253.9108180</t>
  </si>
  <si>
    <t>795.79733.900</t>
  </si>
  <si>
    <t>ET22DKXFN0</t>
  </si>
  <si>
    <t>KTRS22K</t>
  </si>
  <si>
    <t>FRS6LR5EW3</t>
  </si>
  <si>
    <t>253.9200181</t>
  </si>
  <si>
    <t>PSS26PSTA</t>
  </si>
  <si>
    <t>ra186g</t>
  </si>
  <si>
    <t>AT19EM8V</t>
  </si>
  <si>
    <t>LFFU1466GW1</t>
  </si>
  <si>
    <t>edt171nk</t>
  </si>
  <si>
    <t>p1161606we</t>
  </si>
  <si>
    <t>FFC20K1CW0</t>
  </si>
  <si>
    <t>BC22TW</t>
  </si>
  <si>
    <t>ts18r2l</t>
  </si>
  <si>
    <t>mbb1952hew</t>
  </si>
  <si>
    <t>nameplate not accessible.</t>
  </si>
  <si>
    <t>lfc23760sw</t>
  </si>
  <si>
    <t>PTB1954FRW</t>
  </si>
  <si>
    <t>TFX200AXA</t>
  </si>
  <si>
    <t>12EG8-3</t>
  </si>
  <si>
    <t>rsw2400eae</t>
  </si>
  <si>
    <t>wfu21m4awo</t>
  </si>
  <si>
    <t>8620611</t>
  </si>
  <si>
    <t>kfxs25rywho</t>
  </si>
  <si>
    <t>5726792</t>
  </si>
  <si>
    <t>gs6nbexroo1</t>
  </si>
  <si>
    <t>et1ftkxkq11</t>
  </si>
  <si>
    <t>hf3017</t>
  </si>
  <si>
    <t>et1fkxkq11</t>
  </si>
  <si>
    <t>fft8939    00e</t>
  </si>
  <si>
    <t>KTRF20KTAL00</t>
  </si>
  <si>
    <t>TB12SEB</t>
  </si>
  <si>
    <t>106.8536760</t>
  </si>
  <si>
    <t>inaccessible</t>
  </si>
  <si>
    <t>PSS26LGACC</t>
  </si>
  <si>
    <t>GMR02BANBBB</t>
  </si>
  <si>
    <t>UF16JW*8</t>
  </si>
  <si>
    <t>MFI2266AEB</t>
  </si>
  <si>
    <t>LFFH17F7HWD</t>
  </si>
  <si>
    <t>596 73822200</t>
  </si>
  <si>
    <t>fgi6mzwmaa</t>
  </si>
  <si>
    <t>rft449a damsged</t>
  </si>
  <si>
    <t>et18aktlnro</t>
  </si>
  <si>
    <t>TBX18DASJRAD</t>
  </si>
  <si>
    <t>36384004480</t>
  </si>
  <si>
    <t>uf2164c1</t>
  </si>
  <si>
    <t>no date frig not covered in our info</t>
  </si>
  <si>
    <t>bc50p</t>
  </si>
  <si>
    <t>SF1814226</t>
  </si>
  <si>
    <t>FH15D</t>
  </si>
  <si>
    <t>frs6r3jwo</t>
  </si>
  <si>
    <t>p1301702wl</t>
  </si>
  <si>
    <t>no n/p showing. old maybe 40 plus yrs old.</t>
  </si>
  <si>
    <t>1068730882</t>
  </si>
  <si>
    <t>2539276010</t>
  </si>
  <si>
    <t>PSS25MGNAWW</t>
  </si>
  <si>
    <t>FRT21C5AW6</t>
  </si>
  <si>
    <t>FRS26XGCW2</t>
  </si>
  <si>
    <t>crte174kw0</t>
  </si>
  <si>
    <t>rb193av</t>
  </si>
  <si>
    <t>253. 52612201</t>
  </si>
  <si>
    <t>532</t>
  </si>
  <si>
    <t>csx24dma</t>
  </si>
  <si>
    <t>TS22TL</t>
  </si>
  <si>
    <t>glfc1526fw5</t>
  </si>
  <si>
    <t>st18hpxkq02</t>
  </si>
  <si>
    <t>GLHS2387DSO</t>
  </si>
  <si>
    <t>25371882106</t>
  </si>
  <si>
    <t>mini fridge older</t>
  </si>
  <si>
    <t>ED20TKXDN02</t>
  </si>
  <si>
    <t>FRRZER IN BASEMENT IS ZENITH PRE 1960-1950S MODEL SER NM T15CDP1795</t>
  </si>
  <si>
    <t>ZENITH</t>
  </si>
  <si>
    <t>KZF15C</t>
  </si>
  <si>
    <t>ET19DKXDN03</t>
  </si>
  <si>
    <t>RS22AQXMQ00</t>
  </si>
  <si>
    <t>18ERW</t>
  </si>
  <si>
    <t>CR520B</t>
  </si>
  <si>
    <t>106. 74252402</t>
  </si>
  <si>
    <t>Deepfreeze</t>
  </si>
  <si>
    <t>1u02</t>
  </si>
  <si>
    <t>et1mhkxmbo3</t>
  </si>
  <si>
    <t>253.74192409</t>
  </si>
  <si>
    <t>253.24462102</t>
  </si>
  <si>
    <t>ET18NKXWN01</t>
  </si>
  <si>
    <t>GBS20HBSAW</t>
  </si>
  <si>
    <t>rt14vtzbw00</t>
  </si>
  <si>
    <t>ksrg25fkblo4</t>
  </si>
  <si>
    <t>ET8MHKXMT04</t>
  </si>
  <si>
    <t>253.74832400</t>
  </si>
  <si>
    <t>106. 53562202</t>
  </si>
  <si>
    <t>HMG199567C</t>
  </si>
  <si>
    <t>hmg238740b</t>
  </si>
  <si>
    <t>ET18PKXGW01</t>
  </si>
  <si>
    <t>glrt182saw5</t>
  </si>
  <si>
    <t>ett15pwr1</t>
  </si>
  <si>
    <t>fv21m2wofe</t>
  </si>
  <si>
    <t>EI26SS55GSO</t>
  </si>
  <si>
    <t>FV21C</t>
  </si>
  <si>
    <t>25068</t>
  </si>
  <si>
    <t>KSRD25FKWH15</t>
  </si>
  <si>
    <t>TX18NL</t>
  </si>
  <si>
    <t>253.16932100</t>
  </si>
  <si>
    <t>TSL19VW</t>
  </si>
  <si>
    <t>MRT13CREW3</t>
  </si>
  <si>
    <t>FREEZER IN BASEMENT AGAINST WALL CAN NOT SEE LABEL</t>
  </si>
  <si>
    <t>gbscohbxarbb</t>
  </si>
  <si>
    <t>ffco723gb4</t>
  </si>
  <si>
    <t>795.75082400</t>
  </si>
  <si>
    <t>LFFCO9M5HWL</t>
  </si>
  <si>
    <t>MSD2656KGB</t>
  </si>
  <si>
    <t>fpe-22v3</t>
  </si>
  <si>
    <t>FRIGIDAIRE UNK</t>
  </si>
  <si>
    <t>TBF15SPB</t>
  </si>
  <si>
    <t>TBX23ZHB</t>
  </si>
  <si>
    <t>FU188R</t>
  </si>
  <si>
    <t>CA215KBRWH</t>
  </si>
  <si>
    <t>et22mk1lnro</t>
  </si>
  <si>
    <t>beragevair  ur20pe71189</t>
  </si>
  <si>
    <t>et8ftexsb01</t>
  </si>
  <si>
    <t>lffn15m5hwb</t>
  </si>
  <si>
    <t>eh150fxrq00 lo</t>
  </si>
  <si>
    <t>ffc09c3aw6</t>
  </si>
  <si>
    <t>msb2154drw</t>
  </si>
  <si>
    <t>11068</t>
  </si>
  <si>
    <t>GSL25JFTFBS</t>
  </si>
  <si>
    <t>KSRA25ILSS03</t>
  </si>
  <si>
    <t>frt18s6awa</t>
  </si>
  <si>
    <t>c22wubeo</t>
  </si>
  <si>
    <t>mqc2257aew</t>
  </si>
  <si>
    <t>ab2222few</t>
  </si>
  <si>
    <t>2fv52oh</t>
  </si>
  <si>
    <t>ed5kvexvb00</t>
  </si>
  <si>
    <t>79551079011</t>
  </si>
  <si>
    <t>FRS6HR5JW4</t>
  </si>
  <si>
    <t>MF12266AES</t>
  </si>
  <si>
    <t>WCV17/C</t>
  </si>
  <si>
    <t>363.8692782</t>
  </si>
  <si>
    <t>et19dkxdw03</t>
  </si>
  <si>
    <t>KTRS21KMWH00</t>
  </si>
  <si>
    <t>OLDER 80'S?  NO MODEL NUMBER  FRIGIDAIRE FOOD FREEZER 155</t>
  </si>
  <si>
    <t>NO SERIAL OR DATE LISTED PROBABLY MID 90'S</t>
  </si>
  <si>
    <t>FU164T</t>
  </si>
  <si>
    <t>80849</t>
  </si>
  <si>
    <t>wcv15f</t>
  </si>
  <si>
    <t>mfi2269vemo</t>
  </si>
  <si>
    <t>SS25AFXLQ00</t>
  </si>
  <si>
    <t>FD-11-G1</t>
  </si>
  <si>
    <t>FFU21C3AW1</t>
  </si>
  <si>
    <t>frt17l3fw7</t>
  </si>
  <si>
    <t>hmg193447a</t>
  </si>
  <si>
    <t>795.78349.803</t>
  </si>
  <si>
    <t>253.9234113</t>
  </si>
  <si>
    <t>tbx18sabarww</t>
  </si>
  <si>
    <t>WRC18/W3</t>
  </si>
  <si>
    <t>freezer was bought in 2009. cant get to the name plate.</t>
  </si>
  <si>
    <t>FKFH21F7HWB</t>
  </si>
  <si>
    <t>ET1MTKXKQ03</t>
  </si>
  <si>
    <t>596.75932401</t>
  </si>
  <si>
    <t>253.26462100</t>
  </si>
  <si>
    <t>ET20TK</t>
  </si>
  <si>
    <t>eet171nkwr0</t>
  </si>
  <si>
    <t>253.9206383</t>
  </si>
  <si>
    <t>C288-1</t>
  </si>
  <si>
    <t>UFP212SM2W</t>
  </si>
  <si>
    <t>106.58909800</t>
  </si>
  <si>
    <t>fpcl-152t</t>
  </si>
  <si>
    <t>ET1FKXKQ02</t>
  </si>
  <si>
    <t>ED27DQXBN00</t>
  </si>
  <si>
    <t>79571059010</t>
  </si>
  <si>
    <t>SMALL 7 CUFT FRIDGE NO LABEL</t>
  </si>
  <si>
    <t>ARSE667BB</t>
  </si>
  <si>
    <t>CAN NOT ACCESS LABEL ON FREEZER</t>
  </si>
  <si>
    <t>U K</t>
  </si>
  <si>
    <t>ER2CHMXPL04</t>
  </si>
  <si>
    <t>CA16DKBRWH</t>
  </si>
  <si>
    <t>253. 7481440G</t>
  </si>
  <si>
    <t>FRT20NGCW</t>
  </si>
  <si>
    <t>Borg Warner</t>
  </si>
  <si>
    <t>795.79972.903</t>
  </si>
  <si>
    <t>fcm7dsbwh</t>
  </si>
  <si>
    <t>MTB1976HRQ</t>
  </si>
  <si>
    <t>ED22DCXBB00</t>
  </si>
  <si>
    <t>GFC25M7AW4</t>
  </si>
  <si>
    <t>TB14SWB</t>
  </si>
  <si>
    <t>E44223005</t>
  </si>
  <si>
    <t>1988102353</t>
  </si>
  <si>
    <t>1069630610</t>
  </si>
  <si>
    <t>couldn't locate model tag</t>
  </si>
  <si>
    <t>AFF2534FEW</t>
  </si>
  <si>
    <t>FRS26RAW6</t>
  </si>
  <si>
    <t>bci21vw</t>
  </si>
  <si>
    <t>2539281110</t>
  </si>
  <si>
    <t>could not get to data plate, client estimates manf date 1980.</t>
  </si>
  <si>
    <t>795.69912.903</t>
  </si>
  <si>
    <t>HTR15BBRFRWW</t>
  </si>
  <si>
    <t>253.9284215</t>
  </si>
  <si>
    <t>596.75262701</t>
  </si>
  <si>
    <t>dts18icsurbb</t>
  </si>
  <si>
    <t>FRT18SJGW2</t>
  </si>
  <si>
    <t>MSD2576VEMOO</t>
  </si>
  <si>
    <t>ltb1826arz</t>
  </si>
  <si>
    <t>mini fridge in bedroom: no identying labels</t>
  </si>
  <si>
    <t>106.9612680</t>
  </si>
  <si>
    <t>arb2117as</t>
  </si>
  <si>
    <t>ufs19e-l*1</t>
  </si>
  <si>
    <t>ET1FTKXKT00</t>
  </si>
  <si>
    <t>RT177HCDO</t>
  </si>
  <si>
    <t>16D5548P001</t>
  </si>
  <si>
    <t>506.57783704</t>
  </si>
  <si>
    <t>162d8988p006</t>
  </si>
  <si>
    <t>GSH25JSXNSS</t>
  </si>
  <si>
    <t>sc2925293</t>
  </si>
  <si>
    <t>rt190rrg1</t>
  </si>
  <si>
    <t>8088</t>
  </si>
  <si>
    <t>ev20inzrq04</t>
  </si>
  <si>
    <t>ed2dhexwq00</t>
  </si>
  <si>
    <t>glrt182saw4</t>
  </si>
  <si>
    <t>532SS</t>
  </si>
  <si>
    <t>LABEL TORN OFF FRIDGE</t>
  </si>
  <si>
    <t>MSD2542VEB01</t>
  </si>
  <si>
    <t>ED2PQXFW01</t>
  </si>
  <si>
    <t>253.7481240A</t>
  </si>
  <si>
    <t>GLFC2528FW9</t>
  </si>
  <si>
    <t>drs2660bw</t>
  </si>
  <si>
    <t>SXD23VW</t>
  </si>
  <si>
    <t>106 7292050</t>
  </si>
  <si>
    <t>EV190FXSN01</t>
  </si>
  <si>
    <t>8614810</t>
  </si>
  <si>
    <t>tb14srb</t>
  </si>
  <si>
    <t>small portable 2.7</t>
  </si>
  <si>
    <t>726922</t>
  </si>
  <si>
    <t>SQD23VW</t>
  </si>
  <si>
    <t>Carrier</t>
  </si>
  <si>
    <t>14P32-809</t>
  </si>
  <si>
    <t>TMK10AN</t>
  </si>
  <si>
    <t>HSS25GFPJWW</t>
  </si>
  <si>
    <t>253.19501990</t>
  </si>
  <si>
    <t>frig #1 no date seria#k12320489, clint estimates 2010.</t>
  </si>
  <si>
    <t>mbr2258xes1</t>
  </si>
  <si>
    <t>lffh21f7hwe</t>
  </si>
  <si>
    <t>10659247990</t>
  </si>
  <si>
    <t>596.61274101</t>
  </si>
  <si>
    <t>RF217ACBP</t>
  </si>
  <si>
    <t>FRT21HC5DW0</t>
  </si>
  <si>
    <t>FRT18ILOJWO</t>
  </si>
  <si>
    <t>FU211CRWJ</t>
  </si>
  <si>
    <t>1067649310</t>
  </si>
  <si>
    <t>d10 5t</t>
  </si>
  <si>
    <t>fum21drdrwh</t>
  </si>
  <si>
    <t>ET20DKXXN00</t>
  </si>
  <si>
    <t>GLRT183TDWE</t>
  </si>
  <si>
    <t>FP18TLW4</t>
  </si>
  <si>
    <t>CA12DPN</t>
  </si>
  <si>
    <t>9638610</t>
  </si>
  <si>
    <t>mfi2569veq1</t>
  </si>
  <si>
    <t>253. 11521103</t>
  </si>
  <si>
    <t>vmro4gazabb</t>
  </si>
  <si>
    <t>Wizard</t>
  </si>
  <si>
    <t>2jc1818-A5c8</t>
  </si>
  <si>
    <t>1069550711</t>
  </si>
  <si>
    <t>596.62822200</t>
  </si>
  <si>
    <t>ED5PHAXSQ00</t>
  </si>
  <si>
    <t>ABB1921DEQ</t>
  </si>
  <si>
    <t>106.8690385</t>
  </si>
  <si>
    <t>ED5PBAXVYOO</t>
  </si>
  <si>
    <t>HSW02</t>
  </si>
  <si>
    <t>no nameplate visible. age based on participant response - age late 1990s</t>
  </si>
  <si>
    <t>TC18HL</t>
  </si>
  <si>
    <t>no nameplate available. "International Harvester" brand. age based on participant response - 1970s/1980s</t>
  </si>
  <si>
    <t>FU12W</t>
  </si>
  <si>
    <t>ED5LHAXWB00</t>
  </si>
  <si>
    <t>106.56612500</t>
  </si>
  <si>
    <t>EL8ATRRRQ05</t>
  </si>
  <si>
    <t>Frostless15</t>
  </si>
  <si>
    <t>Ambassador</t>
  </si>
  <si>
    <t>LFC25760SW</t>
  </si>
  <si>
    <t>FRF690</t>
  </si>
  <si>
    <t>10654596400</t>
  </si>
  <si>
    <t>FFV12KoCW1</t>
  </si>
  <si>
    <t>TBX22PRBSRCC</t>
  </si>
  <si>
    <t>UFS161MM30</t>
  </si>
  <si>
    <t>RFG297AABP</t>
  </si>
  <si>
    <t>FUF20DMERHW</t>
  </si>
  <si>
    <t>BX20RW</t>
  </si>
  <si>
    <t>GSHF5KGXCCWW</t>
  </si>
  <si>
    <t>596.77593800</t>
  </si>
  <si>
    <t>341L404372</t>
  </si>
  <si>
    <t>363.9530710</t>
  </si>
  <si>
    <t>FFU21M8CW</t>
  </si>
  <si>
    <t>RT174RRW1</t>
  </si>
  <si>
    <t>TFH24PRSMAA</t>
  </si>
  <si>
    <t>FFU21C4CW1</t>
  </si>
  <si>
    <t>HTS22GBPBRWW</t>
  </si>
  <si>
    <t>12235</t>
  </si>
  <si>
    <t>363-9762825</t>
  </si>
  <si>
    <t>6X5SHDXVD03</t>
  </si>
  <si>
    <t>EH150F</t>
  </si>
  <si>
    <t>FRT15B3JW1</t>
  </si>
  <si>
    <t>CTB1722GRW</t>
  </si>
  <si>
    <t>et1mtmxkq00</t>
  </si>
  <si>
    <t>RSD2200EAE</t>
  </si>
  <si>
    <t>nameplate must be in rear and is inaccessible</t>
  </si>
  <si>
    <t>ksrk25fvms00</t>
  </si>
  <si>
    <t>596.68142891</t>
  </si>
  <si>
    <t>Hmg194440A</t>
  </si>
  <si>
    <t>ET21GKXGW00</t>
  </si>
  <si>
    <t>050/03</t>
  </si>
  <si>
    <t>SXD22S2L</t>
  </si>
  <si>
    <t>FGB21XW2</t>
  </si>
  <si>
    <t>HMG22404</t>
  </si>
  <si>
    <t>106. 57023600</t>
  </si>
  <si>
    <t>NO NP AVAILABLE.</t>
  </si>
  <si>
    <t>Norge</t>
  </si>
  <si>
    <t>ABB2222FEW</t>
  </si>
  <si>
    <t>RCA</t>
  </si>
  <si>
    <t>MSX20G</t>
  </si>
  <si>
    <t>ed25pexhw01</t>
  </si>
  <si>
    <t>tbx18kmb</t>
  </si>
  <si>
    <t>795.76203.901</t>
  </si>
  <si>
    <t>253.21741102</t>
  </si>
  <si>
    <t>253.60721008</t>
  </si>
  <si>
    <t>mrt15cscw4</t>
  </si>
  <si>
    <t>mfu14m2bw4</t>
  </si>
  <si>
    <t>fh16mcwtfb</t>
  </si>
  <si>
    <t>MSD2352KEW</t>
  </si>
  <si>
    <t>FFU1724D8</t>
  </si>
  <si>
    <t>FRT19PRAWO</t>
  </si>
  <si>
    <t>hth17cbtzrww</t>
  </si>
  <si>
    <t>253.28052803</t>
  </si>
  <si>
    <t>no np.</t>
  </si>
  <si>
    <t>universal</t>
  </si>
  <si>
    <t>abb1924dew</t>
  </si>
  <si>
    <t>bg20t2w</t>
  </si>
  <si>
    <t>ED5KVEX002</t>
  </si>
  <si>
    <t>PBF1951KEW1</t>
  </si>
  <si>
    <t>LFX21976ST/00</t>
  </si>
  <si>
    <t>S/N 0130521378</t>
  </si>
  <si>
    <t>EWUF5W</t>
  </si>
  <si>
    <t>106.74252402</t>
  </si>
  <si>
    <t>lw120w-01</t>
  </si>
  <si>
    <t>date estimated per participant response</t>
  </si>
  <si>
    <t>106.D7D-8</t>
  </si>
  <si>
    <t>FFU21M7HWL</t>
  </si>
  <si>
    <t>abb1922fe</t>
  </si>
  <si>
    <t>ffc0723dw11</t>
  </si>
  <si>
    <t>rt14dkyewoo</t>
  </si>
  <si>
    <t>pts25sbmarbs</t>
  </si>
  <si>
    <t>gs5shaxnq00</t>
  </si>
  <si>
    <t>795. 7712700</t>
  </si>
  <si>
    <t>253. 60722008</t>
  </si>
  <si>
    <t>253.9276010</t>
  </si>
  <si>
    <t>25360132994</t>
  </si>
  <si>
    <t>frs6hr35ks0</t>
  </si>
  <si>
    <t>fpce21trl1</t>
  </si>
  <si>
    <t>tfu12m4aw3</t>
  </si>
  <si>
    <t>ARSE 66zBW</t>
  </si>
  <si>
    <t>ECV16S</t>
  </si>
  <si>
    <t>106. 58154800</t>
  </si>
  <si>
    <t>b26ft70sns-01</t>
  </si>
  <si>
    <t>25367800791</t>
  </si>
  <si>
    <t>v12wus</t>
  </si>
  <si>
    <t>v20wuab  f2</t>
  </si>
  <si>
    <t>ffc0523dw</t>
  </si>
  <si>
    <t>8704481</t>
  </si>
  <si>
    <t>79571309.001</t>
  </si>
  <si>
    <t>GLRS267ZAW6</t>
  </si>
  <si>
    <t>C7HS</t>
  </si>
  <si>
    <t>UNK/BROKEN</t>
  </si>
  <si>
    <t>106.9751820</t>
  </si>
  <si>
    <t>PLHT219TCB5</t>
  </si>
  <si>
    <t>3639735759</t>
  </si>
  <si>
    <t>gs6nbexrb00</t>
  </si>
  <si>
    <t>rtca196aae</t>
  </si>
  <si>
    <t>0000000</t>
  </si>
  <si>
    <t>25357389602</t>
  </si>
  <si>
    <t>fp21sxarwh</t>
  </si>
  <si>
    <t>SCF0710HW011</t>
  </si>
  <si>
    <t>16.7678410</t>
  </si>
  <si>
    <t>CTX20E</t>
  </si>
  <si>
    <t>ED5DHEXW000</t>
  </si>
  <si>
    <t>EV190NXWN00</t>
  </si>
  <si>
    <t>ED20TKXDW02</t>
  </si>
  <si>
    <t>CA12DDB43</t>
  </si>
  <si>
    <t>1564</t>
  </si>
  <si>
    <t>GLFC1526FW1</t>
  </si>
  <si>
    <t>KTRS25KAAL00</t>
  </si>
  <si>
    <t>ehb191akwro</t>
  </si>
  <si>
    <t>ED22HPXBN00</t>
  </si>
  <si>
    <t>FUM21SABRWH</t>
  </si>
  <si>
    <t>FRIDGE-SERVILE(82400080)</t>
  </si>
  <si>
    <t>Servel</t>
  </si>
  <si>
    <t>RGE400</t>
  </si>
  <si>
    <t>10678865890</t>
  </si>
  <si>
    <t>56424701100</t>
  </si>
  <si>
    <t>ET18NKXAW0</t>
  </si>
  <si>
    <t>79569002900</t>
  </si>
  <si>
    <t>5649143110</t>
  </si>
  <si>
    <t>ufp212fm6w</t>
  </si>
  <si>
    <t>tb14swc</t>
  </si>
  <si>
    <t>120211305113009</t>
  </si>
  <si>
    <t>MSD2651HEW</t>
  </si>
  <si>
    <t>GLEC2027FW4</t>
  </si>
  <si>
    <t>CRTE183AWA</t>
  </si>
  <si>
    <t>FF20D</t>
  </si>
  <si>
    <t>GLRT183TDWG</t>
  </si>
  <si>
    <t>10652574202</t>
  </si>
  <si>
    <t>date estimated by owner</t>
  </si>
  <si>
    <t>rb17fa 1a</t>
  </si>
  <si>
    <t>3639654687</t>
  </si>
  <si>
    <t>596.76053701</t>
  </si>
  <si>
    <t>253.28099803</t>
  </si>
  <si>
    <t>106.71282101</t>
  </si>
  <si>
    <t>FRT16CRHW4</t>
  </si>
  <si>
    <t>GS6NBEXR001</t>
  </si>
  <si>
    <t>kfrf19msalyo</t>
  </si>
  <si>
    <t>frt18b4awa</t>
  </si>
  <si>
    <t>gsh25jfxbww</t>
  </si>
  <si>
    <t>253. 54663405</t>
  </si>
  <si>
    <t>FRT21HS6DWA</t>
  </si>
  <si>
    <t>ED25TQXGW00</t>
  </si>
  <si>
    <t>The Freezers are buried and i can't  get to them. i can hear them running.</t>
  </si>
  <si>
    <t>same as freezer 2</t>
  </si>
  <si>
    <t>et1chexvq04</t>
  </si>
  <si>
    <t>ffc15c4cw0</t>
  </si>
  <si>
    <t>106.55683501</t>
  </si>
  <si>
    <t>FPES21TPW0</t>
  </si>
  <si>
    <t>rt14hdxdw03</t>
  </si>
  <si>
    <t>bm20tbw</t>
  </si>
  <si>
    <t>frt18kg4dw0</t>
  </si>
  <si>
    <t>ev250nxrq00</t>
  </si>
  <si>
    <t>TBX18IIDBRWW</t>
  </si>
  <si>
    <t>AFB2534FES</t>
  </si>
  <si>
    <t>MDS2650HEW</t>
  </si>
  <si>
    <t>FRS6R5ESB6</t>
  </si>
  <si>
    <t>253.92q9382</t>
  </si>
  <si>
    <t>ktrs25kaal00</t>
  </si>
  <si>
    <t>CTX14CYXKLWH</t>
  </si>
  <si>
    <t>rfg297aabp</t>
  </si>
  <si>
    <t>ffu17c3aw1</t>
  </si>
  <si>
    <t>ktls22qdwh01</t>
  </si>
  <si>
    <t>EV187NYRV02</t>
  </si>
  <si>
    <t>EL87TRRRV02</t>
  </si>
  <si>
    <t>One of the refrigerators is a beverage cooler.</t>
  </si>
  <si>
    <t>363.9734786</t>
  </si>
  <si>
    <t>596.72912200</t>
  </si>
  <si>
    <t>eb22rkxxw00</t>
  </si>
  <si>
    <t>kfis27cxwho</t>
  </si>
  <si>
    <t>bd00te0200</t>
  </si>
  <si>
    <t>253. 28262804</t>
  </si>
  <si>
    <t>jcd2389des</t>
  </si>
  <si>
    <t>ef36rnfss</t>
  </si>
  <si>
    <t>363. 9601486</t>
  </si>
  <si>
    <t>V12NAA</t>
  </si>
  <si>
    <t>ctx16cyybrwh</t>
  </si>
  <si>
    <t>25374722408</t>
  </si>
  <si>
    <t>ETOWSRXMQO1</t>
  </si>
  <si>
    <t>MZD2665HEQ</t>
  </si>
  <si>
    <t>Source: DOE National Impact Analysis workbooks</t>
  </si>
  <si>
    <t>see "Lifetime" sheet in each of the four workbooks</t>
  </si>
  <si>
    <t>Lifetime Estimates in DOE NIA workbooks</t>
  </si>
  <si>
    <t>Standard Size Refrigerator and Refrigerator-Freezers</t>
  </si>
  <si>
    <t>Standard Size Freezers</t>
  </si>
  <si>
    <t>Compact Refrigerator and Refrigerator-Freezers</t>
  </si>
  <si>
    <t>Compact Freezers</t>
  </si>
  <si>
    <t>Average</t>
  </si>
  <si>
    <t>Median</t>
  </si>
  <si>
    <t>RTF Guidelines call for use of median time to failure</t>
  </si>
  <si>
    <t>Median determined by interpolation of the survival level at the year before and after survival level crosses 50%</t>
  </si>
  <si>
    <t>Age 1</t>
  </si>
  <si>
    <t>% Surviving 1</t>
  </si>
  <si>
    <t>Age 2</t>
  </si>
  <si>
    <t>% Surviving 2</t>
  </si>
  <si>
    <t>For example,</t>
  </si>
  <si>
    <t>2011-08-23 Technical Support Document for Energy Conservation Standards for Residential Refrigerators, Refrigerator-Freezers, and Freezers</t>
  </si>
  <si>
    <t>http://www.regulations.gov/#!documentDetail;D=EERE-2008-BT-STD-0012-0128</t>
  </si>
  <si>
    <t>AV equation - Slope</t>
  </si>
  <si>
    <t>AV equation - Intercept</t>
  </si>
  <si>
    <t>Volume assumed in NIA</t>
  </si>
  <si>
    <t>Adjusted Volume</t>
  </si>
  <si>
    <t>Standard Level - Slope</t>
  </si>
  <si>
    <t>Standard Level - Intercept</t>
  </si>
  <si>
    <t>Standard Annual Energy Consumption (kWh)</t>
  </si>
  <si>
    <t>Product Class 3 (assume 1/2 w/HFC, w/o HFC)</t>
  </si>
  <si>
    <t>UEC</t>
  </si>
  <si>
    <t>repair cost</t>
  </si>
  <si>
    <t>installed price</t>
  </si>
  <si>
    <t>ln(UEC)</t>
  </si>
  <si>
    <t>UEC as a percent of federal standard</t>
  </si>
  <si>
    <t>incremental cost</t>
  </si>
  <si>
    <t>incremental savings</t>
  </si>
  <si>
    <t>incremental $/kWh</t>
  </si>
  <si>
    <t>DOE NIA DATA</t>
  </si>
  <si>
    <t>Model installed price using linear regression of installed price on ln(UEC). Exclude first data point for better curve fit.</t>
  </si>
  <si>
    <t>slope</t>
  </si>
  <si>
    <t>intercept</t>
  </si>
  <si>
    <t>RTF MODELED COSTS OF OBSERVED (CEC) EFFICIENCY LEVELS</t>
  </si>
  <si>
    <t>% better than standard</t>
  </si>
  <si>
    <t>CEC DB Count</t>
  </si>
  <si>
    <t>Average Cost</t>
  </si>
  <si>
    <t>Incremental Cost</t>
  </si>
  <si>
    <t>Less than 10% better than Standard</t>
  </si>
  <si>
    <t>not considered</t>
  </si>
  <si>
    <t>Tier 1 - 10% to 15% better than Standard</t>
  </si>
  <si>
    <t>Tier 2 - 15% to 20% better than Standard</t>
  </si>
  <si>
    <t>Tier 3 - 20%  or better than Standard</t>
  </si>
  <si>
    <t>Energy Star - 10% or better than Standard</t>
  </si>
  <si>
    <t>note that because Cost vs. UEC relationship is not linear, we can't put an average UEC of all products in the cost model to get baseline cost</t>
  </si>
  <si>
    <t>Product Class 5 (assume 1/2 w/HFC, w/o HFC)</t>
  </si>
  <si>
    <t>Model installed price using linear regression of installed price on ln(UEC). Exclude first two data points for better curve fit.</t>
  </si>
  <si>
    <t>Product Class 7 (assume 1/2 w/HFC, w/o HFC)</t>
  </si>
  <si>
    <t>[No data point for No HFC]</t>
  </si>
  <si>
    <t>Weighted Average of Product Classes 3, 5, and 7</t>
  </si>
  <si>
    <t>Number of Models</t>
  </si>
  <si>
    <t>Weighted Average Incremental Cost</t>
  </si>
  <si>
    <t>Data from DOE NIA for Standard Refrigerators and Refrigerator-freezers</t>
  </si>
  <si>
    <t>Cost Efficiency and Repair Cost Data</t>
  </si>
  <si>
    <t>with HFC</t>
  </si>
  <si>
    <t>RRF with manual defrost</t>
  </si>
  <si>
    <t>RF partial automatic defrost</t>
  </si>
  <si>
    <t>R auto defrost and RF top-mounted wo TTD</t>
  </si>
  <si>
    <t>RF auto defrost side-mounted wo TTD</t>
  </si>
  <si>
    <t>RF auto defrost bottom-mounted wo TTD</t>
  </si>
  <si>
    <t>RF auto defrost top-mounted w TTD</t>
  </si>
  <si>
    <t>RF auto defrost side-mounted w TTD</t>
  </si>
  <si>
    <t>RF auto defrost bottom-mounted w TTD</t>
  </si>
  <si>
    <t>(Built-in) All Refrigerator</t>
  </si>
  <si>
    <t>(Built-in) Side-mounted wo TTD</t>
  </si>
  <si>
    <t>(Built-in) Bottom-mount</t>
  </si>
  <si>
    <t>(Built-in) Side-mounted w TTD</t>
  </si>
  <si>
    <t>avg cu ft</t>
  </si>
  <si>
    <t>(all prices in 2008 dollars)</t>
  </si>
  <si>
    <t>PC 1</t>
  </si>
  <si>
    <t>Installed</t>
  </si>
  <si>
    <t>PC 2</t>
  </si>
  <si>
    <t>PC 3</t>
  </si>
  <si>
    <t>PC 4</t>
  </si>
  <si>
    <t>PC 5</t>
  </si>
  <si>
    <t>PC 6</t>
  </si>
  <si>
    <t>PC 7</t>
  </si>
  <si>
    <t>PC 19</t>
  </si>
  <si>
    <t>PC 3A BI</t>
  </si>
  <si>
    <t>PC 4 BI</t>
  </si>
  <si>
    <t>PC 5 BI</t>
  </si>
  <si>
    <t>PC 7 BI</t>
  </si>
  <si>
    <t>Level</t>
  </si>
  <si>
    <t>Efficiency Level</t>
  </si>
  <si>
    <t>Efficiency</t>
  </si>
  <si>
    <t>Repair Cost</t>
  </si>
  <si>
    <t>Price</t>
  </si>
  <si>
    <t>% over base</t>
  </si>
  <si>
    <t>kWh/year</t>
  </si>
  <si>
    <t>$</t>
  </si>
  <si>
    <t>Baseline Efficiency</t>
  </si>
  <si>
    <t>Level 1</t>
  </si>
  <si>
    <t>Level 2</t>
  </si>
  <si>
    <t>Level 3</t>
  </si>
  <si>
    <t>Level 4</t>
  </si>
  <si>
    <t>Level 5</t>
  </si>
  <si>
    <t>Level 6</t>
  </si>
  <si>
    <t>UEC &amp; Installed Price based on product class 3.</t>
  </si>
  <si>
    <t>UEC &amp; Installed Price based on product class 4.</t>
  </si>
  <si>
    <t>UEC &amp; Installed Price based on product class 5.</t>
  </si>
  <si>
    <t>no HFC</t>
  </si>
  <si>
    <t>Federal Standards</t>
  </si>
  <si>
    <r>
      <t>based on AV (ft</t>
    </r>
    <r>
      <rPr>
        <vertAlign val="superscript"/>
        <sz val="12"/>
        <color theme="0"/>
        <rFont val="Times New Roman"/>
        <family val="1"/>
      </rPr>
      <t>3</t>
    </r>
    <r>
      <rPr>
        <sz val="12"/>
        <color theme="0"/>
        <rFont val="Times New Roman"/>
        <family val="1"/>
      </rPr>
      <t>)</t>
    </r>
  </si>
  <si>
    <t>PREVIOUS STANDARD: Refrigerators manufactured after July 1, 2001 and before September 15, 2014:</t>
  </si>
  <si>
    <t>Note that the test procedure has changed for the new standards, so these tables are not comparable.  See below for the previous standards, adjusted to reflect the new test procedure.</t>
  </si>
  <si>
    <t>Remove non-compliant models or bring them up to Standard level?</t>
  </si>
  <si>
    <t>% better than Standard</t>
  </si>
  <si>
    <t>CEE Tier</t>
  </si>
  <si>
    <t>ANALYSIS</t>
  </si>
  <si>
    <t>Doesn't meet Standard</t>
  </si>
  <si>
    <t>all models with unique specs added from 9/1/2013 onward</t>
  </si>
  <si>
    <t>if volume less than 7.75, = TRUE</t>
  </si>
  <si>
    <t>[NOT FOUND] are all wine-coolers (not covered) plus a drawer freezer</t>
  </si>
  <si>
    <t>Column1</t>
  </si>
  <si>
    <t>Manufacturer Name</t>
  </si>
  <si>
    <t>Refrig Style</t>
  </si>
  <si>
    <t>Refrig Defrost Type</t>
  </si>
  <si>
    <t>Refrigerator Type</t>
  </si>
  <si>
    <t>Specialty Refrigerator Type</t>
  </si>
  <si>
    <t>Refrig Access</t>
  </si>
  <si>
    <t>Built In Refrigerator</t>
  </si>
  <si>
    <t>Compact Refrigerator</t>
  </si>
  <si>
    <t>Automatic Ice Maker</t>
  </si>
  <si>
    <t>Through-The-Door Service</t>
  </si>
  <si>
    <t>Anti Sweat Heater Switch (T/F)</t>
  </si>
  <si>
    <t>Refrigerant Type</t>
  </si>
  <si>
    <t>Fresh Food Volume Cu Ft</t>
  </si>
  <si>
    <t>Freezer Volume Cu Ft</t>
  </si>
  <si>
    <t>Total Volume Cu Ft</t>
  </si>
  <si>
    <t>Height Inches</t>
  </si>
  <si>
    <t>Width Inches</t>
  </si>
  <si>
    <t>Depth Inches</t>
  </si>
  <si>
    <t>Annual Energy UseK WH Yr</t>
  </si>
  <si>
    <t>Add Date</t>
  </si>
  <si>
    <t>Compact - Clean</t>
  </si>
  <si>
    <t>AutoClass</t>
  </si>
  <si>
    <t>Federal Standard:
slope</t>
  </si>
  <si>
    <t>Federal Standard:
const</t>
  </si>
  <si>
    <t>Federal Standard (kWh)</t>
  </si>
  <si>
    <t>kWh better than standard</t>
  </si>
  <si>
    <t>meets standard</t>
  </si>
  <si>
    <t>x</t>
  </si>
  <si>
    <t>Energy Star (10% or better than Standard)</t>
  </si>
  <si>
    <t>CEE Tier 1 (10% to 15% better than Standard)</t>
  </si>
  <si>
    <t>CEE Tier 2 (15% to 20% better than Standard)</t>
  </si>
  <si>
    <t>CEE Tier 3 (20% or better than Standard)</t>
  </si>
  <si>
    <t>CEE Tiers</t>
  </si>
  <si>
    <t>Class_Tier</t>
  </si>
  <si>
    <t>Class_Energy Star</t>
  </si>
  <si>
    <t>AR171BF</t>
  </si>
  <si>
    <t>All-Refrigerator</t>
  </si>
  <si>
    <t>Standard Door</t>
  </si>
  <si>
    <t>Non-Ozone-Depleting</t>
  </si>
  <si>
    <t>CF10006WE</t>
  </si>
  <si>
    <t>CF1526E</t>
  </si>
  <si>
    <t>CF2016</t>
  </si>
  <si>
    <t>CF6216E</t>
  </si>
  <si>
    <t>Top Freezer w/o Ice thru door</t>
  </si>
  <si>
    <t>Refrigerator-freezer</t>
  </si>
  <si>
    <t>Door</t>
  </si>
  <si>
    <t>FF990WD</t>
  </si>
  <si>
    <t>Top-Mounted Freezer</t>
  </si>
  <si>
    <t>Bottom-Mounted Freezer</t>
  </si>
  <si>
    <t>FFBM920WH</t>
  </si>
  <si>
    <t>Partial Automatic</t>
  </si>
  <si>
    <t>Other Refrigerator</t>
  </si>
  <si>
    <t>RM3306W</t>
  </si>
  <si>
    <t>RMW017W</t>
  </si>
  <si>
    <t>Single Door</t>
  </si>
  <si>
    <t>RMW026PS</t>
  </si>
  <si>
    <t>VF306</t>
  </si>
  <si>
    <t>WC3316DZ</t>
  </si>
  <si>
    <t>Wine Chiller</t>
  </si>
  <si>
    <t>WCR1386DZ</t>
  </si>
  <si>
    <t>BSH Home Appliances</t>
  </si>
  <si>
    <t>B11CB50SSS</t>
  </si>
  <si>
    <t>Daewoo Electronics</t>
  </si>
  <si>
    <t>CDT2181H*</t>
  </si>
  <si>
    <t>DCF038A1WDB</t>
  </si>
  <si>
    <t>DCF055A1WDB1</t>
  </si>
  <si>
    <t>DCF070A1***</t>
  </si>
  <si>
    <t>DCF072A2BDB1</t>
  </si>
  <si>
    <t>DCR016A3BDB</t>
  </si>
  <si>
    <t>Internal Freezer</t>
  </si>
  <si>
    <t>DCR032A2BDB</t>
  </si>
  <si>
    <t>DCR032C1BDB</t>
  </si>
  <si>
    <t>DCR032C2BDB</t>
  </si>
  <si>
    <t>DCR044B1BDB</t>
  </si>
  <si>
    <t>DFF100C1BDB</t>
  </si>
  <si>
    <t>DPF074B1WDB</t>
  </si>
  <si>
    <t>DUFM032A1WDB</t>
  </si>
  <si>
    <t>DUFM304A1WDB</t>
  </si>
  <si>
    <t>DWC040A2BDB</t>
  </si>
  <si>
    <t>Danby Diplomat</t>
  </si>
  <si>
    <t>DAR163BLDP</t>
  </si>
  <si>
    <t>Designer</t>
  </si>
  <si>
    <t>DAR017A2BDD</t>
  </si>
  <si>
    <t>DAR026A1BDD</t>
  </si>
  <si>
    <t>DAR033A1BDD</t>
  </si>
  <si>
    <t>DAR044A4BDD</t>
  </si>
  <si>
    <t>DAR044A5BSLDD</t>
  </si>
  <si>
    <t>DAR110A1BSLDD</t>
  </si>
  <si>
    <t>DCF051A1WDD</t>
  </si>
  <si>
    <t>DCF071A3WDD1</t>
  </si>
  <si>
    <t>DCF081A1WDD</t>
  </si>
  <si>
    <t>DCF096A1WDD1</t>
  </si>
  <si>
    <t>DCFM050A2WDD</t>
  </si>
  <si>
    <t>DCFM102A2WDD</t>
  </si>
  <si>
    <t>DCR031B1BSLDD</t>
  </si>
  <si>
    <t>DCR044A2BDD</t>
  </si>
  <si>
    <t>DUFM026B1WDD</t>
  </si>
  <si>
    <t>DUFM043A1WDD</t>
  </si>
  <si>
    <t>DUFM082A1*</t>
  </si>
  <si>
    <t>DUFM085A2WDD1</t>
  </si>
  <si>
    <t>DUFM101A1WDD1</t>
  </si>
  <si>
    <t>DWC031D1BSSPR</t>
  </si>
  <si>
    <t>DWC053D1BSSPR</t>
  </si>
  <si>
    <t>DWC140D1BSSPR</t>
  </si>
  <si>
    <t>Electrolux Home Products</t>
  </si>
  <si>
    <t>CFC092QW*</t>
  </si>
  <si>
    <t>CFC162QW*</t>
  </si>
  <si>
    <t>CFC183QW*</t>
  </si>
  <si>
    <t>CFC224QW*</t>
  </si>
  <si>
    <t>French Door</t>
  </si>
  <si>
    <t>CFUF14QW*</t>
  </si>
  <si>
    <t>CFUF17PT*</t>
  </si>
  <si>
    <t>Drawer</t>
  </si>
  <si>
    <t>CFUFH17QW*</t>
  </si>
  <si>
    <t>CFUFH21QW*</t>
  </si>
  <si>
    <t>CFUMC17QW*</t>
  </si>
  <si>
    <t>CFUMC21QW*</t>
  </si>
  <si>
    <t>CRSH232P**A</t>
  </si>
  <si>
    <t>Side-Mounted Freezer</t>
  </si>
  <si>
    <t>CRSH268M*</t>
  </si>
  <si>
    <t>Side-by-Side w/Ice thru door</t>
  </si>
  <si>
    <t>CRT151Q*</t>
  </si>
  <si>
    <t>CRT181Q*</t>
  </si>
  <si>
    <t>CRT182IQ*</t>
  </si>
  <si>
    <t>E23BC68JP**A</t>
  </si>
  <si>
    <t>E23BC78IP**A</t>
  </si>
  <si>
    <t>E32AF85PQS*</t>
  </si>
  <si>
    <t>E32AR85PQS*</t>
  </si>
  <si>
    <t>EI23BC80K**A</t>
  </si>
  <si>
    <t>EI23CS35K**A</t>
  </si>
  <si>
    <t>EI28BS80K**A</t>
  </si>
  <si>
    <t>EW23BC85K**A</t>
  </si>
  <si>
    <t>EW26SS75Q*</t>
  </si>
  <si>
    <t>EW28BS85K**A</t>
  </si>
  <si>
    <t>CRSH268M**A</t>
  </si>
  <si>
    <t>DFHS2313M**A</t>
  </si>
  <si>
    <t>DGHF2360P*</t>
  </si>
  <si>
    <t>Bottom Freezer w/o Ice thru door</t>
  </si>
  <si>
    <t>Both Drawer and Door</t>
  </si>
  <si>
    <t>FFC0723QW*</t>
  </si>
  <si>
    <t>FFCH16M5QW*</t>
  </si>
  <si>
    <t>FFFC11M4QW*</t>
  </si>
  <si>
    <t>FFFH20F2QW*</t>
  </si>
  <si>
    <t>FFFU13M1QW*</t>
  </si>
  <si>
    <t>FFFU14M1QW*</t>
  </si>
  <si>
    <t>FFRU17B2QW*</t>
  </si>
  <si>
    <t>FFTR15D0P*</t>
  </si>
  <si>
    <t>FFTR1614Q*</t>
  </si>
  <si>
    <t>FFTR17D0P*</t>
  </si>
  <si>
    <t>FFTR1831Q*</t>
  </si>
  <si>
    <t>FFTR2117P*</t>
  </si>
  <si>
    <t>FFTR2131Q*</t>
  </si>
  <si>
    <t>FFVU17F4QW*</t>
  </si>
  <si>
    <t>FFVU21F4QW*</t>
  </si>
  <si>
    <t>FGEB28D7Q*</t>
  </si>
  <si>
    <t>Bottom Freezer w/Ice thru door</t>
  </si>
  <si>
    <t>FGEX2631Q*</t>
  </si>
  <si>
    <t>FGHC2331P**A</t>
  </si>
  <si>
    <t>FGHN2866P*</t>
  </si>
  <si>
    <t>Gallery</t>
  </si>
  <si>
    <t>FGVU17F8QF*</t>
  </si>
  <si>
    <t>FGVU21F8QF*</t>
  </si>
  <si>
    <t>253.17802*</t>
  </si>
  <si>
    <t>2537030*41</t>
  </si>
  <si>
    <t>2537040*41</t>
  </si>
  <si>
    <t>970F22452*</t>
  </si>
  <si>
    <t>DCS</t>
  </si>
  <si>
    <t>RF195AVUX1</t>
  </si>
  <si>
    <t>E522B****4</t>
  </si>
  <si>
    <t>E522B****U4</t>
  </si>
  <si>
    <t>RF135B***4</t>
  </si>
  <si>
    <t>RF135B**U*4</t>
  </si>
  <si>
    <t>RF170AD*4</t>
  </si>
  <si>
    <t>RF170ADU*4</t>
  </si>
  <si>
    <t>RF170WD**4</t>
  </si>
  <si>
    <t>RF170WD*U*4</t>
  </si>
  <si>
    <t>RF210A**4</t>
  </si>
  <si>
    <t>RF210A*U*4</t>
  </si>
  <si>
    <t>CNS23SSH****</t>
  </si>
  <si>
    <t>CWE23SSH****</t>
  </si>
  <si>
    <t>ZDOD240H****</t>
  </si>
  <si>
    <t>ZDWI240H****</t>
  </si>
  <si>
    <t>ZIBI240H****</t>
  </si>
  <si>
    <t>ZIC30GNH****</t>
  </si>
  <si>
    <t>ZIC360NH****</t>
  </si>
  <si>
    <t>ZIDI240H****</t>
  </si>
  <si>
    <t>Drawer Only</t>
  </si>
  <si>
    <t>ZIF360NH****</t>
  </si>
  <si>
    <t>ZIFI240H****</t>
  </si>
  <si>
    <t>ZIK30GNH****</t>
  </si>
  <si>
    <t>ZIP360NZ****</t>
  </si>
  <si>
    <t>ZIS420NH****</t>
  </si>
  <si>
    <t>ZIS480NH****</t>
  </si>
  <si>
    <t>ZISB360DH****</t>
  </si>
  <si>
    <t>ZISB420DH****</t>
  </si>
  <si>
    <t>ZISB480DH****</t>
  </si>
  <si>
    <t>ZISP420DH****</t>
  </si>
  <si>
    <t>PFS23KSH****</t>
  </si>
  <si>
    <t>PGS25KSE****</t>
  </si>
  <si>
    <t>PNS20KSH****</t>
  </si>
  <si>
    <t>PSB42YPH****</t>
  </si>
  <si>
    <t>PSB48YPH****</t>
  </si>
  <si>
    <t>PSS28KSH****</t>
  </si>
  <si>
    <t>PVS21KSE****</t>
  </si>
  <si>
    <t>DFE29JGD****</t>
  </si>
  <si>
    <t>FCM11PH****</t>
  </si>
  <si>
    <t>FCM5SH****</t>
  </si>
  <si>
    <t>FCM7DH****</t>
  </si>
  <si>
    <t>FUF14DH****</t>
  </si>
  <si>
    <t>FUF17DH****</t>
  </si>
  <si>
    <t>FUF20DH****</t>
  </si>
  <si>
    <t>FUM21DH****</t>
  </si>
  <si>
    <t>GFE26GGH****</t>
  </si>
  <si>
    <t>GIE18CTH****</t>
  </si>
  <si>
    <t>GIE18ETH****</t>
  </si>
  <si>
    <t>GIE18HGH****</t>
  </si>
  <si>
    <t>GIE21GSH****</t>
  </si>
  <si>
    <t>GML03GAE****</t>
  </si>
  <si>
    <t>GML04GAE****</t>
  </si>
  <si>
    <t>GPS12FGH****</t>
  </si>
  <si>
    <t>GSS20ESH****</t>
  </si>
  <si>
    <t>GSS23HGH****</t>
  </si>
  <si>
    <t>GSS25ESH****</t>
  </si>
  <si>
    <t>GSS25GGH****</t>
  </si>
  <si>
    <t>GTE18CCH****</t>
  </si>
  <si>
    <t>GTE18ETH****</t>
  </si>
  <si>
    <t>GTS15CTH****</t>
  </si>
  <si>
    <t>GTS16DTH****</t>
  </si>
  <si>
    <t>GTS18CTH****</t>
  </si>
  <si>
    <t>Guangdong Fuxin Technology Co. Ltd.</t>
  </si>
  <si>
    <t>Fuxin</t>
  </si>
  <si>
    <t>JC-16GEW</t>
  </si>
  <si>
    <t>JC-23CG</t>
  </si>
  <si>
    <t>JC-23SC</t>
  </si>
  <si>
    <t>JC-33CGFW</t>
  </si>
  <si>
    <t>Guangzhou Midea Hualing Refrigerator Co. Ltd.</t>
  </si>
  <si>
    <t>ARF10MW</t>
  </si>
  <si>
    <t>ARF12MSS</t>
  </si>
  <si>
    <t>ARF18MW(D)</t>
  </si>
  <si>
    <t>CR10FW</t>
  </si>
  <si>
    <t>DUF-80AW</t>
  </si>
  <si>
    <t>Equator</t>
  </si>
  <si>
    <t>FR 502-650 SS</t>
  </si>
  <si>
    <t>RF 368-100 W</t>
  </si>
  <si>
    <t>BFPH45F4LM</t>
  </si>
  <si>
    <t>FFET1222QB</t>
  </si>
  <si>
    <t>FFTR1222QB</t>
  </si>
  <si>
    <t>Golden</t>
  </si>
  <si>
    <t>GRD12GW-3</t>
  </si>
  <si>
    <t>HANFU11FAW</t>
  </si>
  <si>
    <t>HANFU14FAW</t>
  </si>
  <si>
    <t>HS-328F</t>
  </si>
  <si>
    <t>HS-502FWE</t>
  </si>
  <si>
    <t>WHS-502FWE1</t>
  </si>
  <si>
    <t>Premium</t>
  </si>
  <si>
    <t>PRN435MW</t>
  </si>
  <si>
    <t>Guangzhou Wanbao Refrigerator Co. Ltd.</t>
  </si>
  <si>
    <t>MCDR430**</t>
  </si>
  <si>
    <t>Haier America Trading LLC</t>
  </si>
  <si>
    <t>HA10TG31**</t>
  </si>
  <si>
    <t>HC17SF10RB</t>
  </si>
  <si>
    <t>HC17SF15R*</t>
  </si>
  <si>
    <t>HC27SF10R*</t>
  </si>
  <si>
    <t>HC31TG42**</t>
  </si>
  <si>
    <t>HC32SA42S*</t>
  </si>
  <si>
    <t>HC32SF10SV</t>
  </si>
  <si>
    <t>HC40SG42S*</t>
  </si>
  <si>
    <t>HC45SG42S*</t>
  </si>
  <si>
    <t>HF50CM23NW</t>
  </si>
  <si>
    <t>HF71CM33NW</t>
  </si>
  <si>
    <t>HT18TS32**</t>
  </si>
  <si>
    <t>HT21TS52**</t>
  </si>
  <si>
    <t>Hefei Hualing Co. Ltd.</t>
  </si>
  <si>
    <t>ARC05MW</t>
  </si>
  <si>
    <t>ARC05MW1</t>
  </si>
  <si>
    <t>ARC07MW1</t>
  </si>
  <si>
    <t>ARF31MW</t>
  </si>
  <si>
    <t>ARF44MW</t>
  </si>
  <si>
    <t>AUFM021AEW</t>
  </si>
  <si>
    <t>CCF10M1W</t>
  </si>
  <si>
    <t>CCF70M1W</t>
  </si>
  <si>
    <t>CUF30M1W</t>
  </si>
  <si>
    <t>DUF-44AW</t>
  </si>
  <si>
    <t>FR-033RVS</t>
  </si>
  <si>
    <t>FR-21ASD</t>
  </si>
  <si>
    <t>Dayton</t>
  </si>
  <si>
    <t>33NR83</t>
  </si>
  <si>
    <t>GFC35</t>
  </si>
  <si>
    <t>GFC35R</t>
  </si>
  <si>
    <t>Koolking</t>
  </si>
  <si>
    <t>KKC07MW</t>
  </si>
  <si>
    <t>MCBR170BMD</t>
  </si>
  <si>
    <t>MCBR240B</t>
  </si>
  <si>
    <t>HS-109FB</t>
  </si>
  <si>
    <t>HS-116W</t>
  </si>
  <si>
    <t>HS-121L(N)</t>
  </si>
  <si>
    <t>HS-144W</t>
  </si>
  <si>
    <t>HS-168WE</t>
  </si>
  <si>
    <t>HS-169SE</t>
  </si>
  <si>
    <t>HS-169WE</t>
  </si>
  <si>
    <t>HS-524C</t>
  </si>
  <si>
    <t>HS-64W</t>
  </si>
  <si>
    <t>HS-90WE</t>
  </si>
  <si>
    <t>HS-95RB</t>
  </si>
  <si>
    <t>PWC167MB</t>
  </si>
  <si>
    <t>PWC337MB</t>
  </si>
  <si>
    <t>WHS-52FB1</t>
  </si>
  <si>
    <t>WHS-65LB</t>
  </si>
  <si>
    <t>Summit Appliance</t>
  </si>
  <si>
    <t>CF07L</t>
  </si>
  <si>
    <t>Whynter</t>
  </si>
  <si>
    <t>CUF-210SS</t>
  </si>
  <si>
    <t>Hefei Meiling Co. Ltd.</t>
  </si>
  <si>
    <t>MCBM920*1</t>
  </si>
  <si>
    <t>Hisense Electric Co. Ltd.</t>
  </si>
  <si>
    <t>WCR16*</t>
  </si>
  <si>
    <t>WCR27*</t>
  </si>
  <si>
    <t>WCR44*</t>
  </si>
  <si>
    <t>WCRD31*</t>
  </si>
  <si>
    <t>WUF13*</t>
  </si>
  <si>
    <t>Homa Appliances Co. Ltd.</t>
  </si>
  <si>
    <t>FFPR40L2QB</t>
  </si>
  <si>
    <t>No Match</t>
  </si>
  <si>
    <t>Homesun Electric Appliance Co. Ltd.</t>
  </si>
  <si>
    <t>Intirion</t>
  </si>
  <si>
    <t>LG Electronics Inc.</t>
  </si>
  <si>
    <t>5181#</t>
  </si>
  <si>
    <t>5182#</t>
  </si>
  <si>
    <t>7033#</t>
  </si>
  <si>
    <t>7206#</t>
  </si>
  <si>
    <t>7305*</t>
  </si>
  <si>
    <t>7306#</t>
  </si>
  <si>
    <t>7802#</t>
  </si>
  <si>
    <t>7804#</t>
  </si>
  <si>
    <t>LBN10551**</t>
  </si>
  <si>
    <t>LBN12551**</t>
  </si>
  <si>
    <t>LFX25973**</t>
  </si>
  <si>
    <t>LMX30995**</t>
  </si>
  <si>
    <t>LMXS27766*</t>
  </si>
  <si>
    <t>LTNC1#121*</t>
  </si>
  <si>
    <t>Liebherr Hausgerate</t>
  </si>
  <si>
    <t>CS 206*</t>
  </si>
  <si>
    <t>CS1200</t>
  </si>
  <si>
    <t>WS 17800</t>
  </si>
  <si>
    <t>KNF 9855</t>
  </si>
  <si>
    <t>Ningbo Hicon International</t>
  </si>
  <si>
    <t>CCF35*</t>
  </si>
  <si>
    <t>CCF52*</t>
  </si>
  <si>
    <t>CCF69*</t>
  </si>
  <si>
    <t>CCR40WBR</t>
  </si>
  <si>
    <t>CCRD32*</t>
  </si>
  <si>
    <t>HMCF7W2</t>
  </si>
  <si>
    <t>MCUF3B2</t>
  </si>
  <si>
    <t>PAPRSA (Panasonic Appliances Refrigeration Systems America)</t>
  </si>
  <si>
    <t>ARD1031FB12R/L</t>
  </si>
  <si>
    <t>ARD1033FB10R/L</t>
  </si>
  <si>
    <t>ARD104AB14R/L</t>
  </si>
  <si>
    <t>ARD204AB14R/L</t>
  </si>
  <si>
    <t>JUD24FRACX0*</t>
  </si>
  <si>
    <t>JUR24FLARS0*</t>
  </si>
  <si>
    <t>KDDC24RVS</t>
  </si>
  <si>
    <t>KURO24LSBX0*</t>
  </si>
  <si>
    <t>MURM24FWBS</t>
  </si>
  <si>
    <t>Samsung Electronics Co. Ltd.</t>
  </si>
  <si>
    <t>RF18HFENB**</t>
  </si>
  <si>
    <t>RF20HFENB**</t>
  </si>
  <si>
    <t>RH22H8010**</t>
  </si>
  <si>
    <t>RH22H9010**</t>
  </si>
  <si>
    <t>RH29H8000**</t>
  </si>
  <si>
    <t>RS25H5000**</t>
  </si>
  <si>
    <t>Sunpentown International Inc.</t>
  </si>
  <si>
    <t>WC-1901US</t>
  </si>
  <si>
    <t>U-Line Corp.</t>
  </si>
  <si>
    <t>U-Line</t>
  </si>
  <si>
    <t>1175RX</t>
  </si>
  <si>
    <t>U-1024BEVS-00A</t>
  </si>
  <si>
    <t>U-1024WCS-00A</t>
  </si>
  <si>
    <t>U-1215RB-00A</t>
  </si>
  <si>
    <t>U-1215WCB-00A</t>
  </si>
  <si>
    <t>U-1224RB-00A</t>
  </si>
  <si>
    <t>U-2218RGLINT-00A</t>
  </si>
  <si>
    <t>U-2218RGLS-00A</t>
  </si>
  <si>
    <t>U-2218RINT-00A</t>
  </si>
  <si>
    <t>U-2218WCINT-00A</t>
  </si>
  <si>
    <t>U-2224BEVINT-00A</t>
  </si>
  <si>
    <t>U-2224BEVS-00A</t>
  </si>
  <si>
    <t>U-2224RINT-00A</t>
  </si>
  <si>
    <t>U-2224ZWCINT-00A</t>
  </si>
  <si>
    <t>U-29RB-00A</t>
  </si>
  <si>
    <t>U-3018RINT-00A</t>
  </si>
  <si>
    <t>U-3018WCINT-00A</t>
  </si>
  <si>
    <t>U-3024BEVINT-00A</t>
  </si>
  <si>
    <t>U-3024BEVS-00A</t>
  </si>
  <si>
    <t>U-3036BVWCINT-00A</t>
  </si>
  <si>
    <t>U-3036BVWCS-00A</t>
  </si>
  <si>
    <t>U-3036RRINT-00A</t>
  </si>
  <si>
    <t>U-3036WCWCINT-00A</t>
  </si>
  <si>
    <t>U-ADA24RB-13A</t>
  </si>
  <si>
    <t>U-ADA24RGLB-13A</t>
  </si>
  <si>
    <t>Vii Products</t>
  </si>
  <si>
    <t>FF1532B</t>
  </si>
  <si>
    <t>FF1538B</t>
  </si>
  <si>
    <t>FF642D</t>
  </si>
  <si>
    <t>FF64B</t>
  </si>
  <si>
    <t>SCFF1533B</t>
  </si>
  <si>
    <t>SCFF1537B</t>
  </si>
  <si>
    <t>SCFF51OS</t>
  </si>
  <si>
    <t>SCFF51OS2D</t>
  </si>
  <si>
    <t>Drawer Unit</t>
  </si>
  <si>
    <t>SCFF52W</t>
  </si>
  <si>
    <t>SCFF532D</t>
  </si>
  <si>
    <t>SWC1102</t>
  </si>
  <si>
    <t>SWC1535B</t>
  </si>
  <si>
    <t>SWC1875B</t>
  </si>
  <si>
    <t>SWC1926</t>
  </si>
  <si>
    <t>SWC1966</t>
  </si>
  <si>
    <t>VC28S</t>
  </si>
  <si>
    <t>VC60D</t>
  </si>
  <si>
    <t>ABB1921BR*</t>
  </si>
  <si>
    <t>ABB2224BR</t>
  </si>
  <si>
    <t>ART308FFD*</t>
  </si>
  <si>
    <t>ART316TFD*0*</t>
  </si>
  <si>
    <t>ASD2275BR*0*</t>
  </si>
  <si>
    <t>ASD2575BR*0*</t>
  </si>
  <si>
    <t>AZC31T15D*</t>
  </si>
  <si>
    <t>AZC31T22D*</t>
  </si>
  <si>
    <t>AZF33X18D*</t>
  </si>
  <si>
    <t>AZF33X20D*</t>
  </si>
  <si>
    <t>AZM12X17D*</t>
  </si>
  <si>
    <t>B22CT80SN*</t>
  </si>
  <si>
    <t>B22FT80SNS*</t>
  </si>
  <si>
    <t>DYF42BIWS*</t>
  </si>
  <si>
    <t>DYF42BNDI**</t>
  </si>
  <si>
    <t>DYF48BIWS**</t>
  </si>
  <si>
    <t>DYF48BNDI**</t>
  </si>
  <si>
    <t>EF36IWFSS**</t>
  </si>
  <si>
    <t>DFF177A1WDD*</t>
  </si>
  <si>
    <t>IK8FXNGFD*</t>
  </si>
  <si>
    <t>ISC21CNED*</t>
  </si>
  <si>
    <t>IX5BBEXD*0*</t>
  </si>
  <si>
    <t>JF36NXFXDE**</t>
  </si>
  <si>
    <t>JF42NXFXDE**</t>
  </si>
  <si>
    <t>JF42SSFXDA**</t>
  </si>
  <si>
    <t>JS42NXFXDW*</t>
  </si>
  <si>
    <t>JS48NXFXDW**</t>
  </si>
  <si>
    <t>4112*21*</t>
  </si>
  <si>
    <t>4115*21*</t>
  </si>
  <si>
    <t>5113*21*</t>
  </si>
  <si>
    <t>5178*41*</t>
  </si>
  <si>
    <t>6021*41*</t>
  </si>
  <si>
    <t>7201*</t>
  </si>
  <si>
    <t>7238*</t>
  </si>
  <si>
    <t>7639*41*</t>
  </si>
  <si>
    <t>7924*</t>
  </si>
  <si>
    <t>KFIS29BB*</t>
  </si>
  <si>
    <t>KSF22C4CY*0*</t>
  </si>
  <si>
    <t>KSF26C4XY**</t>
  </si>
  <si>
    <t>KSF26C6XY*0*</t>
  </si>
  <si>
    <t>KSSC36QTS**</t>
  </si>
  <si>
    <t>KSSC48FTS**</t>
  </si>
  <si>
    <t>MFX2876DR***</t>
  </si>
  <si>
    <t>MRT519SZD*</t>
  </si>
  <si>
    <t>MRT711BZD*0*</t>
  </si>
  <si>
    <t>MSB26C6MD*0*</t>
  </si>
  <si>
    <t>MSF21D4MD*0*</t>
  </si>
  <si>
    <t>MSF25D4MD*0*</t>
  </si>
  <si>
    <t>WRS3L5FND*0*</t>
  </si>
  <si>
    <t>WRS586FID*</t>
  </si>
  <si>
    <t>WRT314TFD*0*</t>
  </si>
  <si>
    <t>WRT511SZD*0*</t>
  </si>
  <si>
    <t>WRX735SDB***</t>
  </si>
  <si>
    <t>WSZ57L18D*</t>
  </si>
  <si>
    <t>Winson Electrical Industrial Co. Ltd.</t>
  </si>
  <si>
    <t>CL15WBV</t>
  </si>
  <si>
    <t>CL241WBV</t>
  </si>
  <si>
    <t>CL24WC2</t>
  </si>
  <si>
    <t>CL65ROS</t>
  </si>
  <si>
    <t>Winson</t>
  </si>
  <si>
    <t>R50S</t>
  </si>
  <si>
    <t>WC110D</t>
  </si>
  <si>
    <t>WC166D</t>
  </si>
  <si>
    <t>WC18S</t>
  </si>
  <si>
    <t>WC32D</t>
  </si>
  <si>
    <t>WC32D2</t>
  </si>
  <si>
    <t>WC32S</t>
  </si>
  <si>
    <t>WC50S</t>
  </si>
  <si>
    <t>Zhongshan Yousheng Electric Appliances Co. Ltd.</t>
  </si>
  <si>
    <t>WCR1496SZ</t>
  </si>
  <si>
    <t>WCR1606DZ</t>
  </si>
  <si>
    <t>WCR686DZ</t>
  </si>
  <si>
    <t>Blank cells indicate n = 0 (no data )</t>
  </si>
  <si>
    <t>Product Count</t>
  </si>
  <si>
    <t>Average % Better than Standard</t>
  </si>
  <si>
    <t>Average kWh Better than Standard</t>
  </si>
  <si>
    <t>Average kWh Better than Market Average</t>
  </si>
  <si>
    <t>Average kWh Better than Market Average, by Class-group</t>
  </si>
  <si>
    <t>End-use Annual Energy Consumption</t>
  </si>
  <si>
    <t>All Standard compliant</t>
  </si>
  <si>
    <t>Standard Size Refrigerators and Refrigerator-Freezers</t>
  </si>
  <si>
    <t>1</t>
  </si>
  <si>
    <t>2</t>
  </si>
  <si>
    <t>3</t>
  </si>
  <si>
    <t>4</t>
  </si>
  <si>
    <t>5</t>
  </si>
  <si>
    <t>6</t>
  </si>
  <si>
    <t>7</t>
  </si>
  <si>
    <t>8</t>
  </si>
  <si>
    <t>9</t>
  </si>
  <si>
    <t>10</t>
  </si>
  <si>
    <t>Compact Refrigerators and Refrigerator-Freezers</t>
  </si>
  <si>
    <t>11</t>
  </si>
  <si>
    <t>12</t>
  </si>
  <si>
    <t>13</t>
  </si>
  <si>
    <t>14</t>
  </si>
  <si>
    <t>15</t>
  </si>
  <si>
    <t>16</t>
  </si>
  <si>
    <t>17</t>
  </si>
  <si>
    <t>18</t>
  </si>
  <si>
    <t>ProCost Inputs</t>
  </si>
  <si>
    <t>End-use savings (kWh/year) relative to market average</t>
  </si>
  <si>
    <t>Product</t>
  </si>
  <si>
    <t>Standard Size Refrigerator and Refrigerator-freezer - CEE Tier 1</t>
  </si>
  <si>
    <t>ResFRIG</t>
  </si>
  <si>
    <t>Standard Size Refrigerator and Refrigerator-freezer - CEE Tier 2</t>
  </si>
  <si>
    <t>Standard Size Refrigerator and Refrigerator-freezer - CEE Tier 3</t>
  </si>
  <si>
    <t>No CEE criteria</t>
  </si>
  <si>
    <t>Standard Size Refrigerator and Refrigerator-freezer - Energy Star</t>
  </si>
  <si>
    <t>Standard Size Freezer - Energy Star</t>
  </si>
  <si>
    <t>Compact Refrigerator and Refrigerator-freezer - CEE Tier 1</t>
  </si>
  <si>
    <t>Compact Refrigerator and Refrigerator-freezer - CEE Tier 2</t>
  </si>
  <si>
    <t>HVAC Electric Interaction (kWh/year)</t>
  </si>
  <si>
    <t>Compact Refrigerator and Refrigerator-freezer - CEE Tier 3</t>
  </si>
  <si>
    <t>Compact Refrigerator and Refrigerator-freezer - Energy Star</t>
  </si>
  <si>
    <t>Compact Freezer - Energy Star</t>
  </si>
  <si>
    <t>ResSpHtFAFZ1</t>
  </si>
  <si>
    <t>Site savings (kWh/year), including HVAC interaction</t>
  </si>
  <si>
    <t>ProCost Inputs, Cleaned (set negative measure savings to zero, set negative incremental costs to zero)</t>
  </si>
  <si>
    <t>HVAC interaction (therms/year)</t>
  </si>
  <si>
    <t>Lifetime (years)</t>
  </si>
  <si>
    <t>Lifetime (median years to failure)</t>
  </si>
  <si>
    <t>Weighted Average Incremental Cost ($2006)</t>
  </si>
  <si>
    <t>Weighted Average Incremental Cost (NIAs report in $2008)</t>
  </si>
  <si>
    <t>Number of Products in CEC Database</t>
  </si>
  <si>
    <t>Incremental Cost, relative to Baseline</t>
  </si>
  <si>
    <t>Standard Annual Energy Consumption (kW)</t>
  </si>
  <si>
    <t>Product Class 8 (assume 1/2 w/HFC, w/o HFC)</t>
  </si>
  <si>
    <t>Standard UEC</t>
  </si>
  <si>
    <t>NIA Energy Consumption</t>
  </si>
  <si>
    <t>Price Model - Slope</t>
  </si>
  <si>
    <t>Price Model - Intercept</t>
  </si>
  <si>
    <t>Product Class 9 (assume 1/2 w/HFC, w/o HFC)</t>
  </si>
  <si>
    <t>Product Class 10 (assume 1/2 w/HFC, w/o HFC)</t>
  </si>
  <si>
    <t>Product Class 10A (assume 1/2 w/HFC, w/o HFC) [NO PRODUCTS IN CEC DB]</t>
  </si>
  <si>
    <t>Product Class 9-BI (assume 1/2 w/HFC, w/o HFC) [NO PRODUCTS IN CEC DB]</t>
  </si>
  <si>
    <t>Upright freezers with manual defrost</t>
  </si>
  <si>
    <t>Upright freezers with automatic defrost</t>
  </si>
  <si>
    <t>Chest freezers and all other freezers except compact freezers</t>
  </si>
  <si>
    <t>Chest freezers with automatic defrost</t>
  </si>
  <si>
    <t>(Built-in) Upright freezers with automatic defrost</t>
  </si>
  <si>
    <t>PC 8</t>
  </si>
  <si>
    <t>PC 9</t>
  </si>
  <si>
    <t>PC 10</t>
  </si>
  <si>
    <t>PC10A</t>
  </si>
  <si>
    <t>PC9 Built-in</t>
  </si>
  <si>
    <t>%over base</t>
  </si>
  <si>
    <t>Level 7</t>
  </si>
  <si>
    <t>Level 8</t>
  </si>
  <si>
    <t>UEC &amp; Installed Price based on Product Class 10</t>
  </si>
  <si>
    <t>New UAF residual (0.969) 2/3/11</t>
  </si>
  <si>
    <t>New UAF residual (0.960) 2/3/11</t>
  </si>
  <si>
    <t>UEC &amp; Installed Price based on product class 10</t>
  </si>
  <si>
    <t>New UAF residual (0.968) 2/3/11</t>
  </si>
  <si>
    <t>Volume assumed in NIA*</t>
  </si>
  <si>
    <t>Adjusted Volume*</t>
  </si>
  <si>
    <t>*Note that the volumes shown in the tables below are incorrect, by definition of Compact fridge freezer.</t>
  </si>
  <si>
    <t>(assume correct NIA volume is the average in the CEC DB for these Classes)</t>
  </si>
  <si>
    <t>CEC Average for Compact Refrigerators and Refrigerator-freezers:</t>
  </si>
  <si>
    <t>Product Class 11 (assume 1/2 w/HFC, w/o HFC)</t>
  </si>
  <si>
    <t>Model installed price using linear regression of installed price on ln(UEC). Exclude first three data points for better curve fit.</t>
  </si>
  <si>
    <t>Product Class 12 (assume 1/2 w/HFC, w/o HFC)</t>
  </si>
  <si>
    <t>Product Class 13 (assume 1/2 w/HFC, w/o HFC)</t>
  </si>
  <si>
    <t>Product Class 14 (assume 1/2 w/HFC, w/o HFC) [NO PRODUCTS IN CEC DB]</t>
  </si>
  <si>
    <t>Product Class 15 (assume 1/2 w/HFC, w/o HFC) [ONLY ONE PRODUCT IN CEC DB]</t>
  </si>
  <si>
    <t>Product Class 13A (assume 1/2 w/HFC, w/o HFC) [ONLY ONE PRODUCT IN CEC DB]</t>
  </si>
  <si>
    <t>From DOE NIA</t>
  </si>
  <si>
    <t>Compact R and RF w manual defrost</t>
  </si>
  <si>
    <t>Compact RF—partial auto defrost</t>
  </si>
  <si>
    <t>Compact RF—auto defrost w top freezer</t>
  </si>
  <si>
    <t>Compact RF—auto defrost w side freezer</t>
  </si>
  <si>
    <t>Compact RF—auto defrost w bottom freezer</t>
  </si>
  <si>
    <t>Set to PC 18</t>
  </si>
  <si>
    <t>PC 11</t>
  </si>
  <si>
    <t>PC 12</t>
  </si>
  <si>
    <t>PC 13</t>
  </si>
  <si>
    <t>PC 14</t>
  </si>
  <si>
    <t>PC 15</t>
  </si>
  <si>
    <t>PC 13A</t>
  </si>
  <si>
    <t>Level 9</t>
  </si>
  <si>
    <t>Level 10</t>
  </si>
  <si>
    <t>non-HFC</t>
  </si>
  <si>
    <t>CEC Average Adjusted Volume for Compact Refrigerators and Refrigerator-freezers:</t>
  </si>
  <si>
    <t>Product Class 16 (assume 1/2 w/HFC, w/o HFC)</t>
  </si>
  <si>
    <t>Product Class 17 (assume 1/2 w/HFC, w/o HFC)</t>
  </si>
  <si>
    <t>Product Class 18 (assume 1/2 w/HFC, w/o HFC)</t>
  </si>
  <si>
    <t>Compact Upright freezers with manual defrost</t>
  </si>
  <si>
    <t>Compact Upright freezers with automatic defrost</t>
  </si>
  <si>
    <t>Compact Chest Freezers</t>
  </si>
  <si>
    <t>PC 16</t>
  </si>
  <si>
    <t>PC 17</t>
  </si>
  <si>
    <t>PC 18</t>
  </si>
  <si>
    <t>UEC &amp; Installed Price based on Product Class 18</t>
  </si>
  <si>
    <t>Item</t>
  </si>
  <si>
    <t>Methods &amp; Sources</t>
  </si>
  <si>
    <t>Note</t>
  </si>
  <si>
    <t>Measures Described</t>
  </si>
  <si>
    <t>Energy Savings Calculation Basis</t>
  </si>
  <si>
    <t>Applicable Stock</t>
  </si>
  <si>
    <t>Baseline Saturation</t>
  </si>
  <si>
    <t>Permutations</t>
  </si>
  <si>
    <t>Costs</t>
  </si>
  <si>
    <t>Measure Life</t>
  </si>
  <si>
    <t>Savings Shape</t>
  </si>
  <si>
    <t>Std Size Refrig and Refrig-Freezer - CEE Tier 1</t>
  </si>
  <si>
    <t>Std Size Refrig and Refrig-Freezer - CEE Tier 2</t>
  </si>
  <si>
    <t>Std Size Refrig and Refrig-Freezer - CEE Tier 3</t>
  </si>
  <si>
    <t>Std Size Freezer - ENERGY STAR</t>
  </si>
  <si>
    <t>Std Size Refrig and Refrig-Freezer - CEE Tier 1_HVAC</t>
  </si>
  <si>
    <t>Std Size Refrig and Refrig-Freezer - CEE Tier 2_HVAC</t>
  </si>
  <si>
    <t>Std Size Refrig and Refrig-Freezer - CEE Tier 3_HVAC</t>
  </si>
  <si>
    <t>Std Size Freezer - ENERGY STAR_HVAC</t>
  </si>
  <si>
    <t>Remove Compact &amp; ENERGY STAR option</t>
  </si>
  <si>
    <t>HVAC Interaction Type</t>
  </si>
  <si>
    <t>Electric Interaction Factor (%)</t>
  </si>
  <si>
    <t>Gas Interaction Factor (therms/kWh)</t>
  </si>
  <si>
    <t>Interior Lighting / General Interior Load</t>
  </si>
  <si>
    <t>from RTF StandardInformationWorkbook_v2_0</t>
  </si>
  <si>
    <t>Measure:</t>
  </si>
  <si>
    <t>7P Updates</t>
  </si>
  <si>
    <t>Baseline HVAC Loads</t>
  </si>
  <si>
    <t>Achievability Ramp Rate</t>
  </si>
  <si>
    <t>Refrigerators and Freezers</t>
  </si>
  <si>
    <t>High efficiency refrigerators and freezers</t>
  </si>
  <si>
    <t xml:space="preserve">Standard update in Sept 2014 </t>
  </si>
  <si>
    <t>Savings based on RTF wkbk, presented at RTF 10/14/14 mtng</t>
  </si>
  <si>
    <t>Federal NIA workbook</t>
  </si>
  <si>
    <t>based on CEC stock of available equipment, Sept 2014</t>
  </si>
  <si>
    <t>Use CEE Tiers for refrigerators (0-10%, 11-15%, 15+% better than baseline), ENERGY STAR for Freezers (10%+)</t>
  </si>
  <si>
    <t>All units affected, # of units/home based on RBSA</t>
  </si>
  <si>
    <t>Electric HVAC Interaction (%)</t>
  </si>
  <si>
    <t>Didn't include ENERGY STAR for Refrig/Freezers as it is encompassed in CEE Tiers</t>
  </si>
  <si>
    <t>Costs applied to CEC stock based on interpolation</t>
  </si>
  <si>
    <t>Refrigerator load shape + space heat interaction load shape</t>
  </si>
  <si>
    <t>Retro or LO</t>
  </si>
  <si>
    <t>Early Retrofit Parameters</t>
  </si>
  <si>
    <t>R or L</t>
  </si>
  <si>
    <t>Savings 2
(kWh)</t>
  </si>
  <si>
    <t>Remaining
Life (yrs)</t>
  </si>
  <si>
    <t>Salvage Value ($)</t>
  </si>
  <si>
    <t>L</t>
  </si>
  <si>
    <t>aMW</t>
  </si>
  <si>
    <t xml:space="preserve">Methodology:  For the Natural Replacement case.  Start with 2015 Stock decayed over time for demolition and retirement.  Add the New stock not addressed by the New Building Programs.  Then apply natural turnover rate based on measure life. The rate is the annual fraction of the stock that is replaced in any year.  Also apply the achievable penetration rate by year and the measure applicability factor.  Achievable penetration includes program ramp up.  The applicability factor represents the portion of the available stock that the measure applies to which is 100percent minus the baseline fraction that is doing the measure absent program.  The product is the annual available # of homes.  Number of homes times savings per home for aMW potential available by year for each type.  Turnover Rate, Achievable Penetration Rate and Applicability Factor are looked up from ResMaster.  Savings available for the retrofit measure apply only to the non-NR residual # of homes at the 20th year.  </t>
  </si>
  <si>
    <t>aMW in 2035</t>
  </si>
  <si>
    <t>Existing</t>
  </si>
  <si>
    <t>R-All-Ref-Refrig-All-All-C</t>
  </si>
  <si>
    <t>R-All-Ref-Freezer-All-All-R</t>
  </si>
  <si>
    <t>R-All-HVAC-ER-All-All-E</t>
  </si>
  <si>
    <t>ProCost Results</t>
  </si>
  <si>
    <t xml:space="preserve">Version:    </t>
  </si>
  <si>
    <t>ProCost 3.0 - Beta04</t>
  </si>
  <si>
    <t>Run Time:</t>
  </si>
  <si>
    <t>Regurgitation of ProData input parameters which were used for this run</t>
  </si>
  <si>
    <t>Run Parameters</t>
  </si>
  <si>
    <t>Marginal Cost &amp; Conservation Load Shape Parameters</t>
  </si>
  <si>
    <t>Sponsor Parameters</t>
  </si>
  <si>
    <t>Program Parameters</t>
  </si>
  <si>
    <t>Utility System Parameters</t>
  </si>
  <si>
    <t>Run Type</t>
  </si>
  <si>
    <t>Electric</t>
  </si>
  <si>
    <t>Marginal Costs and Savings Shape File</t>
  </si>
  <si>
    <t>6P MidC Final (with carbon)</t>
  </si>
  <si>
    <t>Customer</t>
  </si>
  <si>
    <t>Wholesale Elec</t>
  </si>
  <si>
    <t>Retail Elec</t>
  </si>
  <si>
    <t>Nat Gas</t>
  </si>
  <si>
    <t>Program Life (yrs)</t>
  </si>
  <si>
    <t>Gas</t>
  </si>
  <si>
    <t>Negative B/C Ratios</t>
  </si>
  <si>
    <t>Off</t>
  </si>
  <si>
    <t>Marginal Elec Avoided Cost Input Worksheet</t>
  </si>
  <si>
    <t>7P Mid</t>
  </si>
  <si>
    <t>Conservation Load Shapes</t>
  </si>
  <si>
    <t>Real After-Tax Cost of Capital</t>
  </si>
  <si>
    <t>Program Start Date</t>
  </si>
  <si>
    <t>Bulk System T&amp;D Loss Factor</t>
  </si>
  <si>
    <t>Admin Cost @ Category Level</t>
  </si>
  <si>
    <t>On</t>
  </si>
  <si>
    <t>Elec Savings Shape Input Worksheet</t>
  </si>
  <si>
    <t>GLSShapes</t>
  </si>
  <si>
    <t>6P_Gas_Final</t>
  </si>
  <si>
    <t>Financial Life (years)</t>
  </si>
  <si>
    <t>Present Value Time Zero</t>
  </si>
  <si>
    <t>Bulk System T&amp;D Credit ($/kw-yr)($/dailytherm-yr)</t>
  </si>
  <si>
    <t xml:space="preserve">Repeat Periodic Replacement </t>
  </si>
  <si>
    <t>Marginal Gas Avoided Cost Input Worksheet</t>
  </si>
  <si>
    <t>7P Gas</t>
  </si>
  <si>
    <t>Input Cost Reference Year</t>
  </si>
  <si>
    <t>Bulk System T&amp;D I2R Loss Component (%)</t>
  </si>
  <si>
    <t>N/A</t>
  </si>
  <si>
    <t>Gas Savings Shape Input Worksheet</t>
  </si>
  <si>
    <t xml:space="preserve">Sponsor Share of Initial Capital Cost </t>
  </si>
  <si>
    <t>Real Discount Rate</t>
  </si>
  <si>
    <t>Local System Dist Loss Factor</t>
  </si>
  <si>
    <t>Run Type:</t>
  </si>
  <si>
    <t>Marginal Elec CO2 per kWh Input Worksheet</t>
  </si>
  <si>
    <t>CO2 lbs per kWh .95</t>
  </si>
  <si>
    <t>CO2 lbs per therm</t>
  </si>
  <si>
    <t>Sponsor Share of Annual O&amp;M</t>
  </si>
  <si>
    <t>Capital Real Escalation Rate</t>
  </si>
  <si>
    <t>Local System Dist Credit ($/kw-yr)($/dailytherm-yr)</t>
  </si>
  <si>
    <t>Negative B/C Ratios:</t>
  </si>
  <si>
    <t>False:  (Converts Negative B/C Ratios)</t>
  </si>
  <si>
    <t>Marginal Gas CO2 per therm Input Worksheet</t>
  </si>
  <si>
    <t>Zero Dollars per ton CO2</t>
  </si>
  <si>
    <t>Sponsor Share of Periodic Replacement Cost</t>
  </si>
  <si>
    <t>Admin Cost (as % of Initial Capital Cost)</t>
  </si>
  <si>
    <t>Local System Dist I2R Loss Component (%)</t>
  </si>
  <si>
    <t>Admin Cost / Category Level:</t>
  </si>
  <si>
    <t>True:  Admin Costs added at Category Results</t>
  </si>
  <si>
    <t>Marginal Avoided Cost CO2 Input Worksheet</t>
  </si>
  <si>
    <t>LineLossShapes</t>
  </si>
  <si>
    <t>Sponsor Share of Admin Cost</t>
  </si>
  <si>
    <t>Regional Act Conservation Credit (%)</t>
  </si>
  <si>
    <t>Risk-Mitigation Credit (mills/kWh)(mills/therm) - Retro.</t>
  </si>
  <si>
    <t>Periodic O&amp;M Treatment:</t>
  </si>
  <si>
    <t>True:  (Periodic O&amp;M Repeats over measure life)</t>
  </si>
  <si>
    <t>Line Loss Shape Input Worksheet</t>
  </si>
  <si>
    <t>Last Year of Non-Customer O&amp;M &amp; Period Replacement</t>
  </si>
  <si>
    <t>Report Annual Carbon Saved for Year</t>
  </si>
  <si>
    <t>Risk-Mitigation Credit (mills/kWh)(mills/therm) - Lost Op.</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</si>
  <si>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</si>
  <si>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</si>
  <si>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</si>
  <si>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</si>
  <si>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</si>
  <si>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</si>
  <si>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</si>
  <si>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</si>
  <si>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</si>
  <si>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</si>
  <si>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</si>
  <si>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</si>
  <si>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</si>
  <si>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</si>
  <si>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</si>
  <si>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</si>
  <si>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</si>
  <si>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</si>
  <si>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</si>
  <si>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</si>
  <si>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</si>
  <si>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</si>
  <si>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</si>
  <si>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</si>
  <si>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</si>
  <si>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</si>
  <si>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</si>
  <si>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</si>
  <si>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</si>
  <si>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</si>
  <si>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</si>
  <si>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</si>
  <si>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</si>
  <si>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</si>
  <si>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</si>
  <si>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</si>
  <si>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</si>
  <si>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</si>
  <si>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</si>
  <si>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</si>
  <si>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</si>
  <si>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</si>
  <si>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</si>
  <si>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</si>
  <si>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</si>
  <si>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</si>
  <si>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</si>
  <si>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</si>
  <si>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</si>
  <si>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</si>
  <si>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</si>
  <si>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</si>
  <si>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</si>
  <si>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</si>
  <si>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</si>
  <si>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</si>
  <si>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</si>
  <si>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</si>
  <si>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</si>
  <si>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</si>
  <si>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</si>
  <si>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</si>
  <si>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</si>
  <si>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</si>
  <si>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</si>
  <si>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</si>
  <si>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</si>
  <si>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</si>
  <si>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</si>
  <si>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</si>
  <si>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</si>
  <si>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</si>
  <si>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</si>
  <si>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</si>
  <si>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</si>
  <si>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</si>
  <si>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</si>
  <si>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</si>
  <si>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</si>
  <si>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</si>
  <si>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Electric System CO2 Avoided (Lifetime Tons)</t>
  </si>
  <si>
    <t>Gas System CO2 Avoided (Lifetime Tons)</t>
  </si>
  <si>
    <t>Total System CO2 Avoided (Lifetime Tons)</t>
  </si>
  <si>
    <t>Electric System CO2 Avoided (Annual Tons in 2018)</t>
  </si>
  <si>
    <t>Gas System CO2 Avoided (Annual Tons in 2018)</t>
  </si>
  <si>
    <t>Total System CO2 Avoided (Annual Tons in 2018)</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</si>
  <si>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</si>
  <si>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</si>
  <si>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</si>
  <si>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</si>
  <si>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</si>
  <si>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</si>
  <si>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</si>
  <si>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</si>
  <si>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</si>
  <si>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</si>
  <si>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</si>
  <si>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</si>
  <si>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</si>
  <si>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</si>
  <si>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</si>
  <si>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</si>
  <si>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</si>
  <si>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Measures with B/C &gt; 1.00</t>
  </si>
  <si>
    <t>Categories with B/C &gt; 1.00</t>
  </si>
  <si>
    <t>Supply Curve Results:  By TRC Net Levelized Cost - Net of Benefits</t>
  </si>
  <si>
    <t>Given new standard, and current tiers not CE, give slow ramp up for new standard or for costs to decrease</t>
  </si>
  <si>
    <t>Block 22: 200-210 mills/kWh</t>
  </si>
  <si>
    <t>Block 23: 210-220 mills/kWh</t>
  </si>
  <si>
    <t>Block 24: 220-230 mills/kWh</t>
  </si>
  <si>
    <t>Block 25: 230-240 mills/kWh</t>
  </si>
  <si>
    <t>Block 26: 240-250 mills/kWh</t>
  </si>
  <si>
    <t>Block 27: 250-260 mills/kWh</t>
  </si>
  <si>
    <t>Block 28: 260-270 mills/kWh</t>
  </si>
  <si>
    <t>Block 29: 270-280 mills/kWh</t>
  </si>
  <si>
    <t>Block 30: 280-290 mills/kWh</t>
  </si>
  <si>
    <t>Block 31: 290-300 mills/kWh</t>
  </si>
  <si>
    <t>Block 32: &gt; 300 mills/kWh</t>
  </si>
  <si>
    <t>&gt;210</t>
  </si>
  <si>
    <t>&gt;220</t>
  </si>
  <si>
    <t>&gt;230</t>
  </si>
  <si>
    <t>&gt;240</t>
  </si>
  <si>
    <t>&gt;250</t>
  </si>
  <si>
    <t>&gt;260</t>
  </si>
  <si>
    <t>&gt;270</t>
  </si>
  <si>
    <t>&gt;280</t>
  </si>
  <si>
    <t>&gt;290</t>
  </si>
  <si>
    <t>&gt;300</t>
  </si>
  <si>
    <t>&lt;=210</t>
  </si>
  <si>
    <t>&lt;=220</t>
  </si>
  <si>
    <t>&lt;=230</t>
  </si>
  <si>
    <t>&lt;=240</t>
  </si>
  <si>
    <t>&lt;=250</t>
  </si>
  <si>
    <t>&lt;=260</t>
  </si>
  <si>
    <t>&lt;=270</t>
  </si>
  <si>
    <t>&lt;=280</t>
  </si>
  <si>
    <t>&lt;=290</t>
  </si>
  <si>
    <t>&lt;=300</t>
  </si>
  <si>
    <t>\\nas2\Q\SeventhPlan\Conservation Analysis\Global EE Inputs\MC Files\MC_AND_LOADSHAPE_v3.0_24segment-7P-D9 - NewSegValues.xlsx</t>
  </si>
  <si>
    <t>Savings Allocation by Cost Bin and Month for Segments 1</t>
  </si>
  <si>
    <t>Savings Allocation by Cost Bin and Month for Segments 2</t>
  </si>
  <si>
    <t>Savings Allocation by Category and Month for Segments 1</t>
  </si>
  <si>
    <t>Savings Allocation by Category and Month for Segments 2</t>
  </si>
  <si>
    <t>Wholesale KW</t>
  </si>
  <si>
    <t>Federal NIA workbook, RTF work</t>
  </si>
  <si>
    <t>ResRefrigeratorsAndFreezers_v4.0 v04</t>
  </si>
  <si>
    <t>HVAC interaction based on using SEEM calibration</t>
  </si>
  <si>
    <t>Used original (SUNDAY) approach for interaction, not based on SEEM simulations</t>
  </si>
  <si>
    <t>Block 2: 0-10 mills/kWh</t>
  </si>
  <si>
    <t>Remove? (Set this to TRUE if you want to remove these records, FALSE if you want to adjust them to the level of the Standard)</t>
  </si>
  <si>
    <t>B30IB800SP</t>
  </si>
  <si>
    <t>DDC0923QW*</t>
  </si>
  <si>
    <t>FFSS2314Q*</t>
  </si>
  <si>
    <t>FFTR15D1P*</t>
  </si>
  <si>
    <t>FKC17F7QT*</t>
  </si>
  <si>
    <t>FRT18G2P*</t>
  </si>
  <si>
    <t>RX215VJX1</t>
  </si>
  <si>
    <t>CRT12PS</t>
  </si>
  <si>
    <t>HA10TG30S*</t>
  </si>
  <si>
    <t>HC33TF10SB</t>
  </si>
  <si>
    <t>HF50CW10W</t>
  </si>
  <si>
    <t>6931*31*</t>
  </si>
  <si>
    <t>KBWS19KC**0*</t>
  </si>
  <si>
    <t>KBWS22KC**0*</t>
  </si>
  <si>
    <t>M8RXNGMB*0*</t>
  </si>
  <si>
    <t>MFF2258BE*0*</t>
  </si>
  <si>
    <t>WRF991BOO*</t>
  </si>
  <si>
    <t>Average % Better than Standard, by Class-group</t>
  </si>
  <si>
    <t>End-use Annual Energy Consumption, by Class-group</t>
  </si>
  <si>
    <t>Ramp Rate</t>
  </si>
  <si>
    <t>Resource Type</t>
  </si>
  <si>
    <t>Measure Category</t>
  </si>
  <si>
    <t>Sector</t>
  </si>
  <si>
    <t>End Use</t>
  </si>
  <si>
    <t>kW per unit</t>
  </si>
  <si>
    <t>kWh per unit</t>
  </si>
  <si>
    <t>TRC Net Levelized Cost (Net of All Benefits)</t>
  </si>
  <si>
    <t>Residential</t>
  </si>
  <si>
    <t>2Slow</t>
  </si>
  <si>
    <t>Average UEC</t>
  </si>
  <si>
    <t>Incremental UEC</t>
  </si>
  <si>
    <t>$2008 to $2012 Multiplier</t>
  </si>
  <si>
    <t>End Use:</t>
  </si>
  <si>
    <t>Incremental cost relative to market average ($2012)</t>
  </si>
  <si>
    <t>Std Fridge/Freezer</t>
  </si>
  <si>
    <t>Compact Fridge</t>
  </si>
  <si>
    <t>Compact Freezer</t>
  </si>
  <si>
    <t>Friday, 6 March , 2015 at 1:51 PM</t>
  </si>
  <si>
    <t>Total Max Potential (aMW)</t>
  </si>
</sst>
</file>

<file path=xl/styles.xml><?xml version="1.0" encoding="utf-8"?>
<styleSheet xmlns="http://schemas.openxmlformats.org/spreadsheetml/2006/main">
  <numFmts count="21">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quot;$&quot;* #,##0_);_(&quot;$&quot;* \(#,##0\);_(&quot;$&quot;* &quot;-&quot;??_);_(@_)"/>
    <numFmt numFmtId="169" formatCode="m/d/\ h:mm"/>
    <numFmt numFmtId="170" formatCode="_(* #,##0.00_);_(* \(#,##0.00\);_(* &quot;-&quot;?_);_(@_)"/>
    <numFmt numFmtId="171" formatCode="0.00000"/>
    <numFmt numFmtId="172" formatCode="_(* #,##0_);_(* \(#,##0\);_(* &quot;-&quot;??_);_(@_)"/>
    <numFmt numFmtId="173" formatCode="&quot;$&quot;#,##0.00"/>
    <numFmt numFmtId="174" formatCode="&quot;$&quot;#,##0"/>
    <numFmt numFmtId="175" formatCode="&quot;$&quot;#,##0.0"/>
    <numFmt numFmtId="176" formatCode="0.0%"/>
    <numFmt numFmtId="177" formatCode="mmm\-yyyy"/>
    <numFmt numFmtId="178" formatCode="0.0;[Red]\-0.0"/>
    <numFmt numFmtId="179" formatCode="\ "/>
  </numFmts>
  <fonts count="83">
    <font>
      <sz val="10"/>
      <name val="Arial"/>
      <family val="2"/>
    </font>
    <font>
      <sz val="10"/>
      <color theme="1"/>
      <name val="Arial"/>
      <family val="2"/>
    </font>
    <font>
      <sz val="10"/>
      <color theme="1"/>
      <name val="Arial"/>
      <family val="2"/>
    </font>
    <font>
      <sz val="10"/>
      <color theme="1"/>
      <name val="Arial"/>
      <family val="2"/>
    </font>
    <font>
      <sz val="12"/>
      <name val="Arial"/>
      <family val="2"/>
    </font>
    <font>
      <b/>
      <i/>
      <sz val="10"/>
      <name val="Arial"/>
      <family val="2"/>
    </font>
    <font>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10"/>
      <name val="Arial"/>
      <family val="2"/>
    </font>
    <font>
      <sz val="10"/>
      <color indexed="9"/>
      <name val="Arial"/>
      <family val="2"/>
    </font>
    <font>
      <b/>
      <sz val="8"/>
      <color indexed="81"/>
      <name val="Tahoma"/>
      <family val="2"/>
    </font>
    <font>
      <sz val="8"/>
      <color indexed="81"/>
      <name val="Tahoma"/>
      <family val="2"/>
    </font>
    <font>
      <sz val="12"/>
      <name val="Times New Roman"/>
      <family val="1"/>
    </font>
    <font>
      <b/>
      <sz val="12"/>
      <name val="Times New Roman"/>
      <family val="1"/>
    </font>
    <font>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Times New Roman"/>
      <family val="1"/>
    </font>
    <font>
      <b/>
      <sz val="10"/>
      <color indexed="8"/>
      <name val="Arial"/>
      <family val="2"/>
    </font>
    <font>
      <i/>
      <sz val="11"/>
      <color indexed="23"/>
      <name val="Calibri"/>
      <family val="2"/>
    </font>
    <font>
      <sz val="11"/>
      <color indexed="17"/>
      <name val="Calibri"/>
      <family val="2"/>
    </font>
    <font>
      <b/>
      <sz val="15"/>
      <color indexed="56"/>
      <name val="Calibri"/>
      <family val="2"/>
    </font>
    <font>
      <b/>
      <sz val="13"/>
      <color indexed="62"/>
      <name val="Calibri"/>
      <family val="2"/>
    </font>
    <font>
      <b/>
      <sz val="11"/>
      <color indexed="56"/>
      <name val="Calibri"/>
      <family val="2"/>
    </font>
    <font>
      <u/>
      <sz val="10"/>
      <color indexed="12"/>
      <name val="Arial"/>
      <family val="2"/>
    </font>
    <font>
      <u/>
      <sz val="7"/>
      <color indexed="12"/>
      <name val="Arial"/>
      <family val="2"/>
    </font>
    <font>
      <u/>
      <sz val="10"/>
      <color indexed="12"/>
      <name val="Times New Roman"/>
      <family val="1"/>
    </font>
    <font>
      <u/>
      <sz val="10"/>
      <color theme="10"/>
      <name val="Arial"/>
      <family val="2"/>
    </font>
    <font>
      <u/>
      <sz val="11"/>
      <color theme="10"/>
      <name val="Calibri"/>
      <family val="2"/>
    </font>
    <font>
      <u/>
      <sz val="11"/>
      <color theme="10"/>
      <name val="Calibri"/>
      <family val="2"/>
      <scheme val="minor"/>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b/>
      <sz val="18"/>
      <color indexed="56"/>
      <name val="Cambria"/>
      <family val="2"/>
    </font>
    <font>
      <sz val="10"/>
      <name val="Helv"/>
    </font>
    <font>
      <sz val="10"/>
      <name val="Helv"/>
      <charset val="204"/>
    </font>
    <font>
      <b/>
      <sz val="11"/>
      <color indexed="8"/>
      <name val="Calibri"/>
      <family val="2"/>
    </font>
    <font>
      <sz val="11"/>
      <color indexed="10"/>
      <name val="Calibri"/>
      <family val="2"/>
    </font>
    <font>
      <b/>
      <sz val="11"/>
      <color theme="1"/>
      <name val="Calibri"/>
      <family val="2"/>
      <scheme val="minor"/>
    </font>
    <font>
      <sz val="11"/>
      <name val="Calibri"/>
      <family val="2"/>
      <scheme val="minor"/>
    </font>
    <font>
      <b/>
      <sz val="9"/>
      <color indexed="81"/>
      <name val="Tahoma"/>
      <family val="2"/>
    </font>
    <font>
      <sz val="9"/>
      <color indexed="81"/>
      <name val="Tahoma"/>
      <family val="2"/>
    </font>
    <font>
      <b/>
      <u/>
      <sz val="11"/>
      <color theme="1"/>
      <name val="Calibri"/>
      <family val="2"/>
      <scheme val="minor"/>
    </font>
    <font>
      <u/>
      <sz val="11"/>
      <color theme="1"/>
      <name val="Calibri"/>
      <family val="2"/>
      <scheme val="minor"/>
    </font>
    <font>
      <sz val="12"/>
      <color theme="0"/>
      <name val="Times New Roman"/>
      <family val="1"/>
    </font>
    <font>
      <sz val="10"/>
      <color rgb="FF000000"/>
      <name val="Times New Roman"/>
      <family val="1"/>
    </font>
    <font>
      <sz val="11"/>
      <color theme="1"/>
      <name val="Times New Roman"/>
      <family val="1"/>
    </font>
    <font>
      <sz val="11"/>
      <color theme="0" tint="-0.249977111117893"/>
      <name val="Calibri"/>
      <family val="2"/>
      <scheme val="minor"/>
    </font>
    <font>
      <sz val="10"/>
      <color theme="1"/>
      <name val="Times New Roman"/>
      <family val="1"/>
    </font>
    <font>
      <sz val="10"/>
      <color rgb="FFFF0000"/>
      <name val="Arial"/>
      <family val="2"/>
    </font>
    <font>
      <i/>
      <sz val="10"/>
      <color theme="3"/>
      <name val="Arial"/>
      <family val="2"/>
    </font>
    <font>
      <i/>
      <sz val="10"/>
      <name val="Arial"/>
      <family val="2"/>
    </font>
    <font>
      <sz val="8"/>
      <color theme="0"/>
      <name val="Arial"/>
      <family val="2"/>
    </font>
    <font>
      <sz val="8"/>
      <name val="Arial"/>
      <family val="2"/>
    </font>
    <font>
      <b/>
      <sz val="8"/>
      <color indexed="9"/>
      <name val="Arial"/>
      <family val="2"/>
    </font>
    <font>
      <sz val="8"/>
      <color indexed="9"/>
      <name val="Arial"/>
      <family val="2"/>
    </font>
    <font>
      <b/>
      <sz val="8"/>
      <name val="Arial"/>
      <family val="2"/>
    </font>
    <font>
      <i/>
      <sz val="8"/>
      <name val="Arial"/>
      <family val="2"/>
    </font>
    <font>
      <vertAlign val="superscript"/>
      <sz val="12"/>
      <color theme="0"/>
      <name val="Times New Roman"/>
      <family val="1"/>
    </font>
    <font>
      <sz val="10"/>
      <color theme="0" tint="-0.499984740745262"/>
      <name val="Arial"/>
      <family val="2"/>
    </font>
    <font>
      <sz val="11"/>
      <name val="Arial"/>
      <family val="2"/>
    </font>
    <font>
      <sz val="10"/>
      <color theme="0" tint="-0.34998626667073579"/>
      <name val="Arial"/>
      <family val="2"/>
    </font>
    <font>
      <b/>
      <sz val="10"/>
      <color theme="0" tint="-0.34998626667073579"/>
      <name val="Arial"/>
      <family val="2"/>
    </font>
    <font>
      <sz val="8"/>
      <color indexed="10"/>
      <name val="Arial"/>
      <family val="2"/>
    </font>
    <font>
      <sz val="11"/>
      <color indexed="63"/>
      <name val="Calibri"/>
      <family val="2"/>
    </font>
    <font>
      <b/>
      <sz val="15"/>
      <color indexed="62"/>
      <name val="Calibri"/>
      <family val="2"/>
    </font>
    <font>
      <b/>
      <sz val="11"/>
      <color indexed="62"/>
      <name val="Calibri"/>
      <family val="2"/>
    </font>
    <font>
      <sz val="9"/>
      <name val="Arial"/>
      <family val="2"/>
    </font>
    <font>
      <sz val="12"/>
      <name val="Helv"/>
    </font>
    <font>
      <b/>
      <sz val="18"/>
      <color indexed="62"/>
      <name val="Cambria"/>
      <family val="2"/>
    </font>
    <font>
      <sz val="10"/>
      <name val="굴림"/>
      <family val="3"/>
      <charset val="129"/>
    </font>
    <font>
      <b/>
      <sz val="14"/>
      <color theme="1"/>
      <name val="Calibri"/>
      <family val="2"/>
      <scheme val="minor"/>
    </font>
    <font>
      <b/>
      <sz val="11"/>
      <name val="Calibri"/>
      <family val="2"/>
      <scheme val="minor"/>
    </font>
    <font>
      <sz val="10"/>
      <color indexed="10"/>
      <name val="Arial"/>
      <family val="2"/>
    </font>
  </fonts>
  <fills count="95">
    <fill>
      <patternFill patternType="none"/>
    </fill>
    <fill>
      <patternFill patternType="gray125"/>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indexed="2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indexed="57"/>
        <bgColor indexed="64"/>
      </patternFill>
    </fill>
    <fill>
      <patternFill patternType="solid">
        <fgColor indexed="47"/>
        <bgColor indexed="64"/>
      </patternFill>
    </fill>
    <fill>
      <patternFill patternType="solid">
        <fgColor indexed="44"/>
        <bgColor indexed="64"/>
      </patternFill>
    </fill>
    <fill>
      <patternFill patternType="solid">
        <fgColor rgb="FFFFFF00"/>
        <bgColor indexed="64"/>
      </patternFill>
    </fill>
    <fill>
      <patternFill patternType="solid">
        <fgColor indexed="43"/>
        <bgColor indexed="6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62"/>
      </patternFill>
    </fill>
    <fill>
      <patternFill patternType="solid">
        <fgColor indexed="45"/>
        <bgColor indexed="45"/>
      </patternFill>
    </fill>
    <fill>
      <patternFill patternType="solid">
        <fgColor indexed="29"/>
        <bgColor indexed="29"/>
      </patternFill>
    </fill>
    <fill>
      <patternFill patternType="solid">
        <fgColor indexed="10"/>
      </patternFill>
    </fill>
    <fill>
      <patternFill patternType="solid">
        <fgColor indexed="42"/>
        <bgColor indexed="42"/>
      </patternFill>
    </fill>
    <fill>
      <patternFill patternType="solid">
        <fgColor indexed="11"/>
        <bgColor indexed="11"/>
      </patternFill>
    </fill>
    <fill>
      <patternFill patternType="solid">
        <fgColor indexed="57"/>
      </patternFill>
    </fill>
    <fill>
      <patternFill patternType="solid">
        <fgColor indexed="46"/>
        <bgColor indexed="46"/>
      </patternFill>
    </fill>
    <fill>
      <patternFill patternType="solid">
        <fgColor indexed="36"/>
        <bgColor indexed="36"/>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8"/>
        <bgColor indexed="64"/>
      </patternFill>
    </fill>
    <fill>
      <patternFill patternType="solid">
        <fgColor indexed="43"/>
      </patternFill>
    </fill>
    <fill>
      <patternFill patternType="solid">
        <fgColor indexed="26"/>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000000"/>
        <bgColor indexed="64"/>
      </patternFill>
    </fill>
    <fill>
      <patternFill patternType="solid">
        <fgColor theme="1"/>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indexed="9"/>
        <bgColor indexed="64"/>
      </patternFill>
    </fill>
    <fill>
      <patternFill patternType="solid">
        <fgColor indexed="21"/>
        <bgColor indexed="64"/>
      </patternFill>
    </fill>
    <fill>
      <patternFill patternType="solid">
        <fgColor indexed="1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FFCC"/>
        <bgColor indexed="64"/>
      </patternFill>
    </fill>
    <fill>
      <patternFill patternType="solid">
        <fgColor indexed="47"/>
        <bgColor indexed="9"/>
      </patternFill>
    </fill>
    <fill>
      <patternFill patternType="solid">
        <fgColor indexed="9"/>
      </patternFill>
    </fill>
    <fill>
      <patternFill patternType="solid">
        <fgColor indexed="8"/>
      </patternFill>
    </fill>
    <fill>
      <patternFill patternType="solid">
        <fgColor indexed="54"/>
      </patternFill>
    </fill>
    <fill>
      <patternFill patternType="solid">
        <fgColor theme="3"/>
        <bgColor indexed="64"/>
      </patternFill>
    </fill>
    <fill>
      <patternFill patternType="solid">
        <fgColor theme="3" tint="0.39997558519241921"/>
        <bgColor indexed="64"/>
      </patternFill>
    </fill>
    <fill>
      <patternFill patternType="solid">
        <fgColor indexed="60"/>
        <bgColor indexed="64"/>
      </patternFill>
    </fill>
    <fill>
      <patternFill patternType="solid">
        <fgColor indexed="3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style="thin">
        <color indexed="64"/>
      </top>
      <bottom style="thin">
        <color indexed="64"/>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theme="0"/>
      </left>
      <right/>
      <top style="thin">
        <color theme="0"/>
      </top>
      <bottom style="thin">
        <color indexed="64"/>
      </bottom>
      <diagonal/>
    </border>
    <border>
      <left style="thin">
        <color theme="0"/>
      </left>
      <right/>
      <top/>
      <bottom style="thin">
        <color theme="0"/>
      </bottom>
      <diagonal/>
    </border>
    <border>
      <left/>
      <right/>
      <top/>
      <bottom style="thin">
        <color theme="0"/>
      </bottom>
      <diagonal/>
    </border>
    <border>
      <left style="thin">
        <color theme="0"/>
      </left>
      <right/>
      <top style="thin">
        <color indexed="64"/>
      </top>
      <bottom style="thin">
        <color theme="0"/>
      </bottom>
      <diagonal/>
    </border>
    <border>
      <left style="thin">
        <color theme="0"/>
      </left>
      <right/>
      <top/>
      <bottom style="medium">
        <color indexed="64"/>
      </bottom>
      <diagonal/>
    </border>
    <border>
      <left style="thin">
        <color theme="0"/>
      </left>
      <right/>
      <top style="thin">
        <color theme="0"/>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B2B2B2"/>
      </left>
      <right style="thin">
        <color rgb="FFB2B2B2"/>
      </right>
      <top style="thin">
        <color rgb="FFB2B2B2"/>
      </top>
      <bottom style="thin">
        <color rgb="FFB2B2B2"/>
      </bottom>
      <diagonal/>
    </border>
  </borders>
  <cellStyleXfs count="531">
    <xf numFmtId="0" fontId="0" fillId="0" borderId="0">
      <alignment readingOrder="1"/>
    </xf>
    <xf numFmtId="44" fontId="6" fillId="0" borderId="0" applyFont="0" applyFill="0" applyBorder="0" applyAlignment="0" applyProtection="0"/>
    <xf numFmtId="0" fontId="4" fillId="0" borderId="0"/>
    <xf numFmtId="0" fontId="6" fillId="0" borderId="0"/>
    <xf numFmtId="0" fontId="6" fillId="0" borderId="0"/>
    <xf numFmtId="0" fontId="6" fillId="11" borderId="0" applyNumberFormat="0" applyAlignment="0">
      <alignment horizontal="right"/>
    </xf>
    <xf numFmtId="0" fontId="6" fillId="10" borderId="0" applyNumberFormat="0" applyAlignment="0"/>
    <xf numFmtId="169" fontId="16" fillId="0" borderId="0"/>
    <xf numFmtId="0" fontId="17" fillId="0" borderId="0">
      <alignment horizontal="center" wrapText="1"/>
    </xf>
    <xf numFmtId="9" fontId="6" fillId="0" borderId="0" applyFont="0" applyFill="0" applyBorder="0" applyAlignment="0" applyProtection="0"/>
    <xf numFmtId="0" fontId="18" fillId="0" borderId="0"/>
    <xf numFmtId="0" fontId="18" fillId="0" borderId="0"/>
    <xf numFmtId="0" fontId="3" fillId="0" borderId="0"/>
    <xf numFmtId="0" fontId="3" fillId="0" borderId="0"/>
    <xf numFmtId="0" fontId="6" fillId="0" borderId="0">
      <alignment readingOrder="1"/>
    </xf>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4" borderId="0" applyNumberFormat="0" applyBorder="0" applyAlignment="0" applyProtection="0"/>
    <xf numFmtId="0" fontId="20" fillId="25"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3" fillId="31" borderId="0" applyNumberFormat="0" applyBorder="0" applyAlignment="0" applyProtection="0"/>
    <xf numFmtId="0" fontId="20"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3" fillId="34" borderId="0" applyNumberFormat="0" applyBorder="0" applyAlignment="0" applyProtection="0"/>
    <xf numFmtId="0" fontId="20" fillId="35" borderId="0" applyNumberFormat="0" applyBorder="0" applyAlignment="0" applyProtection="0"/>
    <xf numFmtId="0" fontId="11" fillId="36" borderId="0" applyNumberFormat="0" applyBorder="0" applyAlignment="0" applyProtection="0"/>
    <xf numFmtId="0" fontId="11" fillId="37" borderId="0" applyNumberFormat="0" applyBorder="0" applyAlignment="0" applyProtection="0"/>
    <xf numFmtId="0" fontId="13" fillId="37" borderId="0" applyNumberFormat="0" applyBorder="0" applyAlignment="0" applyProtection="0"/>
    <xf numFmtId="0" fontId="20"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3" fillId="40" borderId="0" applyNumberFormat="0" applyBorder="0" applyAlignment="0" applyProtection="0"/>
    <xf numFmtId="0" fontId="20" fillId="26" borderId="0" applyNumberFormat="0" applyBorder="0" applyAlignment="0" applyProtection="0"/>
    <xf numFmtId="0" fontId="11" fillId="41" borderId="0" applyNumberFormat="0" applyBorder="0" applyAlignment="0" applyProtection="0"/>
    <xf numFmtId="0" fontId="11" fillId="30" borderId="0" applyNumberFormat="0" applyBorder="0" applyAlignment="0" applyProtection="0"/>
    <xf numFmtId="0" fontId="13" fillId="42" borderId="0" applyNumberFormat="0" applyBorder="0" applyAlignment="0" applyProtection="0"/>
    <xf numFmtId="0" fontId="20" fillId="27" borderId="0" applyNumberFormat="0" applyBorder="0" applyAlignment="0" applyProtection="0"/>
    <xf numFmtId="0" fontId="11" fillId="43" borderId="0" applyNumberFormat="0" applyBorder="0" applyAlignment="0" applyProtection="0"/>
    <xf numFmtId="0" fontId="11" fillId="44" borderId="0" applyNumberFormat="0" applyBorder="0" applyAlignment="0" applyProtection="0"/>
    <xf numFmtId="0" fontId="13" fillId="45" borderId="0" applyNumberFormat="0" applyBorder="0" applyAlignment="0" applyProtection="0"/>
    <xf numFmtId="0" fontId="20" fillId="46" borderId="0" applyNumberFormat="0" applyBorder="0" applyAlignment="0" applyProtection="0"/>
    <xf numFmtId="0" fontId="21" fillId="16" borderId="0" applyNumberFormat="0" applyBorder="0" applyAlignment="0" applyProtection="0"/>
    <xf numFmtId="0" fontId="22" fillId="47" borderId="11" applyNumberFormat="0" applyAlignment="0" applyProtection="0"/>
    <xf numFmtId="0" fontId="23" fillId="48" borderId="12" applyNumberFormat="0" applyAlignment="0" applyProtection="0"/>
    <xf numFmtId="41" fontId="2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6" fillId="11" borderId="0" applyNumberFormat="0" applyAlignment="0">
      <alignment horizontal="right"/>
    </xf>
    <xf numFmtId="0" fontId="6" fillId="11" borderId="0" applyNumberFormat="0" applyAlignment="0">
      <alignment horizontal="right"/>
    </xf>
    <xf numFmtId="0" fontId="6" fillId="11" borderId="0" applyNumberFormat="0" applyAlignment="0">
      <alignment horizontal="right"/>
    </xf>
    <xf numFmtId="0" fontId="25" fillId="49" borderId="0" applyNumberFormat="0" applyBorder="0" applyAlignment="0" applyProtection="0"/>
    <xf numFmtId="0" fontId="25" fillId="50" borderId="0" applyNumberFormat="0" applyBorder="0" applyAlignment="0" applyProtection="0"/>
    <xf numFmtId="0" fontId="25" fillId="51" borderId="0" applyNumberFormat="0" applyBorder="0" applyAlignment="0" applyProtection="0"/>
    <xf numFmtId="0" fontId="26" fillId="0" borderId="0" applyNumberFormat="0" applyFill="0" applyBorder="0" applyAlignment="0" applyProtection="0"/>
    <xf numFmtId="0" fontId="27" fillId="17" borderId="0" applyNumberFormat="0" applyBorder="0" applyAlignment="0" applyProtection="0"/>
    <xf numFmtId="0" fontId="28" fillId="0" borderId="13" applyNumberFormat="0" applyFill="0" applyAlignment="0" applyProtection="0"/>
    <xf numFmtId="0" fontId="8" fillId="52" borderId="14">
      <alignment horizontal="left"/>
    </xf>
    <xf numFmtId="0" fontId="29" fillId="0" borderId="15" applyNumberFormat="0" applyFill="0" applyAlignment="0" applyProtection="0"/>
    <xf numFmtId="0" fontId="30" fillId="0" borderId="16" applyNumberFormat="0" applyFill="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20" borderId="11" applyNumberFormat="0" applyAlignment="0" applyProtection="0"/>
    <xf numFmtId="0" fontId="38" fillId="0" borderId="17" applyNumberFormat="0" applyFill="0" applyAlignment="0" applyProtection="0"/>
    <xf numFmtId="0" fontId="39" fillId="53" borderId="0" applyNumberFormat="0" applyBorder="0" applyAlignment="0" applyProtection="0"/>
    <xf numFmtId="0" fontId="19" fillId="0" borderId="0"/>
    <xf numFmtId="0" fontId="6" fillId="0" borderId="0"/>
    <xf numFmtId="0" fontId="19" fillId="0" borderId="0"/>
    <xf numFmtId="0" fontId="19" fillId="0" borderId="0"/>
    <xf numFmtId="0" fontId="6" fillId="0" borderId="0"/>
    <xf numFmtId="0" fontId="6" fillId="0" borderId="0">
      <alignment readingOrder="1"/>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 fillId="0" borderId="0"/>
    <xf numFmtId="0" fontId="18" fillId="0" borderId="0"/>
    <xf numFmtId="0" fontId="18" fillId="0" borderId="0"/>
    <xf numFmtId="0" fontId="6" fillId="0" borderId="0">
      <alignment readingOrder="1"/>
    </xf>
    <xf numFmtId="0" fontId="18" fillId="0" borderId="0"/>
    <xf numFmtId="0" fontId="6" fillId="0" borderId="0">
      <alignment readingOrder="1"/>
    </xf>
    <xf numFmtId="0" fontId="6" fillId="0" borderId="0"/>
    <xf numFmtId="0" fontId="6" fillId="0" borderId="0"/>
    <xf numFmtId="0" fontId="6" fillId="0" borderId="0"/>
    <xf numFmtId="0" fontId="6" fillId="0" borderId="0"/>
    <xf numFmtId="0" fontId="6" fillId="0" borderId="0"/>
    <xf numFmtId="0" fontId="6" fillId="0" borderId="0">
      <alignment readingOrder="1"/>
    </xf>
    <xf numFmtId="0" fontId="19" fillId="0" borderId="0"/>
    <xf numFmtId="0" fontId="19" fillId="0" borderId="0"/>
    <xf numFmtId="0" fontId="18" fillId="0" borderId="0"/>
    <xf numFmtId="0" fontId="18" fillId="0" borderId="0"/>
    <xf numFmtId="0" fontId="18" fillId="0" borderId="0"/>
    <xf numFmtId="0" fontId="18" fillId="0" borderId="0"/>
    <xf numFmtId="0" fontId="6" fillId="0" borderId="0">
      <alignment readingOrder="1"/>
    </xf>
    <xf numFmtId="0" fontId="6" fillId="0" borderId="0">
      <alignment readingOrder="1"/>
    </xf>
    <xf numFmtId="0" fontId="6" fillId="0" borderId="0">
      <alignment readingOrder="1"/>
    </xf>
    <xf numFmtId="0" fontId="18" fillId="0" borderId="0"/>
    <xf numFmtId="0" fontId="18" fillId="0" borderId="0"/>
    <xf numFmtId="0" fontId="19" fillId="0" borderId="0"/>
    <xf numFmtId="0" fontId="6" fillId="0" borderId="0">
      <alignment readingOrder="1"/>
    </xf>
    <xf numFmtId="0" fontId="18" fillId="0" borderId="0"/>
    <xf numFmtId="0" fontId="6" fillId="0" borderId="0">
      <alignment readingOrder="1"/>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 fillId="0" borderId="0">
      <alignment readingOrder="1"/>
    </xf>
    <xf numFmtId="0" fontId="6" fillId="0" borderId="0"/>
    <xf numFmtId="0" fontId="6" fillId="0" borderId="0"/>
    <xf numFmtId="0" fontId="6" fillId="0" borderId="0"/>
    <xf numFmtId="0" fontId="6" fillId="0" borderId="0"/>
    <xf numFmtId="0" fontId="6" fillId="0" borderId="0"/>
    <xf numFmtId="0" fontId="6" fillId="0" borderId="0">
      <alignment readingOrder="1"/>
    </xf>
    <xf numFmtId="0" fontId="6" fillId="0" borderId="0"/>
    <xf numFmtId="0" fontId="6" fillId="0" borderId="0"/>
    <xf numFmtId="0" fontId="19" fillId="0" borderId="0"/>
    <xf numFmtId="0" fontId="18" fillId="0" borderId="0"/>
    <xf numFmtId="0" fontId="19" fillId="0" borderId="0"/>
    <xf numFmtId="0" fontId="18" fillId="0" borderId="0"/>
    <xf numFmtId="0" fontId="6" fillId="0" borderId="0" applyNumberFormat="0" applyFill="0" applyBorder="0" applyAlignment="0" applyProtection="0"/>
    <xf numFmtId="0" fontId="18" fillId="0" borderId="0"/>
    <xf numFmtId="0" fontId="18" fillId="0" borderId="0"/>
    <xf numFmtId="0" fontId="24" fillId="0" borderId="0"/>
    <xf numFmtId="0" fontId="18" fillId="0" borderId="0"/>
    <xf numFmtId="0" fontId="18" fillId="0" borderId="0"/>
    <xf numFmtId="0" fontId="6" fillId="0" borderId="0">
      <alignment readingOrder="1"/>
    </xf>
    <xf numFmtId="0" fontId="18" fillId="0" borderId="0"/>
    <xf numFmtId="0" fontId="18" fillId="0" borderId="0"/>
    <xf numFmtId="0" fontId="19" fillId="0" borderId="0"/>
    <xf numFmtId="0" fontId="19" fillId="0" borderId="0"/>
    <xf numFmtId="0" fontId="40" fillId="0" borderId="0"/>
    <xf numFmtId="0" fontId="19" fillId="0" borderId="0"/>
    <xf numFmtId="0" fontId="19" fillId="0" borderId="0"/>
    <xf numFmtId="0" fontId="19" fillId="0" borderId="0"/>
    <xf numFmtId="0" fontId="19" fillId="0" borderId="0"/>
    <xf numFmtId="0" fontId="6" fillId="0" borderId="0">
      <alignment readingOrder="1"/>
    </xf>
    <xf numFmtId="0" fontId="6" fillId="0" borderId="0">
      <alignment readingOrder="1"/>
    </xf>
    <xf numFmtId="0" fontId="19" fillId="54" borderId="18" applyNumberFormat="0" applyFont="0" applyAlignment="0" applyProtection="0"/>
    <xf numFmtId="0" fontId="19" fillId="54" borderId="18" applyNumberFormat="0" applyFont="0" applyAlignment="0" applyProtection="0"/>
    <xf numFmtId="0" fontId="41" fillId="47" borderId="19" applyNumberFormat="0" applyAlignment="0" applyProtection="0"/>
    <xf numFmtId="9" fontId="1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42" fillId="0" borderId="0" applyNumberFormat="0" applyFill="0" applyBorder="0" applyAlignment="0" applyProtection="0"/>
    <xf numFmtId="0" fontId="43" fillId="0" borderId="0"/>
    <xf numFmtId="0" fontId="44" fillId="0" borderId="0"/>
    <xf numFmtId="0" fontId="42" fillId="0" borderId="0" applyNumberFormat="0" applyFill="0" applyBorder="0" applyAlignment="0" applyProtection="0"/>
    <xf numFmtId="0" fontId="45" fillId="0" borderId="20" applyNumberFormat="0" applyFill="0" applyAlignment="0" applyProtection="0"/>
    <xf numFmtId="0" fontId="46" fillId="0" borderId="0" applyNumberFormat="0" applyFill="0" applyBorder="0" applyAlignment="0" applyProtection="0"/>
    <xf numFmtId="0" fontId="6" fillId="0" borderId="0"/>
    <xf numFmtId="0" fontId="6" fillId="0" borderId="0"/>
    <xf numFmtId="0" fontId="2" fillId="0" borderId="0"/>
    <xf numFmtId="0" fontId="2" fillId="0" borderId="0"/>
    <xf numFmtId="43" fontId="6" fillId="0" borderId="0" applyFont="0" applyFill="0" applyBorder="0" applyAlignment="0" applyProtection="0"/>
    <xf numFmtId="0" fontId="34" fillId="0" borderId="0" applyNumberFormat="0" applyFill="0" applyBorder="0" applyAlignment="0" applyProtection="0">
      <alignment readingOrder="1"/>
    </xf>
    <xf numFmtId="0" fontId="6" fillId="0" borderId="0">
      <alignment readingOrder="1"/>
    </xf>
    <xf numFmtId="0" fontId="19" fillId="73" borderId="0" applyNumberFormat="0" applyBorder="0" applyAlignment="0" applyProtection="0"/>
    <xf numFmtId="0" fontId="73" fillId="74" borderId="0" applyNumberFormat="0" applyBorder="0" applyAlignment="0" applyProtection="0"/>
    <xf numFmtId="0" fontId="73" fillId="20" borderId="0" applyNumberFormat="0" applyBorder="0" applyAlignment="0" applyProtection="0"/>
    <xf numFmtId="0" fontId="19" fillId="16" borderId="0" applyNumberFormat="0" applyBorder="0" applyAlignment="0" applyProtection="0"/>
    <xf numFmtId="0" fontId="73" fillId="54" borderId="0" applyNumberFormat="0" applyBorder="0" applyAlignment="0" applyProtection="0"/>
    <xf numFmtId="0" fontId="19" fillId="73" borderId="0" applyNumberFormat="0" applyBorder="0" applyAlignment="0" applyProtection="0"/>
    <xf numFmtId="0" fontId="73" fillId="74" borderId="0" applyNumberFormat="0" applyBorder="0" applyAlignment="0" applyProtection="0"/>
    <xf numFmtId="0" fontId="73" fillId="19" borderId="0" applyNumberFormat="0" applyBorder="0" applyAlignment="0" applyProtection="0"/>
    <xf numFmtId="0" fontId="73" fillId="20" borderId="0" applyNumberFormat="0" applyBorder="0" applyAlignment="0" applyProtection="0"/>
    <xf numFmtId="0" fontId="19" fillId="47" borderId="0" applyNumberFormat="0" applyBorder="0" applyAlignment="0" applyProtection="0"/>
    <xf numFmtId="0" fontId="73" fillId="47" borderId="0" applyNumberFormat="0" applyBorder="0" applyAlignment="0" applyProtection="0"/>
    <xf numFmtId="0" fontId="19" fillId="16" borderId="0" applyNumberFormat="0" applyBorder="0" applyAlignment="0" applyProtection="0"/>
    <xf numFmtId="0" fontId="73" fillId="22" borderId="0" applyNumberFormat="0" applyBorder="0" applyAlignment="0" applyProtection="0"/>
    <xf numFmtId="0" fontId="19" fillId="16" borderId="0" applyNumberFormat="0" applyBorder="0" applyAlignment="0" applyProtection="0"/>
    <xf numFmtId="0" fontId="73" fillId="53" borderId="0" applyNumberFormat="0" applyBorder="0" applyAlignment="0" applyProtection="0"/>
    <xf numFmtId="0" fontId="19" fillId="47" borderId="0" applyNumberFormat="0" applyBorder="0" applyAlignment="0" applyProtection="0"/>
    <xf numFmtId="0" fontId="73" fillId="47" borderId="0" applyNumberFormat="0" applyBorder="0" applyAlignment="0" applyProtection="0"/>
    <xf numFmtId="0" fontId="73" fillId="21" borderId="0" applyNumberFormat="0" applyBorder="0" applyAlignment="0" applyProtection="0"/>
    <xf numFmtId="0" fontId="19" fillId="20" borderId="0" applyNumberFormat="0" applyBorder="0" applyAlignment="0" applyProtection="0"/>
    <xf numFmtId="0" fontId="73" fillId="20"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16" borderId="0" applyNumberFormat="0" applyBorder="0" applyAlignment="0" applyProtection="0"/>
    <xf numFmtId="0" fontId="20" fillId="22" borderId="0" applyNumberFormat="0" applyBorder="0" applyAlignment="0" applyProtection="0"/>
    <xf numFmtId="0" fontId="20" fillId="16" borderId="0" applyNumberFormat="0" applyBorder="0" applyAlignment="0" applyProtection="0"/>
    <xf numFmtId="0" fontId="20" fillId="53" borderId="0" applyNumberFormat="0" applyBorder="0" applyAlignment="0" applyProtection="0"/>
    <xf numFmtId="0" fontId="20" fillId="47" borderId="0" applyNumberFormat="0" applyBorder="0" applyAlignment="0" applyProtection="0"/>
    <xf numFmtId="0" fontId="20" fillId="47" borderId="0" applyNumberFormat="0" applyBorder="0" applyAlignment="0" applyProtection="0"/>
    <xf numFmtId="0" fontId="20" fillId="27"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5" borderId="0" applyNumberFormat="0" applyBorder="0" applyAlignment="0" applyProtection="0"/>
    <xf numFmtId="0" fontId="20" fillId="16" borderId="0" applyNumberFormat="0" applyBorder="0" applyAlignment="0" applyProtection="0"/>
    <xf numFmtId="0" fontId="20" fillId="38" borderId="0" applyNumberFormat="0" applyBorder="0" applyAlignment="0" applyProtection="0"/>
    <xf numFmtId="0" fontId="20" fillId="75" borderId="0" applyNumberFormat="0" applyBorder="0" applyAlignment="0" applyProtection="0"/>
    <xf numFmtId="0" fontId="20" fillId="75" borderId="0" applyNumberFormat="0" applyBorder="0" applyAlignment="0" applyProtection="0"/>
    <xf numFmtId="0" fontId="20" fillId="27" borderId="0" applyNumberFormat="0" applyBorder="0" applyAlignment="0" applyProtection="0"/>
    <xf numFmtId="0" fontId="20" fillId="46" borderId="0" applyNumberFormat="0" applyBorder="0" applyAlignment="0" applyProtection="0"/>
    <xf numFmtId="0" fontId="21" fillId="18" borderId="0" applyNumberFormat="0" applyBorder="0" applyAlignment="0" applyProtection="0"/>
    <xf numFmtId="0" fontId="21" fillId="16" borderId="0" applyNumberFormat="0" applyBorder="0" applyAlignment="0" applyProtection="0"/>
    <xf numFmtId="0" fontId="22" fillId="73" borderId="11" applyNumberFormat="0" applyAlignment="0" applyProtection="0"/>
    <xf numFmtId="0" fontId="22" fillId="73" borderId="11" applyNumberFormat="0" applyAlignment="0" applyProtection="0"/>
    <xf numFmtId="0" fontId="23" fillId="48" borderId="12"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9"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11" borderId="0" applyNumberFormat="0" applyAlignment="0">
      <alignment horizontal="right"/>
    </xf>
    <xf numFmtId="0" fontId="6" fillId="11" borderId="0" applyNumberFormat="0" applyAlignment="0">
      <alignment horizontal="right"/>
    </xf>
    <xf numFmtId="0" fontId="26" fillId="0" borderId="0" applyNumberFormat="0" applyFill="0" applyBorder="0" applyAlignment="0" applyProtection="0"/>
    <xf numFmtId="0" fontId="27" fillId="17" borderId="0" applyNumberFormat="0" applyBorder="0" applyAlignment="0" applyProtection="0"/>
    <xf numFmtId="0" fontId="74" fillId="0" borderId="58" applyNumberFormat="0" applyFill="0" applyAlignment="0" applyProtection="0"/>
    <xf numFmtId="0" fontId="74" fillId="0" borderId="58" applyNumberFormat="0" applyFill="0" applyAlignment="0" applyProtection="0"/>
    <xf numFmtId="0" fontId="75" fillId="0" borderId="59" applyNumberFormat="0" applyFill="0" applyAlignment="0" applyProtection="0"/>
    <xf numFmtId="0" fontId="75" fillId="0" borderId="59" applyNumberFormat="0" applyFill="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37" fillId="20" borderId="11" applyNumberFormat="0" applyAlignment="0" applyProtection="0"/>
    <xf numFmtId="0" fontId="38" fillId="0" borderId="17" applyNumberFormat="0" applyFill="0" applyAlignment="0" applyProtection="0"/>
    <xf numFmtId="0" fontId="39" fillId="53" borderId="0" applyNumberFormat="0" applyBorder="0" applyAlignment="0" applyProtection="0"/>
    <xf numFmtId="0" fontId="18" fillId="0" borderId="0"/>
    <xf numFmtId="0" fontId="6" fillId="0" borderId="0"/>
    <xf numFmtId="0" fontId="6" fillId="0" borderId="0"/>
    <xf numFmtId="0" fontId="6" fillId="0" borderId="0">
      <alignment readingOrder="1"/>
    </xf>
    <xf numFmtId="0" fontId="76" fillId="0" borderId="0"/>
    <xf numFmtId="0" fontId="77" fillId="0" borderId="0"/>
    <xf numFmtId="0" fontId="77" fillId="0" borderId="0"/>
    <xf numFmtId="0" fontId="77" fillId="0" borderId="0"/>
    <xf numFmtId="0" fontId="6" fillId="0" borderId="0"/>
    <xf numFmtId="0" fontId="6" fillId="0" borderId="0"/>
    <xf numFmtId="0" fontId="6" fillId="0" borderId="0"/>
    <xf numFmtId="0" fontId="77" fillId="0" borderId="0"/>
    <xf numFmtId="0" fontId="77" fillId="0" borderId="0"/>
    <xf numFmtId="0" fontId="77" fillId="0" borderId="0"/>
    <xf numFmtId="0" fontId="6"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6" fillId="0" borderId="0"/>
    <xf numFmtId="0" fontId="18" fillId="0" borderId="0"/>
    <xf numFmtId="0" fontId="18" fillId="0" borderId="0"/>
    <xf numFmtId="0" fontId="6" fillId="0" borderId="0"/>
    <xf numFmtId="0" fontId="18" fillId="0" borderId="0"/>
    <xf numFmtId="0" fontId="6" fillId="0" borderId="0">
      <alignment readingOrder="1"/>
    </xf>
    <xf numFmtId="0" fontId="6" fillId="54" borderId="18" applyNumberFormat="0" applyFont="0" applyAlignment="0" applyProtection="0"/>
    <xf numFmtId="0" fontId="41" fillId="73" borderId="19" applyNumberFormat="0" applyAlignment="0" applyProtection="0"/>
    <xf numFmtId="0" fontId="41" fillId="73" borderId="19"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7" fontId="6" fillId="0" borderId="0" applyFill="0" applyBorder="0" applyAlignment="0" applyProtection="0">
      <alignment wrapText="1"/>
    </xf>
    <xf numFmtId="0" fontId="78" fillId="0" borderId="0" applyNumberFormat="0" applyFill="0" applyBorder="0" applyAlignment="0" applyProtection="0"/>
    <xf numFmtId="0" fontId="78" fillId="0" borderId="0" applyNumberFormat="0" applyFill="0" applyBorder="0" applyAlignment="0" applyProtection="0"/>
    <xf numFmtId="0" fontId="45" fillId="0" borderId="60" applyNumberFormat="0" applyFill="0" applyAlignment="0" applyProtection="0"/>
    <xf numFmtId="0" fontId="41" fillId="0" borderId="60" applyNumberFormat="0" applyFill="0" applyAlignment="0" applyProtection="0"/>
    <xf numFmtId="0" fontId="46" fillId="0" borderId="0" applyNumberFormat="0" applyFill="0" applyBorder="0" applyAlignment="0" applyProtection="0"/>
    <xf numFmtId="0" fontId="79" fillId="0" borderId="0">
      <alignment vertical="center"/>
    </xf>
    <xf numFmtId="0" fontId="18" fillId="83" borderId="0" applyNumberFormat="0" applyBorder="0" applyAlignment="0" applyProtection="0"/>
    <xf numFmtId="0" fontId="18" fillId="83" borderId="0" applyNumberFormat="0" applyBorder="0" applyAlignment="0" applyProtection="0"/>
    <xf numFmtId="0" fontId="18" fillId="83" borderId="0" applyNumberFormat="0" applyBorder="0" applyAlignment="0" applyProtection="0"/>
    <xf numFmtId="0" fontId="18" fillId="83" borderId="0" applyNumberFormat="0" applyBorder="0" applyAlignment="0" applyProtection="0"/>
    <xf numFmtId="0" fontId="18" fillId="85" borderId="0" applyNumberFormat="0" applyBorder="0" applyAlignment="0" applyProtection="0"/>
    <xf numFmtId="0" fontId="18" fillId="85" borderId="0" applyNumberFormat="0" applyBorder="0" applyAlignment="0" applyProtection="0"/>
    <xf numFmtId="0" fontId="18" fillId="85" borderId="0" applyNumberFormat="0" applyBorder="0" applyAlignment="0" applyProtection="0"/>
    <xf numFmtId="0" fontId="18" fillId="85" borderId="0" applyNumberFormat="0" applyBorder="0" applyAlignment="0" applyProtection="0"/>
    <xf numFmtId="0" fontId="18" fillId="85" borderId="0" applyNumberFormat="0" applyBorder="0" applyAlignment="0" applyProtection="0"/>
    <xf numFmtId="0" fontId="18" fillId="87" borderId="0" applyNumberFormat="0" applyBorder="0" applyAlignment="0" applyProtection="0"/>
    <xf numFmtId="0" fontId="18" fillId="87" borderId="0" applyNumberFormat="0" applyBorder="0" applyAlignment="0" applyProtection="0"/>
    <xf numFmtId="0" fontId="18" fillId="87" borderId="0" applyNumberFormat="0" applyBorder="0" applyAlignment="0" applyProtection="0"/>
    <xf numFmtId="0" fontId="18" fillId="87" borderId="0" applyNumberFormat="0" applyBorder="0" applyAlignment="0" applyProtection="0"/>
    <xf numFmtId="0" fontId="18" fillId="89" borderId="0" applyNumberFormat="0" applyBorder="0" applyAlignment="0" applyProtection="0"/>
    <xf numFmtId="0" fontId="18" fillId="89" borderId="0" applyNumberFormat="0" applyBorder="0" applyAlignment="0" applyProtection="0"/>
    <xf numFmtId="0" fontId="18" fillId="89" borderId="0" applyNumberFormat="0" applyBorder="0" applyAlignment="0" applyProtection="0"/>
    <xf numFmtId="0" fontId="18" fillId="89" borderId="0" applyNumberFormat="0" applyBorder="0" applyAlignment="0" applyProtection="0"/>
    <xf numFmtId="0" fontId="18" fillId="91" borderId="0" applyNumberFormat="0" applyBorder="0" applyAlignment="0" applyProtection="0"/>
    <xf numFmtId="0" fontId="18" fillId="91" borderId="0" applyNumberFormat="0" applyBorder="0" applyAlignment="0" applyProtection="0"/>
    <xf numFmtId="0" fontId="18" fillId="91" borderId="0" applyNumberFormat="0" applyBorder="0" applyAlignment="0" applyProtection="0"/>
    <xf numFmtId="0" fontId="18" fillId="91" borderId="0" applyNumberFormat="0" applyBorder="0" applyAlignment="0" applyProtection="0"/>
    <xf numFmtId="0" fontId="18" fillId="91" borderId="0" applyNumberFormat="0" applyBorder="0" applyAlignment="0" applyProtection="0"/>
    <xf numFmtId="0" fontId="18" fillId="93" borderId="0" applyNumberFormat="0" applyBorder="0" applyAlignment="0" applyProtection="0"/>
    <xf numFmtId="0" fontId="18" fillId="93" borderId="0" applyNumberFormat="0" applyBorder="0" applyAlignment="0" applyProtection="0"/>
    <xf numFmtId="0" fontId="18" fillId="93" borderId="0" applyNumberFormat="0" applyBorder="0" applyAlignment="0" applyProtection="0"/>
    <xf numFmtId="0" fontId="18" fillId="93" borderId="0" applyNumberFormat="0" applyBorder="0" applyAlignment="0" applyProtection="0"/>
    <xf numFmtId="0" fontId="18" fillId="93" borderId="0" applyNumberFormat="0" applyBorder="0" applyAlignment="0" applyProtection="0"/>
    <xf numFmtId="0" fontId="18" fillId="84" borderId="0" applyNumberFormat="0" applyBorder="0" applyAlignment="0" applyProtection="0"/>
    <xf numFmtId="0" fontId="18" fillId="84" borderId="0" applyNumberFormat="0" applyBorder="0" applyAlignment="0" applyProtection="0"/>
    <xf numFmtId="0" fontId="18" fillId="84" borderId="0" applyNumberFormat="0" applyBorder="0" applyAlignment="0" applyProtection="0"/>
    <xf numFmtId="0" fontId="18" fillId="84" borderId="0" applyNumberFormat="0" applyBorder="0" applyAlignment="0" applyProtection="0"/>
    <xf numFmtId="0" fontId="18" fillId="86" borderId="0" applyNumberFormat="0" applyBorder="0" applyAlignment="0" applyProtection="0"/>
    <xf numFmtId="0" fontId="18" fillId="86" borderId="0" applyNumberFormat="0" applyBorder="0" applyAlignment="0" applyProtection="0"/>
    <xf numFmtId="0" fontId="18" fillId="86" borderId="0" applyNumberFormat="0" applyBorder="0" applyAlignment="0" applyProtection="0"/>
    <xf numFmtId="0" fontId="18" fillId="86" borderId="0" applyNumberFormat="0" applyBorder="0" applyAlignment="0" applyProtection="0"/>
    <xf numFmtId="0" fontId="18" fillId="88" borderId="0" applyNumberFormat="0" applyBorder="0" applyAlignment="0" applyProtection="0"/>
    <xf numFmtId="0" fontId="18" fillId="88" borderId="0" applyNumberFormat="0" applyBorder="0" applyAlignment="0" applyProtection="0"/>
    <xf numFmtId="0" fontId="18" fillId="88" borderId="0" applyNumberFormat="0" applyBorder="0" applyAlignment="0" applyProtection="0"/>
    <xf numFmtId="0" fontId="18" fillId="88" borderId="0" applyNumberFormat="0" applyBorder="0" applyAlignment="0" applyProtection="0"/>
    <xf numFmtId="0" fontId="18" fillId="90" borderId="0" applyNumberFormat="0" applyBorder="0" applyAlignment="0" applyProtection="0"/>
    <xf numFmtId="0" fontId="18" fillId="90" borderId="0" applyNumberFormat="0" applyBorder="0" applyAlignment="0" applyProtection="0"/>
    <xf numFmtId="0" fontId="18" fillId="90" borderId="0" applyNumberFormat="0" applyBorder="0" applyAlignment="0" applyProtection="0"/>
    <xf numFmtId="0" fontId="18" fillId="90" borderId="0" applyNumberFormat="0" applyBorder="0" applyAlignment="0" applyProtection="0"/>
    <xf numFmtId="0" fontId="18" fillId="92" borderId="0" applyNumberFormat="0" applyBorder="0" applyAlignment="0" applyProtection="0"/>
    <xf numFmtId="0" fontId="18" fillId="92" borderId="0" applyNumberFormat="0" applyBorder="0" applyAlignment="0" applyProtection="0"/>
    <xf numFmtId="0" fontId="18" fillId="92" borderId="0" applyNumberFormat="0" applyBorder="0" applyAlignment="0" applyProtection="0"/>
    <xf numFmtId="0" fontId="18" fillId="92" borderId="0" applyNumberFormat="0" applyBorder="0" applyAlignment="0" applyProtection="0"/>
    <xf numFmtId="0" fontId="18" fillId="92" borderId="0" applyNumberFormat="0" applyBorder="0" applyAlignment="0" applyProtection="0"/>
    <xf numFmtId="0" fontId="18" fillId="94" borderId="0" applyNumberFormat="0" applyBorder="0" applyAlignment="0" applyProtection="0"/>
    <xf numFmtId="0" fontId="18" fillId="94" borderId="0" applyNumberFormat="0" applyBorder="0" applyAlignment="0" applyProtection="0"/>
    <xf numFmtId="0" fontId="18" fillId="94" borderId="0" applyNumberFormat="0" applyBorder="0" applyAlignment="0" applyProtection="0"/>
    <xf numFmtId="0" fontId="18" fillId="9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11" borderId="0" applyNumberFormat="0" applyAlignment="0">
      <alignment horizontal="right"/>
    </xf>
    <xf numFmtId="0" fontId="6" fillId="10" borderId="0" applyNumberFormat="0" applyAlignment="0"/>
    <xf numFmtId="0" fontId="6" fillId="10" borderId="0" applyNumberFormat="0" applyAlignment="0"/>
    <xf numFmtId="0" fontId="6" fillId="10" borderId="0" applyNumberFormat="0" applyAlignment="0"/>
    <xf numFmtId="0" fontId="6" fillId="10" borderId="0" applyNumberFormat="0" applyAlignment="0"/>
    <xf numFmtId="0" fontId="31" fillId="0" borderId="0" applyNumberFormat="0" applyFill="0" applyBorder="0" applyAlignment="0" applyProtection="0">
      <alignment vertical="top"/>
      <protection locked="0"/>
    </xf>
    <xf numFmtId="0" fontId="19" fillId="0" borderId="0"/>
    <xf numFmtId="0" fontId="19" fillId="0" borderId="0"/>
    <xf numFmtId="0" fontId="18" fillId="0" borderId="0"/>
    <xf numFmtId="0" fontId="18" fillId="0" borderId="0"/>
    <xf numFmtId="0" fontId="18" fillId="0" borderId="0"/>
    <xf numFmtId="0" fontId="18" fillId="0" borderId="0"/>
    <xf numFmtId="0" fontId="6" fillId="0" borderId="0">
      <alignment readingOrder="1"/>
    </xf>
    <xf numFmtId="0" fontId="18" fillId="0" borderId="0"/>
    <xf numFmtId="0" fontId="6" fillId="0" borderId="0"/>
    <xf numFmtId="0" fontId="6" fillId="0" borderId="0"/>
    <xf numFmtId="0" fontId="18" fillId="0" borderId="0"/>
    <xf numFmtId="0" fontId="19" fillId="0" borderId="0"/>
    <xf numFmtId="0" fontId="19" fillId="0" borderId="0"/>
    <xf numFmtId="0" fontId="19" fillId="0" borderId="0"/>
    <xf numFmtId="0" fontId="18" fillId="0" borderId="0"/>
    <xf numFmtId="0" fontId="18" fillId="0" borderId="0"/>
    <xf numFmtId="0" fontId="6" fillId="0" borderId="0"/>
    <xf numFmtId="0" fontId="6" fillId="0" borderId="0"/>
    <xf numFmtId="0" fontId="19" fillId="0" borderId="0"/>
    <xf numFmtId="0" fontId="18" fillId="0" borderId="0"/>
    <xf numFmtId="0" fontId="18"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1" fillId="0" borderId="0"/>
    <xf numFmtId="0" fontId="18" fillId="0" borderId="0"/>
    <xf numFmtId="0" fontId="18" fillId="0" borderId="0"/>
    <xf numFmtId="0" fontId="18" fillId="0" borderId="0"/>
    <xf numFmtId="0" fontId="40" fillId="0" borderId="0"/>
    <xf numFmtId="0" fontId="19" fillId="0" borderId="0"/>
    <xf numFmtId="0" fontId="19" fillId="0" borderId="0"/>
    <xf numFmtId="0" fontId="19" fillId="0" borderId="0"/>
    <xf numFmtId="0" fontId="19" fillId="0" borderId="0"/>
    <xf numFmtId="0" fontId="18" fillId="82" borderId="70" applyNumberFormat="0" applyFont="0" applyAlignment="0" applyProtection="0"/>
    <xf numFmtId="0" fontId="18" fillId="82" borderId="70" applyNumberFormat="0" applyFont="0" applyAlignment="0" applyProtection="0"/>
    <xf numFmtId="0" fontId="18" fillId="82" borderId="70" applyNumberFormat="0" applyFont="0" applyAlignment="0" applyProtection="0"/>
    <xf numFmtId="0" fontId="18" fillId="82" borderId="70" applyNumberFormat="0" applyFont="0" applyAlignment="0" applyProtection="0"/>
    <xf numFmtId="0" fontId="18" fillId="82" borderId="70" applyNumberFormat="0" applyFont="0" applyAlignment="0" applyProtection="0"/>
    <xf numFmtId="0" fontId="18" fillId="82" borderId="70"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cellStyleXfs>
  <cellXfs count="563">
    <xf numFmtId="0" fontId="0" fillId="0" borderId="0" xfId="0"/>
    <xf numFmtId="0" fontId="5" fillId="0" borderId="0" xfId="2" applyFont="1"/>
    <xf numFmtId="0" fontId="7" fillId="0" borderId="0" xfId="3" applyFont="1"/>
    <xf numFmtId="0" fontId="6" fillId="0" borderId="0" xfId="2" applyFont="1"/>
    <xf numFmtId="5" fontId="6" fillId="0" borderId="0" xfId="2" applyNumberFormat="1" applyFont="1"/>
    <xf numFmtId="164" fontId="6" fillId="0" borderId="0" xfId="2" applyNumberFormat="1" applyFont="1"/>
    <xf numFmtId="164" fontId="7" fillId="0" borderId="0" xfId="2" applyNumberFormat="1" applyFont="1"/>
    <xf numFmtId="0" fontId="6" fillId="0" borderId="0" xfId="2" applyFont="1" applyFill="1"/>
    <xf numFmtId="165" fontId="6" fillId="0" borderId="0" xfId="2" applyNumberFormat="1" applyFont="1"/>
    <xf numFmtId="0" fontId="0" fillId="0" borderId="0" xfId="0">
      <alignment readingOrder="1"/>
    </xf>
    <xf numFmtId="0" fontId="5" fillId="0" borderId="0" xfId="2" applyFont="1" applyAlignment="1">
      <alignment horizontal="left"/>
    </xf>
    <xf numFmtId="166" fontId="0" fillId="0" borderId="0" xfId="0" applyNumberFormat="1" applyAlignment="1">
      <alignment horizontal="center" readingOrder="1"/>
    </xf>
    <xf numFmtId="167" fontId="0" fillId="0" borderId="0" xfId="0" applyNumberFormat="1" applyAlignment="1">
      <alignment horizontal="center" readingOrder="1"/>
    </xf>
    <xf numFmtId="0" fontId="6" fillId="0" borderId="0" xfId="2" applyFont="1" applyAlignment="1">
      <alignment horizontal="center"/>
    </xf>
    <xf numFmtId="0" fontId="8" fillId="2" borderId="1" xfId="2" applyFont="1" applyFill="1" applyBorder="1" applyAlignment="1">
      <alignment horizontal="centerContinuous"/>
    </xf>
    <xf numFmtId="0" fontId="9" fillId="2" borderId="1" xfId="2" applyFont="1" applyFill="1" applyBorder="1" applyAlignment="1">
      <alignment horizontal="centerContinuous"/>
    </xf>
    <xf numFmtId="0" fontId="9" fillId="2" borderId="2" xfId="2" applyFont="1" applyFill="1" applyBorder="1" applyAlignment="1">
      <alignment horizontal="centerContinuous"/>
    </xf>
    <xf numFmtId="0" fontId="10" fillId="2" borderId="3" xfId="2" applyFont="1" applyFill="1" applyBorder="1" applyAlignment="1">
      <alignment horizontal="centerContinuous"/>
    </xf>
    <xf numFmtId="0" fontId="8" fillId="0" borderId="0" xfId="2" applyFont="1" applyFill="1" applyBorder="1" applyAlignment="1">
      <alignment horizontal="centerContinuous"/>
    </xf>
    <xf numFmtId="0" fontId="9" fillId="0" borderId="0" xfId="2" applyFont="1" applyFill="1" applyBorder="1" applyAlignment="1">
      <alignment horizontal="centerContinuous"/>
    </xf>
    <xf numFmtId="0" fontId="10" fillId="0" borderId="0" xfId="2" applyFont="1" applyFill="1" applyBorder="1" applyAlignment="1">
      <alignment horizontal="centerContinuous"/>
    </xf>
    <xf numFmtId="0" fontId="11" fillId="0" borderId="0" xfId="2" applyFont="1" applyFill="1" applyBorder="1" applyAlignment="1">
      <alignment horizontal="centerContinuous"/>
    </xf>
    <xf numFmtId="0" fontId="6" fillId="0" borderId="0" xfId="2" applyFont="1" applyFill="1" applyBorder="1"/>
    <xf numFmtId="0" fontId="11" fillId="5" borderId="5" xfId="2" applyFont="1" applyFill="1" applyBorder="1" applyAlignment="1">
      <alignment horizontal="center" wrapText="1"/>
    </xf>
    <xf numFmtId="0" fontId="11" fillId="5" borderId="5" xfId="0" applyFont="1" applyFill="1" applyBorder="1" applyAlignment="1">
      <alignment horizontal="center" wrapText="1"/>
    </xf>
    <xf numFmtId="0" fontId="11" fillId="0" borderId="0" xfId="2" applyFont="1" applyFill="1" applyBorder="1" applyAlignment="1">
      <alignment horizontal="center" wrapText="1"/>
    </xf>
    <xf numFmtId="0" fontId="6" fillId="6" borderId="0" xfId="4" applyFont="1" applyFill="1" applyBorder="1" applyAlignment="1">
      <alignment wrapText="1"/>
    </xf>
    <xf numFmtId="0" fontId="0" fillId="0" borderId="0" xfId="0" applyFill="1" applyBorder="1">
      <alignment readingOrder="1"/>
    </xf>
    <xf numFmtId="164" fontId="10" fillId="0" borderId="0" xfId="0" applyNumberFormat="1" applyFont="1" applyFill="1" applyBorder="1">
      <alignment readingOrder="1"/>
    </xf>
    <xf numFmtId="2" fontId="0" fillId="0" borderId="0" xfId="0" applyNumberFormat="1" applyFill="1" applyBorder="1">
      <alignment readingOrder="1"/>
    </xf>
    <xf numFmtId="0" fontId="13" fillId="0" borderId="0" xfId="0" applyFont="1" applyFill="1" applyBorder="1" applyAlignment="1">
      <alignment horizontal="center" wrapText="1" readingOrder="1"/>
    </xf>
    <xf numFmtId="0" fontId="6" fillId="7" borderId="0" xfId="4" applyFont="1" applyFill="1" applyBorder="1" applyAlignment="1">
      <alignment wrapText="1"/>
    </xf>
    <xf numFmtId="0" fontId="6" fillId="8" borderId="0" xfId="4" applyFont="1" applyFill="1" applyBorder="1" applyAlignment="1">
      <alignment wrapText="1"/>
    </xf>
    <xf numFmtId="1" fontId="6" fillId="8" borderId="0" xfId="4" applyNumberFormat="1" applyFont="1" applyFill="1" applyBorder="1" applyAlignment="1">
      <alignment wrapText="1"/>
    </xf>
    <xf numFmtId="168" fontId="6" fillId="8" borderId="0" xfId="1" applyNumberFormat="1" applyFont="1" applyFill="1" applyBorder="1" applyAlignment="1">
      <alignment wrapText="1"/>
    </xf>
    <xf numFmtId="2" fontId="6" fillId="8" borderId="0" xfId="4" applyNumberFormat="1" applyFont="1" applyFill="1" applyBorder="1" applyAlignment="1">
      <alignment wrapText="1"/>
    </xf>
    <xf numFmtId="0" fontId="13" fillId="9" borderId="6" xfId="0" applyFont="1" applyFill="1" applyBorder="1" applyAlignment="1">
      <alignment horizontal="left" readingOrder="1"/>
    </xf>
    <xf numFmtId="0" fontId="13" fillId="9" borderId="7" xfId="0" applyFont="1" applyFill="1" applyBorder="1" applyAlignment="1">
      <alignment horizontal="center" wrapText="1" readingOrder="1"/>
    </xf>
    <xf numFmtId="164" fontId="0" fillId="0" borderId="0" xfId="0" applyNumberFormat="1">
      <alignment readingOrder="1"/>
    </xf>
    <xf numFmtId="0" fontId="11" fillId="10" borderId="5" xfId="0" applyFont="1" applyFill="1" applyBorder="1" applyAlignment="1">
      <alignment horizontal="center" wrapText="1" readingOrder="1"/>
    </xf>
    <xf numFmtId="0" fontId="11" fillId="10" borderId="7" xfId="0" applyFont="1" applyFill="1" applyBorder="1" applyAlignment="1">
      <alignment horizontal="center" wrapText="1" readingOrder="1"/>
    </xf>
    <xf numFmtId="164" fontId="11" fillId="10" borderId="7" xfId="0" applyNumberFormat="1" applyFont="1" applyFill="1" applyBorder="1" applyAlignment="1">
      <alignment horizontal="center" wrapText="1" readingOrder="1"/>
    </xf>
    <xf numFmtId="164" fontId="10" fillId="0" borderId="0" xfId="0" applyNumberFormat="1" applyFont="1">
      <alignment readingOrder="1"/>
    </xf>
    <xf numFmtId="164" fontId="11" fillId="11" borderId="8" xfId="0" applyNumberFormat="1" applyFont="1" applyFill="1" applyBorder="1" applyAlignment="1">
      <alignment horizontal="centerContinuous" wrapText="1" readingOrder="1"/>
    </xf>
    <xf numFmtId="1" fontId="0" fillId="0" borderId="0" xfId="0" applyNumberFormat="1">
      <alignment readingOrder="1"/>
    </xf>
    <xf numFmtId="0" fontId="11" fillId="11" borderId="5" xfId="0" applyFont="1" applyFill="1" applyBorder="1" applyAlignment="1">
      <alignment horizontal="center" wrapText="1" readingOrder="1"/>
    </xf>
    <xf numFmtId="0" fontId="11" fillId="11" borderId="7" xfId="0" applyFont="1" applyFill="1" applyBorder="1" applyAlignment="1">
      <alignment horizontal="center" wrapText="1" readingOrder="1"/>
    </xf>
    <xf numFmtId="164" fontId="11" fillId="11" borderId="7" xfId="0" applyNumberFormat="1" applyFont="1" applyFill="1" applyBorder="1" applyAlignment="1">
      <alignment horizontal="center" wrapText="1" readingOrder="1"/>
    </xf>
    <xf numFmtId="164" fontId="11" fillId="11" borderId="9" xfId="0" applyNumberFormat="1" applyFont="1" applyFill="1" applyBorder="1" applyAlignment="1">
      <alignment horizontal="centerContinuous" wrapText="1" readingOrder="1"/>
    </xf>
    <xf numFmtId="164" fontId="11" fillId="11" borderId="10" xfId="0" applyNumberFormat="1" applyFont="1" applyFill="1" applyBorder="1" applyAlignment="1">
      <alignment horizontal="centerContinuous" wrapText="1" readingOrder="1"/>
    </xf>
    <xf numFmtId="164" fontId="0" fillId="0" borderId="0" xfId="0" applyNumberFormat="1"/>
    <xf numFmtId="0" fontId="0" fillId="12" borderId="0" xfId="0" applyFill="1"/>
    <xf numFmtId="0" fontId="12" fillId="0" borderId="0" xfId="0" applyFont="1">
      <alignment readingOrder="1"/>
    </xf>
    <xf numFmtId="49" fontId="0" fillId="0" borderId="0" xfId="0" applyNumberFormat="1">
      <alignment readingOrder="1"/>
    </xf>
    <xf numFmtId="0" fontId="0" fillId="0" borderId="0" xfId="0" applyAlignment="1">
      <alignment horizontal="center" readingOrder="1"/>
    </xf>
    <xf numFmtId="0" fontId="0" fillId="0" borderId="0" xfId="0" applyFill="1" applyAlignment="1">
      <alignment horizontal="center" readingOrder="1"/>
    </xf>
    <xf numFmtId="0" fontId="0" fillId="0" borderId="0" xfId="0" applyFill="1">
      <alignment readingOrder="1"/>
    </xf>
    <xf numFmtId="0" fontId="0" fillId="0" borderId="0" xfId="0" applyFill="1" applyAlignment="1">
      <alignment vertical="center" wrapText="1" readingOrder="1"/>
    </xf>
    <xf numFmtId="9" fontId="12" fillId="13" borderId="0" xfId="0" applyNumberFormat="1" applyFont="1" applyFill="1">
      <alignment readingOrder="1"/>
    </xf>
    <xf numFmtId="0" fontId="0" fillId="13" borderId="0" xfId="0" applyFill="1">
      <alignment readingOrder="1"/>
    </xf>
    <xf numFmtId="1" fontId="0" fillId="13" borderId="0" xfId="0" applyNumberFormat="1" applyFill="1">
      <alignment readingOrder="1"/>
    </xf>
    <xf numFmtId="0" fontId="0" fillId="14" borderId="0" xfId="0" applyFill="1" applyAlignment="1">
      <alignment horizontal="center" wrapText="1" readingOrder="1"/>
    </xf>
    <xf numFmtId="164" fontId="0" fillId="0" borderId="0" xfId="0" applyNumberFormat="1" applyAlignment="1">
      <alignment horizontal="center" readingOrder="1"/>
    </xf>
    <xf numFmtId="1" fontId="0" fillId="0" borderId="0" xfId="0" applyNumberFormat="1" applyFill="1">
      <alignment readingOrder="1"/>
    </xf>
    <xf numFmtId="170" fontId="0" fillId="0" borderId="0" xfId="0" applyNumberFormat="1">
      <alignment readingOrder="1"/>
    </xf>
    <xf numFmtId="170" fontId="0" fillId="0" borderId="0" xfId="0" applyNumberFormat="1" applyFill="1">
      <alignment readingOrder="1"/>
    </xf>
    <xf numFmtId="164" fontId="6" fillId="6" borderId="0" xfId="4" applyNumberFormat="1" applyFont="1" applyFill="1" applyBorder="1" applyAlignment="1">
      <alignment wrapText="1"/>
    </xf>
    <xf numFmtId="0" fontId="47" fillId="6" borderId="2" xfId="0" applyFont="1" applyFill="1" applyBorder="1"/>
    <xf numFmtId="0" fontId="47" fillId="56" borderId="5" xfId="0" applyFont="1" applyFill="1" applyBorder="1"/>
    <xf numFmtId="9" fontId="6" fillId="57" borderId="0" xfId="9" applyFill="1" applyAlignment="1">
      <alignment horizontal="center" readingOrder="1"/>
    </xf>
    <xf numFmtId="0" fontId="47" fillId="58" borderId="5" xfId="0" applyFont="1" applyFill="1" applyBorder="1"/>
    <xf numFmtId="9" fontId="47" fillId="56" borderId="5" xfId="9" applyFont="1" applyFill="1" applyBorder="1"/>
    <xf numFmtId="0" fontId="47" fillId="56" borderId="2" xfId="0" applyFont="1" applyFill="1" applyBorder="1"/>
    <xf numFmtId="0" fontId="47" fillId="56" borderId="4" xfId="0" applyFont="1" applyFill="1" applyBorder="1"/>
    <xf numFmtId="0" fontId="47" fillId="56" borderId="3" xfId="0" applyFont="1" applyFill="1" applyBorder="1"/>
    <xf numFmtId="0" fontId="47" fillId="56" borderId="21" xfId="0" applyFont="1" applyFill="1" applyBorder="1"/>
    <xf numFmtId="0" fontId="47" fillId="56" borderId="22" xfId="0" applyFont="1" applyFill="1" applyBorder="1"/>
    <xf numFmtId="1" fontId="0" fillId="59" borderId="0" xfId="0" applyNumberFormat="1" applyFill="1" applyAlignment="1">
      <alignment horizontal="center" readingOrder="1"/>
    </xf>
    <xf numFmtId="164" fontId="0" fillId="58" borderId="0" xfId="0" applyNumberFormat="1" applyFill="1" applyAlignment="1">
      <alignment horizontal="center" readingOrder="1"/>
    </xf>
    <xf numFmtId="0" fontId="47" fillId="56" borderId="1" xfId="0" applyFont="1" applyFill="1" applyBorder="1"/>
    <xf numFmtId="0" fontId="47" fillId="56" borderId="23" xfId="0" applyFont="1" applyFill="1" applyBorder="1"/>
    <xf numFmtId="0" fontId="47" fillId="57" borderId="5" xfId="0" applyFont="1" applyFill="1" applyBorder="1"/>
    <xf numFmtId="164" fontId="47" fillId="57" borderId="5" xfId="0" applyNumberFormat="1" applyFont="1" applyFill="1" applyBorder="1"/>
    <xf numFmtId="0" fontId="47" fillId="56" borderId="6" xfId="0" applyFont="1" applyFill="1" applyBorder="1"/>
    <xf numFmtId="0" fontId="47" fillId="56" borderId="14" xfId="0" applyFont="1" applyFill="1" applyBorder="1"/>
    <xf numFmtId="0" fontId="47" fillId="56" borderId="7" xfId="0" applyFont="1" applyFill="1" applyBorder="1"/>
    <xf numFmtId="0" fontId="47" fillId="6" borderId="5" xfId="0" applyFont="1" applyFill="1" applyBorder="1"/>
    <xf numFmtId="0" fontId="48" fillId="0" borderId="0" xfId="0" applyFont="1"/>
    <xf numFmtId="164" fontId="6" fillId="8" borderId="0" xfId="4" applyNumberFormat="1" applyFont="1" applyFill="1" applyBorder="1" applyAlignment="1">
      <alignment wrapText="1"/>
    </xf>
    <xf numFmtId="0" fontId="0" fillId="61" borderId="0" xfId="0" applyFill="1"/>
    <xf numFmtId="0" fontId="51" fillId="61" borderId="0" xfId="0" applyFont="1" applyFill="1"/>
    <xf numFmtId="0" fontId="53" fillId="62" borderId="44" xfId="0" applyFont="1" applyFill="1" applyBorder="1" applyAlignment="1">
      <alignment horizontal="center" vertical="center" wrapText="1"/>
    </xf>
    <xf numFmtId="0" fontId="53" fillId="62" borderId="45" xfId="0" applyFont="1" applyFill="1" applyBorder="1" applyAlignment="1">
      <alignment horizontal="center" vertical="center" wrapText="1"/>
    </xf>
    <xf numFmtId="0" fontId="0" fillId="0" borderId="0" xfId="0" applyAlignment="1">
      <alignment horizontal="right"/>
    </xf>
    <xf numFmtId="0" fontId="54" fillId="0" borderId="38" xfId="0" applyFont="1" applyBorder="1" applyAlignment="1">
      <alignment wrapText="1"/>
    </xf>
    <xf numFmtId="2" fontId="55" fillId="0" borderId="38" xfId="0" applyNumberFormat="1" applyFont="1" applyFill="1" applyBorder="1" applyAlignment="1">
      <alignment horizontal="center" vertical="center" wrapText="1"/>
    </xf>
    <xf numFmtId="2" fontId="55" fillId="0" borderId="39" xfId="0" applyNumberFormat="1" applyFont="1" applyFill="1" applyBorder="1" applyAlignment="1">
      <alignment horizontal="center" vertical="center" wrapText="1"/>
    </xf>
    <xf numFmtId="0" fontId="0" fillId="6" borderId="5" xfId="0" applyFill="1" applyBorder="1"/>
    <xf numFmtId="0" fontId="0" fillId="6" borderId="5" xfId="0" applyFill="1" applyBorder="1" applyAlignment="1">
      <alignment horizontal="center"/>
    </xf>
    <xf numFmtId="2" fontId="0" fillId="12" borderId="5" xfId="0" applyNumberFormat="1" applyFill="1" applyBorder="1"/>
    <xf numFmtId="0" fontId="54" fillId="0" borderId="46" xfId="0" applyFont="1" applyBorder="1" applyAlignment="1">
      <alignment wrapText="1"/>
    </xf>
    <xf numFmtId="0" fontId="0" fillId="6" borderId="2" xfId="0" applyFill="1" applyBorder="1"/>
    <xf numFmtId="0" fontId="0" fillId="6" borderId="2" xfId="0" applyFill="1" applyBorder="1" applyAlignment="1">
      <alignment horizontal="center"/>
    </xf>
    <xf numFmtId="2" fontId="0" fillId="12" borderId="2" xfId="0" applyNumberFormat="1" applyFill="1" applyBorder="1"/>
    <xf numFmtId="0" fontId="0" fillId="64" borderId="27" xfId="0" applyFill="1" applyBorder="1"/>
    <xf numFmtId="0" fontId="0" fillId="64" borderId="28" xfId="0" applyFill="1" applyBorder="1"/>
    <xf numFmtId="0" fontId="0" fillId="64" borderId="28" xfId="0" applyFill="1" applyBorder="1" applyAlignment="1">
      <alignment horizontal="center"/>
    </xf>
    <xf numFmtId="2" fontId="0" fillId="12" borderId="28" xfId="0" applyNumberFormat="1" applyFill="1" applyBorder="1"/>
    <xf numFmtId="2" fontId="0" fillId="12" borderId="36" xfId="0" applyNumberFormat="1" applyFill="1" applyBorder="1"/>
    <xf numFmtId="0" fontId="0" fillId="64" borderId="32" xfId="0" applyFill="1" applyBorder="1"/>
    <xf numFmtId="0" fontId="0" fillId="64" borderId="5" xfId="0" applyFill="1" applyBorder="1"/>
    <xf numFmtId="0" fontId="0" fillId="64" borderId="5" xfId="0" applyFill="1" applyBorder="1" applyAlignment="1">
      <alignment horizontal="center"/>
    </xf>
    <xf numFmtId="2" fontId="0" fillId="12" borderId="34" xfId="0" applyNumberFormat="1" applyFill="1" applyBorder="1"/>
    <xf numFmtId="0" fontId="0" fillId="64" borderId="29" xfId="0" applyFill="1" applyBorder="1"/>
    <xf numFmtId="0" fontId="0" fillId="64" borderId="30" xfId="0" applyFill="1" applyBorder="1"/>
    <xf numFmtId="0" fontId="0" fillId="64" borderId="30" xfId="0" applyFill="1" applyBorder="1" applyAlignment="1">
      <alignment horizontal="center"/>
    </xf>
    <xf numFmtId="2" fontId="0" fillId="12" borderId="30" xfId="0" applyNumberFormat="1" applyFill="1" applyBorder="1"/>
    <xf numFmtId="2" fontId="0" fillId="12" borderId="37" xfId="0" applyNumberFormat="1" applyFill="1" applyBorder="1"/>
    <xf numFmtId="0" fontId="0" fillId="6" borderId="31" xfId="0" applyFill="1" applyBorder="1"/>
    <xf numFmtId="0" fontId="0" fillId="6" borderId="31" xfId="0" applyFill="1" applyBorder="1" applyAlignment="1">
      <alignment horizontal="center"/>
    </xf>
    <xf numFmtId="2" fontId="0" fillId="12" borderId="31" xfId="0" applyNumberFormat="1" applyFill="1" applyBorder="1"/>
    <xf numFmtId="0" fontId="0" fillId="6" borderId="27" xfId="0" applyFill="1" applyBorder="1"/>
    <xf numFmtId="0" fontId="0" fillId="6" borderId="28" xfId="0" applyFill="1" applyBorder="1"/>
    <xf numFmtId="0" fontId="0" fillId="6" borderId="28" xfId="0" applyFill="1" applyBorder="1" applyAlignment="1">
      <alignment horizontal="center"/>
    </xf>
    <xf numFmtId="0" fontId="0" fillId="6" borderId="32" xfId="0" applyFill="1" applyBorder="1"/>
    <xf numFmtId="0" fontId="0" fillId="6" borderId="29" xfId="0" applyFill="1" applyBorder="1"/>
    <xf numFmtId="0" fontId="0" fillId="6" borderId="30" xfId="0" applyFill="1" applyBorder="1"/>
    <xf numFmtId="0" fontId="0" fillId="6" borderId="30" xfId="0" applyFill="1" applyBorder="1" applyAlignment="1">
      <alignment horizontal="center"/>
    </xf>
    <xf numFmtId="0" fontId="0" fillId="64" borderId="9" xfId="0" applyFill="1" applyBorder="1"/>
    <xf numFmtId="0" fontId="0" fillId="64" borderId="24" xfId="0" applyFill="1" applyBorder="1"/>
    <xf numFmtId="0" fontId="0" fillId="64" borderId="24" xfId="0" applyFill="1" applyBorder="1" applyAlignment="1">
      <alignment horizontal="center"/>
    </xf>
    <xf numFmtId="2" fontId="0" fillId="12" borderId="24" xfId="0" applyNumberFormat="1" applyFill="1" applyBorder="1"/>
    <xf numFmtId="2" fontId="0" fillId="12" borderId="33" xfId="0" applyNumberFormat="1" applyFill="1" applyBorder="1"/>
    <xf numFmtId="0" fontId="0" fillId="64" borderId="25" xfId="0" applyFill="1" applyBorder="1"/>
    <xf numFmtId="0" fontId="0" fillId="64" borderId="26" xfId="0" applyFill="1" applyBorder="1"/>
    <xf numFmtId="0" fontId="0" fillId="64" borderId="26" xfId="0" applyFill="1" applyBorder="1" applyAlignment="1">
      <alignment horizontal="center"/>
    </xf>
    <xf numFmtId="2" fontId="0" fillId="12" borderId="26" xfId="0" applyNumberFormat="1" applyFill="1" applyBorder="1"/>
    <xf numFmtId="2" fontId="0" fillId="12" borderId="35" xfId="0" applyNumberFormat="1" applyFill="1" applyBorder="1"/>
    <xf numFmtId="0" fontId="0" fillId="64" borderId="31" xfId="0" applyFill="1" applyBorder="1"/>
    <xf numFmtId="0" fontId="0" fillId="64" borderId="31" xfId="0" applyFill="1" applyBorder="1" applyAlignment="1">
      <alignment horizontal="center"/>
    </xf>
    <xf numFmtId="0" fontId="56" fillId="0" borderId="0" xfId="0" applyFont="1"/>
    <xf numFmtId="0" fontId="0" fillId="64" borderId="2" xfId="0" applyFill="1" applyBorder="1"/>
    <xf numFmtId="0" fontId="0" fillId="64" borderId="2" xfId="0" applyFill="1" applyBorder="1" applyAlignment="1">
      <alignment horizontal="center"/>
    </xf>
    <xf numFmtId="2" fontId="0" fillId="64" borderId="24" xfId="0" applyNumberFormat="1" applyFill="1" applyBorder="1"/>
    <xf numFmtId="2" fontId="0" fillId="64" borderId="33" xfId="0" applyNumberFormat="1" applyFill="1" applyBorder="1"/>
    <xf numFmtId="2" fontId="0" fillId="64" borderId="28" xfId="0" applyNumberFormat="1" applyFill="1" applyBorder="1"/>
    <xf numFmtId="2" fontId="0" fillId="64" borderId="36" xfId="0" applyNumberFormat="1" applyFill="1" applyBorder="1"/>
    <xf numFmtId="2" fontId="0" fillId="64" borderId="30" xfId="0" applyNumberFormat="1" applyFill="1" applyBorder="1"/>
    <xf numFmtId="2" fontId="0" fillId="64" borderId="37" xfId="0" applyNumberFormat="1" applyFill="1" applyBorder="1"/>
    <xf numFmtId="0" fontId="0" fillId="6" borderId="9" xfId="0" applyFill="1" applyBorder="1"/>
    <xf numFmtId="0" fontId="0" fillId="6" borderId="24" xfId="0" applyFill="1" applyBorder="1"/>
    <xf numFmtId="0" fontId="0" fillId="6" borderId="24" xfId="0" applyFill="1" applyBorder="1" applyAlignment="1">
      <alignment horizontal="center"/>
    </xf>
    <xf numFmtId="0" fontId="0" fillId="0" borderId="0" xfId="0" applyAlignment="1">
      <alignment vertical="center"/>
    </xf>
    <xf numFmtId="2" fontId="0" fillId="0" borderId="0" xfId="0" applyNumberFormat="1" applyFill="1"/>
    <xf numFmtId="0" fontId="0" fillId="0" borderId="0" xfId="0" applyBorder="1" applyAlignment="1">
      <alignment vertical="center" wrapText="1"/>
    </xf>
    <xf numFmtId="0" fontId="57" fillId="0" borderId="0" xfId="0" applyFont="1" applyBorder="1" applyAlignment="1">
      <alignment wrapText="1"/>
    </xf>
    <xf numFmtId="0" fontId="18" fillId="0" borderId="0" xfId="134"/>
    <xf numFmtId="0" fontId="52" fillId="0" borderId="0" xfId="134" applyFont="1"/>
    <xf numFmtId="0" fontId="51" fillId="0" borderId="0" xfId="134" applyFont="1"/>
    <xf numFmtId="0" fontId="47" fillId="61" borderId="5" xfId="134" applyFont="1" applyFill="1" applyBorder="1"/>
    <xf numFmtId="0" fontId="47" fillId="61" borderId="5" xfId="134" applyFont="1" applyFill="1" applyBorder="1" applyAlignment="1">
      <alignment wrapText="1"/>
    </xf>
    <xf numFmtId="0" fontId="18" fillId="60" borderId="5" xfId="134" applyFill="1" applyBorder="1"/>
    <xf numFmtId="0" fontId="18" fillId="60" borderId="5" xfId="134" applyFill="1" applyBorder="1" applyAlignment="1">
      <alignment wrapText="1"/>
    </xf>
    <xf numFmtId="0" fontId="47" fillId="60" borderId="5" xfId="134" applyFont="1" applyFill="1" applyBorder="1" applyAlignment="1">
      <alignment wrapText="1"/>
    </xf>
    <xf numFmtId="0" fontId="18" fillId="0" borderId="5" xfId="134" applyBorder="1"/>
    <xf numFmtId="2" fontId="18" fillId="0" borderId="5" xfId="134" applyNumberFormat="1" applyBorder="1"/>
    <xf numFmtId="9" fontId="0" fillId="0" borderId="5" xfId="227" applyFont="1" applyBorder="1"/>
    <xf numFmtId="14" fontId="18" fillId="0" borderId="5" xfId="134" applyNumberFormat="1" applyBorder="1"/>
    <xf numFmtId="0" fontId="18" fillId="57" borderId="5" xfId="134" applyFill="1" applyBorder="1"/>
    <xf numFmtId="1" fontId="18" fillId="57" borderId="5" xfId="134" applyNumberFormat="1" applyFill="1" applyBorder="1"/>
    <xf numFmtId="0" fontId="18" fillId="0" borderId="5" xfId="134" applyBorder="1" applyAlignment="1">
      <alignment horizontal="left"/>
    </xf>
    <xf numFmtId="1" fontId="18" fillId="0" borderId="5" xfId="134" applyNumberFormat="1" applyBorder="1"/>
    <xf numFmtId="11" fontId="18" fillId="0" borderId="5" xfId="134" applyNumberFormat="1" applyBorder="1"/>
    <xf numFmtId="1" fontId="12" fillId="56" borderId="5" xfId="0" applyNumberFormat="1" applyFont="1" applyFill="1" applyBorder="1" applyAlignment="1">
      <alignment horizontal="center" wrapText="1" readingOrder="1"/>
    </xf>
    <xf numFmtId="9" fontId="0" fillId="0" borderId="5" xfId="0" applyNumberFormat="1" applyBorder="1" applyAlignment="1">
      <alignment horizontal="center" readingOrder="1"/>
    </xf>
    <xf numFmtId="9" fontId="0" fillId="0" borderId="5" xfId="9" applyNumberFormat="1" applyFont="1" applyBorder="1" applyAlignment="1">
      <alignment vertical="center" readingOrder="1"/>
    </xf>
    <xf numFmtId="167" fontId="0" fillId="0" borderId="5" xfId="0" applyNumberFormat="1" applyBorder="1">
      <alignment readingOrder="1"/>
    </xf>
    <xf numFmtId="0" fontId="12" fillId="0" borderId="5" xfId="0" applyFont="1" applyBorder="1" applyAlignment="1">
      <alignment wrapText="1" readingOrder="1"/>
    </xf>
    <xf numFmtId="0" fontId="0" fillId="0" borderId="5" xfId="0" applyBorder="1" applyAlignment="1">
      <alignment wrapText="1" readingOrder="1"/>
    </xf>
    <xf numFmtId="9" fontId="0" fillId="0" borderId="5" xfId="9" applyFont="1" applyBorder="1">
      <alignment readingOrder="1"/>
    </xf>
    <xf numFmtId="171" fontId="0" fillId="0" borderId="5" xfId="0" applyNumberFormat="1" applyBorder="1">
      <alignment readingOrder="1"/>
    </xf>
    <xf numFmtId="0" fontId="5" fillId="0" borderId="0" xfId="0" applyFont="1">
      <alignment readingOrder="1"/>
    </xf>
    <xf numFmtId="0" fontId="12" fillId="57" borderId="0" xfId="0" applyFont="1" applyFill="1">
      <alignment readingOrder="1"/>
    </xf>
    <xf numFmtId="0" fontId="12" fillId="61" borderId="0" xfId="0" applyFont="1" applyFill="1">
      <alignment readingOrder="1"/>
    </xf>
    <xf numFmtId="9" fontId="0" fillId="0" borderId="0" xfId="9" applyFont="1">
      <alignment readingOrder="1"/>
    </xf>
    <xf numFmtId="0" fontId="6" fillId="0" borderId="0" xfId="0" applyFont="1">
      <alignment readingOrder="1"/>
    </xf>
    <xf numFmtId="0" fontId="5" fillId="61" borderId="0" xfId="0" applyFont="1" applyFill="1">
      <alignment readingOrder="1"/>
    </xf>
    <xf numFmtId="0" fontId="0" fillId="61" borderId="0" xfId="0" applyFill="1">
      <alignment readingOrder="1"/>
    </xf>
    <xf numFmtId="0" fontId="0" fillId="0" borderId="5" xfId="0" applyBorder="1">
      <alignment readingOrder="1"/>
    </xf>
    <xf numFmtId="0" fontId="12" fillId="0" borderId="5" xfId="0" applyFont="1" applyBorder="1" applyAlignment="1">
      <alignment horizontal="center" vertical="center" wrapText="1" readingOrder="1"/>
    </xf>
    <xf numFmtId="0" fontId="12" fillId="0" borderId="5" xfId="0" applyFont="1" applyBorder="1">
      <alignment readingOrder="1"/>
    </xf>
    <xf numFmtId="164" fontId="0" fillId="0" borderId="5" xfId="0" applyNumberFormat="1" applyBorder="1" applyAlignment="1">
      <alignment horizontal="center" vertical="center" readingOrder="1"/>
    </xf>
    <xf numFmtId="0" fontId="12" fillId="57" borderId="5" xfId="0" applyFont="1" applyFill="1" applyBorder="1">
      <alignment readingOrder="1"/>
    </xf>
    <xf numFmtId="164" fontId="0" fillId="57" borderId="5" xfId="0" applyNumberFormat="1" applyFill="1" applyBorder="1" applyAlignment="1">
      <alignment horizontal="center" vertical="center" readingOrder="1"/>
    </xf>
    <xf numFmtId="0" fontId="59" fillId="0" borderId="0" xfId="0" applyFont="1">
      <alignment readingOrder="1"/>
    </xf>
    <xf numFmtId="0" fontId="34" fillId="0" borderId="0" xfId="240">
      <alignment readingOrder="1"/>
    </xf>
    <xf numFmtId="2" fontId="0" fillId="0" borderId="0" xfId="0" applyNumberFormat="1">
      <alignment readingOrder="1"/>
    </xf>
    <xf numFmtId="0" fontId="12" fillId="0" borderId="0" xfId="0" applyFont="1" applyAlignment="1">
      <alignment wrapText="1" readingOrder="1"/>
    </xf>
    <xf numFmtId="0" fontId="12" fillId="6" borderId="0" xfId="0" applyFont="1" applyFill="1">
      <alignment readingOrder="1"/>
    </xf>
    <xf numFmtId="0" fontId="12" fillId="6" borderId="0" xfId="0" applyFont="1" applyFill="1" applyAlignment="1">
      <alignment wrapText="1" readingOrder="1"/>
    </xf>
    <xf numFmtId="43" fontId="0" fillId="0" borderId="0" xfId="0" applyNumberFormat="1">
      <alignment readingOrder="1"/>
    </xf>
    <xf numFmtId="172" fontId="0" fillId="0" borderId="0" xfId="0" applyNumberFormat="1">
      <alignment readingOrder="1"/>
    </xf>
    <xf numFmtId="173" fontId="0" fillId="0" borderId="0" xfId="0" applyNumberFormat="1">
      <alignment readingOrder="1"/>
    </xf>
    <xf numFmtId="174" fontId="0" fillId="0" borderId="0" xfId="0" applyNumberFormat="1">
      <alignment readingOrder="1"/>
    </xf>
    <xf numFmtId="0" fontId="12" fillId="56" borderId="0" xfId="0" applyFont="1" applyFill="1" applyAlignment="1">
      <alignment horizontal="right" readingOrder="1"/>
    </xf>
    <xf numFmtId="43" fontId="0" fillId="56" borderId="0" xfId="0" applyNumberFormat="1" applyFill="1">
      <alignment readingOrder="1"/>
    </xf>
    <xf numFmtId="0" fontId="0" fillId="0" borderId="0" xfId="0" applyAlignment="1">
      <alignment horizontal="right" readingOrder="1"/>
    </xf>
    <xf numFmtId="9" fontId="0" fillId="0" borderId="0" xfId="0" applyNumberFormat="1">
      <alignment readingOrder="1"/>
    </xf>
    <xf numFmtId="0" fontId="0" fillId="0" borderId="0" xfId="0" applyAlignment="1">
      <alignment horizontal="left" readingOrder="1"/>
    </xf>
    <xf numFmtId="0" fontId="60" fillId="0" borderId="0" xfId="0" applyFont="1">
      <alignment readingOrder="1"/>
    </xf>
    <xf numFmtId="2" fontId="5" fillId="0" borderId="0" xfId="0" applyNumberFormat="1" applyFont="1">
      <alignment readingOrder="1"/>
    </xf>
    <xf numFmtId="0" fontId="5" fillId="60" borderId="0" xfId="0" applyFont="1" applyFill="1">
      <alignment readingOrder="1"/>
    </xf>
    <xf numFmtId="0" fontId="0" fillId="60" borderId="0" xfId="0" applyFill="1">
      <alignment readingOrder="1"/>
    </xf>
    <xf numFmtId="0" fontId="61" fillId="65" borderId="0" xfId="0" applyFont="1" applyFill="1"/>
    <xf numFmtId="0" fontId="62" fillId="8" borderId="0" xfId="0" applyFont="1" applyFill="1"/>
    <xf numFmtId="0" fontId="62" fillId="66" borderId="0" xfId="0" applyFont="1" applyFill="1" applyBorder="1"/>
    <xf numFmtId="0" fontId="62" fillId="66" borderId="47" xfId="0" applyFont="1" applyFill="1" applyBorder="1" applyAlignment="1">
      <alignment horizontal="left"/>
    </xf>
    <xf numFmtId="0" fontId="62" fillId="66" borderId="0" xfId="0" applyFont="1" applyFill="1"/>
    <xf numFmtId="0" fontId="62" fillId="66" borderId="0" xfId="0" applyFont="1" applyFill="1" applyBorder="1" applyAlignment="1">
      <alignment horizontal="center"/>
    </xf>
    <xf numFmtId="0" fontId="62" fillId="66" borderId="48" xfId="0" applyFont="1" applyFill="1" applyBorder="1"/>
    <xf numFmtId="0" fontId="62" fillId="66" borderId="0" xfId="0" applyFont="1" applyFill="1" applyBorder="1" applyAlignment="1">
      <alignment horizontal="left"/>
    </xf>
    <xf numFmtId="0" fontId="62" fillId="66" borderId="47" xfId="0" applyFont="1" applyFill="1" applyBorder="1"/>
    <xf numFmtId="164" fontId="62" fillId="66" borderId="0" xfId="0" applyNumberFormat="1" applyFont="1" applyFill="1" applyBorder="1" applyAlignment="1">
      <alignment horizontal="center"/>
    </xf>
    <xf numFmtId="164" fontId="62" fillId="66" borderId="0" xfId="0" applyNumberFormat="1" applyFont="1" applyFill="1" applyBorder="1" applyAlignment="1">
      <alignment horizontal="left"/>
    </xf>
    <xf numFmtId="0" fontId="63" fillId="67" borderId="0" xfId="0" applyFont="1" applyFill="1" applyBorder="1"/>
    <xf numFmtId="0" fontId="64" fillId="67" borderId="0" xfId="0" applyFont="1" applyFill="1" applyBorder="1"/>
    <xf numFmtId="0" fontId="63" fillId="67" borderId="47" xfId="0" applyFont="1" applyFill="1" applyBorder="1"/>
    <xf numFmtId="0" fontId="65" fillId="0" borderId="0" xfId="0" applyFont="1" applyFill="1" applyBorder="1" applyAlignment="1">
      <alignment horizontal="center"/>
    </xf>
    <xf numFmtId="0" fontId="65" fillId="0" borderId="48" xfId="0" applyFont="1" applyFill="1" applyBorder="1" applyAlignment="1">
      <alignment horizontal="center"/>
    </xf>
    <xf numFmtId="0" fontId="65" fillId="10" borderId="0" xfId="0" applyFont="1" applyFill="1" applyBorder="1" applyAlignment="1">
      <alignment horizontal="center"/>
    </xf>
    <xf numFmtId="0" fontId="65" fillId="10" borderId="0" xfId="0" applyFont="1" applyFill="1" applyBorder="1"/>
    <xf numFmtId="0" fontId="65" fillId="10" borderId="47" xfId="0" applyFont="1" applyFill="1" applyBorder="1" applyAlignment="1">
      <alignment horizontal="center"/>
    </xf>
    <xf numFmtId="0" fontId="65" fillId="10" borderId="0" xfId="0" applyFont="1" applyFill="1" applyBorder="1" applyAlignment="1">
      <alignment horizontal="center" wrapText="1"/>
    </xf>
    <xf numFmtId="0" fontId="62" fillId="10" borderId="0" xfId="0" applyFont="1" applyFill="1" applyBorder="1"/>
    <xf numFmtId="0" fontId="66" fillId="10" borderId="47" xfId="0" applyFont="1" applyFill="1" applyBorder="1" applyAlignment="1">
      <alignment horizontal="center"/>
    </xf>
    <xf numFmtId="0" fontId="62" fillId="10" borderId="0" xfId="0" applyFont="1" applyFill="1" applyBorder="1" applyAlignment="1">
      <alignment horizontal="center"/>
    </xf>
    <xf numFmtId="0" fontId="66" fillId="0" borderId="0" xfId="0" applyFont="1" applyFill="1" applyBorder="1" applyAlignment="1">
      <alignment horizontal="center"/>
    </xf>
    <xf numFmtId="0" fontId="66" fillId="0" borderId="48" xfId="0" applyFont="1" applyFill="1" applyBorder="1" applyAlignment="1">
      <alignment horizontal="center"/>
    </xf>
    <xf numFmtId="9" fontId="62" fillId="10" borderId="47" xfId="0" applyNumberFormat="1" applyFont="1" applyFill="1" applyBorder="1" applyAlignment="1">
      <alignment horizontal="center"/>
    </xf>
    <xf numFmtId="172" fontId="64" fillId="68" borderId="0" xfId="239" applyNumberFormat="1" applyFont="1" applyFill="1" applyBorder="1" applyAlignment="1">
      <alignment horizontal="center"/>
    </xf>
    <xf numFmtId="173" fontId="64" fillId="68" borderId="0" xfId="239" applyNumberFormat="1" applyFont="1" applyFill="1" applyBorder="1" applyAlignment="1">
      <alignment horizontal="center"/>
    </xf>
    <xf numFmtId="174" fontId="64" fillId="68" borderId="0" xfId="0" applyNumberFormat="1" applyFont="1" applyFill="1" applyBorder="1" applyAlignment="1">
      <alignment horizontal="center"/>
    </xf>
    <xf numFmtId="43" fontId="62" fillId="10" borderId="0" xfId="239" applyNumberFormat="1" applyFont="1" applyFill="1" applyBorder="1" applyAlignment="1">
      <alignment horizontal="center"/>
    </xf>
    <xf numFmtId="173" fontId="62" fillId="10" borderId="0" xfId="239" applyNumberFormat="1" applyFont="1" applyFill="1" applyBorder="1" applyAlignment="1">
      <alignment horizontal="center"/>
    </xf>
    <xf numFmtId="175" fontId="62" fillId="0" borderId="0" xfId="0" applyNumberFormat="1" applyFont="1" applyFill="1" applyBorder="1" applyAlignment="1">
      <alignment horizontal="center"/>
    </xf>
    <xf numFmtId="174" fontId="64" fillId="68" borderId="48" xfId="0" applyNumberFormat="1" applyFont="1" applyFill="1" applyBorder="1" applyAlignment="1">
      <alignment horizontal="center"/>
    </xf>
    <xf numFmtId="174" fontId="62" fillId="0" borderId="0" xfId="0" applyNumberFormat="1" applyFont="1" applyFill="1" applyBorder="1" applyAlignment="1">
      <alignment horizontal="center"/>
    </xf>
    <xf numFmtId="172" fontId="62" fillId="68" borderId="0" xfId="239" applyNumberFormat="1" applyFont="1" applyFill="1" applyBorder="1" applyAlignment="1">
      <alignment horizontal="center"/>
    </xf>
    <xf numFmtId="173" fontId="62" fillId="68" borderId="0" xfId="239" applyNumberFormat="1" applyFont="1" applyFill="1" applyBorder="1" applyAlignment="1">
      <alignment horizontal="center"/>
    </xf>
    <xf numFmtId="174" fontId="62" fillId="68" borderId="0" xfId="0" applyNumberFormat="1" applyFont="1" applyFill="1" applyBorder="1" applyAlignment="1">
      <alignment horizontal="center"/>
    </xf>
    <xf numFmtId="2" fontId="62" fillId="10" borderId="0" xfId="239" applyNumberFormat="1" applyFont="1" applyFill="1" applyBorder="1" applyAlignment="1">
      <alignment horizontal="center"/>
    </xf>
    <xf numFmtId="9" fontId="62" fillId="10" borderId="47" xfId="9" applyFont="1" applyFill="1" applyBorder="1" applyAlignment="1">
      <alignment horizontal="center"/>
    </xf>
    <xf numFmtId="176" fontId="62" fillId="10" borderId="47" xfId="9" applyNumberFormat="1" applyFont="1" applyFill="1" applyBorder="1" applyAlignment="1">
      <alignment horizontal="center"/>
    </xf>
    <xf numFmtId="172" fontId="62" fillId="10" borderId="0" xfId="239" applyNumberFormat="1" applyFont="1" applyFill="1" applyBorder="1" applyAlignment="1">
      <alignment horizontal="center"/>
    </xf>
    <xf numFmtId="172" fontId="62" fillId="66" borderId="0" xfId="239" applyNumberFormat="1" applyFont="1" applyFill="1" applyBorder="1" applyAlignment="1">
      <alignment horizontal="center"/>
    </xf>
    <xf numFmtId="0" fontId="62" fillId="5" borderId="0" xfId="0" applyFont="1" applyFill="1"/>
    <xf numFmtId="0" fontId="64" fillId="68" borderId="47" xfId="0" applyFont="1" applyFill="1" applyBorder="1" applyAlignment="1">
      <alignment horizontal="left"/>
    </xf>
    <xf numFmtId="0" fontId="64" fillId="68" borderId="0" xfId="0" applyFont="1" applyFill="1" applyBorder="1" applyAlignment="1">
      <alignment wrapText="1"/>
    </xf>
    <xf numFmtId="0" fontId="64" fillId="68" borderId="48" xfId="0" applyFont="1" applyFill="1" applyBorder="1" applyAlignment="1">
      <alignment wrapText="1"/>
    </xf>
    <xf numFmtId="0" fontId="64" fillId="68" borderId="0" xfId="0" applyFont="1" applyFill="1" applyBorder="1" applyAlignment="1"/>
    <xf numFmtId="0" fontId="64" fillId="68" borderId="48" xfId="0" applyFont="1" applyFill="1" applyBorder="1" applyAlignment="1"/>
    <xf numFmtId="0" fontId="64" fillId="5" borderId="0" xfId="0" applyFont="1" applyFill="1" applyBorder="1" applyAlignment="1"/>
    <xf numFmtId="9" fontId="62" fillId="5" borderId="0" xfId="9" applyFont="1" applyFill="1" applyBorder="1" applyAlignment="1"/>
    <xf numFmtId="0" fontId="62" fillId="5" borderId="0" xfId="0" applyFont="1" applyFill="1" applyBorder="1" applyAlignment="1"/>
    <xf numFmtId="1" fontId="62" fillId="10" borderId="0" xfId="239" applyNumberFormat="1" applyFont="1" applyFill="1" applyBorder="1" applyAlignment="1">
      <alignment horizontal="center"/>
    </xf>
    <xf numFmtId="0" fontId="12" fillId="0" borderId="0" xfId="0" applyFont="1"/>
    <xf numFmtId="0" fontId="6" fillId="0" borderId="0" xfId="0" applyFont="1"/>
    <xf numFmtId="0" fontId="7" fillId="0" borderId="0" xfId="0" applyFont="1"/>
    <xf numFmtId="14" fontId="0" fillId="0" borderId="0" xfId="0" applyNumberFormat="1">
      <alignment readingOrder="1"/>
    </xf>
    <xf numFmtId="0" fontId="12" fillId="0" borderId="0" xfId="0" applyFont="1" applyFill="1">
      <alignment readingOrder="1"/>
    </xf>
    <xf numFmtId="0" fontId="12" fillId="0" borderId="0" xfId="0" applyFont="1" applyAlignment="1">
      <alignment horizontal="right" readingOrder="1"/>
    </xf>
    <xf numFmtId="0" fontId="12" fillId="0" borderId="0" xfId="0" applyFont="1" applyAlignment="1">
      <alignment horizontal="left" readingOrder="1"/>
    </xf>
    <xf numFmtId="0" fontId="0" fillId="12" borderId="0" xfId="0" applyFill="1">
      <alignment readingOrder="1"/>
    </xf>
    <xf numFmtId="9" fontId="0" fillId="0" borderId="0" xfId="9" applyFont="1" applyAlignment="1">
      <alignment horizontal="left" readingOrder="1"/>
    </xf>
    <xf numFmtId="2" fontId="58" fillId="0" borderId="0" xfId="0" applyNumberFormat="1" applyFont="1" applyAlignment="1">
      <alignment horizontal="left" readingOrder="1"/>
    </xf>
    <xf numFmtId="2" fontId="58" fillId="0" borderId="0" xfId="0" applyNumberFormat="1" applyFont="1" applyAlignment="1">
      <alignment horizontal="left" wrapText="1" readingOrder="1"/>
    </xf>
    <xf numFmtId="0" fontId="12" fillId="58" borderId="0" xfId="0" applyFont="1" applyFill="1" applyAlignment="1">
      <alignment wrapText="1"/>
    </xf>
    <xf numFmtId="14" fontId="12" fillId="58" borderId="0" xfId="0" applyNumberFormat="1" applyFont="1" applyFill="1" applyAlignment="1">
      <alignment wrapText="1"/>
    </xf>
    <xf numFmtId="0" fontId="12" fillId="60" borderId="0" xfId="0" applyFont="1" applyFill="1" applyAlignment="1">
      <alignment wrapText="1"/>
    </xf>
    <xf numFmtId="2" fontId="12" fillId="60" borderId="0" xfId="0" applyNumberFormat="1" applyFont="1" applyFill="1" applyAlignment="1">
      <alignment wrapText="1"/>
    </xf>
    <xf numFmtId="0" fontId="12" fillId="12" borderId="0" xfId="0" applyFont="1" applyFill="1" applyAlignment="1">
      <alignment wrapText="1"/>
    </xf>
    <xf numFmtId="14" fontId="0" fillId="0" borderId="0" xfId="0" applyNumberFormat="1"/>
    <xf numFmtId="22" fontId="0" fillId="0" borderId="0" xfId="0" applyNumberFormat="1"/>
    <xf numFmtId="1" fontId="0" fillId="0" borderId="0" xfId="9" applyNumberFormat="1" applyFont="1">
      <alignment readingOrder="1"/>
    </xf>
    <xf numFmtId="0" fontId="7" fillId="0" borderId="0" xfId="0" applyFont="1">
      <alignment readingOrder="1"/>
    </xf>
    <xf numFmtId="0" fontId="12" fillId="56" borderId="0" xfId="0" applyFont="1" applyFill="1">
      <alignment readingOrder="1"/>
    </xf>
    <xf numFmtId="0" fontId="0" fillId="56" borderId="0" xfId="0" applyFill="1">
      <alignment readingOrder="1"/>
    </xf>
    <xf numFmtId="9" fontId="12" fillId="69" borderId="0" xfId="9" applyFont="1" applyFill="1">
      <alignment readingOrder="1"/>
    </xf>
    <xf numFmtId="9" fontId="0" fillId="69" borderId="0" xfId="9" applyFont="1" applyFill="1">
      <alignment readingOrder="1"/>
    </xf>
    <xf numFmtId="1" fontId="12" fillId="56" borderId="0" xfId="0" applyNumberFormat="1" applyFont="1" applyFill="1">
      <alignment readingOrder="1"/>
    </xf>
    <xf numFmtId="1" fontId="0" fillId="56" borderId="0" xfId="0" applyNumberFormat="1" applyFill="1">
      <alignment readingOrder="1"/>
    </xf>
    <xf numFmtId="9" fontId="0" fillId="0" borderId="0" xfId="9" applyFont="1" applyFill="1">
      <alignment readingOrder="1"/>
    </xf>
    <xf numFmtId="164" fontId="12" fillId="69" borderId="0" xfId="9" applyNumberFormat="1" applyFont="1" applyFill="1">
      <alignment readingOrder="1"/>
    </xf>
    <xf numFmtId="164" fontId="0" fillId="69" borderId="0" xfId="9" applyNumberFormat="1" applyFont="1" applyFill="1">
      <alignment readingOrder="1"/>
    </xf>
    <xf numFmtId="0" fontId="12" fillId="0" borderId="5" xfId="0" applyFont="1" applyBorder="1" applyAlignment="1">
      <alignment readingOrder="1"/>
    </xf>
    <xf numFmtId="0" fontId="12" fillId="0" borderId="0" xfId="0" applyFont="1" applyBorder="1" applyAlignment="1">
      <alignment horizontal="center" readingOrder="1"/>
    </xf>
    <xf numFmtId="0" fontId="12" fillId="0" borderId="0" xfId="0" applyFont="1" applyFill="1" applyBorder="1" applyAlignment="1">
      <alignment horizontal="center" readingOrder="1"/>
    </xf>
    <xf numFmtId="9" fontId="12" fillId="0" borderId="5" xfId="9" applyFont="1" applyBorder="1" applyAlignment="1">
      <alignment horizontal="center" wrapText="1" readingOrder="1"/>
    </xf>
    <xf numFmtId="0" fontId="12" fillId="0" borderId="5" xfId="0" applyFont="1" applyBorder="1" applyAlignment="1">
      <alignment horizontal="center" wrapText="1" readingOrder="1"/>
    </xf>
    <xf numFmtId="0" fontId="6" fillId="0" borderId="0" xfId="0" applyFont="1" applyAlignment="1">
      <alignment wrapText="1" readingOrder="1"/>
    </xf>
    <xf numFmtId="1" fontId="12" fillId="0" borderId="5" xfId="0" applyNumberFormat="1" applyFont="1" applyBorder="1" applyAlignment="1">
      <alignment horizontal="center" wrapText="1" readingOrder="1"/>
    </xf>
    <xf numFmtId="1" fontId="12" fillId="0" borderId="0" xfId="0" applyNumberFormat="1" applyFont="1" applyBorder="1" applyAlignment="1">
      <alignment horizontal="center" wrapText="1" readingOrder="1"/>
    </xf>
    <xf numFmtId="1" fontId="12" fillId="0" borderId="0" xfId="0" applyNumberFormat="1" applyFont="1" applyFill="1" applyBorder="1" applyAlignment="1">
      <alignment horizontal="center" wrapText="1" readingOrder="1"/>
    </xf>
    <xf numFmtId="164" fontId="12" fillId="0" borderId="5" xfId="9" applyNumberFormat="1" applyFont="1" applyBorder="1" applyAlignment="1">
      <alignment horizontal="center" wrapText="1" readingOrder="1"/>
    </xf>
    <xf numFmtId="164" fontId="12" fillId="0" borderId="5" xfId="0" applyNumberFormat="1" applyFont="1" applyBorder="1" applyAlignment="1">
      <alignment horizontal="center" wrapText="1" readingOrder="1"/>
    </xf>
    <xf numFmtId="1" fontId="12" fillId="0" borderId="5" xfId="9" applyNumberFormat="1" applyFont="1" applyBorder="1" applyAlignment="1">
      <alignment horizontal="center" wrapText="1" readingOrder="1"/>
    </xf>
    <xf numFmtId="0" fontId="0" fillId="57" borderId="0" xfId="0" applyFill="1">
      <alignment readingOrder="1"/>
    </xf>
    <xf numFmtId="0" fontId="0" fillId="57" borderId="5" xfId="0" applyFill="1" applyBorder="1">
      <alignment readingOrder="1"/>
    </xf>
    <xf numFmtId="0" fontId="0" fillId="57" borderId="5" xfId="0" applyFill="1" applyBorder="1" applyAlignment="1">
      <alignment horizontal="center" readingOrder="1"/>
    </xf>
    <xf numFmtId="9" fontId="0" fillId="57" borderId="5" xfId="9" applyFont="1" applyFill="1" applyBorder="1" applyAlignment="1">
      <alignment horizontal="center" readingOrder="1"/>
    </xf>
    <xf numFmtId="1" fontId="0" fillId="57" borderId="5" xfId="0" applyNumberFormat="1" applyFill="1" applyBorder="1" applyAlignment="1">
      <alignment horizontal="center" readingOrder="1"/>
    </xf>
    <xf numFmtId="1" fontId="0" fillId="57" borderId="0" xfId="0" applyNumberFormat="1" applyFill="1" applyBorder="1" applyAlignment="1">
      <alignment horizontal="center" readingOrder="1"/>
    </xf>
    <xf numFmtId="1" fontId="6" fillId="57" borderId="5" xfId="0" applyNumberFormat="1" applyFont="1" applyFill="1" applyBorder="1" applyAlignment="1">
      <alignment horizontal="center" readingOrder="1"/>
    </xf>
    <xf numFmtId="1" fontId="12" fillId="57" borderId="5" xfId="0" applyNumberFormat="1" applyFont="1" applyFill="1" applyBorder="1" applyAlignment="1">
      <alignment horizontal="center" readingOrder="1"/>
    </xf>
    <xf numFmtId="1" fontId="0" fillId="0" borderId="0" xfId="0" applyNumberFormat="1" applyFill="1" applyBorder="1" applyAlignment="1">
      <alignment horizontal="center" readingOrder="1"/>
    </xf>
    <xf numFmtId="9" fontId="6" fillId="57" borderId="5" xfId="9" applyFont="1" applyFill="1" applyBorder="1" applyAlignment="1">
      <alignment horizontal="center" readingOrder="1"/>
    </xf>
    <xf numFmtId="164" fontId="0" fillId="57" borderId="5" xfId="0" applyNumberFormat="1" applyFill="1" applyBorder="1" applyAlignment="1">
      <alignment horizontal="center" readingOrder="1"/>
    </xf>
    <xf numFmtId="0" fontId="0" fillId="69" borderId="0" xfId="0" applyFill="1">
      <alignment readingOrder="1"/>
    </xf>
    <xf numFmtId="0" fontId="0" fillId="69" borderId="5" xfId="0" applyFill="1" applyBorder="1">
      <alignment readingOrder="1"/>
    </xf>
    <xf numFmtId="0" fontId="0" fillId="69" borderId="5" xfId="0" applyFill="1" applyBorder="1" applyAlignment="1">
      <alignment horizontal="center" readingOrder="1"/>
    </xf>
    <xf numFmtId="9" fontId="0" fillId="69" borderId="5" xfId="9" applyFont="1" applyFill="1" applyBorder="1" applyAlignment="1">
      <alignment horizontal="center" readingOrder="1"/>
    </xf>
    <xf numFmtId="1" fontId="0" fillId="69" borderId="5" xfId="0" applyNumberFormat="1" applyFill="1" applyBorder="1" applyAlignment="1">
      <alignment horizontal="center" readingOrder="1"/>
    </xf>
    <xf numFmtId="1" fontId="0" fillId="69" borderId="0" xfId="0" applyNumberFormat="1" applyFill="1" applyBorder="1" applyAlignment="1">
      <alignment horizontal="center" readingOrder="1"/>
    </xf>
    <xf numFmtId="1" fontId="68" fillId="69" borderId="5" xfId="0" applyNumberFormat="1" applyFont="1" applyFill="1" applyBorder="1" applyAlignment="1">
      <alignment horizontal="center" readingOrder="1"/>
    </xf>
    <xf numFmtId="1" fontId="12" fillId="69" borderId="5" xfId="0" applyNumberFormat="1" applyFont="1" applyFill="1" applyBorder="1" applyAlignment="1">
      <alignment horizontal="center" readingOrder="1"/>
    </xf>
    <xf numFmtId="164" fontId="0" fillId="69" borderId="5" xfId="0" applyNumberFormat="1" applyFill="1" applyBorder="1" applyAlignment="1">
      <alignment horizontal="center" readingOrder="1"/>
    </xf>
    <xf numFmtId="0" fontId="0" fillId="70" borderId="0" xfId="0" applyFill="1">
      <alignment readingOrder="1"/>
    </xf>
    <xf numFmtId="0" fontId="0" fillId="70" borderId="5" xfId="0" applyFill="1" applyBorder="1">
      <alignment readingOrder="1"/>
    </xf>
    <xf numFmtId="0" fontId="0" fillId="70" borderId="5" xfId="0" applyFill="1" applyBorder="1" applyAlignment="1">
      <alignment horizontal="center" readingOrder="1"/>
    </xf>
    <xf numFmtId="9" fontId="0" fillId="70" borderId="5" xfId="9" applyFont="1" applyFill="1" applyBorder="1" applyAlignment="1">
      <alignment horizontal="center" readingOrder="1"/>
    </xf>
    <xf numFmtId="1" fontId="0" fillId="70" borderId="5" xfId="0" applyNumberFormat="1" applyFill="1" applyBorder="1" applyAlignment="1">
      <alignment horizontal="center" readingOrder="1"/>
    </xf>
    <xf numFmtId="1" fontId="0" fillId="70" borderId="0" xfId="0" applyNumberFormat="1" applyFill="1" applyBorder="1" applyAlignment="1">
      <alignment horizontal="center" readingOrder="1"/>
    </xf>
    <xf numFmtId="1" fontId="12" fillId="70" borderId="5" xfId="0" applyNumberFormat="1" applyFont="1" applyFill="1" applyBorder="1" applyAlignment="1">
      <alignment horizontal="center" readingOrder="1"/>
    </xf>
    <xf numFmtId="164" fontId="0" fillId="70" borderId="5" xfId="0" applyNumberFormat="1" applyFill="1" applyBorder="1" applyAlignment="1">
      <alignment horizontal="center" readingOrder="1"/>
    </xf>
    <xf numFmtId="0" fontId="0" fillId="8" borderId="0" xfId="0" applyFill="1">
      <alignment readingOrder="1"/>
    </xf>
    <xf numFmtId="0" fontId="0" fillId="8" borderId="5" xfId="0" applyFill="1" applyBorder="1">
      <alignment readingOrder="1"/>
    </xf>
    <xf numFmtId="0" fontId="0" fillId="8" borderId="5" xfId="0" applyFill="1" applyBorder="1" applyAlignment="1">
      <alignment horizontal="center" readingOrder="1"/>
    </xf>
    <xf numFmtId="9" fontId="0" fillId="8" borderId="5" xfId="9" applyFont="1" applyFill="1" applyBorder="1" applyAlignment="1">
      <alignment horizontal="center" readingOrder="1"/>
    </xf>
    <xf numFmtId="1" fontId="0" fillId="8" borderId="5" xfId="0" applyNumberFormat="1" applyFill="1" applyBorder="1" applyAlignment="1">
      <alignment horizontal="center" readingOrder="1"/>
    </xf>
    <xf numFmtId="1" fontId="0" fillId="8" borderId="0" xfId="0" applyNumberFormat="1" applyFill="1" applyBorder="1" applyAlignment="1">
      <alignment horizontal="center" readingOrder="1"/>
    </xf>
    <xf numFmtId="1" fontId="68" fillId="8" borderId="5" xfId="0" applyNumberFormat="1" applyFont="1" applyFill="1" applyBorder="1" applyAlignment="1">
      <alignment horizontal="center" readingOrder="1"/>
    </xf>
    <xf numFmtId="1" fontId="12" fillId="8" borderId="5" xfId="0" applyNumberFormat="1" applyFont="1" applyFill="1" applyBorder="1" applyAlignment="1">
      <alignment horizontal="center" readingOrder="1"/>
    </xf>
    <xf numFmtId="164" fontId="0" fillId="8" borderId="5" xfId="0" applyNumberFormat="1" applyFill="1" applyBorder="1" applyAlignment="1">
      <alignment horizontal="center" readingOrder="1"/>
    </xf>
    <xf numFmtId="0" fontId="0" fillId="0" borderId="0" xfId="0" applyAlignment="1">
      <alignment wrapText="1" readingOrder="1"/>
    </xf>
    <xf numFmtId="0" fontId="11" fillId="5" borderId="23" xfId="2" applyFont="1" applyFill="1" applyBorder="1" applyAlignment="1">
      <alignment horizontal="center" wrapText="1"/>
    </xf>
    <xf numFmtId="0" fontId="11" fillId="5" borderId="31" xfId="2" applyFont="1" applyFill="1" applyBorder="1" applyAlignment="1">
      <alignment horizontal="center" wrapText="1"/>
    </xf>
    <xf numFmtId="0" fontId="11" fillId="5" borderId="31" xfId="0" applyFont="1" applyFill="1" applyBorder="1" applyAlignment="1">
      <alignment horizontal="center" wrapText="1"/>
    </xf>
    <xf numFmtId="0" fontId="0" fillId="0" borderId="0" xfId="0" applyAlignment="1">
      <alignment readingOrder="1"/>
    </xf>
    <xf numFmtId="1" fontId="0" fillId="0" borderId="0" xfId="0" applyNumberFormat="1" applyAlignment="1">
      <alignment readingOrder="1"/>
    </xf>
    <xf numFmtId="164" fontId="0" fillId="0" borderId="0" xfId="0" applyNumberFormat="1" applyAlignment="1">
      <alignment readingOrder="1"/>
    </xf>
    <xf numFmtId="173" fontId="0" fillId="0" borderId="0" xfId="0" applyNumberFormat="1" applyAlignment="1">
      <alignment readingOrder="1"/>
    </xf>
    <xf numFmtId="1" fontId="12" fillId="56" borderId="32" xfId="0" applyNumberFormat="1" applyFont="1" applyFill="1" applyBorder="1" applyAlignment="1">
      <alignment wrapText="1" readingOrder="1"/>
    </xf>
    <xf numFmtId="1" fontId="12" fillId="56" borderId="5" xfId="0" applyNumberFormat="1" applyFont="1" applyFill="1" applyBorder="1" applyAlignment="1">
      <alignment wrapText="1" readingOrder="1"/>
    </xf>
    <xf numFmtId="1" fontId="12" fillId="56" borderId="34" xfId="0" applyNumberFormat="1" applyFont="1" applyFill="1" applyBorder="1" applyAlignment="1">
      <alignment wrapText="1" readingOrder="1"/>
    </xf>
    <xf numFmtId="0" fontId="12" fillId="56" borderId="51" xfId="0" applyFont="1" applyFill="1" applyBorder="1" applyAlignment="1">
      <alignment vertical="center" wrapText="1" readingOrder="1"/>
    </xf>
    <xf numFmtId="1" fontId="69" fillId="0" borderId="32" xfId="0" applyNumberFormat="1" applyFont="1" applyBorder="1" applyAlignment="1">
      <alignment horizontal="center" vertical="center" readingOrder="1"/>
    </xf>
    <xf numFmtId="1" fontId="69" fillId="0" borderId="5" xfId="0" applyNumberFormat="1" applyFont="1" applyBorder="1" applyAlignment="1">
      <alignment horizontal="center" vertical="center" readingOrder="1"/>
    </xf>
    <xf numFmtId="1" fontId="69" fillId="0" borderId="34" xfId="0" applyNumberFormat="1" applyFont="1" applyBorder="1" applyAlignment="1">
      <alignment horizontal="center" vertical="center" readingOrder="1"/>
    </xf>
    <xf numFmtId="1" fontId="69" fillId="0" borderId="51" xfId="0" applyNumberFormat="1" applyFont="1" applyBorder="1" applyAlignment="1">
      <alignment horizontal="center" vertical="center" readingOrder="1"/>
    </xf>
    <xf numFmtId="0" fontId="0" fillId="0" borderId="0" xfId="0" applyAlignment="1">
      <alignment vertical="center" readingOrder="1"/>
    </xf>
    <xf numFmtId="0" fontId="12" fillId="56" borderId="54" xfId="0" applyFont="1" applyFill="1" applyBorder="1" applyAlignment="1">
      <alignment vertical="center" wrapText="1" readingOrder="1"/>
    </xf>
    <xf numFmtId="1" fontId="69" fillId="0" borderId="54" xfId="0" applyNumberFormat="1" applyFont="1" applyBorder="1" applyAlignment="1">
      <alignment horizontal="center" vertical="center" readingOrder="1"/>
    </xf>
    <xf numFmtId="1" fontId="69" fillId="0" borderId="0" xfId="0" applyNumberFormat="1" applyFont="1" applyBorder="1" applyAlignment="1">
      <alignment horizontal="center" vertical="center" readingOrder="1"/>
    </xf>
    <xf numFmtId="1" fontId="0" fillId="0" borderId="0" xfId="0" applyNumberFormat="1" applyAlignment="1">
      <alignment vertical="center" readingOrder="1"/>
    </xf>
    <xf numFmtId="164" fontId="69" fillId="0" borderId="32" xfId="0" applyNumberFormat="1" applyFont="1" applyBorder="1" applyAlignment="1">
      <alignment horizontal="center" vertical="center" readingOrder="1"/>
    </xf>
    <xf numFmtId="164" fontId="69" fillId="0" borderId="5" xfId="0" applyNumberFormat="1" applyFont="1" applyBorder="1" applyAlignment="1">
      <alignment horizontal="center" vertical="center" readingOrder="1"/>
    </xf>
    <xf numFmtId="164" fontId="69" fillId="0" borderId="34" xfId="0" applyNumberFormat="1" applyFont="1" applyBorder="1" applyAlignment="1">
      <alignment horizontal="center" vertical="center" readingOrder="1"/>
    </xf>
    <xf numFmtId="164" fontId="69" fillId="0" borderId="51" xfId="0" applyNumberFormat="1" applyFont="1" applyBorder="1" applyAlignment="1">
      <alignment horizontal="center" vertical="center" readingOrder="1"/>
    </xf>
    <xf numFmtId="164" fontId="69" fillId="0" borderId="54" xfId="0" applyNumberFormat="1" applyFont="1" applyBorder="1" applyAlignment="1">
      <alignment horizontal="center" vertical="center" readingOrder="1"/>
    </xf>
    <xf numFmtId="173" fontId="69" fillId="0" borderId="32" xfId="0" applyNumberFormat="1" applyFont="1" applyBorder="1" applyAlignment="1">
      <alignment horizontal="center" vertical="center" readingOrder="1"/>
    </xf>
    <xf numFmtId="173" fontId="69" fillId="0" borderId="5" xfId="0" applyNumberFormat="1" applyFont="1" applyBorder="1" applyAlignment="1">
      <alignment horizontal="center" vertical="center" readingOrder="1"/>
    </xf>
    <xf numFmtId="173" fontId="69" fillId="0" borderId="34" xfId="0" applyNumberFormat="1" applyFont="1" applyBorder="1" applyAlignment="1">
      <alignment horizontal="center" vertical="center" readingOrder="1"/>
    </xf>
    <xf numFmtId="173" fontId="69" fillId="0" borderId="51" xfId="0" applyNumberFormat="1" applyFont="1" applyBorder="1" applyAlignment="1">
      <alignment horizontal="center" vertical="center" readingOrder="1"/>
    </xf>
    <xf numFmtId="173" fontId="69" fillId="0" borderId="54" xfId="0" applyNumberFormat="1" applyFont="1" applyBorder="1" applyAlignment="1">
      <alignment horizontal="center" vertical="center" readingOrder="1"/>
    </xf>
    <xf numFmtId="0" fontId="12" fillId="56" borderId="5" xfId="0" applyFont="1" applyFill="1" applyBorder="1" applyAlignment="1">
      <alignment vertical="center" wrapText="1" readingOrder="1"/>
    </xf>
    <xf numFmtId="0" fontId="0" fillId="0" borderId="0" xfId="0" applyBorder="1">
      <alignment readingOrder="1"/>
    </xf>
    <xf numFmtId="164" fontId="69" fillId="0" borderId="0" xfId="0" applyNumberFormat="1" applyFont="1" applyBorder="1" applyAlignment="1">
      <alignment vertical="center" readingOrder="1"/>
    </xf>
    <xf numFmtId="0" fontId="0" fillId="0" borderId="0" xfId="0" applyBorder="1" applyAlignment="1">
      <alignment wrapText="1" readingOrder="1"/>
    </xf>
    <xf numFmtId="173" fontId="0" fillId="8" borderId="5" xfId="0" applyNumberFormat="1" applyFill="1" applyBorder="1">
      <alignment readingOrder="1"/>
    </xf>
    <xf numFmtId="173" fontId="0" fillId="70" borderId="5" xfId="0" applyNumberFormat="1" applyFill="1" applyBorder="1">
      <alignment readingOrder="1"/>
    </xf>
    <xf numFmtId="173" fontId="0" fillId="69" borderId="5" xfId="0" applyNumberFormat="1" applyFill="1" applyBorder="1">
      <alignment readingOrder="1"/>
    </xf>
    <xf numFmtId="173" fontId="0" fillId="57" borderId="5" xfId="0" applyNumberFormat="1" applyFill="1" applyBorder="1">
      <alignment readingOrder="1"/>
    </xf>
    <xf numFmtId="0" fontId="0" fillId="8" borderId="0" xfId="0" quotePrefix="1" applyFill="1">
      <alignment readingOrder="1"/>
    </xf>
    <xf numFmtId="0" fontId="0" fillId="70" borderId="0" xfId="0" quotePrefix="1" applyFill="1">
      <alignment readingOrder="1"/>
    </xf>
    <xf numFmtId="0" fontId="0" fillId="69" borderId="0" xfId="0" quotePrefix="1" applyFill="1">
      <alignment readingOrder="1"/>
    </xf>
    <xf numFmtId="0" fontId="0" fillId="57" borderId="0" xfId="0" quotePrefix="1" applyFill="1">
      <alignment readingOrder="1"/>
    </xf>
    <xf numFmtId="0" fontId="12" fillId="8" borderId="5" xfId="0" quotePrefix="1" applyFont="1" applyFill="1" applyBorder="1" applyAlignment="1">
      <alignment horizontal="center" readingOrder="1"/>
    </xf>
    <xf numFmtId="0" fontId="12" fillId="70" borderId="5" xfId="0" applyFont="1" applyFill="1" applyBorder="1" applyAlignment="1">
      <alignment horizontal="center" readingOrder="1"/>
    </xf>
    <xf numFmtId="0" fontId="12" fillId="70" borderId="5" xfId="0" quotePrefix="1" applyFont="1" applyFill="1" applyBorder="1" applyAlignment="1">
      <alignment horizontal="center" readingOrder="1"/>
    </xf>
    <xf numFmtId="0" fontId="12" fillId="69" borderId="5" xfId="0" quotePrefix="1" applyFont="1" applyFill="1" applyBorder="1" applyAlignment="1">
      <alignment horizontal="center" readingOrder="1"/>
    </xf>
    <xf numFmtId="0" fontId="12" fillId="57" borderId="5" xfId="0" quotePrefix="1" applyFont="1" applyFill="1" applyBorder="1" applyAlignment="1">
      <alignment horizontal="center" readingOrder="1"/>
    </xf>
    <xf numFmtId="0" fontId="12" fillId="0" borderId="0" xfId="0" quotePrefix="1" applyFont="1" applyAlignment="1">
      <alignment horizontal="center" readingOrder="1"/>
    </xf>
    <xf numFmtId="0" fontId="12" fillId="0" borderId="0" xfId="0" applyFont="1" applyAlignment="1">
      <alignment horizontal="center" readingOrder="1"/>
    </xf>
    <xf numFmtId="0" fontId="70" fillId="0" borderId="0" xfId="0" applyFont="1">
      <alignment readingOrder="1"/>
    </xf>
    <xf numFmtId="1" fontId="70" fillId="71" borderId="0" xfId="0" applyNumberFormat="1" applyFont="1" applyFill="1">
      <alignment readingOrder="1"/>
    </xf>
    <xf numFmtId="1" fontId="70" fillId="0" borderId="0" xfId="0" applyNumberFormat="1" applyFont="1">
      <alignment readingOrder="1"/>
    </xf>
    <xf numFmtId="0" fontId="71" fillId="0" borderId="0" xfId="0" applyFont="1" applyAlignment="1">
      <alignment wrapText="1" readingOrder="1"/>
    </xf>
    <xf numFmtId="1" fontId="70" fillId="0" borderId="0" xfId="0" applyNumberFormat="1" applyFont="1" applyFill="1">
      <alignment readingOrder="1"/>
    </xf>
    <xf numFmtId="43" fontId="70" fillId="0" borderId="0" xfId="0" applyNumberFormat="1" applyFont="1">
      <alignment readingOrder="1"/>
    </xf>
    <xf numFmtId="173" fontId="70" fillId="0" borderId="0" xfId="0" applyNumberFormat="1" applyFont="1">
      <alignment readingOrder="1"/>
    </xf>
    <xf numFmtId="0" fontId="62" fillId="66" borderId="0" xfId="0" applyFont="1" applyFill="1" applyBorder="1" applyAlignment="1">
      <alignment wrapText="1"/>
    </xf>
    <xf numFmtId="173" fontId="62" fillId="10" borderId="0" xfId="0" applyNumberFormat="1" applyFont="1" applyFill="1" applyBorder="1" applyAlignment="1">
      <alignment horizontal="center"/>
    </xf>
    <xf numFmtId="174" fontId="62" fillId="10" borderId="0" xfId="0" applyNumberFormat="1" applyFont="1" applyFill="1" applyBorder="1" applyAlignment="1">
      <alignment horizontal="center"/>
    </xf>
    <xf numFmtId="0" fontId="64" fillId="68" borderId="0" xfId="0" applyFont="1" applyFill="1" applyBorder="1" applyAlignment="1">
      <alignment horizontal="left"/>
    </xf>
    <xf numFmtId="0" fontId="12" fillId="0" borderId="0" xfId="0" quotePrefix="1" applyFont="1">
      <alignment readingOrder="1"/>
    </xf>
    <xf numFmtId="0" fontId="62" fillId="66" borderId="47" xfId="0" applyFont="1" applyFill="1" applyBorder="1" applyAlignment="1">
      <alignment horizontal="centerContinuous" wrapText="1"/>
    </xf>
    <xf numFmtId="0" fontId="62" fillId="66" borderId="0" xfId="0" applyFont="1" applyFill="1" applyBorder="1" applyAlignment="1">
      <alignment horizontal="centerContinuous" wrapText="1"/>
    </xf>
    <xf numFmtId="0" fontId="62" fillId="66" borderId="48" xfId="0" applyFont="1" applyFill="1" applyBorder="1" applyAlignment="1">
      <alignment horizontal="centerContinuous" wrapText="1"/>
    </xf>
    <xf numFmtId="0" fontId="62" fillId="66" borderId="47" xfId="0" applyFont="1" applyFill="1" applyBorder="1" applyAlignment="1">
      <alignment horizontal="centerContinuous"/>
    </xf>
    <xf numFmtId="0" fontId="62" fillId="66" borderId="0" xfId="0" applyFont="1" applyFill="1" applyBorder="1" applyAlignment="1">
      <alignment horizontal="centerContinuous"/>
    </xf>
    <xf numFmtId="0" fontId="62" fillId="66" borderId="48" xfId="0" applyFont="1" applyFill="1" applyBorder="1" applyAlignment="1">
      <alignment horizontal="centerContinuous"/>
    </xf>
    <xf numFmtId="164" fontId="72" fillId="66" borderId="0" xfId="0" applyNumberFormat="1" applyFont="1" applyFill="1" applyBorder="1" applyAlignment="1">
      <alignment horizontal="left"/>
    </xf>
    <xf numFmtId="7" fontId="62" fillId="10" borderId="0" xfId="239" applyNumberFormat="1" applyFont="1" applyFill="1" applyBorder="1" applyAlignment="1">
      <alignment horizontal="center"/>
    </xf>
    <xf numFmtId="43" fontId="64" fillId="68" borderId="0" xfId="239" applyNumberFormat="1" applyFont="1" applyFill="1" applyBorder="1" applyAlignment="1">
      <alignment horizontal="center"/>
    </xf>
    <xf numFmtId="174" fontId="62" fillId="72" borderId="0" xfId="0" applyNumberFormat="1" applyFont="1" applyFill="1" applyBorder="1" applyAlignment="1">
      <alignment horizontal="center"/>
    </xf>
    <xf numFmtId="1" fontId="47" fillId="56" borderId="5" xfId="0" applyNumberFormat="1" applyFont="1" applyFill="1" applyBorder="1"/>
    <xf numFmtId="0" fontId="18" fillId="0" borderId="0" xfId="0" applyFont="1"/>
    <xf numFmtId="0" fontId="80" fillId="55" borderId="39" xfId="0" applyFont="1" applyFill="1" applyBorder="1"/>
    <xf numFmtId="0" fontId="80" fillId="55" borderId="61" xfId="0" applyFont="1" applyFill="1" applyBorder="1"/>
    <xf numFmtId="0" fontId="80" fillId="55" borderId="8" xfId="0" applyFont="1" applyFill="1" applyBorder="1"/>
    <xf numFmtId="0" fontId="81" fillId="56" borderId="31" xfId="241" applyFont="1" applyFill="1" applyBorder="1" applyAlignment="1">
      <alignment horizontal="left" vertical="center" wrapText="1"/>
    </xf>
    <xf numFmtId="0" fontId="81" fillId="56" borderId="5" xfId="241" applyFont="1" applyFill="1" applyBorder="1" applyAlignment="1">
      <alignment horizontal="left" vertical="center" wrapText="1"/>
    </xf>
    <xf numFmtId="0" fontId="48" fillId="0" borderId="5" xfId="241" applyNumberFormat="1" applyFont="1" applyFill="1" applyBorder="1" applyAlignment="1">
      <alignment horizontal="left" vertical="center" wrapText="1"/>
    </xf>
    <xf numFmtId="0" fontId="48" fillId="0" borderId="5" xfId="241" applyFont="1" applyFill="1" applyBorder="1" applyAlignment="1">
      <alignment horizontal="left" vertical="center" wrapText="1"/>
    </xf>
    <xf numFmtId="0" fontId="18" fillId="0" borderId="5" xfId="241" applyFont="1" applyFill="1" applyBorder="1" applyAlignment="1">
      <alignment horizontal="left" vertical="center" wrapText="1"/>
    </xf>
    <xf numFmtId="0" fontId="48" fillId="0" borderId="5" xfId="241" applyFont="1" applyBorder="1" applyAlignment="1">
      <alignment horizontal="left" vertical="center" wrapText="1" readingOrder="1"/>
    </xf>
    <xf numFmtId="0" fontId="48" fillId="0" borderId="5" xfId="241" applyNumberFormat="1" applyFont="1" applyBorder="1" applyAlignment="1">
      <alignment horizontal="left" vertical="center" wrapText="1" readingOrder="1"/>
    </xf>
    <xf numFmtId="0" fontId="48" fillId="0" borderId="5" xfId="241" applyFont="1" applyBorder="1" applyAlignment="1">
      <alignment vertical="center" wrapText="1" readingOrder="1"/>
    </xf>
    <xf numFmtId="0" fontId="48" fillId="0" borderId="5" xfId="241" applyFont="1" applyBorder="1" applyAlignment="1">
      <alignment wrapText="1" readingOrder="1"/>
    </xf>
    <xf numFmtId="0" fontId="48" fillId="0" borderId="5" xfId="241" applyNumberFormat="1" applyFont="1" applyBorder="1" applyAlignment="1">
      <alignment vertical="center" wrapText="1" readingOrder="1"/>
    </xf>
    <xf numFmtId="0" fontId="9" fillId="76" borderId="7" xfId="2" applyFont="1" applyFill="1" applyBorder="1" applyAlignment="1">
      <alignment horizontal="center"/>
    </xf>
    <xf numFmtId="0" fontId="11" fillId="59" borderId="7" xfId="2" applyFont="1" applyFill="1" applyBorder="1" applyAlignment="1">
      <alignment horizontal="center" wrapText="1"/>
    </xf>
    <xf numFmtId="0" fontId="11" fillId="59" borderId="5" xfId="2" applyFont="1" applyFill="1" applyBorder="1" applyAlignment="1">
      <alignment horizontal="center" wrapText="1"/>
    </xf>
    <xf numFmtId="0" fontId="0" fillId="77" borderId="0" xfId="0" applyFill="1">
      <alignment readingOrder="1"/>
    </xf>
    <xf numFmtId="0" fontId="0" fillId="0" borderId="0" xfId="0" quotePrefix="1" applyFill="1">
      <alignment readingOrder="1"/>
    </xf>
    <xf numFmtId="0" fontId="13" fillId="78" borderId="6" xfId="0" applyFont="1" applyFill="1" applyBorder="1" applyAlignment="1">
      <alignment horizontal="left" wrapText="1" readingOrder="1"/>
    </xf>
    <xf numFmtId="0" fontId="13" fillId="78" borderId="7" xfId="0" applyFont="1" applyFill="1" applyBorder="1" applyAlignment="1">
      <alignment horizontal="center" wrapText="1" readingOrder="1"/>
    </xf>
    <xf numFmtId="0" fontId="13" fillId="9" borderId="14" xfId="0" applyFont="1" applyFill="1" applyBorder="1" applyAlignment="1">
      <alignment horizontal="center" wrapText="1" readingOrder="1"/>
    </xf>
    <xf numFmtId="0" fontId="0" fillId="0" borderId="62" xfId="0" applyBorder="1">
      <alignment readingOrder="1"/>
    </xf>
    <xf numFmtId="0" fontId="0" fillId="0" borderId="63" xfId="0" applyBorder="1">
      <alignment readingOrder="1"/>
    </xf>
    <xf numFmtId="0" fontId="0" fillId="0" borderId="64" xfId="0" applyBorder="1">
      <alignment readingOrder="1"/>
    </xf>
    <xf numFmtId="0" fontId="0" fillId="0" borderId="65" xfId="0" applyBorder="1">
      <alignment readingOrder="1"/>
    </xf>
    <xf numFmtId="0" fontId="0" fillId="0" borderId="66" xfId="0" applyBorder="1">
      <alignment readingOrder="1"/>
    </xf>
    <xf numFmtId="0" fontId="0" fillId="0" borderId="67" xfId="0" applyBorder="1">
      <alignment readingOrder="1"/>
    </xf>
    <xf numFmtId="0" fontId="0" fillId="0" borderId="68" xfId="0" applyBorder="1">
      <alignment readingOrder="1"/>
    </xf>
    <xf numFmtId="0" fontId="0" fillId="0" borderId="69" xfId="0" applyBorder="1">
      <alignment readingOrder="1"/>
    </xf>
    <xf numFmtId="0" fontId="11" fillId="79" borderId="39" xfId="0" applyFont="1" applyFill="1" applyBorder="1" applyAlignment="1">
      <alignment horizontal="centerContinuous" wrapText="1" readingOrder="1"/>
    </xf>
    <xf numFmtId="0" fontId="11" fillId="79" borderId="8" xfId="0" applyFont="1" applyFill="1" applyBorder="1" applyAlignment="1">
      <alignment horizontal="centerContinuous" wrapText="1" readingOrder="1"/>
    </xf>
    <xf numFmtId="164" fontId="11" fillId="79" borderId="39" xfId="0" applyNumberFormat="1" applyFont="1" applyFill="1" applyBorder="1" applyAlignment="1">
      <alignment horizontal="centerContinuous" wrapText="1" readingOrder="1"/>
    </xf>
    <xf numFmtId="164" fontId="11" fillId="79" borderId="61" xfId="0" applyNumberFormat="1" applyFont="1" applyFill="1" applyBorder="1" applyAlignment="1">
      <alignment horizontal="centerContinuous" wrapText="1" readingOrder="1"/>
    </xf>
    <xf numFmtId="164" fontId="11" fillId="79" borderId="8" xfId="0" applyNumberFormat="1" applyFont="1" applyFill="1" applyBorder="1" applyAlignment="1">
      <alignment horizontal="centerContinuous" wrapText="1" readingOrder="1"/>
    </xf>
    <xf numFmtId="164" fontId="11" fillId="79" borderId="14" xfId="0" applyNumberFormat="1" applyFont="1" applyFill="1" applyBorder="1" applyAlignment="1">
      <alignment horizontal="center" wrapText="1" readingOrder="1"/>
    </xf>
    <xf numFmtId="178" fontId="11" fillId="10" borderId="7" xfId="0" applyNumberFormat="1" applyFont="1" applyFill="1" applyBorder="1" applyAlignment="1">
      <alignment horizontal="center" wrapText="1" readingOrder="1"/>
    </xf>
    <xf numFmtId="164" fontId="82" fillId="0" borderId="0" xfId="0" applyNumberFormat="1" applyFont="1">
      <alignment readingOrder="1"/>
    </xf>
    <xf numFmtId="0" fontId="11" fillId="11" borderId="39" xfId="0" applyFont="1" applyFill="1" applyBorder="1" applyAlignment="1">
      <alignment horizontal="centerContinuous" wrapText="1" readingOrder="1"/>
    </xf>
    <xf numFmtId="0" fontId="11" fillId="11" borderId="61" xfId="0" applyFont="1" applyFill="1" applyBorder="1" applyAlignment="1">
      <alignment horizontal="centerContinuous" wrapText="1" readingOrder="1"/>
    </xf>
    <xf numFmtId="164" fontId="11" fillId="11" borderId="61" xfId="0" applyNumberFormat="1" applyFont="1" applyFill="1" applyBorder="1" applyAlignment="1">
      <alignment horizontal="centerContinuous" wrapText="1" readingOrder="1"/>
    </xf>
    <xf numFmtId="164" fontId="11" fillId="11" borderId="14" xfId="0" applyNumberFormat="1" applyFont="1" applyFill="1" applyBorder="1" applyAlignment="1">
      <alignment horizontal="center" wrapText="1" readingOrder="1"/>
    </xf>
    <xf numFmtId="164" fontId="11" fillId="11" borderId="39" xfId="0" applyNumberFormat="1" applyFont="1" applyFill="1" applyBorder="1" applyAlignment="1">
      <alignment horizontal="centerContinuous" wrapText="1" readingOrder="1"/>
    </xf>
    <xf numFmtId="179" fontId="12" fillId="0" borderId="0" xfId="0" applyNumberFormat="1" applyFont="1">
      <alignment readingOrder="1"/>
    </xf>
    <xf numFmtId="179" fontId="0" fillId="0" borderId="0" xfId="0" applyNumberFormat="1">
      <alignment readingOrder="1"/>
    </xf>
    <xf numFmtId="179" fontId="82" fillId="0" borderId="0" xfId="0" applyNumberFormat="1" applyFont="1">
      <alignment readingOrder="1"/>
    </xf>
    <xf numFmtId="9" fontId="0" fillId="0" borderId="38" xfId="0" applyNumberFormat="1" applyBorder="1">
      <alignment readingOrder="1"/>
    </xf>
    <xf numFmtId="9" fontId="47" fillId="56" borderId="6" xfId="9" applyFont="1" applyFill="1" applyBorder="1"/>
    <xf numFmtId="0" fontId="58" fillId="0" borderId="0" xfId="0" applyFont="1" applyAlignment="1">
      <alignment horizontal="left" wrapText="1" readingOrder="1"/>
    </xf>
    <xf numFmtId="0" fontId="0" fillId="0" borderId="0" xfId="0" applyFill="1"/>
    <xf numFmtId="14" fontId="0" fillId="0" borderId="0" xfId="0" applyNumberFormat="1" applyFill="1"/>
    <xf numFmtId="22" fontId="0" fillId="0" borderId="0" xfId="0" applyNumberFormat="1" applyFill="1"/>
    <xf numFmtId="2" fontId="0" fillId="0" borderId="0" xfId="0" applyNumberFormat="1" applyFill="1">
      <alignment readingOrder="1"/>
    </xf>
    <xf numFmtId="1" fontId="0" fillId="0" borderId="0" xfId="9" applyNumberFormat="1" applyFont="1" applyFill="1">
      <alignment readingOrder="1"/>
    </xf>
    <xf numFmtId="0" fontId="0" fillId="80" borderId="0" xfId="0" applyFill="1">
      <alignment readingOrder="1"/>
    </xf>
    <xf numFmtId="0" fontId="0" fillId="80" borderId="5" xfId="0" applyFill="1" applyBorder="1">
      <alignment readingOrder="1"/>
    </xf>
    <xf numFmtId="0" fontId="0" fillId="80" borderId="5" xfId="0" applyFill="1" applyBorder="1" applyAlignment="1">
      <alignment horizontal="center" readingOrder="1"/>
    </xf>
    <xf numFmtId="9" fontId="0" fillId="80" borderId="5" xfId="9" applyFont="1" applyFill="1" applyBorder="1" applyAlignment="1">
      <alignment horizontal="center" readingOrder="1"/>
    </xf>
    <xf numFmtId="1" fontId="0" fillId="80" borderId="5" xfId="0" applyNumberFormat="1" applyFill="1" applyBorder="1" applyAlignment="1">
      <alignment horizontal="center" readingOrder="1"/>
    </xf>
    <xf numFmtId="1" fontId="0" fillId="80" borderId="0" xfId="0" applyNumberFormat="1" applyFill="1" applyBorder="1" applyAlignment="1">
      <alignment horizontal="center" readingOrder="1"/>
    </xf>
    <xf numFmtId="164" fontId="0" fillId="80" borderId="5" xfId="0" applyNumberFormat="1" applyFill="1" applyBorder="1" applyAlignment="1">
      <alignment horizontal="center" readingOrder="1"/>
    </xf>
    <xf numFmtId="0" fontId="0" fillId="81" borderId="0" xfId="0" applyFill="1">
      <alignment readingOrder="1"/>
    </xf>
    <xf numFmtId="0" fontId="0" fillId="81" borderId="5" xfId="0" applyFill="1" applyBorder="1">
      <alignment readingOrder="1"/>
    </xf>
    <xf numFmtId="0" fontId="0" fillId="81" borderId="5" xfId="0" applyFill="1" applyBorder="1" applyAlignment="1">
      <alignment horizontal="center" readingOrder="1"/>
    </xf>
    <xf numFmtId="9" fontId="0" fillId="81" borderId="5" xfId="9" applyFont="1" applyFill="1" applyBorder="1" applyAlignment="1">
      <alignment horizontal="center" readingOrder="1"/>
    </xf>
    <xf numFmtId="1" fontId="0" fillId="81" borderId="5" xfId="0" applyNumberFormat="1" applyFill="1" applyBorder="1" applyAlignment="1">
      <alignment horizontal="center" readingOrder="1"/>
    </xf>
    <xf numFmtId="1" fontId="0" fillId="81" borderId="0" xfId="0" applyNumberFormat="1" applyFill="1" applyBorder="1" applyAlignment="1">
      <alignment horizontal="center" readingOrder="1"/>
    </xf>
    <xf numFmtId="164" fontId="0" fillId="81" borderId="5" xfId="0" applyNumberFormat="1" applyFill="1" applyBorder="1" applyAlignment="1">
      <alignment horizontal="center" readingOrder="1"/>
    </xf>
    <xf numFmtId="44" fontId="6" fillId="6" borderId="0" xfId="1" applyFont="1" applyFill="1" applyBorder="1" applyAlignment="1">
      <alignment wrapText="1"/>
    </xf>
    <xf numFmtId="2" fontId="0" fillId="59" borderId="0" xfId="0" applyNumberFormat="1" applyFill="1" applyAlignment="1">
      <alignment horizontal="center" readingOrder="1"/>
    </xf>
    <xf numFmtId="43" fontId="0" fillId="59" borderId="0" xfId="239" applyFont="1" applyFill="1" applyAlignment="1">
      <alignment horizontal="center" readingOrder="1"/>
    </xf>
    <xf numFmtId="10" fontId="0" fillId="0" borderId="0" xfId="0" applyNumberFormat="1">
      <alignment readingOrder="1"/>
    </xf>
    <xf numFmtId="1" fontId="0" fillId="0" borderId="0" xfId="0" applyNumberFormat="1" applyAlignment="1">
      <alignment horizontal="center" readingOrder="1"/>
    </xf>
    <xf numFmtId="173" fontId="0" fillId="0" borderId="0" xfId="0" applyNumberFormat="1" applyFill="1">
      <alignment readingOrder="1"/>
    </xf>
    <xf numFmtId="0" fontId="0" fillId="56" borderId="0" xfId="0" applyFill="1" applyAlignment="1">
      <alignment vertical="center" wrapText="1" readingOrder="1"/>
    </xf>
    <xf numFmtId="164" fontId="0" fillId="77" borderId="0" xfId="0" applyNumberFormat="1" applyFill="1">
      <alignment readingOrder="1"/>
    </xf>
    <xf numFmtId="1" fontId="0" fillId="77" borderId="0" xfId="0" applyNumberFormat="1" applyFill="1">
      <alignment readingOrder="1"/>
    </xf>
    <xf numFmtId="0" fontId="0" fillId="55" borderId="0" xfId="0" applyFill="1" applyAlignment="1">
      <alignment horizontal="left" vertical="center" readingOrder="1"/>
    </xf>
    <xf numFmtId="0" fontId="11" fillId="3" borderId="1" xfId="2" applyFont="1" applyFill="1" applyBorder="1" applyAlignment="1">
      <alignment horizontal="center"/>
    </xf>
    <xf numFmtId="0" fontId="11" fillId="3" borderId="4" xfId="2" applyFont="1" applyFill="1" applyBorder="1" applyAlignment="1">
      <alignment horizontal="center"/>
    </xf>
    <xf numFmtId="0" fontId="11" fillId="3" borderId="3" xfId="2" applyFont="1" applyFill="1" applyBorder="1" applyAlignment="1">
      <alignment horizontal="center"/>
    </xf>
    <xf numFmtId="0" fontId="8" fillId="4" borderId="2" xfId="0" applyFont="1" applyFill="1" applyBorder="1" applyAlignment="1">
      <alignment horizontal="center"/>
    </xf>
    <xf numFmtId="0" fontId="12" fillId="0" borderId="2" xfId="0" applyFont="1" applyBorder="1" applyAlignment="1">
      <alignment horizontal="center"/>
    </xf>
    <xf numFmtId="0" fontId="12" fillId="61" borderId="5" xfId="2" applyFont="1" applyFill="1" applyBorder="1" applyAlignment="1">
      <alignment horizontal="center"/>
    </xf>
    <xf numFmtId="0" fontId="12" fillId="57" borderId="49" xfId="0" applyFont="1" applyFill="1" applyBorder="1" applyAlignment="1">
      <alignment horizontal="center" vertical="center" wrapText="1" readingOrder="1"/>
    </xf>
    <xf numFmtId="0" fontId="12" fillId="57" borderId="50" xfId="0" applyFont="1" applyFill="1" applyBorder="1" applyAlignment="1">
      <alignment horizontal="center" vertical="center" wrapText="1" readingOrder="1"/>
    </xf>
    <xf numFmtId="0" fontId="12" fillId="0" borderId="27" xfId="0" applyFont="1" applyBorder="1" applyAlignment="1">
      <alignment horizontal="center" readingOrder="1"/>
    </xf>
    <xf numFmtId="0" fontId="12" fillId="0" borderId="28" xfId="0" applyFont="1" applyBorder="1" applyAlignment="1">
      <alignment horizontal="center" readingOrder="1"/>
    </xf>
    <xf numFmtId="0" fontId="12" fillId="0" borderId="36" xfId="0" applyFont="1" applyBorder="1" applyAlignment="1">
      <alignment horizontal="center" readingOrder="1"/>
    </xf>
    <xf numFmtId="1" fontId="12" fillId="56" borderId="49" xfId="0" applyNumberFormat="1" applyFont="1" applyFill="1" applyBorder="1" applyAlignment="1">
      <alignment horizontal="center" vertical="center" wrapText="1" readingOrder="1"/>
    </xf>
    <xf numFmtId="1" fontId="12" fillId="56" borderId="50" xfId="0" applyNumberFormat="1" applyFont="1" applyFill="1" applyBorder="1" applyAlignment="1">
      <alignment horizontal="center" vertical="center" wrapText="1" readingOrder="1"/>
    </xf>
    <xf numFmtId="1" fontId="69" fillId="0" borderId="52" xfId="0" applyNumberFormat="1" applyFont="1" applyBorder="1" applyAlignment="1">
      <alignment horizontal="center" vertical="center" readingOrder="1"/>
    </xf>
    <xf numFmtId="1" fontId="69" fillId="0" borderId="14" xfId="0" applyNumberFormat="1" applyFont="1" applyBorder="1" applyAlignment="1">
      <alignment horizontal="center" vertical="center" readingOrder="1"/>
    </xf>
    <xf numFmtId="1" fontId="69" fillId="0" borderId="53" xfId="0" applyNumberFormat="1" applyFont="1" applyBorder="1" applyAlignment="1">
      <alignment horizontal="center" vertical="center" readingOrder="1"/>
    </xf>
    <xf numFmtId="1" fontId="69" fillId="0" borderId="55" xfId="0" applyNumberFormat="1" applyFont="1" applyBorder="1" applyAlignment="1">
      <alignment horizontal="center" vertical="center" readingOrder="1"/>
    </xf>
    <xf numFmtId="1" fontId="69" fillId="0" borderId="56" xfId="0" applyNumberFormat="1" applyFont="1" applyBorder="1" applyAlignment="1">
      <alignment horizontal="center" vertical="center" readingOrder="1"/>
    </xf>
    <xf numFmtId="1" fontId="69" fillId="0" borderId="57" xfId="0" applyNumberFormat="1" applyFont="1" applyBorder="1" applyAlignment="1">
      <alignment horizontal="center" vertical="center" readingOrder="1"/>
    </xf>
    <xf numFmtId="164" fontId="69" fillId="0" borderId="52" xfId="0" applyNumberFormat="1" applyFont="1" applyBorder="1" applyAlignment="1">
      <alignment horizontal="center" vertical="center" readingOrder="1"/>
    </xf>
    <xf numFmtId="164" fontId="69" fillId="0" borderId="14" xfId="0" applyNumberFormat="1" applyFont="1" applyBorder="1" applyAlignment="1">
      <alignment horizontal="center" vertical="center" readingOrder="1"/>
    </xf>
    <xf numFmtId="164" fontId="69" fillId="0" borderId="53" xfId="0" applyNumberFormat="1" applyFont="1" applyBorder="1" applyAlignment="1">
      <alignment horizontal="center" vertical="center" readingOrder="1"/>
    </xf>
    <xf numFmtId="164" fontId="69" fillId="0" borderId="55" xfId="0" applyNumberFormat="1" applyFont="1" applyBorder="1" applyAlignment="1">
      <alignment horizontal="center" vertical="center" readingOrder="1"/>
    </xf>
    <xf numFmtId="164" fontId="69" fillId="0" borderId="56" xfId="0" applyNumberFormat="1" applyFont="1" applyBorder="1" applyAlignment="1">
      <alignment horizontal="center" vertical="center" readingOrder="1"/>
    </xf>
    <xf numFmtId="164" fontId="69" fillId="0" borderId="57" xfId="0" applyNumberFormat="1" applyFont="1" applyBorder="1" applyAlignment="1">
      <alignment horizontal="center" vertical="center" readingOrder="1"/>
    </xf>
    <xf numFmtId="173" fontId="69" fillId="0" borderId="52" xfId="0" applyNumberFormat="1" applyFont="1" applyBorder="1" applyAlignment="1">
      <alignment horizontal="center" vertical="center" readingOrder="1"/>
    </xf>
    <xf numFmtId="173" fontId="69" fillId="0" borderId="14" xfId="0" applyNumberFormat="1" applyFont="1" applyBorder="1" applyAlignment="1">
      <alignment horizontal="center" vertical="center" readingOrder="1"/>
    </xf>
    <xf numFmtId="173" fontId="69" fillId="0" borderId="53" xfId="0" applyNumberFormat="1" applyFont="1" applyBorder="1" applyAlignment="1">
      <alignment horizontal="center" vertical="center" readingOrder="1"/>
    </xf>
    <xf numFmtId="173" fontId="69" fillId="0" borderId="55" xfId="0" applyNumberFormat="1" applyFont="1" applyBorder="1" applyAlignment="1">
      <alignment horizontal="center" vertical="center" readingOrder="1"/>
    </xf>
    <xf numFmtId="173" fontId="69" fillId="0" borderId="56" xfId="0" applyNumberFormat="1" applyFont="1" applyBorder="1" applyAlignment="1">
      <alignment horizontal="center" vertical="center" readingOrder="1"/>
    </xf>
    <xf numFmtId="173" fontId="69" fillId="0" borderId="57" xfId="0" applyNumberFormat="1" applyFont="1" applyBorder="1" applyAlignment="1">
      <alignment horizontal="center" vertical="center" readingOrder="1"/>
    </xf>
    <xf numFmtId="0" fontId="12" fillId="57" borderId="5" xfId="0" applyFont="1" applyFill="1" applyBorder="1" applyAlignment="1">
      <alignment horizontal="center" vertical="center" wrapText="1" readingOrder="1"/>
    </xf>
    <xf numFmtId="0" fontId="12" fillId="57" borderId="5" xfId="0" applyFont="1" applyFill="1" applyBorder="1" applyAlignment="1">
      <alignment horizontal="center" wrapText="1" readingOrder="1"/>
    </xf>
    <xf numFmtId="0" fontId="12" fillId="69" borderId="5" xfId="0" applyFont="1" applyFill="1" applyBorder="1" applyAlignment="1">
      <alignment horizontal="center" vertical="center" wrapText="1" readingOrder="1"/>
    </xf>
    <xf numFmtId="0" fontId="12" fillId="70" borderId="5" xfId="0" applyFont="1" applyFill="1" applyBorder="1" applyAlignment="1">
      <alignment horizontal="center" vertical="center" wrapText="1" readingOrder="1"/>
    </xf>
    <xf numFmtId="0" fontId="12" fillId="8" borderId="5" xfId="0" applyFont="1" applyFill="1" applyBorder="1" applyAlignment="1">
      <alignment horizontal="center" vertical="center" wrapText="1" readingOrder="1"/>
    </xf>
    <xf numFmtId="173" fontId="0" fillId="57" borderId="5" xfId="0" applyNumberFormat="1" applyFill="1" applyBorder="1" applyAlignment="1">
      <alignment horizontal="center" readingOrder="1"/>
    </xf>
    <xf numFmtId="173" fontId="0" fillId="70" borderId="5" xfId="0" applyNumberFormat="1" applyFill="1" applyBorder="1" applyAlignment="1">
      <alignment horizontal="center" readingOrder="1"/>
    </xf>
    <xf numFmtId="173" fontId="0" fillId="69" borderId="5" xfId="0" applyNumberFormat="1" applyFill="1" applyBorder="1" applyAlignment="1">
      <alignment horizontal="center" readingOrder="1"/>
    </xf>
    <xf numFmtId="173" fontId="0" fillId="8" borderId="5" xfId="0" applyNumberFormat="1" applyFill="1" applyBorder="1" applyAlignment="1">
      <alignment horizontal="center" readingOrder="1"/>
    </xf>
    <xf numFmtId="173" fontId="0" fillId="57" borderId="6" xfId="0" applyNumberFormat="1" applyFill="1" applyBorder="1" applyAlignment="1">
      <alignment horizontal="center" readingOrder="1"/>
    </xf>
    <xf numFmtId="173" fontId="0" fillId="57" borderId="14" xfId="0" applyNumberFormat="1" applyFill="1" applyBorder="1" applyAlignment="1">
      <alignment horizontal="center" readingOrder="1"/>
    </xf>
    <xf numFmtId="173" fontId="0" fillId="57" borderId="7" xfId="0" applyNumberFormat="1" applyFill="1" applyBorder="1" applyAlignment="1">
      <alignment horizontal="center" readingOrder="1"/>
    </xf>
    <xf numFmtId="173" fontId="0" fillId="69" borderId="6" xfId="0" applyNumberFormat="1" applyFill="1" applyBorder="1" applyAlignment="1">
      <alignment horizontal="center" readingOrder="1"/>
    </xf>
    <xf numFmtId="173" fontId="0" fillId="69" borderId="14" xfId="0" applyNumberFormat="1" applyFill="1" applyBorder="1" applyAlignment="1">
      <alignment horizontal="center" readingOrder="1"/>
    </xf>
    <xf numFmtId="173" fontId="0" fillId="69" borderId="7" xfId="0" applyNumberFormat="1" applyFill="1" applyBorder="1" applyAlignment="1">
      <alignment horizontal="center" readingOrder="1"/>
    </xf>
    <xf numFmtId="173" fontId="0" fillId="70" borderId="6" xfId="0" applyNumberFormat="1" applyFill="1" applyBorder="1" applyAlignment="1">
      <alignment horizontal="center" readingOrder="1"/>
    </xf>
    <xf numFmtId="173" fontId="0" fillId="70" borderId="14" xfId="0" applyNumberFormat="1" applyFill="1" applyBorder="1" applyAlignment="1">
      <alignment horizontal="center" readingOrder="1"/>
    </xf>
    <xf numFmtId="173" fontId="0" fillId="70" borderId="7" xfId="0" applyNumberFormat="1" applyFill="1" applyBorder="1" applyAlignment="1">
      <alignment horizontal="center" readingOrder="1"/>
    </xf>
    <xf numFmtId="173" fontId="0" fillId="8" borderId="6" xfId="0" applyNumberFormat="1" applyFill="1" applyBorder="1" applyAlignment="1">
      <alignment horizontal="center" readingOrder="1"/>
    </xf>
    <xf numFmtId="173" fontId="0" fillId="8" borderId="14" xfId="0" applyNumberFormat="1" applyFill="1" applyBorder="1" applyAlignment="1">
      <alignment horizontal="center" readingOrder="1"/>
    </xf>
    <xf numFmtId="173" fontId="0" fillId="8" borderId="7" xfId="0" applyNumberFormat="1" applyFill="1" applyBorder="1" applyAlignment="1">
      <alignment horizontal="center" readingOrder="1"/>
    </xf>
    <xf numFmtId="0" fontId="60" fillId="58" borderId="0" xfId="0" applyFont="1" applyFill="1" applyAlignment="1">
      <alignment horizontal="left" wrapText="1" readingOrder="1"/>
    </xf>
    <xf numFmtId="43" fontId="0" fillId="0" borderId="0" xfId="0" applyNumberFormat="1" applyAlignment="1">
      <alignment horizontal="center" vertical="center" wrapText="1" readingOrder="1"/>
    </xf>
    <xf numFmtId="173" fontId="0" fillId="0" borderId="0" xfId="0" applyNumberFormat="1" applyAlignment="1">
      <alignment horizontal="center" vertical="center" readingOrder="1"/>
    </xf>
    <xf numFmtId="1" fontId="0" fillId="0" borderId="0" xfId="0" applyNumberFormat="1" applyAlignment="1">
      <alignment horizontal="center" vertical="center" readingOrder="1"/>
    </xf>
    <xf numFmtId="0" fontId="12" fillId="8" borderId="0" xfId="0" applyFont="1" applyFill="1" applyAlignment="1">
      <alignment vertical="center" wrapText="1" readingOrder="1"/>
    </xf>
    <xf numFmtId="0" fontId="12" fillId="0" borderId="5" xfId="0" applyFont="1" applyBorder="1" applyAlignment="1">
      <alignment horizontal="center" readingOrder="1"/>
    </xf>
    <xf numFmtId="1" fontId="12" fillId="0" borderId="5" xfId="0" applyNumberFormat="1" applyFont="1" applyBorder="1" applyAlignment="1">
      <alignment horizontal="center" readingOrder="1"/>
    </xf>
    <xf numFmtId="0" fontId="12" fillId="57" borderId="0" xfId="0" applyFont="1" applyFill="1" applyAlignment="1">
      <alignment vertical="center" wrapText="1" readingOrder="1"/>
    </xf>
    <xf numFmtId="0" fontId="12" fillId="69" borderId="0" xfId="0" applyFont="1" applyFill="1" applyAlignment="1">
      <alignment vertical="center" wrapText="1" readingOrder="1"/>
    </xf>
    <xf numFmtId="0" fontId="12" fillId="70" borderId="0" xfId="0" applyFont="1" applyFill="1" applyAlignment="1">
      <alignment vertical="center" wrapText="1" readingOrder="1"/>
    </xf>
    <xf numFmtId="164" fontId="12" fillId="0" borderId="5" xfId="0" applyNumberFormat="1" applyFont="1" applyBorder="1" applyAlignment="1">
      <alignment horizontal="center" readingOrder="1"/>
    </xf>
    <xf numFmtId="0" fontId="58" fillId="0" borderId="0" xfId="0" applyFont="1" applyAlignment="1">
      <alignment horizontal="left" wrapText="1" readingOrder="1"/>
    </xf>
    <xf numFmtId="0" fontId="53" fillId="62" borderId="40" xfId="0" applyFont="1" applyFill="1" applyBorder="1" applyAlignment="1">
      <alignment horizontal="left" wrapText="1"/>
    </xf>
    <xf numFmtId="0" fontId="53" fillId="62" borderId="43" xfId="0" applyFont="1" applyFill="1" applyBorder="1" applyAlignment="1">
      <alignment horizontal="left" wrapText="1"/>
    </xf>
    <xf numFmtId="0" fontId="53" fillId="63" borderId="41" xfId="0" applyFont="1" applyFill="1" applyBorder="1" applyAlignment="1">
      <alignment horizontal="center" vertical="center" wrapText="1"/>
    </xf>
    <xf numFmtId="0" fontId="53" fillId="63" borderId="42" xfId="0" applyFont="1" applyFill="1" applyBorder="1" applyAlignment="1">
      <alignment horizontal="center" vertical="center" wrapText="1"/>
    </xf>
    <xf numFmtId="0" fontId="57" fillId="0" borderId="0" xfId="0" applyFont="1" applyBorder="1" applyAlignment="1">
      <alignment wrapText="1"/>
    </xf>
  </cellXfs>
  <cellStyles count="531">
    <cellStyle name="20% - Accent1 2" xfId="15"/>
    <cellStyle name="20% - Accent1 2 2" xfId="242"/>
    <cellStyle name="20% - Accent1 3" xfId="243"/>
    <cellStyle name="20% - Accent1 3 2" xfId="367"/>
    <cellStyle name="20% - Accent1 4" xfId="368"/>
    <cellStyle name="20% - Accent1 4 2" xfId="369"/>
    <cellStyle name="20% - Accent1 5" xfId="370"/>
    <cellStyle name="20% - Accent2 2" xfId="16"/>
    <cellStyle name="20% - Accent2 2 2" xfId="371"/>
    <cellStyle name="20% - Accent2 3" xfId="244"/>
    <cellStyle name="20% - Accent2 3 2" xfId="372"/>
    <cellStyle name="20% - Accent2 4" xfId="373"/>
    <cellStyle name="20% - Accent2 4 2" xfId="374"/>
    <cellStyle name="20% - Accent2 5" xfId="375"/>
    <cellStyle name="20% - Accent3 2" xfId="17"/>
    <cellStyle name="20% - Accent3 2 2" xfId="245"/>
    <cellStyle name="20% - Accent3 3" xfId="246"/>
    <cellStyle name="20% - Accent3 3 2" xfId="376"/>
    <cellStyle name="20% - Accent3 4" xfId="377"/>
    <cellStyle name="20% - Accent3 4 2" xfId="378"/>
    <cellStyle name="20% - Accent3 5" xfId="379"/>
    <cellStyle name="20% - Accent4 2" xfId="18"/>
    <cellStyle name="20% - Accent4 2 2" xfId="247"/>
    <cellStyle name="20% - Accent4 3" xfId="248"/>
    <cellStyle name="20% - Accent4 3 2" xfId="380"/>
    <cellStyle name="20% - Accent4 4" xfId="381"/>
    <cellStyle name="20% - Accent4 4 2" xfId="382"/>
    <cellStyle name="20% - Accent4 5" xfId="383"/>
    <cellStyle name="20% - Accent5 2" xfId="19"/>
    <cellStyle name="20% - Accent5 2 2" xfId="384"/>
    <cellStyle name="20% - Accent5 3" xfId="249"/>
    <cellStyle name="20% - Accent5 3 2" xfId="385"/>
    <cellStyle name="20% - Accent5 4" xfId="386"/>
    <cellStyle name="20% - Accent5 4 2" xfId="387"/>
    <cellStyle name="20% - Accent5 5" xfId="388"/>
    <cellStyle name="20% - Accent6 2" xfId="20"/>
    <cellStyle name="20% - Accent6 2 2" xfId="389"/>
    <cellStyle name="20% - Accent6 3" xfId="250"/>
    <cellStyle name="20% - Accent6 3 2" xfId="390"/>
    <cellStyle name="20% - Accent6 4" xfId="391"/>
    <cellStyle name="20% - Accent6 4 2" xfId="392"/>
    <cellStyle name="20% - Accent6 5" xfId="393"/>
    <cellStyle name="40% - Accent1 2" xfId="21"/>
    <cellStyle name="40% - Accent1 2 2" xfId="251"/>
    <cellStyle name="40% - Accent1 3" xfId="252"/>
    <cellStyle name="40% - Accent1 3 2" xfId="394"/>
    <cellStyle name="40% - Accent1 4" xfId="395"/>
    <cellStyle name="40% - Accent1 4 2" xfId="396"/>
    <cellStyle name="40% - Accent1 5" xfId="397"/>
    <cellStyle name="40% - Accent2 2" xfId="22"/>
    <cellStyle name="40% - Accent2 2 2" xfId="253"/>
    <cellStyle name="40% - Accent2 3" xfId="254"/>
    <cellStyle name="40% - Accent2 3 2" xfId="398"/>
    <cellStyle name="40% - Accent2 4" xfId="399"/>
    <cellStyle name="40% - Accent2 4 2" xfId="400"/>
    <cellStyle name="40% - Accent2 5" xfId="401"/>
    <cellStyle name="40% - Accent3 2" xfId="23"/>
    <cellStyle name="40% - Accent3 2 2" xfId="255"/>
    <cellStyle name="40% - Accent3 3" xfId="256"/>
    <cellStyle name="40% - Accent3 3 2" xfId="402"/>
    <cellStyle name="40% - Accent3 4" xfId="403"/>
    <cellStyle name="40% - Accent3 4 2" xfId="404"/>
    <cellStyle name="40% - Accent3 5" xfId="405"/>
    <cellStyle name="40% - Accent4 2" xfId="24"/>
    <cellStyle name="40% - Accent4 2 2" xfId="257"/>
    <cellStyle name="40% - Accent4 3" xfId="258"/>
    <cellStyle name="40% - Accent4 3 2" xfId="406"/>
    <cellStyle name="40% - Accent4 4" xfId="407"/>
    <cellStyle name="40% - Accent4 4 2" xfId="408"/>
    <cellStyle name="40% - Accent4 5" xfId="409"/>
    <cellStyle name="40% - Accent5 2" xfId="25"/>
    <cellStyle name="40% - Accent5 2 2" xfId="410"/>
    <cellStyle name="40% - Accent5 3" xfId="259"/>
    <cellStyle name="40% - Accent5 3 2" xfId="411"/>
    <cellStyle name="40% - Accent5 4" xfId="412"/>
    <cellStyle name="40% - Accent5 4 2" xfId="413"/>
    <cellStyle name="40% - Accent5 5" xfId="414"/>
    <cellStyle name="40% - Accent6 2" xfId="26"/>
    <cellStyle name="40% - Accent6 2 2" xfId="260"/>
    <cellStyle name="40% - Accent6 3" xfId="261"/>
    <cellStyle name="40% - Accent6 3 2" xfId="415"/>
    <cellStyle name="40% - Accent6 4" xfId="416"/>
    <cellStyle name="40% - Accent6 4 2" xfId="417"/>
    <cellStyle name="40% - Accent6 5" xfId="418"/>
    <cellStyle name="60% - Accent1 2" xfId="27"/>
    <cellStyle name="60% - Accent1 2 2" xfId="262"/>
    <cellStyle name="60% - Accent1 3" xfId="263"/>
    <cellStyle name="60% - Accent2 2" xfId="28"/>
    <cellStyle name="60% - Accent2 2 2" xfId="264"/>
    <cellStyle name="60% - Accent2 3" xfId="265"/>
    <cellStyle name="60% - Accent3 2" xfId="29"/>
    <cellStyle name="60% - Accent3 2 2" xfId="266"/>
    <cellStyle name="60% - Accent3 3" xfId="267"/>
    <cellStyle name="60% - Accent4 2" xfId="30"/>
    <cellStyle name="60% - Accent4 2 2" xfId="268"/>
    <cellStyle name="60% - Accent4 3" xfId="269"/>
    <cellStyle name="60% - Accent5 2" xfId="31"/>
    <cellStyle name="60% - Accent5 3" xfId="270"/>
    <cellStyle name="60% - Accent6 2" xfId="32"/>
    <cellStyle name="60% - Accent6 2 2" xfId="271"/>
    <cellStyle name="60% - Accent6 3" xfId="272"/>
    <cellStyle name="Accent1 - 20%" xfId="33"/>
    <cellStyle name="Accent1 - 40%" xfId="34"/>
    <cellStyle name="Accent1 - 60%" xfId="35"/>
    <cellStyle name="Accent1 2" xfId="36"/>
    <cellStyle name="Accent1 2 2" xfId="273"/>
    <cellStyle name="Accent1 3" xfId="274"/>
    <cellStyle name="Accent2 - 20%" xfId="37"/>
    <cellStyle name="Accent2 - 40%" xfId="38"/>
    <cellStyle name="Accent2 - 60%" xfId="39"/>
    <cellStyle name="Accent2 2" xfId="40"/>
    <cellStyle name="Accent2 3" xfId="275"/>
    <cellStyle name="Accent3 - 20%" xfId="41"/>
    <cellStyle name="Accent3 - 40%" xfId="42"/>
    <cellStyle name="Accent3 - 60%" xfId="43"/>
    <cellStyle name="Accent3 2" xfId="44"/>
    <cellStyle name="Accent3 2 2" xfId="276"/>
    <cellStyle name="Accent3 3" xfId="277"/>
    <cellStyle name="Accent4 - 20%" xfId="45"/>
    <cellStyle name="Accent4 - 40%" xfId="46"/>
    <cellStyle name="Accent4 - 60%" xfId="47"/>
    <cellStyle name="Accent4 2" xfId="48"/>
    <cellStyle name="Accent4 2 2" xfId="278"/>
    <cellStyle name="Accent4 3" xfId="279"/>
    <cellStyle name="Accent5 - 20%" xfId="49"/>
    <cellStyle name="Accent5 - 40%" xfId="50"/>
    <cellStyle name="Accent5 - 60%" xfId="51"/>
    <cellStyle name="Accent5 2" xfId="52"/>
    <cellStyle name="Accent5 3" xfId="280"/>
    <cellStyle name="Accent6 - 20%" xfId="53"/>
    <cellStyle name="Accent6 - 40%" xfId="54"/>
    <cellStyle name="Accent6 - 60%" xfId="55"/>
    <cellStyle name="Accent6 2" xfId="56"/>
    <cellStyle name="Accent6 3" xfId="281"/>
    <cellStyle name="Bad 2" xfId="57"/>
    <cellStyle name="Bad 2 2" xfId="282"/>
    <cellStyle name="Bad 3" xfId="283"/>
    <cellStyle name="Calculation 2" xfId="58"/>
    <cellStyle name="Calculation 2 2" xfId="284"/>
    <cellStyle name="Calculation 3" xfId="285"/>
    <cellStyle name="Check Cell 2" xfId="59"/>
    <cellStyle name="Check Cell 3" xfId="286"/>
    <cellStyle name="Comma" xfId="239" builtinId="3"/>
    <cellStyle name="Comma [0] 2" xfId="60"/>
    <cellStyle name="Comma 10" xfId="419"/>
    <cellStyle name="Comma 11" xfId="420"/>
    <cellStyle name="Comma 2" xfId="61"/>
    <cellStyle name="Comma 2 2" xfId="62"/>
    <cellStyle name="Comma 2 2 2" xfId="63"/>
    <cellStyle name="Comma 2 2 3" xfId="287"/>
    <cellStyle name="Comma 2 2 3 2" xfId="421"/>
    <cellStyle name="Comma 2 2 4" xfId="422"/>
    <cellStyle name="Comma 2 2 4 2" xfId="423"/>
    <cellStyle name="Comma 2 2 5" xfId="424"/>
    <cellStyle name="Comma 2 2 5 2" xfId="425"/>
    <cellStyle name="Comma 2 2 6" xfId="426"/>
    <cellStyle name="Comma 2 2 6 2" xfId="427"/>
    <cellStyle name="Comma 2 2 7" xfId="428"/>
    <cellStyle name="Comma 2 2 8" xfId="429"/>
    <cellStyle name="Comma 2 3" xfId="64"/>
    <cellStyle name="Comma 2 3 2" xfId="430"/>
    <cellStyle name="Comma 2 4" xfId="288"/>
    <cellStyle name="Comma 2 5" xfId="289"/>
    <cellStyle name="Comma 3" xfId="65"/>
    <cellStyle name="Comma 3 10" xfId="431"/>
    <cellStyle name="Comma 3 2" xfId="66"/>
    <cellStyle name="Comma 3 2 2" xfId="67"/>
    <cellStyle name="Comma 3 2 3" xfId="290"/>
    <cellStyle name="Comma 3 3" xfId="68"/>
    <cellStyle name="Comma 3 3 2" xfId="69"/>
    <cellStyle name="Comma 3 3 3" xfId="70"/>
    <cellStyle name="Comma 3 3 4" xfId="71"/>
    <cellStyle name="Comma 3 4" xfId="291"/>
    <cellStyle name="Comma 3 4 2" xfId="432"/>
    <cellStyle name="Comma 3 5" xfId="433"/>
    <cellStyle name="Comma 3 5 2" xfId="434"/>
    <cellStyle name="Comma 3 6" xfId="435"/>
    <cellStyle name="Comma 3 6 2" xfId="436"/>
    <cellStyle name="Comma 3 7" xfId="437"/>
    <cellStyle name="Comma 3 8" xfId="438"/>
    <cellStyle name="Comma 3 9" xfId="439"/>
    <cellStyle name="Comma 4" xfId="72"/>
    <cellStyle name="Comma 4 2" xfId="73"/>
    <cellStyle name="Comma 4 2 2" xfId="74"/>
    <cellStyle name="Comma 4 3" xfId="75"/>
    <cellStyle name="Comma 5" xfId="76"/>
    <cellStyle name="Comma 5 2" xfId="77"/>
    <cellStyle name="Comma 5 3" xfId="78"/>
    <cellStyle name="Comma 6" xfId="79"/>
    <cellStyle name="Comma 7" xfId="80"/>
    <cellStyle name="Comma 8" xfId="81"/>
    <cellStyle name="Comma 9" xfId="440"/>
    <cellStyle name="Currency" xfId="1" builtinId="4"/>
    <cellStyle name="Currency 2" xfId="82"/>
    <cellStyle name="Currency 2 2" xfId="83"/>
    <cellStyle name="Currency 2 2 2" xfId="84"/>
    <cellStyle name="Currency 2 2 3" xfId="292"/>
    <cellStyle name="Currency 2 3" xfId="85"/>
    <cellStyle name="Currency 2 4" xfId="293"/>
    <cellStyle name="Currency 2 5" xfId="294"/>
    <cellStyle name="Currency 3" xfId="86"/>
    <cellStyle name="Currency 3 2" xfId="87"/>
    <cellStyle name="Currency 3 2 2" xfId="88"/>
    <cellStyle name="Currency 3 2 3" xfId="295"/>
    <cellStyle name="Currency 3 3" xfId="89"/>
    <cellStyle name="Currency 3 4" xfId="296"/>
    <cellStyle name="Currency 3 5" xfId="441"/>
    <cellStyle name="Currency 4" xfId="90"/>
    <cellStyle name="Currency 4 2" xfId="442"/>
    <cellStyle name="Currency 4 3" xfId="443"/>
    <cellStyle name="Currency 5" xfId="91"/>
    <cellStyle name="Currency 5 2" xfId="92"/>
    <cellStyle name="Currency 5 2 2" xfId="93"/>
    <cellStyle name="Currency 5 3" xfId="94"/>
    <cellStyle name="Currency 6" xfId="95"/>
    <cellStyle name="Currency 6 2" xfId="96"/>
    <cellStyle name="Currency 7" xfId="97"/>
    <cellStyle name="Currency 7 2" xfId="98"/>
    <cellStyle name="Currency 8" xfId="99"/>
    <cellStyle name="Data Field" xfId="5"/>
    <cellStyle name="Data Field 2" xfId="100"/>
    <cellStyle name="Data Field 2 2" xfId="101"/>
    <cellStyle name="Data Field 2 3" xfId="297"/>
    <cellStyle name="Data Field 3" xfId="102"/>
    <cellStyle name="Data Field 4" xfId="298"/>
    <cellStyle name="Data Field 5" xfId="444"/>
    <cellStyle name="Data Name" xfId="6"/>
    <cellStyle name="Data Name 2" xfId="445"/>
    <cellStyle name="Data Name 2 2" xfId="446"/>
    <cellStyle name="Data Name 3" xfId="447"/>
    <cellStyle name="Data Name 4" xfId="448"/>
    <cellStyle name="Date/Time" xfId="7"/>
    <cellStyle name="Emphasis 1" xfId="103"/>
    <cellStyle name="Emphasis 2" xfId="104"/>
    <cellStyle name="Emphasis 3" xfId="105"/>
    <cellStyle name="Explanatory Text 2" xfId="106"/>
    <cellStyle name="Explanatory Text 3" xfId="299"/>
    <cellStyle name="Good 2" xfId="107"/>
    <cellStyle name="Good 3" xfId="300"/>
    <cellStyle name="Heading" xfId="8"/>
    <cellStyle name="Heading 1 2" xfId="108"/>
    <cellStyle name="Heading 1 2 2" xfId="301"/>
    <cellStyle name="Heading 1 3" xfId="302"/>
    <cellStyle name="Heading 2 2" xfId="109"/>
    <cellStyle name="Heading 2 3" xfId="110"/>
    <cellStyle name="Heading 3 2" xfId="111"/>
    <cellStyle name="Heading 3 2 2" xfId="303"/>
    <cellStyle name="Heading 3 3" xfId="304"/>
    <cellStyle name="Heading 4 2" xfId="112"/>
    <cellStyle name="Heading 4 2 2" xfId="305"/>
    <cellStyle name="Heading 4 3" xfId="306"/>
    <cellStyle name="Hyperlink" xfId="240" builtinId="8"/>
    <cellStyle name="Hyperlink 2" xfId="113"/>
    <cellStyle name="Hyperlink 2 2" xfId="114"/>
    <cellStyle name="Hyperlink 2 2 2" xfId="115"/>
    <cellStyle name="Hyperlink 2 3" xfId="449"/>
    <cellStyle name="Hyperlink 2_ResWXMF_FY10v2_0" xfId="116"/>
    <cellStyle name="Hyperlink 3" xfId="117"/>
    <cellStyle name="Hyperlink 3 2" xfId="118"/>
    <cellStyle name="Hyperlink 3 2 2" xfId="119"/>
    <cellStyle name="Hyperlink 4" xfId="120"/>
    <cellStyle name="Hyperlink 5" xfId="121"/>
    <cellStyle name="Hyperlink 6" xfId="122"/>
    <cellStyle name="Hyperlink 7" xfId="123"/>
    <cellStyle name="Hyperlink 8" xfId="124"/>
    <cellStyle name="Input 2" xfId="125"/>
    <cellStyle name="Input 3" xfId="307"/>
    <cellStyle name="Linked Cell 2" xfId="126"/>
    <cellStyle name="Linked Cell 3" xfId="308"/>
    <cellStyle name="Neutral 2" xfId="127"/>
    <cellStyle name="Neutral 3" xfId="309"/>
    <cellStyle name="Normal" xfId="0" builtinId="0"/>
    <cellStyle name="Normal 10" xfId="128"/>
    <cellStyle name="Normal 10 2" xfId="129"/>
    <cellStyle name="Normal 11" xfId="130"/>
    <cellStyle name="Normal 11 2" xfId="450"/>
    <cellStyle name="Normal 12" xfId="131"/>
    <cellStyle name="Normal 12 2" xfId="451"/>
    <cellStyle name="Normal 13" xfId="14"/>
    <cellStyle name="Normal 13 2" xfId="132"/>
    <cellStyle name="Normal 13 3" xfId="133"/>
    <cellStyle name="Normal 14" xfId="134"/>
    <cellStyle name="Normal 14 2" xfId="11"/>
    <cellStyle name="Normal 14 2 2" xfId="135"/>
    <cellStyle name="Normal 14 3" xfId="13"/>
    <cellStyle name="Normal 14 3 2" xfId="238"/>
    <cellStyle name="Normal 14 4" xfId="310"/>
    <cellStyle name="Normal 14 5" xfId="452"/>
    <cellStyle name="Normal 15" xfId="136"/>
    <cellStyle name="Normal 15 2" xfId="12"/>
    <cellStyle name="Normal 15 2 2" xfId="237"/>
    <cellStyle name="Normal 15 3" xfId="137"/>
    <cellStyle name="Normal 15 4" xfId="138"/>
    <cellStyle name="Normal 15 5" xfId="453"/>
    <cellStyle name="Normal 16" xfId="139"/>
    <cellStyle name="Normal 16 2" xfId="140"/>
    <cellStyle name="Normal 16 3" xfId="141"/>
    <cellStyle name="Normal 16 4" xfId="454"/>
    <cellStyle name="Normal 17" xfId="142"/>
    <cellStyle name="Normal 17 2" xfId="143"/>
    <cellStyle name="Normal 18" xfId="144"/>
    <cellStyle name="Normal 19" xfId="145"/>
    <cellStyle name="Normal 2" xfId="146"/>
    <cellStyle name="Normal 2 10" xfId="455"/>
    <cellStyle name="Normal 2 11" xfId="456"/>
    <cellStyle name="Normal 2 12" xfId="457"/>
    <cellStyle name="Normal 2 2" xfId="147"/>
    <cellStyle name="Normal 2 2 2" xfId="148"/>
    <cellStyle name="Normal 2 2 2 2" xfId="149"/>
    <cellStyle name="Normal 2 2 2 3" xfId="311"/>
    <cellStyle name="Normal 2 2 3" xfId="150"/>
    <cellStyle name="Normal 2 2 3 2" xfId="151"/>
    <cellStyle name="Normal 2 2 3 3" xfId="152"/>
    <cellStyle name="Normal 2 2 4" xfId="312"/>
    <cellStyle name="Normal 2 2 4 2" xfId="458"/>
    <cellStyle name="Normal 2 2 5" xfId="459"/>
    <cellStyle name="Normal 2 2 6" xfId="460"/>
    <cellStyle name="Normal 2 3" xfId="153"/>
    <cellStyle name="Normal 2 3 2" xfId="154"/>
    <cellStyle name="Normal 2 3 2 2" xfId="155"/>
    <cellStyle name="Normal 2 3 2 2 2" xfId="156"/>
    <cellStyle name="Normal 2 3 2 3" xfId="461"/>
    <cellStyle name="Normal 2 3 3" xfId="157"/>
    <cellStyle name="Normal 2 3 3 2" xfId="158"/>
    <cellStyle name="Normal 2 3 4" xfId="462"/>
    <cellStyle name="Normal 2 4" xfId="159"/>
    <cellStyle name="Normal 2 4 2" xfId="160"/>
    <cellStyle name="Normal 2 4 2 2" xfId="161"/>
    <cellStyle name="Normal 2 4 2 3" xfId="162"/>
    <cellStyle name="Normal 2 4 2 4" xfId="163"/>
    <cellStyle name="Normal 2 4 3" xfId="313"/>
    <cellStyle name="Normal 2 5" xfId="164"/>
    <cellStyle name="Normal 2 5 2" xfId="463"/>
    <cellStyle name="Normal 2 6" xfId="165"/>
    <cellStyle name="Normal 2 6 2" xfId="10"/>
    <cellStyle name="Normal 2 6 2 2" xfId="166"/>
    <cellStyle name="Normal 2 6 2 3" xfId="167"/>
    <cellStyle name="Normal 2 6 3" xfId="168"/>
    <cellStyle name="Normal 2 6 3 2" xfId="169"/>
    <cellStyle name="Normal 2 6 4" xfId="170"/>
    <cellStyle name="Normal 2 6 4 2" xfId="171"/>
    <cellStyle name="Normal 2 6 5" xfId="172"/>
    <cellStyle name="Normal 2 6 6" xfId="173"/>
    <cellStyle name="Normal 2 7" xfId="174"/>
    <cellStyle name="Normal 2 7 2" xfId="175"/>
    <cellStyle name="Normal 2 7 2 2" xfId="176"/>
    <cellStyle name="Normal 2 7 3" xfId="177"/>
    <cellStyle name="Normal 2 8" xfId="178"/>
    <cellStyle name="Normal 2 8 2" xfId="464"/>
    <cellStyle name="Normal 2 9" xfId="179"/>
    <cellStyle name="Normal 2 9 2" xfId="465"/>
    <cellStyle name="Normal 20" xfId="314"/>
    <cellStyle name="Normal 21" xfId="315"/>
    <cellStyle name="Normal 22" xfId="316"/>
    <cellStyle name="Normal 23" xfId="317"/>
    <cellStyle name="Normal 24" xfId="318"/>
    <cellStyle name="Normal 25" xfId="319"/>
    <cellStyle name="Normal 26" xfId="320"/>
    <cellStyle name="Normal 27" xfId="321"/>
    <cellStyle name="Normal 28" xfId="322"/>
    <cellStyle name="Normal 29" xfId="323"/>
    <cellStyle name="Normal 3" xfId="180"/>
    <cellStyle name="Normal 3 2" xfId="181"/>
    <cellStyle name="Normal 3 2 2" xfId="182"/>
    <cellStyle name="Normal 3 2 3" xfId="324"/>
    <cellStyle name="Normal 3 3" xfId="183"/>
    <cellStyle name="Normal 3 3 2" xfId="184"/>
    <cellStyle name="Normal 3 3 2 2" xfId="185"/>
    <cellStyle name="Normal 3 4" xfId="186"/>
    <cellStyle name="Normal 3 4 2" xfId="466"/>
    <cellStyle name="Normal 3 5" xfId="467"/>
    <cellStyle name="Normal 3 66" xfId="187"/>
    <cellStyle name="Normal 30" xfId="325"/>
    <cellStyle name="Normal 31" xfId="326"/>
    <cellStyle name="Normal 32" xfId="327"/>
    <cellStyle name="Normal 33" xfId="328"/>
    <cellStyle name="Normal 34" xfId="329"/>
    <cellStyle name="Normal 35" xfId="330"/>
    <cellStyle name="Normal 36" xfId="331"/>
    <cellStyle name="Normal 37" xfId="332"/>
    <cellStyle name="Normal 38" xfId="333"/>
    <cellStyle name="Normal 39" xfId="334"/>
    <cellStyle name="Normal 4" xfId="188"/>
    <cellStyle name="Normal 4 2" xfId="189"/>
    <cellStyle name="Normal 4 2 2" xfId="468"/>
    <cellStyle name="Normal 4 3" xfId="190"/>
    <cellStyle name="Normal 4 3 2" xfId="191"/>
    <cellStyle name="Normal 4 3 2 2" xfId="192"/>
    <cellStyle name="Normal 4 3 2 3" xfId="193"/>
    <cellStyle name="Normal 4 3 3" xfId="194"/>
    <cellStyle name="Normal 4 3 4" xfId="469"/>
    <cellStyle name="Normal 4 4" xfId="195"/>
    <cellStyle name="Normal 4 4 2" xfId="196"/>
    <cellStyle name="Normal 4 4 3" xfId="197"/>
    <cellStyle name="Normal 4 5" xfId="198"/>
    <cellStyle name="Normal 4 5 2" xfId="199"/>
    <cellStyle name="Normal 4 5 3" xfId="335"/>
    <cellStyle name="Normal 4 6" xfId="336"/>
    <cellStyle name="Normal 4 7" xfId="337"/>
    <cellStyle name="Normal 4 8" xfId="470"/>
    <cellStyle name="Normal 40" xfId="338"/>
    <cellStyle name="Normal 41" xfId="339"/>
    <cellStyle name="Normal 42" xfId="340"/>
    <cellStyle name="Normal 43" xfId="341"/>
    <cellStyle name="Normal 44" xfId="342"/>
    <cellStyle name="Normal 45" xfId="343"/>
    <cellStyle name="Normal 46" xfId="344"/>
    <cellStyle name="Normal 47" xfId="345"/>
    <cellStyle name="Normal 48" xfId="346"/>
    <cellStyle name="Normal 48 2" xfId="347"/>
    <cellStyle name="Normal 49" xfId="348"/>
    <cellStyle name="Normal 5" xfId="200"/>
    <cellStyle name="Normal 5 2" xfId="201"/>
    <cellStyle name="Normal 5 2 2" xfId="471"/>
    <cellStyle name="Normal 5 3" xfId="472"/>
    <cellStyle name="Normal 5 3 2" xfId="473"/>
    <cellStyle name="Normal 5 4" xfId="474"/>
    <cellStyle name="Normal 5 4 2" xfId="475"/>
    <cellStyle name="Normal 5 5" xfId="476"/>
    <cellStyle name="Normal 5 5 2" xfId="477"/>
    <cellStyle name="Normal 5 6" xfId="478"/>
    <cellStyle name="Normal 5 6 2" xfId="479"/>
    <cellStyle name="Normal 5 7" xfId="480"/>
    <cellStyle name="Normal 50" xfId="349"/>
    <cellStyle name="Normal 51" xfId="481"/>
    <cellStyle name="Normal 6" xfId="202"/>
    <cellStyle name="Normal 6 2" xfId="482"/>
    <cellStyle name="Normal 6 3" xfId="483"/>
    <cellStyle name="Normal 6 4" xfId="484"/>
    <cellStyle name="Normal 6 5" xfId="485"/>
    <cellStyle name="Normal 7" xfId="203"/>
    <cellStyle name="Normal 7 2" xfId="204"/>
    <cellStyle name="Normal 7 2 2" xfId="486"/>
    <cellStyle name="Normal 7 3" xfId="487"/>
    <cellStyle name="Normal 8" xfId="205"/>
    <cellStyle name="Normal 8 2" xfId="206"/>
    <cellStyle name="Normal 8 2 2" xfId="488"/>
    <cellStyle name="Normal 8 3" xfId="489"/>
    <cellStyle name="Normal 9" xfId="207"/>
    <cellStyle name="Normal 9 2" xfId="208"/>
    <cellStyle name="Normal 9 3" xfId="350"/>
    <cellStyle name="Normal_EStarWASHERResTiersFY07v1_3_postJan07" xfId="4"/>
    <cellStyle name="Normal_MTDUCT" xfId="2"/>
    <cellStyle name="Normal_PC-LPDPackage-6P-D14" xfId="241"/>
    <cellStyle name="Normal_ProCostFinAssumptions_Sector" xfId="3"/>
    <cellStyle name="Note 2" xfId="209"/>
    <cellStyle name="Note 2 2" xfId="351"/>
    <cellStyle name="Note 2 2 2" xfId="490"/>
    <cellStyle name="Note 2 3" xfId="491"/>
    <cellStyle name="Note 2 3 2" xfId="492"/>
    <cellStyle name="Note 2 4" xfId="493"/>
    <cellStyle name="Note 2 4 2" xfId="494"/>
    <cellStyle name="Note 2 5" xfId="495"/>
    <cellStyle name="Note 3" xfId="210"/>
    <cellStyle name="Output 2" xfId="211"/>
    <cellStyle name="Output 2 2" xfId="352"/>
    <cellStyle name="Output 3" xfId="353"/>
    <cellStyle name="Percent" xfId="9" builtinId="5"/>
    <cellStyle name="Percent 2" xfId="212"/>
    <cellStyle name="Percent 2 10" xfId="496"/>
    <cellStyle name="Percent 2 2" xfId="213"/>
    <cellStyle name="Percent 2 2 2" xfId="214"/>
    <cellStyle name="Percent 2 2 2 2" xfId="215"/>
    <cellStyle name="Percent 2 2 2 2 2" xfId="497"/>
    <cellStyle name="Percent 2 2 2 3" xfId="354"/>
    <cellStyle name="Percent 2 2 3" xfId="216"/>
    <cellStyle name="Percent 2 2 4" xfId="355"/>
    <cellStyle name="Percent 2 3" xfId="217"/>
    <cellStyle name="Percent 2 3 2" xfId="356"/>
    <cellStyle name="Percent 2 3 2 2" xfId="498"/>
    <cellStyle name="Percent 2 3 2 2 2" xfId="499"/>
    <cellStyle name="Percent 2 3 2 3" xfId="500"/>
    <cellStyle name="Percent 2 3 2 3 2" xfId="501"/>
    <cellStyle name="Percent 2 3 2 4" xfId="502"/>
    <cellStyle name="Percent 2 3 2 4 2" xfId="503"/>
    <cellStyle name="Percent 2 3 2 5" xfId="504"/>
    <cellStyle name="Percent 2 3 2 6" xfId="505"/>
    <cellStyle name="Percent 2 3 3" xfId="357"/>
    <cellStyle name="Percent 2 4" xfId="506"/>
    <cellStyle name="Percent 2 4 2" xfId="507"/>
    <cellStyle name="Percent 2 4 3" xfId="508"/>
    <cellStyle name="Percent 2 5" xfId="509"/>
    <cellStyle name="Percent 2 5 2" xfId="510"/>
    <cellStyle name="Percent 2 6" xfId="511"/>
    <cellStyle name="Percent 2 6 2" xfId="512"/>
    <cellStyle name="Percent 2 7" xfId="513"/>
    <cellStyle name="Percent 2 7 2" xfId="514"/>
    <cellStyle name="Percent 2 8" xfId="515"/>
    <cellStyle name="Percent 2 9" xfId="516"/>
    <cellStyle name="Percent 3" xfId="218"/>
    <cellStyle name="Percent 3 2" xfId="219"/>
    <cellStyle name="Percent 3 2 2" xfId="220"/>
    <cellStyle name="Percent 3 2 2 2" xfId="517"/>
    <cellStyle name="Percent 3 2 3" xfId="358"/>
    <cellStyle name="Percent 3 2 3 2" xfId="518"/>
    <cellStyle name="Percent 3 2 4" xfId="519"/>
    <cellStyle name="Percent 3 2 4 2" xfId="520"/>
    <cellStyle name="Percent 3 2 5" xfId="521"/>
    <cellStyle name="Percent 3 2 5 2" xfId="522"/>
    <cellStyle name="Percent 3 2 6" xfId="523"/>
    <cellStyle name="Percent 3 2 7" xfId="524"/>
    <cellStyle name="Percent 3 2 8" xfId="525"/>
    <cellStyle name="Percent 3 3" xfId="221"/>
    <cellStyle name="Percent 3 4" xfId="359"/>
    <cellStyle name="Percent 3 5" xfId="526"/>
    <cellStyle name="Percent 4" xfId="222"/>
    <cellStyle name="Percent 4 2" xfId="223"/>
    <cellStyle name="Percent 4 2 2" xfId="527"/>
    <cellStyle name="Percent 4 3" xfId="528"/>
    <cellStyle name="Percent 5" xfId="224"/>
    <cellStyle name="Percent 5 2" xfId="529"/>
    <cellStyle name="Percent 6" xfId="225"/>
    <cellStyle name="Percent 6 2" xfId="226"/>
    <cellStyle name="Percent 7" xfId="227"/>
    <cellStyle name="Percent 8" xfId="228"/>
    <cellStyle name="Percent 9" xfId="530"/>
    <cellStyle name="Sheet Title" xfId="229"/>
    <cellStyle name="Style 1" xfId="230"/>
    <cellStyle name="Style 1 2" xfId="231"/>
    <cellStyle name="Style 28" xfId="360"/>
    <cellStyle name="Title 2" xfId="232"/>
    <cellStyle name="Title 2 2" xfId="361"/>
    <cellStyle name="Title 3" xfId="362"/>
    <cellStyle name="Total 2" xfId="233"/>
    <cellStyle name="Total 2 2" xfId="363"/>
    <cellStyle name="Total 3" xfId="364"/>
    <cellStyle name="Warning Text 2" xfId="234"/>
    <cellStyle name="Warning Text 3" xfId="365"/>
    <cellStyle name="표준 2_WP-1 보고자료 (2009.06.03)" xfId="366"/>
    <cellStyle name="표준_ENERGY CONSUMP" xfId="235"/>
    <cellStyle name="常规_海外市场服务网站资料操作BOM" xfId="236"/>
  </cellStyles>
  <dxfs count="2">
    <dxf>
      <font>
        <color rgb="FF9C0006"/>
      </font>
      <fill>
        <patternFill>
          <bgColor rgb="FFFFC7CE"/>
        </patternFill>
      </fill>
    </dxf>
    <dxf>
      <font>
        <color rgb="FF006100"/>
      </font>
      <fill>
        <patternFill>
          <bgColor rgb="FFC6EF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strRef>
          <c:f>'SC-New (2)'!$A$21</c:f>
          <c:strCache>
            <c:ptCount val="1"/>
            <c:pt idx="0">
              <c:v># HOMES APPLICABLE BY YEAR FOR MEASURE - Freezer - New</c:v>
            </c:pt>
          </c:strCache>
        </c:strRef>
      </c:tx>
      <c:layout>
        <c:manualLayout>
          <c:xMode val="edge"/>
          <c:yMode val="edge"/>
          <c:x val="0.27677829502253981"/>
          <c:y val="3.2608695652174627E-2"/>
        </c:manualLayout>
      </c:layout>
      <c:spPr>
        <a:noFill/>
        <a:ln w="25400">
          <a:noFill/>
        </a:ln>
      </c:spPr>
      <c:txPr>
        <a:bodyPr/>
        <a:lstStyle/>
        <a:p>
          <a:pPr>
            <a:defRPr sz="1125" b="1" i="0" u="none" strike="noStrike" baseline="0">
              <a:solidFill>
                <a:srgbClr val="000000"/>
              </a:solidFill>
              <a:latin typeface="Arial"/>
              <a:ea typeface="Arial"/>
              <a:cs typeface="Arial"/>
            </a:defRPr>
          </a:pPr>
          <a:endParaRPr lang="en-US"/>
        </a:p>
      </c:txPr>
    </c:title>
    <c:plotArea>
      <c:layout>
        <c:manualLayout>
          <c:layoutTarget val="inner"/>
          <c:xMode val="edge"/>
          <c:yMode val="edge"/>
          <c:x val="0.11996582446797524"/>
          <c:y val="0.14402173913043742"/>
          <c:w val="0.79605893521962634"/>
          <c:h val="0.67391304347826164"/>
        </c:manualLayout>
      </c:layout>
      <c:barChart>
        <c:barDir val="col"/>
        <c:grouping val="stacked"/>
        <c:ser>
          <c:idx val="0"/>
          <c:order val="0"/>
          <c:tx>
            <c:strRef>
              <c:f>'SC-New (2)'!$C$23</c:f>
              <c:strCache>
                <c:ptCount val="1"/>
                <c:pt idx="0">
                  <c:v>Single Family</c:v>
                </c:pt>
              </c:strCache>
            </c:strRef>
          </c:tx>
          <c:spPr>
            <a:solidFill>
              <a:srgbClr val="9999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 (2)'!$E$23:$Y$23</c:f>
              <c:numCache>
                <c:formatCode>0</c:formatCode>
                <c:ptCount val="21"/>
                <c:pt idx="0">
                  <c:v>33076.90759710742</c:v>
                </c:pt>
                <c:pt idx="1">
                  <c:v>31639.567281860487</c:v>
                </c:pt>
                <c:pt idx="2">
                  <c:v>29989.161705721621</c:v>
                </c:pt>
                <c:pt idx="3">
                  <c:v>29013.609743005869</c:v>
                </c:pt>
                <c:pt idx="4">
                  <c:v>28233.873235109553</c:v>
                </c:pt>
                <c:pt idx="5">
                  <c:v>26901.302366955635</c:v>
                </c:pt>
                <c:pt idx="6">
                  <c:v>26151.820956198735</c:v>
                </c:pt>
                <c:pt idx="7">
                  <c:v>26026.685329882686</c:v>
                </c:pt>
                <c:pt idx="8">
                  <c:v>25758.238223958466</c:v>
                </c:pt>
                <c:pt idx="9">
                  <c:v>26215.975713523745</c:v>
                </c:pt>
                <c:pt idx="10">
                  <c:v>26399.013827361094</c:v>
                </c:pt>
                <c:pt idx="11">
                  <c:v>26060.057327834871</c:v>
                </c:pt>
                <c:pt idx="12">
                  <c:v>25369.655091379787</c:v>
                </c:pt>
                <c:pt idx="13">
                  <c:v>25395.882542691565</c:v>
                </c:pt>
                <c:pt idx="14">
                  <c:v>25692.174384672973</c:v>
                </c:pt>
                <c:pt idx="15">
                  <c:v>25582.576300481996</c:v>
                </c:pt>
                <c:pt idx="16">
                  <c:v>24736.278367814073</c:v>
                </c:pt>
                <c:pt idx="17">
                  <c:v>24693.947720463009</c:v>
                </c:pt>
                <c:pt idx="18">
                  <c:v>24756.659849241871</c:v>
                </c:pt>
                <c:pt idx="19">
                  <c:v>24924.729768504003</c:v>
                </c:pt>
              </c:numCache>
            </c:numRef>
          </c:val>
        </c:ser>
        <c:ser>
          <c:idx val="1"/>
          <c:order val="1"/>
          <c:tx>
            <c:strRef>
              <c:f>'SC-New'!#REF!</c:f>
              <c:strCache>
                <c:ptCount val="1"/>
                <c:pt idx="0">
                  <c:v>#REF!</c:v>
                </c:pt>
              </c:strCache>
            </c:strRef>
          </c:tx>
          <c:spPr>
            <a:solidFill>
              <a:srgbClr val="993366"/>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2"/>
          <c:order val="2"/>
          <c:tx>
            <c:strRef>
              <c:f>'SC-New (2)'!$C$24</c:f>
              <c:strCache>
                <c:ptCount val="1"/>
                <c:pt idx="0">
                  <c:v>Multifamily - Low Rise</c:v>
                </c:pt>
              </c:strCache>
            </c:strRef>
          </c:tx>
          <c:spPr>
            <a:solidFill>
              <a:srgbClr val="FFFFCC"/>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 (2)'!$E$24:$Y$24</c:f>
              <c:numCache>
                <c:formatCode>0</c:formatCode>
                <c:ptCount val="21"/>
                <c:pt idx="0">
                  <c:v>1096.1585985662753</c:v>
                </c:pt>
                <c:pt idx="1">
                  <c:v>1083.7785478185153</c:v>
                </c:pt>
                <c:pt idx="2">
                  <c:v>1074.0879732744743</c:v>
                </c:pt>
                <c:pt idx="3">
                  <c:v>1039.918650707825</c:v>
                </c:pt>
                <c:pt idx="4">
                  <c:v>980.21174109624815</c:v>
                </c:pt>
                <c:pt idx="5">
                  <c:v>945.01208112616848</c:v>
                </c:pt>
                <c:pt idx="6">
                  <c:v>936.4214878182994</c:v>
                </c:pt>
                <c:pt idx="7">
                  <c:v>953.8313121089011</c:v>
                </c:pt>
                <c:pt idx="8">
                  <c:v>977.03415848384714</c:v>
                </c:pt>
                <c:pt idx="9">
                  <c:v>1003.5885930820054</c:v>
                </c:pt>
                <c:pt idx="10">
                  <c:v>1007.7769093224857</c:v>
                </c:pt>
                <c:pt idx="11">
                  <c:v>1008.0524175564459</c:v>
                </c:pt>
                <c:pt idx="12">
                  <c:v>1009.6637078624028</c:v>
                </c:pt>
                <c:pt idx="13">
                  <c:v>998.66967103960576</c:v>
                </c:pt>
                <c:pt idx="14">
                  <c:v>986.6305803870016</c:v>
                </c:pt>
                <c:pt idx="15">
                  <c:v>966.44339975588002</c:v>
                </c:pt>
                <c:pt idx="16">
                  <c:v>949.96667555363069</c:v>
                </c:pt>
                <c:pt idx="17">
                  <c:v>937.92315765473165</c:v>
                </c:pt>
                <c:pt idx="18">
                  <c:v>919.86459722199425</c:v>
                </c:pt>
                <c:pt idx="19">
                  <c:v>916.38467819920083</c:v>
                </c:pt>
              </c:numCache>
            </c:numRef>
          </c:val>
        </c:ser>
        <c:ser>
          <c:idx val="3"/>
          <c:order val="3"/>
          <c:tx>
            <c:strRef>
              <c:f>'SC-New (2)'!$C$26</c:f>
              <c:strCache>
                <c:ptCount val="1"/>
                <c:pt idx="0">
                  <c:v>Manufactured</c:v>
                </c:pt>
              </c:strCache>
            </c:strRef>
          </c:tx>
          <c:spPr>
            <a:solidFill>
              <a:srgbClr val="CCFF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 (2)'!$E$26:$Y$26</c:f>
              <c:numCache>
                <c:formatCode>0</c:formatCode>
                <c:ptCount val="21"/>
                <c:pt idx="0">
                  <c:v>825.37220603526816</c:v>
                </c:pt>
                <c:pt idx="1">
                  <c:v>830.76743741551002</c:v>
                </c:pt>
                <c:pt idx="2">
                  <c:v>860.49540688946502</c:v>
                </c:pt>
                <c:pt idx="3">
                  <c:v>892.30918135375828</c:v>
                </c:pt>
                <c:pt idx="4">
                  <c:v>865.07445845710515</c:v>
                </c:pt>
                <c:pt idx="5">
                  <c:v>851.41973029836095</c:v>
                </c:pt>
                <c:pt idx="6">
                  <c:v>854.23973674157787</c:v>
                </c:pt>
                <c:pt idx="7">
                  <c:v>859.05099185929635</c:v>
                </c:pt>
                <c:pt idx="8">
                  <c:v>863.76491759992723</c:v>
                </c:pt>
                <c:pt idx="9">
                  <c:v>864.30983605167103</c:v>
                </c:pt>
                <c:pt idx="10">
                  <c:v>859.64327850132304</c:v>
                </c:pt>
                <c:pt idx="11">
                  <c:v>858.73808184202596</c:v>
                </c:pt>
                <c:pt idx="12">
                  <c:v>859.95780709930352</c:v>
                </c:pt>
                <c:pt idx="13">
                  <c:v>860.91081882559115</c:v>
                </c:pt>
                <c:pt idx="14">
                  <c:v>861.22078998664051</c:v>
                </c:pt>
                <c:pt idx="15">
                  <c:v>860.79676871775916</c:v>
                </c:pt>
                <c:pt idx="16">
                  <c:v>860.21125749544058</c:v>
                </c:pt>
                <c:pt idx="17">
                  <c:v>860.30592066112695</c:v>
                </c:pt>
                <c:pt idx="18">
                  <c:v>860.56722713097702</c:v>
                </c:pt>
                <c:pt idx="19">
                  <c:v>860.66879713625588</c:v>
                </c:pt>
              </c:numCache>
            </c:numRef>
          </c:val>
        </c:ser>
        <c:ser>
          <c:idx val="4"/>
          <c:order val="4"/>
          <c:tx>
            <c:strRef>
              <c:f>'SC-New'!#REF!</c:f>
              <c:strCache>
                <c:ptCount val="1"/>
                <c:pt idx="0">
                  <c:v>#REF!</c:v>
                </c:pt>
              </c:strCache>
            </c:strRef>
          </c:tx>
          <c:spPr>
            <a:solidFill>
              <a:srgbClr val="660066"/>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5"/>
          <c:order val="5"/>
          <c:tx>
            <c:strRef>
              <c:f>'SC-New'!#REF!</c:f>
              <c:strCache>
                <c:ptCount val="1"/>
                <c:pt idx="0">
                  <c:v>#REF!</c:v>
                </c:pt>
              </c:strCache>
            </c:strRef>
          </c:tx>
          <c:spPr>
            <a:solidFill>
              <a:srgbClr val="FF808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6"/>
          <c:order val="6"/>
          <c:tx>
            <c:strRef>
              <c:f>'SC-New'!#REF!</c:f>
              <c:strCache>
                <c:ptCount val="1"/>
                <c:pt idx="0">
                  <c:v>#REF!</c:v>
                </c:pt>
              </c:strCache>
            </c:strRef>
          </c:tx>
          <c:spPr>
            <a:solidFill>
              <a:srgbClr val="0066CC"/>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7"/>
          <c:order val="7"/>
          <c:tx>
            <c:strRef>
              <c:f>'SC-New'!#REF!</c:f>
              <c:strCache>
                <c:ptCount val="1"/>
                <c:pt idx="0">
                  <c:v>#REF!</c:v>
                </c:pt>
              </c:strCache>
            </c:strRef>
          </c:tx>
          <c:spPr>
            <a:solidFill>
              <a:srgbClr val="CCCC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8"/>
          <c:order val="8"/>
          <c:tx>
            <c:strRef>
              <c:f>'SC-New'!#REF!</c:f>
              <c:strCache>
                <c:ptCount val="1"/>
                <c:pt idx="0">
                  <c:v>#REF!</c:v>
                </c:pt>
              </c:strCache>
            </c:strRef>
          </c:tx>
          <c:spPr>
            <a:solidFill>
              <a:srgbClr val="00008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9"/>
          <c:order val="9"/>
          <c:tx>
            <c:strRef>
              <c:f>'SC-New'!#REF!</c:f>
              <c:strCache>
                <c:ptCount val="1"/>
                <c:pt idx="0">
                  <c:v>#REF!</c:v>
                </c:pt>
              </c:strCache>
            </c:strRef>
          </c:tx>
          <c:spPr>
            <a:solidFill>
              <a:srgbClr val="FF00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0"/>
          <c:order val="10"/>
          <c:tx>
            <c:strRef>
              <c:f>'SC-New'!#REF!</c:f>
              <c:strCache>
                <c:ptCount val="1"/>
                <c:pt idx="0">
                  <c:v>#REF!</c:v>
                </c:pt>
              </c:strCache>
            </c:strRef>
          </c:tx>
          <c:spPr>
            <a:solidFill>
              <a:srgbClr val="FFFF0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1"/>
          <c:order val="11"/>
          <c:tx>
            <c:strRef>
              <c:f>'SC-New'!#REF!</c:f>
              <c:strCache>
                <c:ptCount val="1"/>
                <c:pt idx="0">
                  <c:v>#REF!</c:v>
                </c:pt>
              </c:strCache>
            </c:strRef>
          </c:tx>
          <c:spPr>
            <a:solidFill>
              <a:srgbClr val="00FF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2"/>
          <c:order val="12"/>
          <c:tx>
            <c:strRef>
              <c:f>'SC-New'!#REF!</c:f>
              <c:strCache>
                <c:ptCount val="1"/>
                <c:pt idx="0">
                  <c:v>#REF!</c:v>
                </c:pt>
              </c:strCache>
            </c:strRef>
          </c:tx>
          <c:spPr>
            <a:solidFill>
              <a:srgbClr val="80008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3"/>
          <c:order val="13"/>
          <c:tx>
            <c:strRef>
              <c:f>'SC-New'!#REF!</c:f>
              <c:strCache>
                <c:ptCount val="1"/>
                <c:pt idx="0">
                  <c:v>#REF!</c:v>
                </c:pt>
              </c:strCache>
            </c:strRef>
          </c:tx>
          <c:spPr>
            <a:solidFill>
              <a:srgbClr val="80000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4"/>
          <c:order val="14"/>
          <c:tx>
            <c:strRef>
              <c:f>'SC-New'!#REF!</c:f>
              <c:strCache>
                <c:ptCount val="1"/>
                <c:pt idx="0">
                  <c:v>#REF!</c:v>
                </c:pt>
              </c:strCache>
            </c:strRef>
          </c:tx>
          <c:spPr>
            <a:solidFill>
              <a:srgbClr val="008080"/>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5"/>
          <c:order val="15"/>
          <c:tx>
            <c:strRef>
              <c:f>'SC-New'!#REF!</c:f>
              <c:strCache>
                <c:ptCount val="1"/>
                <c:pt idx="0">
                  <c:v>#REF!</c:v>
                </c:pt>
              </c:strCache>
            </c:strRef>
          </c:tx>
          <c:spPr>
            <a:solidFill>
              <a:srgbClr val="0000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6"/>
          <c:order val="16"/>
          <c:tx>
            <c:strRef>
              <c:f>'SC-New'!#REF!</c:f>
              <c:strCache>
                <c:ptCount val="1"/>
                <c:pt idx="0">
                  <c:v>#REF!</c:v>
                </c:pt>
              </c:strCache>
            </c:strRef>
          </c:tx>
          <c:spPr>
            <a:solidFill>
              <a:srgbClr val="00CC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ser>
          <c:idx val="17"/>
          <c:order val="17"/>
          <c:tx>
            <c:strRef>
              <c:f>'SC-New'!#REF!</c:f>
              <c:strCache>
                <c:ptCount val="1"/>
                <c:pt idx="0">
                  <c:v>#REF!</c:v>
                </c:pt>
              </c:strCache>
            </c:strRef>
          </c:tx>
          <c:spPr>
            <a:solidFill>
              <a:srgbClr val="CCFFFF"/>
            </a:solidFill>
            <a:ln w="12700">
              <a:solidFill>
                <a:srgbClr val="000000"/>
              </a:solidFill>
              <a:prstDash val="solid"/>
            </a:ln>
          </c:spPr>
          <c:cat>
            <c:numRef>
              <c:f>'SC-New (2)'!$E$11:$Y$11</c:f>
              <c:numCache>
                <c:formatCode>General</c:formatCode>
                <c:ptCount val="21"/>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pt idx="15">
                  <c:v>2031</c:v>
                </c:pt>
                <c:pt idx="16">
                  <c:v>2032</c:v>
                </c:pt>
                <c:pt idx="17">
                  <c:v>2033</c:v>
                </c:pt>
                <c:pt idx="18">
                  <c:v>2034</c:v>
                </c:pt>
                <c:pt idx="19">
                  <c:v>2035</c:v>
                </c:pt>
              </c:numCache>
            </c:numRef>
          </c:cat>
          <c:val>
            <c:numRef>
              <c:f>'SC-New'!#REF!</c:f>
              <c:numCache>
                <c:formatCode>General</c:formatCode>
                <c:ptCount val="1"/>
                <c:pt idx="0">
                  <c:v>1</c:v>
                </c:pt>
              </c:numCache>
            </c:numRef>
          </c:val>
        </c:ser>
        <c:overlap val="100"/>
        <c:axId val="86372736"/>
        <c:axId val="86374272"/>
      </c:barChart>
      <c:catAx>
        <c:axId val="86372736"/>
        <c:scaling>
          <c:orientation val="minMax"/>
        </c:scaling>
        <c:axPos val="b"/>
        <c:numFmt formatCode="General" sourceLinked="1"/>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86374272"/>
        <c:crosses val="autoZero"/>
        <c:auto val="1"/>
        <c:lblAlgn val="ctr"/>
        <c:lblOffset val="100"/>
        <c:tickLblSkip val="1"/>
        <c:tickMarkSkip val="1"/>
      </c:catAx>
      <c:valAx>
        <c:axId val="86374272"/>
        <c:scaling>
          <c:orientation val="minMax"/>
        </c:scaling>
        <c:axPos val="l"/>
        <c:majorGridlines>
          <c:spPr>
            <a:ln w="3175">
              <a:solidFill>
                <a:srgbClr val="000000"/>
              </a:solidFill>
              <a:prstDash val="solid"/>
            </a:ln>
          </c:spPr>
        </c:majorGridlines>
        <c:title>
          <c:tx>
            <c:strRef>
              <c:f>'SC-New (2)'!$C$11</c:f>
              <c:strCache>
                <c:ptCount val="1"/>
                <c:pt idx="0">
                  <c:v># homes</c:v>
                </c:pt>
              </c:strCache>
            </c:strRef>
          </c:tx>
          <c:layout>
            <c:manualLayout>
              <c:xMode val="edge"/>
              <c:yMode val="edge"/>
              <c:x val="7.0265697188384713E-2"/>
              <c:y val="0.40489130434782838"/>
            </c:manualLayout>
          </c:layout>
          <c:spPr>
            <a:noFill/>
            <a:ln w="25400">
              <a:noFill/>
            </a:ln>
          </c:spPr>
          <c:txPr>
            <a:bodyPr/>
            <a:lstStyle/>
            <a:p>
              <a:pPr>
                <a:defRPr sz="900" b="1" i="0" u="none" strike="noStrike" baseline="0">
                  <a:solidFill>
                    <a:srgbClr val="000000"/>
                  </a:solidFill>
                  <a:latin typeface="Arial"/>
                  <a:ea typeface="Arial"/>
                  <a:cs typeface="Arial"/>
                </a:defRPr>
              </a:pPr>
              <a:endParaRPr lang="en-US"/>
            </a:p>
          </c:txPr>
        </c:title>
        <c:numFmt formatCode="0" sourceLinked="1"/>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86372736"/>
        <c:crosses val="autoZero"/>
        <c:crossBetween val="between"/>
      </c:valAx>
      <c:spPr>
        <a:solidFill>
          <a:srgbClr val="C0C0C0"/>
        </a:solidFill>
        <a:ln w="12700">
          <a:solidFill>
            <a:srgbClr val="808080"/>
          </a:solidFill>
          <a:prstDash val="solid"/>
        </a:ln>
      </c:spPr>
    </c:plotArea>
    <c:legend>
      <c:legendPos val="r"/>
      <c:layout>
        <c:manualLayout>
          <c:xMode val="edge"/>
          <c:yMode val="edge"/>
          <c:x val="0.92545064589579806"/>
          <c:y val="5.9782608695652183E-2"/>
          <c:w val="6.7695000949785533E-2"/>
          <c:h val="0.93206521739130765"/>
        </c:manualLayout>
      </c:layout>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888" r="0.75000000000000888"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Class 3 Fridge/Freezer</a:t>
            </a:r>
            <a:r>
              <a:rPr lang="en-US" baseline="0"/>
              <a:t> I</a:t>
            </a:r>
            <a:r>
              <a:rPr lang="en-US"/>
              <a:t>ncremental $/kWh</a:t>
            </a:r>
          </a:p>
        </c:rich>
      </c:tx>
      <c:spPr>
        <a:noFill/>
        <a:ln>
          <a:noFill/>
        </a:ln>
        <a:effectLst/>
      </c:spPr>
    </c:title>
    <c:plotArea>
      <c:layout/>
      <c:scatterChart>
        <c:scatterStyle val="lineMarker"/>
        <c:ser>
          <c:idx val="0"/>
          <c:order val="0"/>
          <c:tx>
            <c:strRef>
              <c:f>'Cost - Standard FridgeFreezer'!$M$19</c:f>
              <c:strCache>
                <c:ptCount val="1"/>
                <c:pt idx="0">
                  <c:v>incremental $/kWh</c:v>
                </c:pt>
              </c:strCache>
            </c:strRef>
          </c:tx>
          <c:spPr>
            <a:ln w="28575" cap="rnd">
              <a:noFill/>
              <a:round/>
            </a:ln>
            <a:effectLst/>
          </c:spPr>
          <c:marker>
            <c:symbol val="circle"/>
            <c:size val="5"/>
            <c:spPr>
              <a:solidFill>
                <a:schemeClr val="accent1"/>
              </a:solidFill>
              <a:ln w="9525">
                <a:solidFill>
                  <a:schemeClr val="accent1"/>
                </a:solidFill>
              </a:ln>
              <a:effectLst/>
            </c:spPr>
          </c:marker>
          <c:xVal>
            <c:numRef>
              <c:f>'Cost - Standard FridgeFreezer'!$E$20:$E$27</c:f>
              <c:numCache>
                <c:formatCode>_(* #,##0_);_(* \(#,##0\);_(* "-"??_);_(@_)</c:formatCode>
                <c:ptCount val="8"/>
                <c:pt idx="1">
                  <c:v>539.75270847602587</c:v>
                </c:pt>
                <c:pt idx="2">
                  <c:v>485.77743762842317</c:v>
                </c:pt>
                <c:pt idx="3">
                  <c:v>458.78980220462199</c:v>
                </c:pt>
                <c:pt idx="4">
                  <c:v>431.8021667808207</c:v>
                </c:pt>
                <c:pt idx="5">
                  <c:v>404.8145313570194</c:v>
                </c:pt>
                <c:pt idx="6">
                  <c:v>377.826895933218</c:v>
                </c:pt>
                <c:pt idx="7">
                  <c:v>356.45161358376873</c:v>
                </c:pt>
              </c:numCache>
            </c:numRef>
          </c:xVal>
          <c:yVal>
            <c:numRef>
              <c:f>'Cost - Standard FridgeFreezer'!$M$20:$M$27</c:f>
              <c:numCache>
                <c:formatCode>General</c:formatCode>
                <c:ptCount val="8"/>
                <c:pt idx="2" formatCode="&quot;$&quot;#,##0.00">
                  <c:v>0.27550487040604582</c:v>
                </c:pt>
                <c:pt idx="3" formatCode="&quot;$&quot;#,##0.00">
                  <c:v>1.1992084334834832</c:v>
                </c:pt>
                <c:pt idx="4" formatCode="&quot;$&quot;#,##0.00">
                  <c:v>1.9587710879397338</c:v>
                </c:pt>
                <c:pt idx="5" formatCode="&quot;$&quot;#,##0.00">
                  <c:v>2.1203728708122478</c:v>
                </c:pt>
                <c:pt idx="6" formatCode="&quot;$&quot;#,##0.00">
                  <c:v>3.5228503167102665</c:v>
                </c:pt>
                <c:pt idx="7" formatCode="&quot;$&quot;#,##0.00">
                  <c:v>4.0563581141296154</c:v>
                </c:pt>
              </c:numCache>
            </c:numRef>
          </c:yVal>
        </c:ser>
        <c:axId val="100745216"/>
        <c:axId val="100747520"/>
      </c:scatterChart>
      <c:valAx>
        <c:axId val="100745216"/>
        <c:scaling>
          <c:orientation val="minMax"/>
          <c:max val="500"/>
          <c:min val="300"/>
        </c:scaling>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Annual</a:t>
                </a:r>
                <a:r>
                  <a:rPr lang="en-US" baseline="0"/>
                  <a:t> Energy Consumption</a:t>
                </a:r>
              </a:p>
            </c:rich>
          </c:tx>
          <c:spPr>
            <a:noFill/>
            <a:ln>
              <a:noFill/>
            </a:ln>
            <a:effectLst/>
          </c:spPr>
        </c:title>
        <c:numFmt formatCode="General" sourceLinked="1"/>
        <c:maj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747520"/>
        <c:crosses val="autoZero"/>
        <c:crossBetween val="midCat"/>
      </c:valAx>
      <c:valAx>
        <c:axId val="100747520"/>
        <c:scaling>
          <c:orientation val="minMax"/>
        </c:scaling>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Incremental</a:t>
                </a:r>
                <a:r>
                  <a:rPr lang="en-US" baseline="0"/>
                  <a:t> $/kWh</a:t>
                </a:r>
                <a:endParaRPr lang="en-US"/>
              </a:p>
            </c:rich>
          </c:tx>
          <c:spPr>
            <a:noFill/>
            <a:ln>
              <a:noFill/>
            </a:ln>
            <a:effectLst/>
          </c:spPr>
        </c:title>
        <c:numFmt formatCode="&quot;$&quot;#,##0.00" sourceLinked="0"/>
        <c:maj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745216"/>
        <c:crosses val="autoZero"/>
        <c:crossBetween val="midCat"/>
      </c:valAx>
      <c:spPr>
        <a:noFill/>
        <a:ln>
          <a:noFill/>
        </a:ln>
        <a:effectLst/>
      </c:spPr>
    </c:plotArea>
    <c:plotVisOnly val="1"/>
    <c:dispBlanksAs val="gap"/>
  </c:chart>
  <c:spPr>
    <a:solidFill>
      <a:schemeClr val="bg1"/>
    </a:solidFill>
    <a:ln w="9525" cap="flat" cmpd="sng" algn="ctr">
      <a:noFill/>
      <a:round/>
    </a:ln>
    <a:effectLst/>
  </c:spPr>
  <c:txPr>
    <a:bodyPr/>
    <a:lstStyle/>
    <a:p>
      <a:pPr>
        <a:defRPr/>
      </a:pPr>
      <a:endParaRPr lang="en-US"/>
    </a:p>
  </c:txPr>
  <c:printSettings>
    <c:headerFooter/>
    <c:pageMargins b="0.75000000000000577" l="0.70000000000000062" r="0.70000000000000062" t="0.75000000000000577"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30</xdr:col>
      <xdr:colOff>247650</xdr:colOff>
      <xdr:row>20</xdr:row>
      <xdr:rowOff>152400</xdr:rowOff>
    </xdr:from>
    <xdr:to>
      <xdr:col>39</xdr:col>
      <xdr:colOff>190500</xdr:colOff>
      <xdr:row>28</xdr:row>
      <xdr:rowOff>95250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2095500</xdr:colOff>
      <xdr:row>7</xdr:row>
      <xdr:rowOff>0</xdr:rowOff>
    </xdr:from>
    <xdr:to>
      <xdr:col>3</xdr:col>
      <xdr:colOff>1019175</xdr:colOff>
      <xdr:row>7</xdr:row>
      <xdr:rowOff>0</xdr:rowOff>
    </xdr:to>
    <xdr:sp macro="" textlink="">
      <xdr:nvSpPr>
        <xdr:cNvPr id="2" name="AutoShape 1"/>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3" name="AutoShape 2"/>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4" name="AutoShape 3"/>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5" name="AutoShape 4"/>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6" name="AutoShape 5"/>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7" name="AutoShape 6"/>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8" name="AutoShape 7"/>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9" name="AutoShape 8"/>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0" name="AutoShape 9"/>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1" name="AutoShape 10"/>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2" name="AutoShape 11"/>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3" name="AutoShape 12"/>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4" name="AutoShape 13"/>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5" name="AutoShape 14"/>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6" name="AutoShape 15"/>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7" name="AutoShape 16"/>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8" name="AutoShape 17"/>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19" name="AutoShape 18"/>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0" name="AutoShape 19"/>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1" name="AutoShape 20"/>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2" name="AutoShape 21"/>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3" name="AutoShape 22"/>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4" name="AutoShape 23"/>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5" name="AutoShape 24"/>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6" name="AutoShape 25"/>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7" name="AutoShape 26"/>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3</xdr:col>
      <xdr:colOff>2095500</xdr:colOff>
      <xdr:row>7</xdr:row>
      <xdr:rowOff>0</xdr:rowOff>
    </xdr:from>
    <xdr:to>
      <xdr:col>3</xdr:col>
      <xdr:colOff>1019175</xdr:colOff>
      <xdr:row>7</xdr:row>
      <xdr:rowOff>0</xdr:rowOff>
    </xdr:to>
    <xdr:sp macro="" textlink="">
      <xdr:nvSpPr>
        <xdr:cNvPr id="28" name="AutoShape 27"/>
        <xdr:cNvSpPr>
          <a:spLocks noChangeArrowheads="1"/>
        </xdr:cNvSpPr>
      </xdr:nvSpPr>
      <xdr:spPr bwMode="auto">
        <a:xfrm>
          <a:off x="7096125"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295275</xdr:colOff>
      <xdr:row>1</xdr:row>
      <xdr:rowOff>75188</xdr:rowOff>
    </xdr:from>
    <xdr:to>
      <xdr:col>24</xdr:col>
      <xdr:colOff>8707</xdr:colOff>
      <xdr:row>20</xdr:row>
      <xdr:rowOff>94699</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2734925" y="237113"/>
          <a:ext cx="5809432" cy="3915236"/>
        </a:xfrm>
        <a:prstGeom prst="rect">
          <a:avLst/>
        </a:prstGeom>
      </xdr:spPr>
    </xdr:pic>
    <xdr:clientData/>
  </xdr:twoCellAnchor>
  <xdr:twoCellAnchor>
    <xdr:from>
      <xdr:col>14</xdr:col>
      <xdr:colOff>223837</xdr:colOff>
      <xdr:row>19</xdr:row>
      <xdr:rowOff>147637</xdr:rowOff>
    </xdr:from>
    <xdr:to>
      <xdr:col>21</xdr:col>
      <xdr:colOff>528637</xdr:colOff>
      <xdr:row>32</xdr:row>
      <xdr:rowOff>61912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19050</xdr:colOff>
      <xdr:row>2</xdr:row>
      <xdr:rowOff>85725</xdr:rowOff>
    </xdr:from>
    <xdr:to>
      <xdr:col>20</xdr:col>
      <xdr:colOff>304002</xdr:colOff>
      <xdr:row>9</xdr:row>
      <xdr:rowOff>9393</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8753475" y="409575"/>
          <a:ext cx="6380952" cy="10571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2</xdr:colOff>
      <xdr:row>58</xdr:row>
      <xdr:rowOff>8282</xdr:rowOff>
    </xdr:from>
    <xdr:to>
      <xdr:col>5</xdr:col>
      <xdr:colOff>896824</xdr:colOff>
      <xdr:row>105</xdr:row>
      <xdr:rowOff>66491</xdr:rowOff>
    </xdr:to>
    <xdr:grpSp>
      <xdr:nvGrpSpPr>
        <xdr:cNvPr id="2" name="Group 1"/>
        <xdr:cNvGrpSpPr/>
      </xdr:nvGrpSpPr>
      <xdr:grpSpPr>
        <a:xfrm>
          <a:off x="405850" y="15157173"/>
          <a:ext cx="7663713" cy="7843861"/>
          <a:chOff x="275167" y="1428750"/>
          <a:chExt cx="7672917" cy="8868834"/>
        </a:xfrm>
      </xdr:grpSpPr>
      <xdr:pic>
        <xdr:nvPicPr>
          <xdr:cNvPr id="3" name="Picture 2"/>
          <xdr:cNvPicPr>
            <a:picLocks noChangeAspect="1"/>
          </xdr:cNvPicPr>
        </xdr:nvPicPr>
        <xdr:blipFill rotWithShape="1">
          <a:blip xmlns:r="http://schemas.openxmlformats.org/officeDocument/2006/relationships" r:embed="rId1" cstate="print"/>
          <a:srcRect l="22047" t="11431" r="19380" b="24036"/>
          <a:stretch/>
        </xdr:blipFill>
        <xdr:spPr>
          <a:xfrm>
            <a:off x="285750" y="1428750"/>
            <a:ext cx="7620001" cy="4720168"/>
          </a:xfrm>
          <a:prstGeom prst="rect">
            <a:avLst/>
          </a:prstGeom>
        </xdr:spPr>
      </xdr:pic>
      <xdr:pic>
        <xdr:nvPicPr>
          <xdr:cNvPr id="4" name="Picture 3"/>
          <xdr:cNvPicPr>
            <a:picLocks noChangeAspect="1"/>
          </xdr:cNvPicPr>
        </xdr:nvPicPr>
        <xdr:blipFill rotWithShape="1">
          <a:blip xmlns:r="http://schemas.openxmlformats.org/officeDocument/2006/relationships" r:embed="rId2" cstate="print"/>
          <a:srcRect l="21965" t="25176" r="19056" b="17814"/>
          <a:stretch/>
        </xdr:blipFill>
        <xdr:spPr>
          <a:xfrm>
            <a:off x="275167" y="6127751"/>
            <a:ext cx="7672917" cy="4169833"/>
          </a:xfrm>
          <a:prstGeom prst="rect">
            <a:avLst/>
          </a:prstGeom>
        </xdr:spPr>
      </xdr:pic>
    </xdr:grpSp>
    <xdr:clientData/>
  </xdr:twoCellAnchor>
  <xdr:twoCellAnchor editAs="oneCell">
    <xdr:from>
      <xdr:col>2</xdr:col>
      <xdr:colOff>0</xdr:colOff>
      <xdr:row>111</xdr:row>
      <xdr:rowOff>0</xdr:rowOff>
    </xdr:from>
    <xdr:to>
      <xdr:col>4</xdr:col>
      <xdr:colOff>1125602</xdr:colOff>
      <xdr:row>154</xdr:row>
      <xdr:rowOff>115052</xdr:rowOff>
    </xdr:to>
    <xdr:pic>
      <xdr:nvPicPr>
        <xdr:cNvPr id="5" name="Picture 4"/>
        <xdr:cNvPicPr>
          <a:picLocks noChangeAspect="1"/>
        </xdr:cNvPicPr>
      </xdr:nvPicPr>
      <xdr:blipFill>
        <a:blip xmlns:r="http://schemas.openxmlformats.org/officeDocument/2006/relationships" r:embed="rId3" cstate="print"/>
        <a:stretch>
          <a:fillRect/>
        </a:stretch>
      </xdr:blipFill>
      <xdr:spPr>
        <a:xfrm>
          <a:off x="409575" y="23764875"/>
          <a:ext cx="6669152" cy="70778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104775</xdr:colOff>
      <xdr:row>16</xdr:row>
      <xdr:rowOff>95250</xdr:rowOff>
    </xdr:from>
    <xdr:to>
      <xdr:col>9</xdr:col>
      <xdr:colOff>180538</xdr:colOff>
      <xdr:row>35</xdr:row>
      <xdr:rowOff>123437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4000500" y="3333750"/>
          <a:ext cx="3495238" cy="3104762"/>
        </a:xfrm>
        <a:prstGeom prst="rect">
          <a:avLst/>
        </a:prstGeom>
      </xdr:spPr>
    </xdr:pic>
    <xdr:clientData/>
  </xdr:twoCellAnchor>
  <xdr:twoCellAnchor>
    <xdr:from>
      <xdr:col>3</xdr:col>
      <xdr:colOff>781050</xdr:colOff>
      <xdr:row>13</xdr:row>
      <xdr:rowOff>38100</xdr:rowOff>
    </xdr:from>
    <xdr:to>
      <xdr:col>3</xdr:col>
      <xdr:colOff>942975</xdr:colOff>
      <xdr:row>27</xdr:row>
      <xdr:rowOff>114300</xdr:rowOff>
    </xdr:to>
    <xdr:sp macro="" textlink="">
      <xdr:nvSpPr>
        <xdr:cNvPr id="3" name="Freeform 2"/>
        <xdr:cNvSpPr/>
      </xdr:nvSpPr>
      <xdr:spPr bwMode="auto">
        <a:xfrm>
          <a:off x="3695700" y="2790825"/>
          <a:ext cx="161925" cy="2343150"/>
        </a:xfrm>
        <a:custGeom>
          <a:avLst/>
          <a:gdLst>
            <a:gd name="connsiteX0" fmla="*/ 562325 w 562325"/>
            <a:gd name="connsiteY0" fmla="*/ 2305050 h 2305050"/>
            <a:gd name="connsiteX1" fmla="*/ 514700 w 562325"/>
            <a:gd name="connsiteY1" fmla="*/ 2286000 h 2305050"/>
            <a:gd name="connsiteX2" fmla="*/ 486125 w 562325"/>
            <a:gd name="connsiteY2" fmla="*/ 2266950 h 2305050"/>
            <a:gd name="connsiteX3" fmla="*/ 428975 w 562325"/>
            <a:gd name="connsiteY3" fmla="*/ 2247900 h 2305050"/>
            <a:gd name="connsiteX4" fmla="*/ 381350 w 562325"/>
            <a:gd name="connsiteY4" fmla="*/ 2219325 h 2305050"/>
            <a:gd name="connsiteX5" fmla="*/ 333725 w 562325"/>
            <a:gd name="connsiteY5" fmla="*/ 2200275 h 2305050"/>
            <a:gd name="connsiteX6" fmla="*/ 257525 w 562325"/>
            <a:gd name="connsiteY6" fmla="*/ 2162175 h 2305050"/>
            <a:gd name="connsiteX7" fmla="*/ 228950 w 562325"/>
            <a:gd name="connsiteY7" fmla="*/ 2133600 h 2305050"/>
            <a:gd name="connsiteX8" fmla="*/ 200375 w 562325"/>
            <a:gd name="connsiteY8" fmla="*/ 2124075 h 2305050"/>
            <a:gd name="connsiteX9" fmla="*/ 181325 w 562325"/>
            <a:gd name="connsiteY9" fmla="*/ 2066925 h 2305050"/>
            <a:gd name="connsiteX10" fmla="*/ 162275 w 562325"/>
            <a:gd name="connsiteY10" fmla="*/ 2028825 h 2305050"/>
            <a:gd name="connsiteX11" fmla="*/ 114650 w 562325"/>
            <a:gd name="connsiteY11" fmla="*/ 1962150 h 2305050"/>
            <a:gd name="connsiteX12" fmla="*/ 105125 w 562325"/>
            <a:gd name="connsiteY12" fmla="*/ 1933575 h 2305050"/>
            <a:gd name="connsiteX13" fmla="*/ 86075 w 562325"/>
            <a:gd name="connsiteY13" fmla="*/ 1905000 h 2305050"/>
            <a:gd name="connsiteX14" fmla="*/ 76550 w 562325"/>
            <a:gd name="connsiteY14" fmla="*/ 1876425 h 2305050"/>
            <a:gd name="connsiteX15" fmla="*/ 57500 w 562325"/>
            <a:gd name="connsiteY15" fmla="*/ 1838325 h 2305050"/>
            <a:gd name="connsiteX16" fmla="*/ 47975 w 562325"/>
            <a:gd name="connsiteY16" fmla="*/ 1790700 h 2305050"/>
            <a:gd name="connsiteX17" fmla="*/ 38450 w 562325"/>
            <a:gd name="connsiteY17" fmla="*/ 1733550 h 2305050"/>
            <a:gd name="connsiteX18" fmla="*/ 19400 w 562325"/>
            <a:gd name="connsiteY18" fmla="*/ 1657350 h 2305050"/>
            <a:gd name="connsiteX19" fmla="*/ 350 w 562325"/>
            <a:gd name="connsiteY19" fmla="*/ 1466850 h 2305050"/>
            <a:gd name="connsiteX20" fmla="*/ 9875 w 562325"/>
            <a:gd name="connsiteY20" fmla="*/ 1066800 h 2305050"/>
            <a:gd name="connsiteX21" fmla="*/ 28925 w 562325"/>
            <a:gd name="connsiteY21" fmla="*/ 904875 h 2305050"/>
            <a:gd name="connsiteX22" fmla="*/ 19400 w 562325"/>
            <a:gd name="connsiteY22" fmla="*/ 304800 h 2305050"/>
            <a:gd name="connsiteX23" fmla="*/ 9875 w 562325"/>
            <a:gd name="connsiteY23" fmla="*/ 228600 h 2305050"/>
            <a:gd name="connsiteX24" fmla="*/ 350 w 562325"/>
            <a:gd name="connsiteY24" fmla="*/ 0 h 2305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Lst>
          <a:rect l="l" t="t" r="r" b="b"/>
          <a:pathLst>
            <a:path w="562325" h="2305050">
              <a:moveTo>
                <a:pt x="562325" y="2305050"/>
              </a:moveTo>
              <a:cubicBezTo>
                <a:pt x="546450" y="2298700"/>
                <a:pt x="529993" y="2293646"/>
                <a:pt x="514700" y="2286000"/>
              </a:cubicBezTo>
              <a:cubicBezTo>
                <a:pt x="504461" y="2280880"/>
                <a:pt x="496586" y="2271599"/>
                <a:pt x="486125" y="2266950"/>
              </a:cubicBezTo>
              <a:cubicBezTo>
                <a:pt x="467775" y="2258795"/>
                <a:pt x="447256" y="2256209"/>
                <a:pt x="428975" y="2247900"/>
              </a:cubicBezTo>
              <a:cubicBezTo>
                <a:pt x="412121" y="2240239"/>
                <a:pt x="397909" y="2227604"/>
                <a:pt x="381350" y="2219325"/>
              </a:cubicBezTo>
              <a:cubicBezTo>
                <a:pt x="366057" y="2211679"/>
                <a:pt x="348671" y="2208578"/>
                <a:pt x="333725" y="2200275"/>
              </a:cubicBezTo>
              <a:cubicBezTo>
                <a:pt x="254242" y="2156118"/>
                <a:pt x="336515" y="2181922"/>
                <a:pt x="257525" y="2162175"/>
              </a:cubicBezTo>
              <a:cubicBezTo>
                <a:pt x="248000" y="2152650"/>
                <a:pt x="240158" y="2141072"/>
                <a:pt x="228950" y="2133600"/>
              </a:cubicBezTo>
              <a:cubicBezTo>
                <a:pt x="220596" y="2128031"/>
                <a:pt x="206211" y="2132245"/>
                <a:pt x="200375" y="2124075"/>
              </a:cubicBezTo>
              <a:cubicBezTo>
                <a:pt x="188703" y="2107735"/>
                <a:pt x="190305" y="2084886"/>
                <a:pt x="181325" y="2066925"/>
              </a:cubicBezTo>
              <a:cubicBezTo>
                <a:pt x="174975" y="2054225"/>
                <a:pt x="169800" y="2040866"/>
                <a:pt x="162275" y="2028825"/>
              </a:cubicBezTo>
              <a:cubicBezTo>
                <a:pt x="151489" y="2011567"/>
                <a:pt x="124725" y="1982300"/>
                <a:pt x="114650" y="1962150"/>
              </a:cubicBezTo>
              <a:cubicBezTo>
                <a:pt x="110160" y="1953170"/>
                <a:pt x="109615" y="1942555"/>
                <a:pt x="105125" y="1933575"/>
              </a:cubicBezTo>
              <a:cubicBezTo>
                <a:pt x="100005" y="1923336"/>
                <a:pt x="91195" y="1915239"/>
                <a:pt x="86075" y="1905000"/>
              </a:cubicBezTo>
              <a:cubicBezTo>
                <a:pt x="81585" y="1896020"/>
                <a:pt x="80505" y="1885653"/>
                <a:pt x="76550" y="1876425"/>
              </a:cubicBezTo>
              <a:cubicBezTo>
                <a:pt x="70957" y="1863374"/>
                <a:pt x="63850" y="1851025"/>
                <a:pt x="57500" y="1838325"/>
              </a:cubicBezTo>
              <a:cubicBezTo>
                <a:pt x="54325" y="1822450"/>
                <a:pt x="50871" y="1806628"/>
                <a:pt x="47975" y="1790700"/>
              </a:cubicBezTo>
              <a:cubicBezTo>
                <a:pt x="44520" y="1771699"/>
                <a:pt x="42640" y="1752403"/>
                <a:pt x="38450" y="1733550"/>
              </a:cubicBezTo>
              <a:cubicBezTo>
                <a:pt x="13913" y="1623134"/>
                <a:pt x="46845" y="1822020"/>
                <a:pt x="19400" y="1657350"/>
              </a:cubicBezTo>
              <a:cubicBezTo>
                <a:pt x="6218" y="1578256"/>
                <a:pt x="7546" y="1560394"/>
                <a:pt x="350" y="1466850"/>
              </a:cubicBezTo>
              <a:cubicBezTo>
                <a:pt x="3525" y="1333500"/>
                <a:pt x="4648" y="1200085"/>
                <a:pt x="9875" y="1066800"/>
              </a:cubicBezTo>
              <a:cubicBezTo>
                <a:pt x="10581" y="1048802"/>
                <a:pt x="26203" y="926654"/>
                <a:pt x="28925" y="904875"/>
              </a:cubicBezTo>
              <a:cubicBezTo>
                <a:pt x="25750" y="704850"/>
                <a:pt x="25033" y="504771"/>
                <a:pt x="19400" y="304800"/>
              </a:cubicBezTo>
              <a:cubicBezTo>
                <a:pt x="18679" y="279212"/>
                <a:pt x="12422" y="254071"/>
                <a:pt x="9875" y="228600"/>
              </a:cubicBezTo>
              <a:cubicBezTo>
                <a:pt x="-2814" y="101710"/>
                <a:pt x="350" y="127242"/>
                <a:pt x="350" y="0"/>
              </a:cubicBezTo>
            </a:path>
          </a:pathLst>
        </a:custGeom>
        <a:noFill/>
        <a:ln w="9525" cap="flat" cmpd="sng" algn="ctr">
          <a:solidFill>
            <a:srgbClr val="000000"/>
          </a:solidFill>
          <a:prstDash val="solid"/>
          <a:round/>
          <a:headEnd type="none" w="med" len="med"/>
          <a:tailEnd type="stealth" w="lg" len="lg"/>
        </a:ln>
        <a:effectLst/>
      </xdr:spPr>
      <xdr:txBody>
        <a:bodyPr vertOverflow="clip" horzOverflow="clip" wrap="square" lIns="18288" tIns="0" rIns="0" bIns="0" rtlCol="0" anchor="t" upright="1"/>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es_Maste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Base Case)"/>
      <sheetName val="Ag Forecast (Low)"/>
      <sheetName val="Ag Forecast (Base Case)"/>
      <sheetName val="Ag Forecast (High)"/>
      <sheetName val="Pop Forecast (High Case)"/>
      <sheetName val="Pop Forecast (Base Case)"/>
      <sheetName val="Pop Forecast (Low Case)"/>
      <sheetName val="DEI (Base Case)"/>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RegionBig Box-RetailNew</v>
          </cell>
          <cell r="H32" t="str">
            <v>Com</v>
          </cell>
          <cell r="I32" t="str">
            <v>Big Box-Retail</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RegionSmall Box-RetailNew</v>
          </cell>
          <cell r="H33" t="str">
            <v>Com</v>
          </cell>
          <cell r="I33" t="str">
            <v>Small Box-Retail</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RegionHigh End-RetailNew</v>
          </cell>
          <cell r="H34" t="str">
            <v>Com</v>
          </cell>
          <cell r="I34" t="str">
            <v>High End-Retail</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RegionAnchor-RetailNew</v>
          </cell>
          <cell r="H35" t="str">
            <v>Com</v>
          </cell>
          <cell r="I35" t="str">
            <v>Anchor-Retail</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RegionK-12New</v>
          </cell>
          <cell r="H36" t="str">
            <v>Com</v>
          </cell>
          <cell r="I36" t="str">
            <v>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RegionOtherHealthNew</v>
          </cell>
          <cell r="H44" t="str">
            <v>Com</v>
          </cell>
          <cell r="I44" t="str">
            <v>OtherHealth</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RegionBig Box-RetailStock 2016</v>
          </cell>
          <cell r="H50" t="str">
            <v>Com</v>
          </cell>
          <cell r="I50" t="str">
            <v>Big Box-Retail</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RegionSmall Box-RetailStock 2016</v>
          </cell>
          <cell r="H51" t="str">
            <v>Com</v>
          </cell>
          <cell r="I51" t="str">
            <v>Small Box-Retail</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RegionHigh End-RetailStock 2016</v>
          </cell>
          <cell r="H52" t="str">
            <v>Com</v>
          </cell>
          <cell r="I52" t="str">
            <v>High End-Retail</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RegionAnchor-RetailStock 2016</v>
          </cell>
          <cell r="H53" t="str">
            <v>Com</v>
          </cell>
          <cell r="I53" t="str">
            <v>Anchor-Retail</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RegionK-12Stock 2016</v>
          </cell>
          <cell r="H54" t="str">
            <v>Com</v>
          </cell>
          <cell r="I54" t="str">
            <v>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RegionOtherHealthStock 2016</v>
          </cell>
          <cell r="H62" t="str">
            <v>Com</v>
          </cell>
          <cell r="I62" t="str">
            <v>OtherHealth</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14">
          <cell r="C14" t="str">
            <v>OR_Single Family</v>
          </cell>
          <cell r="D14" t="str">
            <v>Single Family</v>
          </cell>
          <cell r="E14" t="str">
            <v>New</v>
          </cell>
          <cell r="F14">
            <v>6704</v>
          </cell>
          <cell r="G14">
            <v>6968</v>
          </cell>
          <cell r="H14">
            <v>8205</v>
          </cell>
          <cell r="I14">
            <v>9300</v>
          </cell>
          <cell r="J14">
            <v>11414</v>
          </cell>
          <cell r="K14">
            <v>13600</v>
          </cell>
          <cell r="L14">
            <v>12406</v>
          </cell>
          <cell r="M14">
            <v>14907</v>
          </cell>
          <cell r="N14">
            <v>16765</v>
          </cell>
          <cell r="O14">
            <v>17498</v>
          </cell>
          <cell r="P14">
            <v>16395</v>
          </cell>
          <cell r="Q14">
            <v>18008</v>
          </cell>
          <cell r="R14">
            <v>16935</v>
          </cell>
          <cell r="S14">
            <v>17518</v>
          </cell>
          <cell r="T14">
            <v>16687</v>
          </cell>
          <cell r="U14">
            <v>15476</v>
          </cell>
          <cell r="V14">
            <v>15963</v>
          </cell>
          <cell r="W14">
            <v>17418</v>
          </cell>
          <cell r="X14">
            <v>18681</v>
          </cell>
          <cell r="Y14">
            <v>20556</v>
          </cell>
          <cell r="Z14">
            <v>23352</v>
          </cell>
          <cell r="AA14">
            <v>20383</v>
          </cell>
          <cell r="AB14">
            <v>15397</v>
          </cell>
          <cell r="AC14">
            <v>8164.9999999999991</v>
          </cell>
          <cell r="AD14">
            <v>5328</v>
          </cell>
          <cell r="AE14">
            <v>5305</v>
          </cell>
          <cell r="AF14">
            <v>5050</v>
          </cell>
          <cell r="AG14">
            <v>6513</v>
          </cell>
          <cell r="AH14">
            <v>8720</v>
          </cell>
          <cell r="AI14">
            <v>11272</v>
          </cell>
          <cell r="AJ14">
            <v>15952</v>
          </cell>
          <cell r="AK14">
            <v>17272</v>
          </cell>
          <cell r="AL14">
            <v>16727</v>
          </cell>
          <cell r="AM14">
            <v>16202.000000000002</v>
          </cell>
          <cell r="AN14">
            <v>15889</v>
          </cell>
          <cell r="AO14">
            <v>15686</v>
          </cell>
          <cell r="AP14">
            <v>15088</v>
          </cell>
          <cell r="AQ14">
            <v>14772</v>
          </cell>
          <cell r="AR14">
            <v>14734</v>
          </cell>
          <cell r="AS14">
            <v>14757</v>
          </cell>
          <cell r="AT14">
            <v>15342</v>
          </cell>
          <cell r="AU14">
            <v>15526</v>
          </cell>
          <cell r="AV14">
            <v>15254</v>
          </cell>
          <cell r="AW14">
            <v>14608</v>
          </cell>
          <cell r="AX14">
            <v>14523</v>
          </cell>
          <cell r="AY14">
            <v>14775</v>
          </cell>
          <cell r="AZ14">
            <v>14714</v>
          </cell>
          <cell r="BA14">
            <v>14158</v>
          </cell>
          <cell r="BB14">
            <v>14093</v>
          </cell>
          <cell r="BC14">
            <v>14173</v>
          </cell>
          <cell r="BD14">
            <v>14330</v>
          </cell>
        </row>
        <row r="15">
          <cell r="C15" t="str">
            <v>OR_Multi Family</v>
          </cell>
          <cell r="D15" t="str">
            <v>Multifamily - Low Rise</v>
          </cell>
          <cell r="E15" t="str">
            <v>New</v>
          </cell>
          <cell r="F15">
            <v>3772.8448706752683</v>
          </cell>
          <cell r="G15">
            <v>2941.0349178883071</v>
          </cell>
          <cell r="H15">
            <v>3202.3298129108261</v>
          </cell>
          <cell r="I15">
            <v>2714.899092549962</v>
          </cell>
          <cell r="J15">
            <v>8896.7022428480705</v>
          </cell>
          <cell r="K15">
            <v>8252.2238816719419</v>
          </cell>
          <cell r="L15">
            <v>3301.122737123248</v>
          </cell>
          <cell r="M15">
            <v>2811.4691158519631</v>
          </cell>
          <cell r="N15">
            <v>2637.894836250196</v>
          </cell>
          <cell r="O15">
            <v>4819.5855773579242</v>
          </cell>
          <cell r="P15">
            <v>6713.3146314455371</v>
          </cell>
          <cell r="Q15">
            <v>8721.3694621543327</v>
          </cell>
          <cell r="R15">
            <v>7555.8808889387019</v>
          </cell>
          <cell r="S15">
            <v>6573.1222265963652</v>
          </cell>
          <cell r="T15">
            <v>4692.7024347114893</v>
          </cell>
          <cell r="U15">
            <v>2354.7720492520393</v>
          </cell>
          <cell r="V15">
            <v>2899.5066232946756</v>
          </cell>
          <cell r="W15">
            <v>2562.0870522389155</v>
          </cell>
          <cell r="X15">
            <v>3686.8568040688797</v>
          </cell>
          <cell r="Y15">
            <v>3834.8880826444029</v>
          </cell>
          <cell r="Z15">
            <v>3263.6700424474207</v>
          </cell>
          <cell r="AA15">
            <v>4388.1347752705051</v>
          </cell>
          <cell r="AB15">
            <v>2959.161886968971</v>
          </cell>
          <cell r="AC15">
            <v>2360.9550283740805</v>
          </cell>
          <cell r="AD15">
            <v>671.9841739580163</v>
          </cell>
          <cell r="AE15">
            <v>66.596429394015331</v>
          </cell>
          <cell r="AF15">
            <v>949.87426015052506</v>
          </cell>
          <cell r="AG15">
            <v>2297.5049440684579</v>
          </cell>
          <cell r="AH15">
            <v>4512.1309043270476</v>
          </cell>
          <cell r="AI15">
            <v>4834.4211617459714</v>
          </cell>
          <cell r="AJ15">
            <v>6816.6588407441923</v>
          </cell>
          <cell r="AK15">
            <v>7232.862016530873</v>
          </cell>
          <cell r="AL15">
            <v>7009.2519401018944</v>
          </cell>
          <cell r="AM15">
            <v>7026.167603814305</v>
          </cell>
          <cell r="AN15">
            <v>7441.1769135052737</v>
          </cell>
          <cell r="AO15">
            <v>7431.377897912399</v>
          </cell>
          <cell r="AP15">
            <v>6971.963329889757</v>
          </cell>
          <cell r="AQ15">
            <v>6761.3209416287918</v>
          </cell>
          <cell r="AR15">
            <v>6554.7240085809162</v>
          </cell>
          <cell r="AS15">
            <v>6621.6730773670097</v>
          </cell>
          <cell r="AT15">
            <v>6557.8368230103088</v>
          </cell>
          <cell r="AU15">
            <v>6522.0493084879608</v>
          </cell>
          <cell r="AV15">
            <v>6282.365298704045</v>
          </cell>
          <cell r="AW15">
            <v>6009.1462390877323</v>
          </cell>
          <cell r="AX15">
            <v>5504.874605946914</v>
          </cell>
          <cell r="AY15">
            <v>5132.8554374960586</v>
          </cell>
          <cell r="AZ15">
            <v>4866.3598178070824</v>
          </cell>
          <cell r="BA15">
            <v>4605.8340776656614</v>
          </cell>
          <cell r="BB15">
            <v>4391.1894980251245</v>
          </cell>
          <cell r="BC15">
            <v>3931.255214930798</v>
          </cell>
          <cell r="BD15">
            <v>3779.4583907174715</v>
          </cell>
        </row>
        <row r="16">
          <cell r="C16" t="str">
            <v>OR</v>
          </cell>
          <cell r="D16" t="str">
            <v>Multifamily - High Rise</v>
          </cell>
          <cell r="E16" t="str">
            <v>New</v>
          </cell>
          <cell r="F16">
            <v>468.15512932473166</v>
          </cell>
          <cell r="G16">
            <v>512.96508211169294</v>
          </cell>
          <cell r="H16">
            <v>567.67018708917408</v>
          </cell>
          <cell r="I16">
            <v>1440.100907450038</v>
          </cell>
          <cell r="J16">
            <v>1235.2977571519298</v>
          </cell>
          <cell r="K16">
            <v>508.77611832805769</v>
          </cell>
          <cell r="L16">
            <v>504.87726287675196</v>
          </cell>
          <cell r="M16">
            <v>979.53088414803699</v>
          </cell>
          <cell r="N16">
            <v>1373.1051637498038</v>
          </cell>
          <cell r="O16">
            <v>1730.4144226420756</v>
          </cell>
          <cell r="P16">
            <v>2043.6853685544634</v>
          </cell>
          <cell r="Q16">
            <v>1875.6305378456677</v>
          </cell>
          <cell r="R16">
            <v>1705.1191110612986</v>
          </cell>
          <cell r="S16">
            <v>1382.877773403635</v>
          </cell>
          <cell r="T16">
            <v>1045.2975652885109</v>
          </cell>
          <cell r="U16">
            <v>1145.2279507479607</v>
          </cell>
          <cell r="V16">
            <v>1138.4933767053251</v>
          </cell>
          <cell r="W16">
            <v>1344.9129477610845</v>
          </cell>
          <cell r="X16">
            <v>1380.1431959311205</v>
          </cell>
          <cell r="Y16">
            <v>1332.1119173555971</v>
          </cell>
          <cell r="Z16">
            <v>1508.3299575525793</v>
          </cell>
          <cell r="AA16">
            <v>1311.8652247294947</v>
          </cell>
          <cell r="AB16">
            <v>1171.838113031029</v>
          </cell>
          <cell r="AC16">
            <v>876.04497162591952</v>
          </cell>
          <cell r="AD16">
            <v>822.0158260419837</v>
          </cell>
          <cell r="AE16">
            <v>1092.4035706059847</v>
          </cell>
          <cell r="AF16">
            <v>1676.1257398494749</v>
          </cell>
          <cell r="AG16">
            <v>1050.4950559315419</v>
          </cell>
          <cell r="AH16">
            <v>1179.8690956729522</v>
          </cell>
          <cell r="AI16">
            <v>1558.5788382540286</v>
          </cell>
          <cell r="AJ16">
            <v>1628.3411592558075</v>
          </cell>
          <cell r="AK16">
            <v>1590.137983469127</v>
          </cell>
          <cell r="AL16">
            <v>1606.7480598981056</v>
          </cell>
          <cell r="AM16">
            <v>1679.8323961856952</v>
          </cell>
          <cell r="AN16">
            <v>1660.8230864947266</v>
          </cell>
          <cell r="AO16">
            <v>1567.6221020876008</v>
          </cell>
          <cell r="AP16">
            <v>1522.0366701102428</v>
          </cell>
          <cell r="AQ16">
            <v>1485.6790583712077</v>
          </cell>
          <cell r="AR16">
            <v>1495.2759914190849</v>
          </cell>
          <cell r="AS16">
            <v>1480.3269226329903</v>
          </cell>
          <cell r="AT16">
            <v>1463.1631769896919</v>
          </cell>
          <cell r="AU16">
            <v>1405.9506915120394</v>
          </cell>
          <cell r="AV16">
            <v>1335.6347012959552</v>
          </cell>
          <cell r="AW16">
            <v>1227.8537609122679</v>
          </cell>
          <cell r="AX16">
            <v>1148.1253940530855</v>
          </cell>
          <cell r="AY16">
            <v>1088.1445625039419</v>
          </cell>
          <cell r="AZ16">
            <v>1029.6401821929173</v>
          </cell>
          <cell r="BA16">
            <v>973.16592233433857</v>
          </cell>
          <cell r="BB16">
            <v>881.81050197487571</v>
          </cell>
          <cell r="BC16">
            <v>846.74478506920184</v>
          </cell>
          <cell r="BD16">
            <v>808.54160928252838</v>
          </cell>
        </row>
        <row r="17">
          <cell r="C17" t="str">
            <v>OR_Other Family</v>
          </cell>
          <cell r="D17" t="str">
            <v>Manufactured</v>
          </cell>
          <cell r="E17" t="str">
            <v>New</v>
          </cell>
          <cell r="F17">
            <v>2370</v>
          </cell>
          <cell r="G17">
            <v>2297</v>
          </cell>
          <cell r="H17">
            <v>2910</v>
          </cell>
          <cell r="I17">
            <v>3852</v>
          </cell>
          <cell r="J17">
            <v>4387</v>
          </cell>
          <cell r="K17">
            <v>4905</v>
          </cell>
          <cell r="L17">
            <v>4720</v>
          </cell>
          <cell r="M17">
            <v>5103</v>
          </cell>
          <cell r="N17">
            <v>6454</v>
          </cell>
          <cell r="O17">
            <v>7597</v>
          </cell>
          <cell r="P17">
            <v>7450</v>
          </cell>
          <cell r="Q17">
            <v>6484</v>
          </cell>
          <cell r="R17">
            <v>6567</v>
          </cell>
          <cell r="S17">
            <v>6223</v>
          </cell>
          <cell r="T17">
            <v>5202</v>
          </cell>
          <cell r="U17">
            <v>3199</v>
          </cell>
          <cell r="V17">
            <v>2392</v>
          </cell>
          <cell r="W17">
            <v>2517</v>
          </cell>
          <cell r="X17">
            <v>2415</v>
          </cell>
          <cell r="Y17">
            <v>2492</v>
          </cell>
          <cell r="Z17">
            <v>2495</v>
          </cell>
          <cell r="AA17">
            <v>2230</v>
          </cell>
          <cell r="AB17">
            <v>1772</v>
          </cell>
          <cell r="AC17">
            <v>1278</v>
          </cell>
          <cell r="AD17">
            <v>717</v>
          </cell>
          <cell r="AE17">
            <v>647</v>
          </cell>
          <cell r="AF17">
            <v>445</v>
          </cell>
          <cell r="AG17">
            <v>473</v>
          </cell>
          <cell r="AH17">
            <v>888.66666666666663</v>
          </cell>
          <cell r="AI17">
            <v>741.44444444444446</v>
          </cell>
          <cell r="AJ17">
            <v>652.01851851851848</v>
          </cell>
          <cell r="AK17">
            <v>641.18827160493822</v>
          </cell>
          <cell r="AL17">
            <v>640.21965020576124</v>
          </cell>
          <cell r="AM17">
            <v>672.75625857338821</v>
          </cell>
          <cell r="AN17">
            <v>706.04896833561952</v>
          </cell>
          <cell r="AO17">
            <v>675.61268528044502</v>
          </cell>
          <cell r="AP17">
            <v>664.64072541977851</v>
          </cell>
          <cell r="AQ17">
            <v>666.74442656998838</v>
          </cell>
          <cell r="AR17">
            <v>671.00378573083015</v>
          </cell>
          <cell r="AS17">
            <v>676.1344749850083</v>
          </cell>
          <cell r="AT17">
            <v>676.69751105361161</v>
          </cell>
          <cell r="AU17">
            <v>671.80560150661029</v>
          </cell>
          <cell r="AV17">
            <v>671.17108754430456</v>
          </cell>
          <cell r="AW17">
            <v>672.25948123172554</v>
          </cell>
          <cell r="AX17">
            <v>673.17865700868174</v>
          </cell>
          <cell r="AY17">
            <v>673.54113555499043</v>
          </cell>
          <cell r="AZ17">
            <v>673.10891231665403</v>
          </cell>
          <cell r="BA17">
            <v>672.51081252716119</v>
          </cell>
          <cell r="BB17">
            <v>672.62834769725293</v>
          </cell>
          <cell r="BC17">
            <v>672.87122438941094</v>
          </cell>
          <cell r="BD17">
            <v>672.97318158235862</v>
          </cell>
        </row>
        <row r="18">
          <cell r="C18" t="str">
            <v>OR_Single Family</v>
          </cell>
          <cell r="D18" t="str">
            <v>Single Family</v>
          </cell>
          <cell r="E18" t="str">
            <v>Existing</v>
          </cell>
          <cell r="AK18">
            <v>1281442</v>
          </cell>
          <cell r="AL18">
            <v>1278532.125467059</v>
          </cell>
          <cell r="AM18">
            <v>1275628.858622798</v>
          </cell>
          <cell r="AN18">
            <v>1272732.1844626011</v>
          </cell>
          <cell r="AO18">
            <v>1269842.0880159247</v>
          </cell>
          <cell r="AP18">
            <v>1266958.5543462196</v>
          </cell>
          <cell r="AQ18">
            <v>1264081.5685508549</v>
          </cell>
          <cell r="AR18">
            <v>1261211.1157610398</v>
          </cell>
          <cell r="AS18">
            <v>1258347.1811417476</v>
          </cell>
          <cell r="AT18">
            <v>1255489.7498916385</v>
          </cell>
          <cell r="AU18">
            <v>1252638.8072429833</v>
          </cell>
          <cell r="AV18">
            <v>1249794.338461587</v>
          </cell>
          <cell r="AW18">
            <v>1246956.3288467131</v>
          </cell>
          <cell r="AX18">
            <v>1244124.763731007</v>
          </cell>
          <cell r="AY18">
            <v>1241299.6284804204</v>
          </cell>
          <cell r="AZ18">
            <v>1238480.9084941361</v>
          </cell>
          <cell r="BA18">
            <v>1235668.5892044916</v>
          </cell>
          <cell r="BB18">
            <v>1232862.6560769046</v>
          </cell>
          <cell r="BC18">
            <v>1230063.0946097979</v>
          </cell>
          <cell r="BD18">
            <v>1227269.890334524</v>
          </cell>
        </row>
        <row r="19">
          <cell r="C19" t="str">
            <v>OR_Multi Family</v>
          </cell>
          <cell r="D19" t="str">
            <v>Multifamily - Low Rise</v>
          </cell>
          <cell r="E19" t="str">
            <v>Existing</v>
          </cell>
          <cell r="AK19">
            <v>277837.92835758231</v>
          </cell>
          <cell r="AL19">
            <v>277207.00904135435</v>
          </cell>
          <cell r="AM19">
            <v>276577.52242794685</v>
          </cell>
          <cell r="AN19">
            <v>275949.46526395273</v>
          </cell>
          <cell r="AO19">
            <v>275322.83430335281</v>
          </cell>
          <cell r="AP19">
            <v>274697.62630749901</v>
          </cell>
          <cell r="AQ19">
            <v>274073.83804509765</v>
          </cell>
          <cell r="AR19">
            <v>273451.46629219269</v>
          </cell>
          <cell r="AS19">
            <v>272830.50783214916</v>
          </cell>
          <cell r="AT19">
            <v>272210.95945563645</v>
          </cell>
          <cell r="AU19">
            <v>271592.81796061178</v>
          </cell>
          <cell r="AV19">
            <v>270976.08015230362</v>
          </cell>
          <cell r="AW19">
            <v>270360.74284319516</v>
          </cell>
          <cell r="AX19">
            <v>269746.80285300786</v>
          </cell>
          <cell r="AY19">
            <v>269134.25700868503</v>
          </cell>
          <cell r="AZ19">
            <v>268523.10214437544</v>
          </cell>
          <cell r="BA19">
            <v>267913.33510141686</v>
          </cell>
          <cell r="BB19">
            <v>267304.95272831985</v>
          </cell>
          <cell r="BC19">
            <v>266697.95188075147</v>
          </cell>
          <cell r="BD19">
            <v>266092.32942151889</v>
          </cell>
        </row>
        <row r="20">
          <cell r="D20" t="str">
            <v>Multifamily - High Rise</v>
          </cell>
          <cell r="E20" t="str">
            <v>Existing</v>
          </cell>
          <cell r="AK20">
            <v>63346.033033662934</v>
          </cell>
          <cell r="AL20">
            <v>63202.185733607068</v>
          </cell>
          <cell r="AM20">
            <v>63058.665084562206</v>
          </cell>
          <cell r="AN20">
            <v>62915.470344763409</v>
          </cell>
          <cell r="AO20">
            <v>62772.600774130158</v>
          </cell>
          <cell r="AP20">
            <v>62630.05563426252</v>
          </cell>
          <cell r="AQ20">
            <v>62487.834188437337</v>
          </cell>
          <cell r="AR20">
            <v>62345.935701604409</v>
          </cell>
          <cell r="AS20">
            <v>62204.359440382708</v>
          </cell>
          <cell r="AT20">
            <v>62063.104673056572</v>
          </cell>
          <cell r="AU20">
            <v>61922.17066957194</v>
          </cell>
          <cell r="AV20">
            <v>61781.556701532572</v>
          </cell>
          <cell r="AW20">
            <v>61641.262042196271</v>
          </cell>
          <cell r="AX20">
            <v>61501.28596647115</v>
          </cell>
          <cell r="AY20">
            <v>61361.627750911874</v>
          </cell>
          <cell r="AZ20">
            <v>61222.286673715913</v>
          </cell>
          <cell r="BA20">
            <v>61083.262014719818</v>
          </cell>
          <cell r="BB20">
            <v>60944.55305539551</v>
          </cell>
          <cell r="BC20">
            <v>60806.159078846555</v>
          </cell>
          <cell r="BD20">
            <v>60668.079369804451</v>
          </cell>
        </row>
        <row r="21">
          <cell r="C21" t="str">
            <v>OR_Other Family</v>
          </cell>
          <cell r="D21" t="str">
            <v>Manufactured</v>
          </cell>
          <cell r="E21" t="str">
            <v>Existing</v>
          </cell>
          <cell r="AK21">
            <v>202413.31790123455</v>
          </cell>
          <cell r="AL21">
            <v>200250.12950997456</v>
          </cell>
          <cell r="AM21">
            <v>198110.05908380006</v>
          </cell>
          <cell r="AN21">
            <v>195992.85956133081</v>
          </cell>
          <cell r="AO21">
            <v>193898.28652152821</v>
          </cell>
          <cell r="AP21">
            <v>191826.09815547793</v>
          </cell>
          <cell r="AQ21">
            <v>189776.05523847431</v>
          </cell>
          <cell r="AR21">
            <v>187747.92110240282</v>
          </cell>
          <cell r="AS21">
            <v>185741.46160841791</v>
          </cell>
          <cell r="AT21">
            <v>183756.44511991271</v>
          </cell>
          <cell r="AU21">
            <v>181792.64247577763</v>
          </cell>
          <cell r="AV21">
            <v>179849.82696394474</v>
          </cell>
          <cell r="AW21">
            <v>177927.77429521491</v>
          </cell>
          <cell r="AX21">
            <v>176026.26257736469</v>
          </cell>
          <cell r="AY21">
            <v>174145.07228952978</v>
          </cell>
          <cell r="AZ21">
            <v>172283.98625686244</v>
          </cell>
          <cell r="BA21">
            <v>170442.78962545953</v>
          </cell>
          <cell r="BB21">
            <v>168621.26983755868</v>
          </cell>
          <cell r="BC21">
            <v>166819.21660699949</v>
          </cell>
          <cell r="BD21">
            <v>165036.42189494686</v>
          </cell>
        </row>
        <row r="23">
          <cell r="D23" t="str">
            <v>WASHINGTON</v>
          </cell>
        </row>
        <row r="24">
          <cell r="C24" t="str">
            <v>WA_Single Family</v>
          </cell>
          <cell r="D24" t="str">
            <v>Single Family</v>
          </cell>
          <cell r="E24" t="str">
            <v>New</v>
          </cell>
          <cell r="F24">
            <v>17836</v>
          </cell>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cell r="AF24">
            <v>13829</v>
          </cell>
          <cell r="AG24">
            <v>16887</v>
          </cell>
          <cell r="AH24">
            <v>18274</v>
          </cell>
          <cell r="AI24">
            <v>24247</v>
          </cell>
          <cell r="AJ24">
            <v>30852</v>
          </cell>
          <cell r="AK24">
            <v>33055</v>
          </cell>
          <cell r="AL24">
            <v>31044</v>
          </cell>
          <cell r="AM24">
            <v>28849</v>
          </cell>
          <cell r="AN24">
            <v>27415</v>
          </cell>
          <cell r="AO24">
            <v>26216</v>
          </cell>
          <cell r="AP24">
            <v>24554</v>
          </cell>
          <cell r="AQ24">
            <v>23488</v>
          </cell>
          <cell r="AR24">
            <v>23152</v>
          </cell>
          <cell r="AS24">
            <v>22514</v>
          </cell>
          <cell r="AT24">
            <v>22375</v>
          </cell>
          <cell r="AU24">
            <v>22305</v>
          </cell>
          <cell r="AV24">
            <v>21816</v>
          </cell>
          <cell r="AW24">
            <v>21213</v>
          </cell>
          <cell r="AX24">
            <v>21215</v>
          </cell>
          <cell r="AY24">
            <v>21402</v>
          </cell>
          <cell r="AZ24">
            <v>21237</v>
          </cell>
          <cell r="BA24">
            <v>20416</v>
          </cell>
          <cell r="BB24">
            <v>20299</v>
          </cell>
          <cell r="BC24">
            <v>20303</v>
          </cell>
          <cell r="BD24">
            <v>20372</v>
          </cell>
        </row>
        <row r="25">
          <cell r="C25" t="str">
            <v>WA_Multi Family</v>
          </cell>
          <cell r="D25" t="str">
            <v>Multifamily - Low Rise</v>
          </cell>
          <cell r="E25" t="str">
            <v>New</v>
          </cell>
          <cell r="F25">
            <v>15061.883667534441</v>
          </cell>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cell r="AF25">
            <v>5265.721927064159</v>
          </cell>
          <cell r="AG25">
            <v>8692.3033155335615</v>
          </cell>
          <cell r="AH25">
            <v>12312.39973222512</v>
          </cell>
          <cell r="AI25">
            <v>11883.279860328872</v>
          </cell>
          <cell r="AJ25">
            <v>13265.608797275603</v>
          </cell>
          <cell r="AK25">
            <v>13028.433829152391</v>
          </cell>
          <cell r="AL25">
            <v>13080.239965534132</v>
          </cell>
          <cell r="AM25">
            <v>12923.202614626804</v>
          </cell>
          <cell r="AN25">
            <v>11912.982955180836</v>
          </cell>
          <cell r="AO25">
            <v>10886.573878115541</v>
          </cell>
          <cell r="AP25">
            <v>10714.966051350757</v>
          </cell>
          <cell r="AQ25">
            <v>10719.822876636612</v>
          </cell>
          <cell r="AR25">
            <v>11250.835774550411</v>
          </cell>
          <cell r="AS25">
            <v>11653.142802390561</v>
          </cell>
          <cell r="AT25">
            <v>12252.151254305772</v>
          </cell>
          <cell r="AU25">
            <v>12363.048764997984</v>
          </cell>
          <cell r="AV25">
            <v>12613.98473809777</v>
          </cell>
          <cell r="AW25">
            <v>12900.537429959741</v>
          </cell>
          <cell r="AX25">
            <v>13132.046101915988</v>
          </cell>
          <cell r="AY25">
            <v>13215.421602655624</v>
          </cell>
          <cell r="AZ25">
            <v>13014.672824175932</v>
          </cell>
          <cell r="BA25">
            <v>12900.537429959741</v>
          </cell>
          <cell r="BB25">
            <v>12809.067220410498</v>
          </cell>
          <cell r="BC25">
            <v>12840.636584768163</v>
          </cell>
          <cell r="BD25">
            <v>12863.301769435224</v>
          </cell>
        </row>
        <row r="26">
          <cell r="C26" t="str">
            <v>WA</v>
          </cell>
          <cell r="D26" t="str">
            <v>Multifamily - High Rise</v>
          </cell>
          <cell r="E26" t="str">
            <v>New</v>
          </cell>
          <cell r="F26">
            <v>926.11633246555948</v>
          </cell>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cell r="AF26">
            <v>1217.2780729358408</v>
          </cell>
          <cell r="AG26">
            <v>806.69668446643777</v>
          </cell>
          <cell r="AH26">
            <v>792.60026777487974</v>
          </cell>
          <cell r="AI26">
            <v>992.72013967112821</v>
          </cell>
          <cell r="AJ26">
            <v>3024.5103613152296</v>
          </cell>
          <cell r="AK26">
            <v>2970.4353347186084</v>
          </cell>
          <cell r="AL26">
            <v>2982.246944623661</v>
          </cell>
          <cell r="AM26">
            <v>2946.4430020989594</v>
          </cell>
          <cell r="AN26">
            <v>2716.1166089502017</v>
          </cell>
          <cell r="AO26">
            <v>2482.099087706139</v>
          </cell>
          <cell r="AP26">
            <v>2442.9731298956272</v>
          </cell>
          <cell r="AQ26">
            <v>2444.0804683242377</v>
          </cell>
          <cell r="AR26">
            <v>2565.1494698511356</v>
          </cell>
          <cell r="AS26">
            <v>2656.874003020107</v>
          </cell>
          <cell r="AT26">
            <v>2793.4457425474475</v>
          </cell>
          <cell r="AU26">
            <v>2818.729970000426</v>
          </cell>
          <cell r="AV26">
            <v>2875.9424554781176</v>
          </cell>
          <cell r="AW26">
            <v>2941.2754227654787</v>
          </cell>
          <cell r="AX26">
            <v>2994.0585545287277</v>
          </cell>
          <cell r="AY26">
            <v>3013.0678642196926</v>
          </cell>
          <cell r="AZ26">
            <v>2967.2978758375662</v>
          </cell>
          <cell r="BA26">
            <v>2941.2754227654787</v>
          </cell>
          <cell r="BB26">
            <v>2920.4205490268364</v>
          </cell>
          <cell r="BC26">
            <v>2927.6182488127561</v>
          </cell>
          <cell r="BD26">
            <v>2932.7858281462154</v>
          </cell>
        </row>
        <row r="27">
          <cell r="C27" t="str">
            <v>WA_Other Family</v>
          </cell>
          <cell r="D27" t="str">
            <v>Manufactured</v>
          </cell>
          <cell r="E27" t="str">
            <v>New</v>
          </cell>
          <cell r="F27">
            <v>5597</v>
          </cell>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cell r="AF27">
            <v>563</v>
          </cell>
          <cell r="AG27">
            <v>560</v>
          </cell>
          <cell r="AH27">
            <v>1057.8333333333333</v>
          </cell>
          <cell r="AI27">
            <v>890.30555555555554</v>
          </cell>
          <cell r="AJ27">
            <v>768.52314814814815</v>
          </cell>
          <cell r="AK27">
            <v>753.44367283950612</v>
          </cell>
          <cell r="AL27">
            <v>765.51761831275724</v>
          </cell>
          <cell r="AM27">
            <v>799.27055469821664</v>
          </cell>
          <cell r="AN27">
            <v>839.14898048125281</v>
          </cell>
          <cell r="AO27">
            <v>802.70158833923949</v>
          </cell>
          <cell r="AP27">
            <v>788.10092713652</v>
          </cell>
          <cell r="AQ27">
            <v>791.36389030124872</v>
          </cell>
          <cell r="AR27">
            <v>797.68392654487252</v>
          </cell>
          <cell r="AS27">
            <v>803.04497791689175</v>
          </cell>
          <cell r="AT27">
            <v>803.6740484533376</v>
          </cell>
          <cell r="AU27">
            <v>797.76155978201825</v>
          </cell>
          <cell r="AV27">
            <v>796.93822168914812</v>
          </cell>
          <cell r="AW27">
            <v>798.41110411458612</v>
          </cell>
          <cell r="AX27">
            <v>799.58563975014238</v>
          </cell>
          <cell r="AY27">
            <v>799.90259195102078</v>
          </cell>
          <cell r="AZ27">
            <v>799.37886095670899</v>
          </cell>
          <cell r="BA27">
            <v>798.6629963739374</v>
          </cell>
          <cell r="BB27">
            <v>798.81323580592414</v>
          </cell>
          <cell r="BC27">
            <v>799.12573815872008</v>
          </cell>
          <cell r="BD27">
            <v>799.24484383274228</v>
          </cell>
        </row>
        <row r="28">
          <cell r="C28" t="str">
            <v>WA_Single Family</v>
          </cell>
          <cell r="D28" t="str">
            <v>Single Family</v>
          </cell>
          <cell r="E28" t="str">
            <v>Existing</v>
          </cell>
          <cell r="AK28">
            <v>2177155</v>
          </cell>
          <cell r="AL28">
            <v>2172211.1571348798</v>
          </cell>
          <cell r="AM28">
            <v>2167278.5406556972</v>
          </cell>
          <cell r="AN28">
            <v>2162357.1250697845</v>
          </cell>
          <cell r="AO28">
            <v>2157446.8849423626</v>
          </cell>
          <cell r="AP28">
            <v>2152547.7948964094</v>
          </cell>
          <cell r="AQ28">
            <v>2147659.8296125284</v>
          </cell>
          <cell r="AR28">
            <v>2142782.9638288179</v>
          </cell>
          <cell r="AS28">
            <v>2137917.1723407404</v>
          </cell>
          <cell r="AT28">
            <v>2133062.4300009925</v>
          </cell>
          <cell r="AU28">
            <v>2128218.7117193746</v>
          </cell>
          <cell r="AV28">
            <v>2123385.9924626616</v>
          </cell>
          <cell r="AW28">
            <v>2118564.2472544736</v>
          </cell>
          <cell r="AX28">
            <v>2113753.4511751467</v>
          </cell>
          <cell r="AY28">
            <v>2108953.5793616036</v>
          </cell>
          <cell r="AZ28">
            <v>2104164.6070072255</v>
          </cell>
          <cell r="BA28">
            <v>2099386.5093617244</v>
          </cell>
          <cell r="BB28">
            <v>2094619.2617310151</v>
          </cell>
          <cell r="BC28">
            <v>2089862.8394770864</v>
          </cell>
          <cell r="BD28">
            <v>2085117.2180178757</v>
          </cell>
        </row>
        <row r="29">
          <cell r="C29" t="str">
            <v>WA_Multi Family</v>
          </cell>
          <cell r="D29" t="str">
            <v>Multifamily - Low Rise</v>
          </cell>
          <cell r="E29" t="str">
            <v>Existing</v>
          </cell>
          <cell r="AK29">
            <v>558037.0832749434</v>
          </cell>
          <cell r="AL29">
            <v>556769.88272716023</v>
          </cell>
          <cell r="AM29">
            <v>555505.55976095074</v>
          </cell>
          <cell r="AN29">
            <v>554244.10784185154</v>
          </cell>
          <cell r="AO29">
            <v>552985.52045023767</v>
          </cell>
          <cell r="AP29">
            <v>551729.79108128918</v>
          </cell>
          <cell r="AQ29">
            <v>550476.91324495722</v>
          </cell>
          <cell r="AR29">
            <v>549226.88046593068</v>
          </cell>
          <cell r="AS29">
            <v>547979.68628360284</v>
          </cell>
          <cell r="AT29">
            <v>546735.3242520378</v>
          </cell>
          <cell r="AU29">
            <v>545493.78793993709</v>
          </cell>
          <cell r="AV29">
            <v>544255.07093060669</v>
          </cell>
          <cell r="AW29">
            <v>543019.16682192357</v>
          </cell>
          <cell r="AX29">
            <v>541786.06922630291</v>
          </cell>
          <cell r="AY29">
            <v>540555.77177066484</v>
          </cell>
          <cell r="AZ29">
            <v>539328.26809640159</v>
          </cell>
          <cell r="BA29">
            <v>538103.55185934459</v>
          </cell>
          <cell r="BB29">
            <v>536881.6167297319</v>
          </cell>
          <cell r="BC29">
            <v>535662.45639217517</v>
          </cell>
          <cell r="BD29">
            <v>534446.06454562722</v>
          </cell>
        </row>
        <row r="30">
          <cell r="D30" t="str">
            <v>Multifamily - High Rise</v>
          </cell>
          <cell r="E30" t="str">
            <v>Existing</v>
          </cell>
          <cell r="AK30">
            <v>127230.41710003006</v>
          </cell>
          <cell r="AL30">
            <v>126941.50000280481</v>
          </cell>
          <cell r="AM30">
            <v>126653.23898366978</v>
          </cell>
          <cell r="AN30">
            <v>126365.63255279115</v>
          </cell>
          <cell r="AO30">
            <v>126078.67922371827</v>
          </cell>
          <cell r="AP30">
            <v>125792.3775133759</v>
          </cell>
          <cell r="AQ30">
            <v>125506.72594205666</v>
          </cell>
          <cell r="AR30">
            <v>125221.72303341323</v>
          </cell>
          <cell r="AS30">
            <v>124937.36731445088</v>
          </cell>
          <cell r="AT30">
            <v>124653.65731551975</v>
          </cell>
          <cell r="AU30">
            <v>124370.5915703073</v>
          </cell>
          <cell r="AV30">
            <v>124088.1686158307</v>
          </cell>
          <cell r="AW30">
            <v>123806.3869924293</v>
          </cell>
          <cell r="AX30">
            <v>123525.24524375708</v>
          </cell>
          <cell r="AY30">
            <v>123244.74191677509</v>
          </cell>
          <cell r="AZ30">
            <v>122964.875561744</v>
          </cell>
          <cell r="BA30">
            <v>122685.64473221656</v>
          </cell>
          <cell r="BB30">
            <v>122407.04798503013</v>
          </cell>
          <cell r="BC30">
            <v>122129.08388029925</v>
          </cell>
          <cell r="BD30">
            <v>121851.75098140814</v>
          </cell>
        </row>
        <row r="31">
          <cell r="C31" t="str">
            <v>WA_Other Family</v>
          </cell>
          <cell r="D31" t="str">
            <v>Manufactured</v>
          </cell>
          <cell r="E31" t="str">
            <v>Existing</v>
          </cell>
          <cell r="AK31">
            <v>244055.10570987655</v>
          </cell>
          <cell r="AL31">
            <v>241446.89209541003</v>
          </cell>
          <cell r="AM31">
            <v>238866.55242457156</v>
          </cell>
          <cell r="AN31">
            <v>236313.78880890249</v>
          </cell>
          <cell r="AO31">
            <v>233788.30654347411</v>
          </cell>
          <cell r="AP31">
            <v>231289.81407286532</v>
          </cell>
          <cell r="AQ31">
            <v>228818.02295750388</v>
          </cell>
          <cell r="AR31">
            <v>226372.64784036731</v>
          </cell>
          <cell r="AS31">
            <v>223953.40641403978</v>
          </cell>
          <cell r="AT31">
            <v>221560.01938812103</v>
          </cell>
          <cell r="AU31">
            <v>219192.21045698351</v>
          </cell>
          <cell r="AV31">
            <v>216849.70626787416</v>
          </cell>
          <cell r="AW31">
            <v>214532.23638935713</v>
          </cell>
          <cell r="AX31">
            <v>212239.53328009363</v>
          </cell>
          <cell r="AY31">
            <v>209971.33225795557</v>
          </cell>
          <cell r="AZ31">
            <v>207727.37146946916</v>
          </cell>
          <cell r="BA31">
            <v>205507.39185958516</v>
          </cell>
          <cell r="BB31">
            <v>203311.13714177214</v>
          </cell>
          <cell r="BC31">
            <v>201138.35376842934</v>
          </cell>
          <cell r="BD31">
            <v>198988.79090161584</v>
          </cell>
        </row>
        <row r="33">
          <cell r="D33" t="str">
            <v>IDAHO</v>
          </cell>
        </row>
        <row r="34">
          <cell r="C34" t="str">
            <v>ID_Single Family</v>
          </cell>
          <cell r="D34" t="str">
            <v>Single Family</v>
          </cell>
          <cell r="E34" t="str">
            <v>New</v>
          </cell>
          <cell r="F34">
            <v>3059</v>
          </cell>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cell r="AF34">
            <v>3258</v>
          </cell>
          <cell r="AG34">
            <v>5091</v>
          </cell>
          <cell r="AH34">
            <v>7002</v>
          </cell>
          <cell r="AI34">
            <v>7509</v>
          </cell>
          <cell r="AJ34">
            <v>9778</v>
          </cell>
          <cell r="AK34">
            <v>10507</v>
          </cell>
          <cell r="AL34">
            <v>10382</v>
          </cell>
          <cell r="AM34">
            <v>10055</v>
          </cell>
          <cell r="AN34">
            <v>10071</v>
          </cell>
          <cell r="AO34">
            <v>10039</v>
          </cell>
          <cell r="AP34">
            <v>9821</v>
          </cell>
          <cell r="AQ34">
            <v>9813</v>
          </cell>
          <cell r="AR34">
            <v>9958</v>
          </cell>
          <cell r="AS34">
            <v>10085</v>
          </cell>
          <cell r="AT34">
            <v>10505</v>
          </cell>
          <cell r="AU34">
            <v>10749</v>
          </cell>
          <cell r="AV34">
            <v>10878</v>
          </cell>
          <cell r="AW34">
            <v>10846</v>
          </cell>
          <cell r="AX34">
            <v>10975</v>
          </cell>
          <cell r="AY34">
            <v>11099</v>
          </cell>
          <cell r="AZ34">
            <v>11121</v>
          </cell>
          <cell r="BA34">
            <v>10926</v>
          </cell>
          <cell r="BB34">
            <v>11030</v>
          </cell>
          <cell r="BC34">
            <v>11073</v>
          </cell>
          <cell r="BD34">
            <v>11167</v>
          </cell>
        </row>
        <row r="35">
          <cell r="C35" t="str">
            <v>ID_Multi Family</v>
          </cell>
          <cell r="D35" t="str">
            <v>Multifamily - Low Rise</v>
          </cell>
          <cell r="E35" t="str">
            <v>New</v>
          </cell>
          <cell r="F35">
            <v>945.31021109984124</v>
          </cell>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cell r="AF35">
            <v>511.5577769900774</v>
          </cell>
          <cell r="AG35">
            <v>753.64796270668967</v>
          </cell>
          <cell r="AH35">
            <v>1498.8895230864375</v>
          </cell>
          <cell r="AI35">
            <v>1723.6804258697659</v>
          </cell>
          <cell r="AJ35">
            <v>2047.1518579637404</v>
          </cell>
          <cell r="AK35">
            <v>2037.4382073921424</v>
          </cell>
          <cell r="AL35">
            <v>2026.9150859395779</v>
          </cell>
          <cell r="AM35">
            <v>2022.8677315347454</v>
          </cell>
          <cell r="AN35">
            <v>1909.5418081994781</v>
          </cell>
          <cell r="AO35">
            <v>1724.9824473391584</v>
          </cell>
          <cell r="AP35">
            <v>1653.7490098141207</v>
          </cell>
          <cell r="AQ35">
            <v>1669.9384274334507</v>
          </cell>
          <cell r="AR35">
            <v>1698.2699082672639</v>
          </cell>
          <cell r="AS35">
            <v>1706.3646170769289</v>
          </cell>
          <cell r="AT35">
            <v>1733.8866270297899</v>
          </cell>
          <cell r="AU35">
            <v>1733.0771561488234</v>
          </cell>
          <cell r="AV35">
            <v>1759.7896952207038</v>
          </cell>
          <cell r="AW35">
            <v>1788.1211760545311</v>
          </cell>
          <cell r="AX35">
            <v>1819.6905404122106</v>
          </cell>
          <cell r="AY35">
            <v>1830.2136618647751</v>
          </cell>
          <cell r="AZ35">
            <v>1848.8314921269903</v>
          </cell>
          <cell r="BA35">
            <v>1873.925089436952</v>
          </cell>
          <cell r="BB35">
            <v>1904.6849829136791</v>
          </cell>
          <cell r="BC35">
            <v>1945.9679978429422</v>
          </cell>
          <cell r="BD35">
            <v>1994.5362507009463</v>
          </cell>
        </row>
        <row r="36">
          <cell r="C36" t="str">
            <v>ID</v>
          </cell>
          <cell r="D36" t="str">
            <v>Multifamily - High Rise</v>
          </cell>
          <cell r="E36" t="str">
            <v>New</v>
          </cell>
          <cell r="F36">
            <v>60.689788900158746</v>
          </cell>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cell r="AF36">
            <v>121.44222300992257</v>
          </cell>
          <cell r="AG36">
            <v>99.352037293310332</v>
          </cell>
          <cell r="AH36">
            <v>115.11047691356247</v>
          </cell>
          <cell r="AI36">
            <v>146.31957413023412</v>
          </cell>
          <cell r="AJ36">
            <v>466.74314765475788</v>
          </cell>
          <cell r="AK36">
            <v>464.52847079755878</v>
          </cell>
          <cell r="AL36">
            <v>462.12923753559477</v>
          </cell>
          <cell r="AM36">
            <v>461.20645551175875</v>
          </cell>
          <cell r="AN36">
            <v>435.3685588444369</v>
          </cell>
          <cell r="AO36">
            <v>393.28969855764842</v>
          </cell>
          <cell r="AP36">
            <v>377.04873493818434</v>
          </cell>
          <cell r="AQ36">
            <v>380.7398630335195</v>
          </cell>
          <cell r="AR36">
            <v>387.1993372003484</v>
          </cell>
          <cell r="AS36">
            <v>389.04490124801771</v>
          </cell>
          <cell r="AT36">
            <v>395.31981901007907</v>
          </cell>
          <cell r="AU36">
            <v>395.13526260531506</v>
          </cell>
          <cell r="AV36">
            <v>401.22562396261065</v>
          </cell>
          <cell r="AW36">
            <v>407.6850981294449</v>
          </cell>
          <cell r="AX36">
            <v>414.88279791534046</v>
          </cell>
          <cell r="AY36">
            <v>417.28203117730709</v>
          </cell>
          <cell r="AZ36">
            <v>421.52682848694133</v>
          </cell>
          <cell r="BA36">
            <v>427.24807703470356</v>
          </cell>
          <cell r="BB36">
            <v>434.26122041583335</v>
          </cell>
          <cell r="BC36">
            <v>443.67359705893341</v>
          </cell>
          <cell r="BD36">
            <v>454.74698134493076</v>
          </cell>
        </row>
        <row r="37">
          <cell r="C37" t="str">
            <v>ID_Other Family</v>
          </cell>
          <cell r="D37" t="str">
            <v>Manufactured</v>
          </cell>
          <cell r="E37" t="str">
            <v>New</v>
          </cell>
          <cell r="F37">
            <v>1200</v>
          </cell>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cell r="AF37">
            <v>264</v>
          </cell>
          <cell r="AG37">
            <v>217</v>
          </cell>
          <cell r="AH37">
            <v>268.84999999999997</v>
          </cell>
          <cell r="AI37">
            <v>305.30833333333334</v>
          </cell>
          <cell r="AJ37">
            <v>268.5263888888889</v>
          </cell>
          <cell r="AK37">
            <v>267.78078703703704</v>
          </cell>
          <cell r="AL37">
            <v>265.24425154320988</v>
          </cell>
          <cell r="AM37">
            <v>265.45162680041153</v>
          </cell>
          <cell r="AN37">
            <v>273.52689793381347</v>
          </cell>
          <cell r="AO37">
            <v>274.30638092278235</v>
          </cell>
          <cell r="AP37">
            <v>269.13938885435721</v>
          </cell>
          <cell r="AQ37">
            <v>269.2415555152686</v>
          </cell>
          <cell r="AR37">
            <v>269.48501692830718</v>
          </cell>
          <cell r="AS37">
            <v>270.19181115915677</v>
          </cell>
          <cell r="AT37">
            <v>270.9818418856143</v>
          </cell>
          <cell r="AU37">
            <v>270.55766587758109</v>
          </cell>
          <cell r="AV37">
            <v>269.93288003671415</v>
          </cell>
          <cell r="AW37">
            <v>270.06512856710702</v>
          </cell>
          <cell r="AX37">
            <v>270.2023907424134</v>
          </cell>
          <cell r="AY37">
            <v>270.32195304476443</v>
          </cell>
          <cell r="AZ37">
            <v>270.34364335903234</v>
          </cell>
          <cell r="BA37">
            <v>270.23727693793541</v>
          </cell>
          <cell r="BB37">
            <v>270.18387878132779</v>
          </cell>
          <cell r="BC37">
            <v>270.22571190543005</v>
          </cell>
          <cell r="BD37">
            <v>270.25247579515059</v>
          </cell>
        </row>
        <row r="38">
          <cell r="C38" t="str">
            <v>ID_Single Family</v>
          </cell>
          <cell r="D38" t="str">
            <v>Single Family</v>
          </cell>
          <cell r="E38" t="str">
            <v>Existing</v>
          </cell>
          <cell r="AK38">
            <v>560451</v>
          </cell>
          <cell r="AL38">
            <v>559178.33834862499</v>
          </cell>
          <cell r="AM38">
            <v>557908.56663353147</v>
          </cell>
          <cell r="AN38">
            <v>556641.67829230614</v>
          </cell>
          <cell r="AO38">
            <v>555377.66677743755</v>
          </cell>
          <cell r="AP38">
            <v>554116.52555628214</v>
          </cell>
          <cell r="AQ38">
            <v>552858.24811103067</v>
          </cell>
          <cell r="AR38">
            <v>551602.82793867437</v>
          </cell>
          <cell r="AS38">
            <v>550350.25855097128</v>
          </cell>
          <cell r="AT38">
            <v>549100.5334744131</v>
          </cell>
          <cell r="AU38">
            <v>547853.64625019114</v>
          </cell>
          <cell r="AV38">
            <v>546609.59043416334</v>
          </cell>
          <cell r="AW38">
            <v>545368.35959682101</v>
          </cell>
          <cell r="AX38">
            <v>544129.94732325536</v>
          </cell>
          <cell r="AY38">
            <v>542894.34721312439</v>
          </cell>
          <cell r="AZ38">
            <v>541661.55288062</v>
          </cell>
          <cell r="BA38">
            <v>540431.55795443489</v>
          </cell>
          <cell r="BB38">
            <v>539204.35607772938</v>
          </cell>
          <cell r="BC38">
            <v>537979.94090809906</v>
          </cell>
          <cell r="BD38">
            <v>536758.30611754162</v>
          </cell>
        </row>
        <row r="39">
          <cell r="C39" t="str">
            <v>ID_Multi Family</v>
          </cell>
          <cell r="D39" t="str">
            <v>Multifamily - Low Rise</v>
          </cell>
          <cell r="E39" t="str">
            <v>Existing</v>
          </cell>
          <cell r="AK39">
            <v>62297.688470046371</v>
          </cell>
          <cell r="AL39">
            <v>62156.22176949741</v>
          </cell>
          <cell r="AM39">
            <v>62015.076314051694</v>
          </cell>
          <cell r="AN39">
            <v>61874.251374220112</v>
          </cell>
          <cell r="AO39">
            <v>61733.746222170106</v>
          </cell>
          <cell r="AP39">
            <v>61593.560131721882</v>
          </cell>
          <cell r="AQ39">
            <v>61453.692378344676</v>
          </cell>
          <cell r="AR39">
            <v>61314.142239152992</v>
          </cell>
          <cell r="AS39">
            <v>61174.908992902885</v>
          </cell>
          <cell r="AT39">
            <v>61035.991919988213</v>
          </cell>
          <cell r="AU39">
            <v>60897.390302436943</v>
          </cell>
          <cell r="AV39">
            <v>60759.103423907414</v>
          </cell>
          <cell r="AW39">
            <v>60621.130569684647</v>
          </cell>
          <cell r="AX39">
            <v>60483.471026676656</v>
          </cell>
          <cell r="AY39">
            <v>60346.124083410752</v>
          </cell>
          <cell r="AZ39">
            <v>60209.089030029871</v>
          </cell>
          <cell r="BA39">
            <v>60072.365158288914</v>
          </cell>
          <cell r="BB39">
            <v>59935.951761551063</v>
          </cell>
          <cell r="BC39">
            <v>59799.848134784159</v>
          </cell>
          <cell r="BD39">
            <v>59664.053574557031</v>
          </cell>
        </row>
        <row r="40">
          <cell r="D40" t="str">
            <v>Multifamily - High Rise</v>
          </cell>
          <cell r="E40" t="str">
            <v>Existing</v>
          </cell>
          <cell r="AK40">
            <v>14203.645467243141</v>
          </cell>
          <cell r="AL40">
            <v>14171.391576137949</v>
          </cell>
          <cell r="AM40">
            <v>14139.210927743146</v>
          </cell>
          <cell r="AN40">
            <v>14107.103355737881</v>
          </cell>
          <cell r="AO40">
            <v>14075.068694178986</v>
          </cell>
          <cell r="AP40">
            <v>14043.106777500123</v>
          </cell>
          <cell r="AQ40">
            <v>14011.21744051092</v>
          </cell>
          <cell r="AR40">
            <v>13979.400518396127</v>
          </cell>
          <cell r="AS40">
            <v>13947.655846714757</v>
          </cell>
          <cell r="AT40">
            <v>13915.983261399238</v>
          </cell>
          <cell r="AU40">
            <v>13884.382598754568</v>
          </cell>
          <cell r="AV40">
            <v>13852.853695457465</v>
          </cell>
          <cell r="AW40">
            <v>13821.396388555522</v>
          </cell>
          <cell r="AX40">
            <v>13790.010515466372</v>
          </cell>
          <cell r="AY40">
            <v>13758.695913976841</v>
          </cell>
          <cell r="AZ40">
            <v>13727.45242224211</v>
          </cell>
          <cell r="BA40">
            <v>13696.279878784881</v>
          </cell>
          <cell r="BB40">
            <v>13665.178122494543</v>
          </cell>
          <cell r="BC40">
            <v>13634.146992626336</v>
          </cell>
          <cell r="BD40">
            <v>13603.186328800522</v>
          </cell>
        </row>
        <row r="41">
          <cell r="C41" t="str">
            <v>ID_Other Family</v>
          </cell>
          <cell r="D41" t="str">
            <v>Manufactured</v>
          </cell>
          <cell r="E41" t="str">
            <v>Existing</v>
          </cell>
          <cell r="AK41">
            <v>84820.465509259258</v>
          </cell>
          <cell r="AL41">
            <v>83913.990341353419</v>
          </cell>
          <cell r="AM41">
            <v>83017.202661309115</v>
          </cell>
          <cell r="AN41">
            <v>82129.998939074561</v>
          </cell>
          <cell r="AO41">
            <v>81252.276751022233</v>
          </cell>
          <cell r="AP41">
            <v>80383.934768124556</v>
          </cell>
          <cell r="AQ41">
            <v>79524.872744255888</v>
          </cell>
          <cell r="AR41">
            <v>78674.991504619567</v>
          </cell>
          <cell r="AS41">
            <v>77834.19293429864</v>
          </cell>
          <cell r="AT41">
            <v>77002.379966928973</v>
          </cell>
          <cell r="AU41">
            <v>76179.456573493328</v>
          </cell>
          <cell r="AV41">
            <v>75365.32775123528</v>
          </cell>
          <cell r="AW41">
            <v>74559.899512691583</v>
          </cell>
          <cell r="AX41">
            <v>73763.07887484174</v>
          </cell>
          <cell r="AY41">
            <v>72974.773848373516</v>
          </cell>
          <cell r="AZ41">
            <v>72194.893427063245</v>
          </cell>
          <cell r="BA41">
            <v>71423.347577269524</v>
          </cell>
          <cell r="BB41">
            <v>70660.047227539253</v>
          </cell>
          <cell r="BC41">
            <v>69904.90425832475</v>
          </cell>
          <cell r="BD41">
            <v>69157.831491810764</v>
          </cell>
        </row>
        <row r="43">
          <cell r="D43" t="str">
            <v>MONTANA</v>
          </cell>
          <cell r="E43">
            <v>0.56999999999999995</v>
          </cell>
          <cell r="F43" t="str">
            <v>Western MT portion of state</v>
          </cell>
        </row>
        <row r="44">
          <cell r="C44" t="str">
            <v>MT_Single Family</v>
          </cell>
          <cell r="D44" t="str">
            <v>Single Family</v>
          </cell>
          <cell r="E44" t="str">
            <v>New</v>
          </cell>
          <cell r="F44">
            <v>1313</v>
          </cell>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cell r="AF44">
            <v>1527.5</v>
          </cell>
          <cell r="AG44">
            <v>2199.6</v>
          </cell>
          <cell r="AH44">
            <v>2615.6</v>
          </cell>
          <cell r="AI44">
            <v>2434.9</v>
          </cell>
          <cell r="AJ44">
            <v>3003</v>
          </cell>
          <cell r="AK44">
            <v>3248.7000000000003</v>
          </cell>
          <cell r="AL44">
            <v>3173.3</v>
          </cell>
          <cell r="AM44">
            <v>3031.6</v>
          </cell>
          <cell r="AN44">
            <v>2824.9</v>
          </cell>
          <cell r="AO44">
            <v>2748.2000000000003</v>
          </cell>
          <cell r="AP44">
            <v>2665</v>
          </cell>
          <cell r="AQ44">
            <v>2611.7000000000003</v>
          </cell>
          <cell r="AR44">
            <v>2597.4</v>
          </cell>
          <cell r="AS44">
            <v>2561</v>
          </cell>
          <cell r="AT44">
            <v>2563.6</v>
          </cell>
          <cell r="AU44">
            <v>2544.1</v>
          </cell>
          <cell r="AV44">
            <v>2525.9</v>
          </cell>
          <cell r="AW44">
            <v>2477.8000000000002</v>
          </cell>
          <cell r="AX44">
            <v>2484.3000000000002</v>
          </cell>
          <cell r="AY44">
            <v>2481.7000000000003</v>
          </cell>
          <cell r="AZ44">
            <v>2475.2000000000003</v>
          </cell>
          <cell r="BA44">
            <v>2419.3000000000002</v>
          </cell>
          <cell r="BB44">
            <v>2415.4</v>
          </cell>
          <cell r="BC44">
            <v>2401.1</v>
          </cell>
          <cell r="BD44">
            <v>2398.5</v>
          </cell>
        </row>
        <row r="45">
          <cell r="C45" t="str">
            <v>MT_Multi Family</v>
          </cell>
          <cell r="D45" t="str">
            <v>Multifamily - Low Rise</v>
          </cell>
          <cell r="E45" t="str">
            <v>New</v>
          </cell>
          <cell r="F45">
            <v>860.82519174945844</v>
          </cell>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cell r="AF45">
            <v>584.82600096441138</v>
          </cell>
          <cell r="AG45">
            <v>746.00336992138523</v>
          </cell>
          <cell r="AH45">
            <v>1413.6131024199028</v>
          </cell>
          <cell r="AI45">
            <v>1716.9789419190136</v>
          </cell>
          <cell r="AJ45">
            <v>1648.045460109282</v>
          </cell>
          <cell r="AK45">
            <v>1722.1281540862396</v>
          </cell>
          <cell r="AL45">
            <v>1580.7212534439332</v>
          </cell>
          <cell r="AM45">
            <v>1472.5799608727305</v>
          </cell>
          <cell r="AN45">
            <v>1442.4819321350953</v>
          </cell>
          <cell r="AO45">
            <v>1359.5082188973515</v>
          </cell>
          <cell r="AP45">
            <v>1280.00164720679</v>
          </cell>
          <cell r="AQ45">
            <v>1292.5421730399576</v>
          </cell>
          <cell r="AR45">
            <v>1322.3745937064909</v>
          </cell>
          <cell r="AS45">
            <v>1349.4518116826594</v>
          </cell>
          <cell r="AT45">
            <v>1351.6834656111594</v>
          </cell>
          <cell r="AU45">
            <v>1377.387737087626</v>
          </cell>
          <cell r="AV45">
            <v>1321.0487447305225</v>
          </cell>
          <cell r="AW45">
            <v>1307.9885038256584</v>
          </cell>
          <cell r="AX45">
            <v>1321.4989092063927</v>
          </cell>
          <cell r="AY45">
            <v>1360.8548786347953</v>
          </cell>
          <cell r="AZ45">
            <v>1395.7475402061953</v>
          </cell>
          <cell r="BA45">
            <v>1395.1035096345979</v>
          </cell>
          <cell r="BB45">
            <v>1429.4425019916998</v>
          </cell>
          <cell r="BC45">
            <v>1435.6741559201971</v>
          </cell>
          <cell r="BD45">
            <v>1447.3521406344007</v>
          </cell>
        </row>
        <row r="46">
          <cell r="C46" t="str">
            <v>MT</v>
          </cell>
          <cell r="D46" t="str">
            <v>Multifamily - High Rise</v>
          </cell>
          <cell r="E46" t="str">
            <v>New</v>
          </cell>
          <cell r="F46">
            <v>42.174808250541538</v>
          </cell>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cell r="AF46">
            <v>105.17399903558866</v>
          </cell>
          <cell r="AG46">
            <v>93.9966300786148</v>
          </cell>
          <cell r="AH46">
            <v>113.38689758009713</v>
          </cell>
          <cell r="AI46">
            <v>125.02105808098651</v>
          </cell>
          <cell r="AJ46">
            <v>382.95453989071814</v>
          </cell>
          <cell r="AK46">
            <v>352.8718459137603</v>
          </cell>
          <cell r="AL46">
            <v>331.27874655606695</v>
          </cell>
          <cell r="AM46">
            <v>322.42003912726955</v>
          </cell>
          <cell r="AN46">
            <v>304.51806786490465</v>
          </cell>
          <cell r="AO46">
            <v>290.49178110264859</v>
          </cell>
          <cell r="AP46">
            <v>293.99835279320996</v>
          </cell>
          <cell r="AQ46">
            <v>300.45782696004244</v>
          </cell>
          <cell r="AR46">
            <v>305.62540629350912</v>
          </cell>
          <cell r="AS46">
            <v>306.54818831734065</v>
          </cell>
          <cell r="AT46">
            <v>309.31653438884064</v>
          </cell>
          <cell r="AU46">
            <v>298.61226291237398</v>
          </cell>
          <cell r="AV46">
            <v>296.95125526947754</v>
          </cell>
          <cell r="AW46">
            <v>301.01149617434152</v>
          </cell>
          <cell r="AX46">
            <v>309.50109079360732</v>
          </cell>
          <cell r="AY46">
            <v>316.14512136520466</v>
          </cell>
          <cell r="AZ46">
            <v>317.25245979380469</v>
          </cell>
          <cell r="BA46">
            <v>323.89649036540203</v>
          </cell>
          <cell r="BB46">
            <v>325.55749800830023</v>
          </cell>
          <cell r="BC46">
            <v>328.32584407980289</v>
          </cell>
          <cell r="BD46">
            <v>331.6478593655994</v>
          </cell>
        </row>
        <row r="47">
          <cell r="C47" t="str">
            <v>MT_Other Family</v>
          </cell>
          <cell r="D47" t="str">
            <v>Manufactured</v>
          </cell>
          <cell r="E47" t="str">
            <v>New</v>
          </cell>
          <cell r="F47">
            <v>923</v>
          </cell>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cell r="AF47">
            <v>361</v>
          </cell>
          <cell r="AG47">
            <v>468</v>
          </cell>
          <cell r="AH47">
            <v>308.75</v>
          </cell>
          <cell r="AI47">
            <v>364.95833333333331</v>
          </cell>
          <cell r="AJ47">
            <v>352.95138888888891</v>
          </cell>
          <cell r="AK47">
            <v>363.44328703703701</v>
          </cell>
          <cell r="AL47">
            <v>369.85050154320987</v>
          </cell>
          <cell r="AM47">
            <v>371.32558513374482</v>
          </cell>
          <cell r="AN47">
            <v>355.2131826560356</v>
          </cell>
          <cell r="AO47">
            <v>362.95704643204158</v>
          </cell>
          <cell r="AP47">
            <v>362.62349861515963</v>
          </cell>
          <cell r="AQ47">
            <v>364.23551690287144</v>
          </cell>
          <cell r="AR47">
            <v>364.36755521384384</v>
          </cell>
          <cell r="AS47">
            <v>363.45373082561611</v>
          </cell>
          <cell r="AT47">
            <v>362.14175510759469</v>
          </cell>
          <cell r="AU47">
            <v>363.29651718285459</v>
          </cell>
          <cell r="AV47">
            <v>363.35309564132336</v>
          </cell>
          <cell r="AW47">
            <v>363.47469514568405</v>
          </cell>
          <cell r="AX47">
            <v>363.34789151948604</v>
          </cell>
          <cell r="AY47">
            <v>363.17794757042651</v>
          </cell>
          <cell r="AZ47">
            <v>363.13198369456154</v>
          </cell>
          <cell r="BA47">
            <v>363.29702179238939</v>
          </cell>
          <cell r="BB47">
            <v>363.29710589397854</v>
          </cell>
          <cell r="BC47">
            <v>363.28777426942105</v>
          </cell>
          <cell r="BD47">
            <v>363.25662079004383</v>
          </cell>
        </row>
        <row r="48">
          <cell r="C48" t="str">
            <v>MT_Single Family</v>
          </cell>
          <cell r="D48" t="str">
            <v>Single Family</v>
          </cell>
          <cell r="E48" t="str">
            <v>Existing</v>
          </cell>
          <cell r="AK48">
            <v>323649.60000000009</v>
          </cell>
          <cell r="AL48">
            <v>322914.66253998509</v>
          </cell>
          <cell r="AM48">
            <v>322181.39396221231</v>
          </cell>
          <cell r="AN48">
            <v>321449.79047701514</v>
          </cell>
          <cell r="AO48">
            <v>320719.84830333246</v>
          </cell>
          <cell r="AP48">
            <v>319991.56366868917</v>
          </cell>
          <cell r="AQ48">
            <v>319264.93280917662</v>
          </cell>
          <cell r="AR48">
            <v>318539.95196943317</v>
          </cell>
          <cell r="AS48">
            <v>317816.61740262475</v>
          </cell>
          <cell r="AT48">
            <v>317094.92537042563</v>
          </cell>
          <cell r="AU48">
            <v>316374.87214299885</v>
          </cell>
          <cell r="AV48">
            <v>315656.4539989772</v>
          </cell>
          <cell r="AW48">
            <v>314939.66722544387</v>
          </cell>
          <cell r="AX48">
            <v>314224.50811791327</v>
          </cell>
          <cell r="AY48">
            <v>313510.9729803119</v>
          </cell>
          <cell r="AZ48">
            <v>312799.05812495912</v>
          </cell>
          <cell r="BA48">
            <v>312088.7598725484</v>
          </cell>
          <cell r="BB48">
            <v>311380.07455212792</v>
          </cell>
          <cell r="BC48">
            <v>310672.99850108189</v>
          </cell>
          <cell r="BD48">
            <v>309967.52806511155</v>
          </cell>
        </row>
        <row r="49">
          <cell r="C49" t="str">
            <v>MT_Multi Family</v>
          </cell>
          <cell r="D49" t="str">
            <v>Multifamily - Low Rise</v>
          </cell>
          <cell r="E49" t="str">
            <v>Existing</v>
          </cell>
          <cell r="AK49">
            <v>49246.589456226939</v>
          </cell>
          <cell r="AL49">
            <v>49134.75942376897</v>
          </cell>
          <cell r="AM49">
            <v>49023.183336940492</v>
          </cell>
          <cell r="AN49">
            <v>48911.860619077241</v>
          </cell>
          <cell r="AO49">
            <v>48800.790694824464</v>
          </cell>
          <cell r="AP49">
            <v>48689.972990133923</v>
          </cell>
          <cell r="AQ49">
            <v>48579.406932260943</v>
          </cell>
          <cell r="AR49">
            <v>48469.091949761445</v>
          </cell>
          <cell r="AS49">
            <v>48359.027472489004</v>
          </cell>
          <cell r="AT49">
            <v>48249.212931591894</v>
          </cell>
          <cell r="AU49">
            <v>48139.647759510139</v>
          </cell>
          <cell r="AV49">
            <v>48030.331389972584</v>
          </cell>
          <cell r="AW49">
            <v>47921.263257993989</v>
          </cell>
          <cell r="AX49">
            <v>47812.442799872078</v>
          </cell>
          <cell r="AY49">
            <v>47703.869453184649</v>
          </cell>
          <cell r="AZ49">
            <v>47595.54265678666</v>
          </cell>
          <cell r="BA49">
            <v>47487.461850807311</v>
          </cell>
          <cell r="BB49">
            <v>47379.626476647187</v>
          </cell>
          <cell r="BC49">
            <v>47272.035976975341</v>
          </cell>
          <cell r="BD49">
            <v>47164.689795726423</v>
          </cell>
        </row>
        <row r="50">
          <cell r="C50" t="str">
            <v>MT</v>
          </cell>
          <cell r="D50" t="str">
            <v>Multifamily - High Rise</v>
          </cell>
          <cell r="E50" t="str">
            <v>Existing</v>
          </cell>
          <cell r="AK50">
            <v>11228.042553191075</v>
          </cell>
          <cell r="AL50">
            <v>11202.545714180957</v>
          </cell>
          <cell r="AM50">
            <v>11177.106773846983</v>
          </cell>
          <cell r="AN50">
            <v>11151.725600711807</v>
          </cell>
          <cell r="AO50">
            <v>11126.402063596644</v>
          </cell>
          <cell r="AP50">
            <v>11101.136031620596</v>
          </cell>
          <cell r="AQ50">
            <v>11075.927374199966</v>
          </cell>
          <cell r="AR50">
            <v>11050.775961047593</v>
          </cell>
          <cell r="AS50">
            <v>11025.681662172174</v>
          </cell>
          <cell r="AT50">
            <v>11000.644347877589</v>
          </cell>
          <cell r="AU50">
            <v>10975.663888762239</v>
          </cell>
          <cell r="AV50">
            <v>10950.740155718371</v>
          </cell>
          <cell r="AW50">
            <v>10925.87301993141</v>
          </cell>
          <cell r="AX50">
            <v>10901.062352879297</v>
          </cell>
          <cell r="AY50">
            <v>10876.308026331822</v>
          </cell>
          <cell r="AZ50">
            <v>10851.609912349968</v>
          </cell>
          <cell r="BA50">
            <v>10826.967883285235</v>
          </cell>
          <cell r="BB50">
            <v>10802.381811778998</v>
          </cell>
          <cell r="BC50">
            <v>10777.851570761834</v>
          </cell>
          <cell r="BD50">
            <v>10753.377033452874</v>
          </cell>
        </row>
        <row r="51">
          <cell r="C51" t="str">
            <v>MT_Other Family</v>
          </cell>
          <cell r="D51" t="str">
            <v>Manufactured</v>
          </cell>
          <cell r="E51" t="str">
            <v>Existing</v>
          </cell>
          <cell r="AK51">
            <v>71434.103009259255</v>
          </cell>
          <cell r="AL51">
            <v>70670.687716372748</v>
          </cell>
          <cell r="AM51">
            <v>69915.431032397973</v>
          </cell>
          <cell r="AN51">
            <v>69168.245766391818</v>
          </cell>
          <cell r="AO51">
            <v>68429.045659219599</v>
          </cell>
          <cell r="AP51">
            <v>67697.74537359683</v>
          </cell>
          <cell r="AQ51">
            <v>66974.260484237457</v>
          </cell>
          <cell r="AR51">
            <v>66258.507468107273</v>
          </cell>
          <cell r="AS51">
            <v>65550.403694781649</v>
          </cell>
          <cell r="AT51">
            <v>64849.867416906163</v>
          </cell>
          <cell r="AU51">
            <v>64156.817760759273</v>
          </cell>
          <cell r="AV51">
            <v>63471.174716915804</v>
          </cell>
          <cell r="AW51">
            <v>62792.859131010227</v>
          </cell>
          <cell r="AX51">
            <v>62121.792694598647</v>
          </cell>
          <cell r="AY51">
            <v>61457.897936118447</v>
          </cell>
          <cell r="AZ51">
            <v>60801.098211944554</v>
          </cell>
          <cell r="BA51">
            <v>60151.317697541279</v>
          </cell>
          <cell r="BB51">
            <v>59508.481378708726</v>
          </cell>
          <cell r="BC51">
            <v>58872.515042922729</v>
          </cell>
          <cell r="BD51">
            <v>58243.345270767371</v>
          </cell>
        </row>
        <row r="53">
          <cell r="D53" t="str">
            <v>REGION</v>
          </cell>
        </row>
        <row r="54">
          <cell r="D54" t="str">
            <v>Single Family</v>
          </cell>
          <cell r="E54" t="str">
            <v>New</v>
          </cell>
          <cell r="F54">
            <v>28347.41</v>
          </cell>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cell r="AF54">
            <v>23007.674999999999</v>
          </cell>
          <cell r="AG54">
            <v>29744.772000000001</v>
          </cell>
          <cell r="AH54">
            <v>35486.892</v>
          </cell>
          <cell r="AI54">
            <v>44415.892999999996</v>
          </cell>
          <cell r="AJ54">
            <v>58293.71</v>
          </cell>
          <cell r="AK54">
            <v>62685.758999999998</v>
          </cell>
          <cell r="AL54">
            <v>59961.781000000003</v>
          </cell>
          <cell r="AM54">
            <v>56834.012000000002</v>
          </cell>
          <cell r="AN54">
            <v>54985.192999999999</v>
          </cell>
          <cell r="AO54">
            <v>53507.474000000002</v>
          </cell>
          <cell r="AP54">
            <v>50982.05</v>
          </cell>
          <cell r="AQ54">
            <v>49561.669000000002</v>
          </cell>
          <cell r="AR54">
            <v>49324.517999999996</v>
          </cell>
          <cell r="AS54">
            <v>48815.77</v>
          </cell>
          <cell r="AT54">
            <v>49683.252</v>
          </cell>
          <cell r="AU54">
            <v>50030.137000000002</v>
          </cell>
          <cell r="AV54">
            <v>49387.762999999999</v>
          </cell>
          <cell r="AW54">
            <v>48079.345999999998</v>
          </cell>
          <cell r="AX54">
            <v>48129.050999999999</v>
          </cell>
          <cell r="AY54">
            <v>48690.569000000003</v>
          </cell>
          <cell r="AZ54">
            <v>48482.864000000001</v>
          </cell>
          <cell r="BA54">
            <v>46879.000999999997</v>
          </cell>
          <cell r="BB54">
            <v>46798.777999999998</v>
          </cell>
          <cell r="BC54">
            <v>46917.627</v>
          </cell>
          <cell r="BD54">
            <v>47236.144999999997</v>
          </cell>
        </row>
        <row r="55">
          <cell r="D55" t="str">
            <v>Multifamily - Low Rise</v>
          </cell>
          <cell r="E55" t="str">
            <v>New</v>
          </cell>
          <cell r="F55">
            <v>20270.709108606741</v>
          </cell>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cell r="AF55">
            <v>7060.5047847544756</v>
          </cell>
          <cell r="AG55">
            <v>12168.678143163897</v>
          </cell>
          <cell r="AH55">
            <v>19129.179628017948</v>
          </cell>
          <cell r="AI55">
            <v>19420.059444838447</v>
          </cell>
          <cell r="AJ55">
            <v>23068.805408245826</v>
          </cell>
          <cell r="AK55">
            <v>23280.347100904564</v>
          </cell>
          <cell r="AL55">
            <v>23017.418106038647</v>
          </cell>
          <cell r="AM55">
            <v>22811.60852767331</v>
          </cell>
          <cell r="AN55">
            <v>22085.916378202593</v>
          </cell>
          <cell r="AO55">
            <v>20817.853908138593</v>
          </cell>
          <cell r="AP55">
            <v>20070.279329962508</v>
          </cell>
          <cell r="AQ55">
            <v>19887.831284331631</v>
          </cell>
          <cell r="AR55">
            <v>20257.583209811291</v>
          </cell>
          <cell r="AS55">
            <v>20750.368029493613</v>
          </cell>
          <cell r="AT55">
            <v>21314.334279744231</v>
          </cell>
          <cell r="AU55">
            <v>21403.286239774712</v>
          </cell>
          <cell r="AV55">
            <v>21409.137516518917</v>
          </cell>
          <cell r="AW55">
            <v>21443.358292282628</v>
          </cell>
          <cell r="AX55">
            <v>21209.865626522758</v>
          </cell>
          <cell r="AY55">
            <v>20954.17798283829</v>
          </cell>
          <cell r="AZ55">
            <v>20525.44023202754</v>
          </cell>
          <cell r="BA55">
            <v>20175.505597554071</v>
          </cell>
          <cell r="BB55">
            <v>19919.723927484571</v>
          </cell>
          <cell r="BC55">
            <v>19536.194066416414</v>
          </cell>
          <cell r="BD55">
            <v>19462.287131015248</v>
          </cell>
        </row>
        <row r="56">
          <cell r="D56" t="str">
            <v>Multifamily - High Rise</v>
          </cell>
          <cell r="E56" t="str">
            <v>New</v>
          </cell>
          <cell r="F56">
            <v>1479.0008913932584</v>
          </cell>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cell r="AF56">
            <v>3074.7952152455237</v>
          </cell>
          <cell r="AG56">
            <v>2010.1218568361005</v>
          </cell>
          <cell r="AH56">
            <v>2152.2103719820498</v>
          </cell>
          <cell r="AI56">
            <v>2768.8805551615533</v>
          </cell>
          <cell r="AJ56">
            <v>5337.8787559635048</v>
          </cell>
          <cell r="AK56">
            <v>5226.2387411561367</v>
          </cell>
          <cell r="AL56">
            <v>5239.95312759432</v>
          </cell>
          <cell r="AM56">
            <v>5271.2612760989568</v>
          </cell>
          <cell r="AN56">
            <v>4985.883552972361</v>
          </cell>
          <cell r="AO56">
            <v>4608.5912035798974</v>
          </cell>
          <cell r="AP56">
            <v>4509.6375960361838</v>
          </cell>
          <cell r="AQ56">
            <v>4481.760351096189</v>
          </cell>
          <cell r="AR56">
            <v>4621.8312800578688</v>
          </cell>
          <cell r="AS56">
            <v>4700.9782942419988</v>
          </cell>
          <cell r="AT56">
            <v>4828.2391631488581</v>
          </cell>
          <cell r="AU56">
            <v>4790.0249139778334</v>
          </cell>
          <cell r="AV56">
            <v>4782.0649962402858</v>
          </cell>
          <cell r="AW56">
            <v>4748.3908346265653</v>
          </cell>
          <cell r="AX56">
            <v>4733.4823682495089</v>
          </cell>
          <cell r="AY56">
            <v>4698.697177079107</v>
          </cell>
          <cell r="AZ56">
            <v>4599.2987885998937</v>
          </cell>
          <cell r="BA56">
            <v>4526.3104216428001</v>
          </cell>
          <cell r="BB56">
            <v>4422.0600452822764</v>
          </cell>
          <cell r="BC56">
            <v>4405.182362066379</v>
          </cell>
          <cell r="BD56">
            <v>4385.1136986120664</v>
          </cell>
        </row>
        <row r="57">
          <cell r="D57" t="str">
            <v>Manufactured</v>
          </cell>
          <cell r="E57" t="str">
            <v>New</v>
          </cell>
          <cell r="F57">
            <v>9693.11</v>
          </cell>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cell r="AF57">
            <v>1477.77</v>
          </cell>
          <cell r="AG57">
            <v>1516.76</v>
          </cell>
          <cell r="AH57">
            <v>2391.3375000000001</v>
          </cell>
          <cell r="AI57">
            <v>2145.0845833333333</v>
          </cell>
          <cell r="AJ57">
            <v>1890.2503472222222</v>
          </cell>
          <cell r="AK57">
            <v>1869.5754050925925</v>
          </cell>
          <cell r="AL57">
            <v>1881.796305941358</v>
          </cell>
          <cell r="AM57">
            <v>1949.1340235982509</v>
          </cell>
          <cell r="AN57">
            <v>2021.1963608646258</v>
          </cell>
          <cell r="AO57">
            <v>1959.5061710087307</v>
          </cell>
          <cell r="AP57">
            <v>1928.5764356212967</v>
          </cell>
          <cell r="AQ57">
            <v>1934.9641170211423</v>
          </cell>
          <cell r="AR57">
            <v>1945.862235675901</v>
          </cell>
          <cell r="AS57">
            <v>1956.539890631658</v>
          </cell>
          <cell r="AT57">
            <v>1957.7742018038925</v>
          </cell>
          <cell r="AU57">
            <v>1947.2038419604366</v>
          </cell>
          <cell r="AV57">
            <v>1945.153453785721</v>
          </cell>
          <cell r="AW57">
            <v>1947.9162901464586</v>
          </cell>
          <cell r="AX57">
            <v>1950.0749856673444</v>
          </cell>
          <cell r="AY57">
            <v>1950.7771106659191</v>
          </cell>
          <cell r="AZ57">
            <v>1949.8166473382953</v>
          </cell>
          <cell r="BA57">
            <v>1948.4903882606959</v>
          </cell>
          <cell r="BB57">
            <v>1948.7048126440727</v>
          </cell>
          <cell r="BC57">
            <v>1949.296705787131</v>
          </cell>
          <cell r="BD57">
            <v>1949.5267750605763</v>
          </cell>
        </row>
        <row r="58">
          <cell r="D58" t="str">
            <v>Single Family</v>
          </cell>
          <cell r="E58" t="str">
            <v>Existing</v>
          </cell>
          <cell r="AK58">
            <v>4203528.2719999999</v>
          </cell>
          <cell r="AL58">
            <v>4193982.9785983553</v>
          </cell>
          <cell r="AM58">
            <v>4184459.3604704877</v>
          </cell>
          <cell r="AN58">
            <v>4174957.36839659</v>
          </cell>
          <cell r="AO58">
            <v>4165476.9532686244</v>
          </cell>
          <cell r="AP58">
            <v>4156018.0660900641</v>
          </cell>
          <cell r="AQ58">
            <v>4146580.6579756448</v>
          </cell>
          <cell r="AR58">
            <v>4137164.6801511091</v>
          </cell>
          <cell r="AS58">
            <v>4127770.0839529554</v>
          </cell>
          <cell r="AT58">
            <v>4118396.8208281873</v>
          </cell>
          <cell r="AU58">
            <v>4109044.8423340586</v>
          </cell>
          <cell r="AV58">
            <v>4099714.1001378288</v>
          </cell>
          <cell r="AW58">
            <v>4090404.5460165106</v>
          </cell>
          <cell r="AX58">
            <v>4081116.1318566194</v>
          </cell>
          <cell r="AY58">
            <v>4071848.8096539262</v>
          </cell>
          <cell r="AZ58">
            <v>4062602.5315132081</v>
          </cell>
          <cell r="BA58">
            <v>4053377.2496480034</v>
          </cell>
          <cell r="BB58">
            <v>4044172.9163803621</v>
          </cell>
          <cell r="BC58">
            <v>4034989.4841406001</v>
          </cell>
          <cell r="BD58">
            <v>4025826.9054670548</v>
          </cell>
        </row>
        <row r="59">
          <cell r="D59" t="str">
            <v>Multifamily - Low Rise</v>
          </cell>
          <cell r="E59" t="str">
            <v>Existing</v>
          </cell>
          <cell r="AK59">
            <v>926243.25609262148</v>
          </cell>
          <cell r="AL59">
            <v>924139.92640956037</v>
          </cell>
          <cell r="AM59">
            <v>922041.3730050053</v>
          </cell>
          <cell r="AN59">
            <v>919947.58503289847</v>
          </cell>
          <cell r="AO59">
            <v>917858.55167181045</v>
          </cell>
          <cell r="AP59">
            <v>915774.26212488639</v>
          </cell>
          <cell r="AQ59">
            <v>913694.70561978838</v>
          </cell>
          <cell r="AR59">
            <v>911619.87140864041</v>
          </cell>
          <cell r="AS59">
            <v>909549.74876797362</v>
          </cell>
          <cell r="AT59">
            <v>907484.32699866977</v>
          </cell>
          <cell r="AU59">
            <v>905423.59542590659</v>
          </cell>
          <cell r="AV59">
            <v>903367.54339910217</v>
          </cell>
          <cell r="AW59">
            <v>901316.16029185988</v>
          </cell>
          <cell r="AX59">
            <v>899269.43550191447</v>
          </cell>
          <cell r="AY59">
            <v>897227.35845107585</v>
          </cell>
          <cell r="AZ59">
            <v>895189.9185851753</v>
          </cell>
          <cell r="BA59">
            <v>893157.10537401051</v>
          </cell>
          <cell r="BB59">
            <v>891128.90831129183</v>
          </cell>
          <cell r="BC59">
            <v>889105.31691458682</v>
          </cell>
          <cell r="BD59">
            <v>887086.32072526717</v>
          </cell>
        </row>
        <row r="60">
          <cell r="D60" t="str">
            <v>Multifamily - High Rise</v>
          </cell>
          <cell r="E60" t="str">
            <v>Existing</v>
          </cell>
          <cell r="AK60">
            <v>211180.07985625503</v>
          </cell>
          <cell r="AL60">
            <v>210700.52836963299</v>
          </cell>
          <cell r="AM60">
            <v>210222.06585706791</v>
          </cell>
          <cell r="AN60">
            <v>209744.68984569819</v>
          </cell>
          <cell r="AO60">
            <v>209268.39786827751</v>
          </cell>
          <cell r="AP60">
            <v>208793.18746316229</v>
          </cell>
          <cell r="AQ60">
            <v>208319.05617429892</v>
          </cell>
          <cell r="AR60">
            <v>207846.00155121088</v>
          </cell>
          <cell r="AS60">
            <v>207374.0211489865</v>
          </cell>
          <cell r="AT60">
            <v>206903.11252826577</v>
          </cell>
          <cell r="AU60">
            <v>206433.27325522827</v>
          </cell>
          <cell r="AV60">
            <v>205964.50090158021</v>
          </cell>
          <cell r="AW60">
            <v>205496.79304454199</v>
          </cell>
          <cell r="AX60">
            <v>205030.14726683579</v>
          </cell>
          <cell r="AY60">
            <v>204564.56115667295</v>
          </cell>
          <cell r="AZ60">
            <v>204100.03230774152</v>
          </cell>
          <cell r="BA60">
            <v>203636.55831919383</v>
          </cell>
          <cell r="BB60">
            <v>203174.13679563423</v>
          </cell>
          <cell r="BC60">
            <v>202712.76534710638</v>
          </cell>
          <cell r="BD60">
            <v>202252.44158908122</v>
          </cell>
        </row>
        <row r="61">
          <cell r="D61" t="str">
            <v>Manufactured</v>
          </cell>
          <cell r="E61" t="str">
            <v>Existing</v>
          </cell>
          <cell r="AK61">
            <v>572006.3278356482</v>
          </cell>
          <cell r="AL61">
            <v>565893.30394507048</v>
          </cell>
          <cell r="AM61">
            <v>559845.60985814757</v>
          </cell>
          <cell r="AN61">
            <v>553862.54739615123</v>
          </cell>
          <cell r="AO61">
            <v>547943.42584177968</v>
          </cell>
          <cell r="AP61">
            <v>542087.56185941794</v>
          </cell>
          <cell r="AQ61">
            <v>536294.27941624937</v>
          </cell>
          <cell r="AR61">
            <v>530562.90970421082</v>
          </cell>
          <cell r="AS61">
            <v>524892.79106278194</v>
          </cell>
          <cell r="AT61">
            <v>519283.26890259917</v>
          </cell>
          <cell r="AU61">
            <v>513733.69562988722</v>
          </cell>
          <cell r="AV61">
            <v>508243.4305716962</v>
          </cell>
          <cell r="AW61">
            <v>502811.8399019395</v>
          </cell>
          <cell r="AX61">
            <v>497438.2965682213</v>
          </cell>
          <cell r="AY61">
            <v>492122.18021944637</v>
          </cell>
          <cell r="AZ61">
            <v>486862.87713420321</v>
          </cell>
          <cell r="BA61">
            <v>481659.78014991269</v>
          </cell>
          <cell r="BB61">
            <v>476512.28859273402</v>
          </cell>
          <cell r="BC61">
            <v>471419.80820821953</v>
          </cell>
          <cell r="BD61">
            <v>466381.75109271082</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0">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sheetData>
      <sheetData sheetId="11">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2">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sheetData>
      <sheetData sheetId="13"/>
      <sheetData sheetId="14"/>
      <sheetData sheetId="15"/>
      <sheetData sheetId="16">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verview"/>
      <sheetName val="Update Log"/>
      <sheetName val="MLIST"/>
      <sheetName val="FILES"/>
      <sheetName val="APPLIC"/>
      <sheetName val="FEAS"/>
      <sheetName val="BASE"/>
      <sheetName val="STOCK"/>
      <sheetName val="TURN"/>
      <sheetName val="ACHIEV"/>
      <sheetName val="CODE"/>
      <sheetName val="SATS"/>
      <sheetName val="Bldgs"/>
      <sheetName val="Vars"/>
      <sheetName val="taxonomy"/>
      <sheetName val="Lookup"/>
      <sheetName val="UEC"/>
      <sheetName val="Tracking Status"/>
    </sheetNames>
    <definedNames>
      <definedName name="ExistingSat" refersTo="='SATS'!$B$10:$F$84"/>
      <definedName name="NewSat" refersTo="='SATS'!$B$87:$F$152"/>
      <definedName name="ResApplic" refersTo="='APPLIC'!$B$8:$F$119"/>
    </definedNames>
    <sheetDataSet>
      <sheetData sheetId="0">
        <row r="116">
          <cell r="B116" t="str">
            <v>Contents</v>
          </cell>
        </row>
        <row r="117">
          <cell r="B117" t="str">
            <v>Overview of model structure</v>
          </cell>
        </row>
        <row r="118">
          <cell r="B118" t="str">
            <v xml:space="preserve">Update Log:  Log for updates to Draft 6th Plan Assessment </v>
          </cell>
        </row>
        <row r="119">
          <cell r="B119" t="str">
            <v>Master List of measure bundles</v>
          </cell>
        </row>
        <row r="120">
          <cell r="B120" t="str">
            <v>List and links to measure-level files. Plus housekeeping and administrative functions.</v>
          </cell>
        </row>
        <row r="121">
          <cell r="B121" t="str">
            <v>Applicability factor for the measure bundle.  Fraction of stock the measure applies to.</v>
          </cell>
        </row>
        <row r="122">
          <cell r="B122" t="str">
            <v>Baseline penetration of measure bundles.  Estimated fraction of stock where the measure is already in place.</v>
          </cell>
        </row>
        <row r="123">
          <cell r="B123" t="str">
            <v>Vintage cohort for measure bundles.</v>
          </cell>
        </row>
        <row r="124">
          <cell r="B124" t="str">
            <v>Turnover rate for stock to which measure applies.</v>
          </cell>
        </row>
        <row r="125">
          <cell r="B125" t="str">
            <v>Achievable rate of acquisition for measure bundles by year</v>
          </cell>
        </row>
        <row r="126">
          <cell r="B126" t="str">
            <v>Tables developed to estimate regional baseline penetration for various elements of energy codes by jurisdiction</v>
          </cell>
        </row>
        <row r="127">
          <cell r="B127" t="str">
            <v xml:space="preserve">Key characteristics for stock by vintage cohort and building subtype.  Used to develop regional application of measures. </v>
          </cell>
        </row>
        <row r="128">
          <cell r="B128" t="str">
            <v>Floor area forecast summary used to develop data in CHAR</v>
          </cell>
        </row>
        <row r="129">
          <cell r="B129" t="str">
            <v>List of variables and definitions used in the CHAR tab and elsewhere in the files.</v>
          </cell>
        </row>
        <row r="130">
          <cell r="B130" t="str">
            <v>Map of building types labels from different sources.</v>
          </cell>
        </row>
        <row r="131">
          <cell r="B131" t="str">
            <v>Lookup table for vintage cohort</v>
          </cell>
        </row>
        <row r="132">
          <cell r="B132" t="str">
            <v xml:space="preserve">Reference UEC from various sources including RECS &amp; RBSA.  </v>
          </cell>
        </row>
      </sheetData>
      <sheetData sheetId="1"/>
      <sheetData sheetId="2">
        <row r="8">
          <cell r="B8" t="str">
            <v>Base Measure Name</v>
          </cell>
          <cell r="C8" t="str">
            <v>VCohort</v>
          </cell>
          <cell r="D8" t="str">
            <v>Measure Index Name</v>
          </cell>
          <cell r="E8" t="str">
            <v>M BUNDLE ID</v>
          </cell>
          <cell r="F8" t="str">
            <v>Measure Bundle Description</v>
          </cell>
        </row>
        <row r="9">
          <cell r="B9" t="str">
            <v>Lighting</v>
          </cell>
          <cell r="C9" t="str">
            <v>New</v>
          </cell>
          <cell r="D9" t="str">
            <v>Lighting - New</v>
          </cell>
        </row>
        <row r="10">
          <cell r="B10" t="str">
            <v>Lighting</v>
          </cell>
          <cell r="C10" t="str">
            <v>NR</v>
          </cell>
          <cell r="D10" t="str">
            <v>Lighting - NR</v>
          </cell>
        </row>
        <row r="11">
          <cell r="B11" t="str">
            <v>Lighting</v>
          </cell>
          <cell r="C11" t="str">
            <v>PPA</v>
          </cell>
          <cell r="D11" t="str">
            <v>Lighting - PPA</v>
          </cell>
        </row>
        <row r="12">
          <cell r="B12" t="str">
            <v>Dishwasher</v>
          </cell>
          <cell r="C12" t="str">
            <v>New</v>
          </cell>
          <cell r="D12" t="str">
            <v>Dishwasher - New</v>
          </cell>
        </row>
        <row r="13">
          <cell r="B13" t="str">
            <v>Dishwasher</v>
          </cell>
          <cell r="C13" t="str">
            <v>NR</v>
          </cell>
          <cell r="D13" t="str">
            <v>Dishwasher - NR</v>
          </cell>
        </row>
        <row r="14">
          <cell r="B14" t="str">
            <v>Clothes Washer</v>
          </cell>
          <cell r="C14" t="str">
            <v>New</v>
          </cell>
          <cell r="D14" t="str">
            <v>Clothes Washer - New</v>
          </cell>
        </row>
        <row r="15">
          <cell r="B15" t="str">
            <v>Clothes Washer</v>
          </cell>
          <cell r="C15" t="str">
            <v>NR</v>
          </cell>
          <cell r="D15" t="str">
            <v>Clothes Washer - NR</v>
          </cell>
        </row>
        <row r="16">
          <cell r="B16" t="str">
            <v>WasteWater Heat Recovery</v>
          </cell>
          <cell r="C16" t="str">
            <v>New</v>
          </cell>
          <cell r="D16" t="str">
            <v>WasteWater Heat Recovery - New</v>
          </cell>
        </row>
        <row r="17">
          <cell r="B17" t="str">
            <v>Showerheads</v>
          </cell>
          <cell r="C17" t="str">
            <v>New</v>
          </cell>
          <cell r="D17" t="str">
            <v>Showerheads - New</v>
          </cell>
        </row>
        <row r="18">
          <cell r="B18" t="str">
            <v>Showerheads</v>
          </cell>
          <cell r="C18" t="str">
            <v>Retro</v>
          </cell>
          <cell r="D18" t="str">
            <v>Showerheads - Retro</v>
          </cell>
        </row>
        <row r="19">
          <cell r="B19" t="str">
            <v>HPWH</v>
          </cell>
          <cell r="C19" t="str">
            <v>New</v>
          </cell>
          <cell r="D19" t="str">
            <v>HPWH - New</v>
          </cell>
        </row>
        <row r="20">
          <cell r="B20" t="str">
            <v>HPWH</v>
          </cell>
          <cell r="C20" t="str">
            <v>NR</v>
          </cell>
          <cell r="D20" t="str">
            <v>HPWH - NR</v>
          </cell>
        </row>
        <row r="21">
          <cell r="B21" t="str">
            <v>EV Supply Equip</v>
          </cell>
          <cell r="C21" t="str">
            <v>NR</v>
          </cell>
          <cell r="D21" t="str">
            <v>EV Supply Equip - NR</v>
          </cell>
        </row>
        <row r="22">
          <cell r="B22" t="str">
            <v>Clothes Dryer</v>
          </cell>
          <cell r="C22" t="str">
            <v>New</v>
          </cell>
          <cell r="D22" t="str">
            <v>Clothes Dryer - New</v>
          </cell>
        </row>
        <row r="23">
          <cell r="B23" t="str">
            <v>Clothes Dryer</v>
          </cell>
          <cell r="C23" t="str">
            <v>NR</v>
          </cell>
          <cell r="D23" t="str">
            <v>Clothes Dryer - NR</v>
          </cell>
        </row>
        <row r="24">
          <cell r="B24" t="str">
            <v>Refrigerator</v>
          </cell>
          <cell r="C24" t="str">
            <v>New</v>
          </cell>
          <cell r="D24" t="str">
            <v>Refrigerator - New</v>
          </cell>
        </row>
        <row r="25">
          <cell r="B25" t="str">
            <v>Refrigerator</v>
          </cell>
          <cell r="C25" t="str">
            <v>NR</v>
          </cell>
          <cell r="D25" t="str">
            <v>Refrigerator - NR</v>
          </cell>
        </row>
        <row r="26">
          <cell r="B26" t="str">
            <v>Freezer</v>
          </cell>
          <cell r="C26" t="str">
            <v>New</v>
          </cell>
          <cell r="D26" t="str">
            <v>Freezer - New</v>
          </cell>
        </row>
        <row r="27">
          <cell r="B27" t="str">
            <v>Freezer</v>
          </cell>
          <cell r="C27" t="str">
            <v>NR</v>
          </cell>
          <cell r="D27" t="str">
            <v>Freezer - NR</v>
          </cell>
        </row>
        <row r="28">
          <cell r="B28" t="str">
            <v>Solar Water Heater</v>
          </cell>
          <cell r="C28" t="str">
            <v>New</v>
          </cell>
          <cell r="D28" t="str">
            <v>Solar Water Heater - New</v>
          </cell>
        </row>
        <row r="29">
          <cell r="B29" t="str">
            <v>Solar Water Heater</v>
          </cell>
          <cell r="C29" t="str">
            <v>NR</v>
          </cell>
          <cell r="D29" t="str">
            <v>Solar Water Heater - NR</v>
          </cell>
        </row>
        <row r="30">
          <cell r="B30" t="str">
            <v>Solar Water Heater</v>
          </cell>
          <cell r="C30" t="str">
            <v>Retro</v>
          </cell>
          <cell r="D30" t="str">
            <v>Solar Water Heater - Retro</v>
          </cell>
        </row>
        <row r="33">
          <cell r="B33" t="str">
            <v>Electric Oven</v>
          </cell>
          <cell r="C33" t="str">
            <v>New</v>
          </cell>
          <cell r="D33" t="str">
            <v>Electric Oven - New</v>
          </cell>
        </row>
        <row r="34">
          <cell r="B34" t="str">
            <v>Electric Oven</v>
          </cell>
          <cell r="C34" t="str">
            <v>NR</v>
          </cell>
          <cell r="D34" t="str">
            <v>Electric Oven - NR</v>
          </cell>
        </row>
        <row r="35">
          <cell r="B35" t="str">
            <v>Microwave</v>
          </cell>
          <cell r="C35" t="str">
            <v>New</v>
          </cell>
          <cell r="D35" t="str">
            <v>Microwave - New</v>
          </cell>
        </row>
        <row r="36">
          <cell r="B36" t="str">
            <v>Microwave</v>
          </cell>
          <cell r="C36" t="str">
            <v>NR</v>
          </cell>
          <cell r="D36" t="str">
            <v>Microwave - NR</v>
          </cell>
        </row>
        <row r="37">
          <cell r="B37" t="str">
            <v>Monitor</v>
          </cell>
          <cell r="C37" t="str">
            <v>New</v>
          </cell>
          <cell r="D37" t="str">
            <v>Monitor - New</v>
          </cell>
        </row>
        <row r="38">
          <cell r="B38" t="str">
            <v>Monitor</v>
          </cell>
          <cell r="C38" t="str">
            <v>NR</v>
          </cell>
          <cell r="D38" t="str">
            <v>Monitor - NR</v>
          </cell>
        </row>
        <row r="39">
          <cell r="B39" t="str">
            <v>Desktop</v>
          </cell>
          <cell r="C39" t="str">
            <v>New</v>
          </cell>
          <cell r="D39" t="str">
            <v>Desktop - New</v>
          </cell>
        </row>
        <row r="40">
          <cell r="B40" t="str">
            <v>Desktop</v>
          </cell>
          <cell r="C40" t="str">
            <v>NR</v>
          </cell>
          <cell r="D40" t="str">
            <v>Desktop - NR</v>
          </cell>
        </row>
        <row r="41">
          <cell r="B41" t="str">
            <v>Laptop</v>
          </cell>
          <cell r="C41" t="str">
            <v>New</v>
          </cell>
          <cell r="D41" t="str">
            <v>Laptop - New</v>
          </cell>
        </row>
        <row r="42">
          <cell r="B42" t="str">
            <v>Laptop</v>
          </cell>
          <cell r="C42" t="str">
            <v>NR</v>
          </cell>
          <cell r="D42" t="str">
            <v>Laptop - NR</v>
          </cell>
        </row>
        <row r="43">
          <cell r="B43" t="str">
            <v>Computer</v>
          </cell>
          <cell r="C43" t="str">
            <v>New</v>
          </cell>
          <cell r="D43" t="str">
            <v>Computer - New</v>
          </cell>
        </row>
        <row r="44">
          <cell r="B44" t="str">
            <v>Computer</v>
          </cell>
          <cell r="C44" t="str">
            <v>NR</v>
          </cell>
          <cell r="D44" t="str">
            <v>Computer - NR</v>
          </cell>
        </row>
        <row r="45">
          <cell r="B45" t="str">
            <v>ASHP</v>
          </cell>
          <cell r="C45" t="str">
            <v>New</v>
          </cell>
          <cell r="D45" t="str">
            <v>ASHP - New</v>
          </cell>
        </row>
        <row r="46">
          <cell r="B46" t="str">
            <v>ASHP</v>
          </cell>
          <cell r="C46" t="str">
            <v>NR</v>
          </cell>
          <cell r="D46" t="str">
            <v>ASHP - NR</v>
          </cell>
        </row>
        <row r="47">
          <cell r="B47" t="str">
            <v>HP</v>
          </cell>
          <cell r="C47" t="str">
            <v>Retro</v>
          </cell>
          <cell r="D47" t="str">
            <v>HP - Retro</v>
          </cell>
        </row>
        <row r="48">
          <cell r="B48" t="str">
            <v>DHP</v>
          </cell>
          <cell r="C48" t="str">
            <v>New</v>
          </cell>
          <cell r="D48" t="str">
            <v>DHP - New</v>
          </cell>
        </row>
        <row r="49">
          <cell r="B49" t="str">
            <v>DHP</v>
          </cell>
          <cell r="C49" t="str">
            <v>NR</v>
          </cell>
          <cell r="D49" t="str">
            <v>DHP - NR</v>
          </cell>
        </row>
        <row r="50">
          <cell r="B50" t="str">
            <v>DHP</v>
          </cell>
          <cell r="C50" t="str">
            <v>Retro</v>
          </cell>
          <cell r="D50" t="str">
            <v>DHP - Retro</v>
          </cell>
        </row>
        <row r="51">
          <cell r="B51" t="str">
            <v>Duct Sealing</v>
          </cell>
          <cell r="C51" t="str">
            <v>New</v>
          </cell>
          <cell r="D51" t="str">
            <v>Duct Sealing - New</v>
          </cell>
        </row>
        <row r="52">
          <cell r="B52" t="str">
            <v>Duct Sealing</v>
          </cell>
          <cell r="C52" t="str">
            <v>Retro</v>
          </cell>
          <cell r="D52" t="str">
            <v>Duct Sealing - Retro</v>
          </cell>
        </row>
        <row r="53">
          <cell r="B53" t="str">
            <v>WIFI enabled tstats</v>
          </cell>
          <cell r="C53" t="str">
            <v>New</v>
          </cell>
          <cell r="D53" t="str">
            <v>WIFI enabled tstats - New</v>
          </cell>
        </row>
        <row r="54">
          <cell r="B54" t="str">
            <v>WIFI enabled tstats</v>
          </cell>
          <cell r="C54" t="str">
            <v>Retro</v>
          </cell>
          <cell r="D54" t="str">
            <v>WIFI enabled tstats - Retro</v>
          </cell>
        </row>
        <row r="55">
          <cell r="B55" t="str">
            <v>Combo DHP/HPWH units</v>
          </cell>
          <cell r="C55" t="str">
            <v>New</v>
          </cell>
          <cell r="D55" t="str">
            <v>Combo DHP/HPWH units - New</v>
          </cell>
        </row>
        <row r="56">
          <cell r="B56" t="str">
            <v>Combo DHP/HPWH units</v>
          </cell>
          <cell r="C56" t="str">
            <v>NR</v>
          </cell>
          <cell r="D56" t="str">
            <v>Combo DHP/HPWH units - NR</v>
          </cell>
        </row>
        <row r="57">
          <cell r="B57" t="str">
            <v>Combo DHP/HPWH units</v>
          </cell>
          <cell r="C57" t="str">
            <v>Retro</v>
          </cell>
          <cell r="D57" t="str">
            <v>Combo DHP/HPWH units - Retro</v>
          </cell>
        </row>
        <row r="58">
          <cell r="B58" t="str">
            <v>Aerator</v>
          </cell>
          <cell r="C58" t="str">
            <v>New</v>
          </cell>
          <cell r="D58" t="str">
            <v>Aerator - New</v>
          </cell>
        </row>
        <row r="59">
          <cell r="B59" t="str">
            <v>Aerator</v>
          </cell>
          <cell r="C59" t="str">
            <v>Retro</v>
          </cell>
          <cell r="D59" t="str">
            <v>Aerator - Retro</v>
          </cell>
        </row>
        <row r="60">
          <cell r="B60" t="str">
            <v>Behavior</v>
          </cell>
          <cell r="C60" t="str">
            <v>Retro</v>
          </cell>
          <cell r="D60" t="str">
            <v>Behavior - Retro</v>
          </cell>
        </row>
        <row r="61">
          <cell r="B61" t="str">
            <v>Behavior</v>
          </cell>
          <cell r="C61" t="str">
            <v>New</v>
          </cell>
          <cell r="D61" t="str">
            <v>Behavior - New</v>
          </cell>
        </row>
        <row r="63">
          <cell r="B63" t="str">
            <v>Heat Recovery Ventilation</v>
          </cell>
          <cell r="C63" t="str">
            <v>New</v>
          </cell>
          <cell r="D63" t="str">
            <v>Heat Recovery Ventilation - New</v>
          </cell>
        </row>
        <row r="64">
          <cell r="B64" t="str">
            <v>GSHP</v>
          </cell>
          <cell r="C64" t="str">
            <v>New</v>
          </cell>
          <cell r="D64" t="str">
            <v>GSHP - New</v>
          </cell>
        </row>
        <row r="65">
          <cell r="B65" t="str">
            <v>GSHP</v>
          </cell>
          <cell r="C65" t="str">
            <v>NR</v>
          </cell>
          <cell r="D65" t="str">
            <v>GSHP - NR</v>
          </cell>
        </row>
        <row r="66">
          <cell r="C66" t="str">
            <v>Retro</v>
          </cell>
        </row>
        <row r="67">
          <cell r="B67" t="str">
            <v>ECM for HVAC ventilation</v>
          </cell>
          <cell r="C67" t="str">
            <v>New</v>
          </cell>
          <cell r="D67" t="str">
            <v>ECM for HVAC ventilation - New</v>
          </cell>
        </row>
        <row r="68">
          <cell r="B68" t="str">
            <v>ECM for HVAC ventilation</v>
          </cell>
          <cell r="C68" t="str">
            <v>NR</v>
          </cell>
          <cell r="D68" t="str">
            <v>ECM for HVAC ventilation - NR</v>
          </cell>
        </row>
        <row r="69">
          <cell r="B69" t="str">
            <v>Whole house/attic fan</v>
          </cell>
          <cell r="C69" t="str">
            <v>New</v>
          </cell>
          <cell r="D69" t="str">
            <v>Whole house/attic fan - New</v>
          </cell>
        </row>
        <row r="70">
          <cell r="B70" t="str">
            <v>Whole house/attic fan</v>
          </cell>
          <cell r="C70" t="str">
            <v>Retro</v>
          </cell>
          <cell r="D70" t="str">
            <v>Whole house/attic fan - Retro</v>
          </cell>
        </row>
        <row r="71">
          <cell r="B71" t="str">
            <v>WH Pipe insulation</v>
          </cell>
          <cell r="C71" t="str">
            <v>Retro</v>
          </cell>
          <cell r="D71" t="str">
            <v>WH Pipe insulation - Retro</v>
          </cell>
        </row>
        <row r="72">
          <cell r="B72" t="str">
            <v>DHP Ducted</v>
          </cell>
          <cell r="C72" t="str">
            <v>NR</v>
          </cell>
          <cell r="D72" t="str">
            <v>DHP Ducted - NR</v>
          </cell>
        </row>
        <row r="73">
          <cell r="B73" t="str">
            <v>Advanced Power Strips</v>
          </cell>
          <cell r="C73" t="str">
            <v>New</v>
          </cell>
          <cell r="D73" t="str">
            <v>Advanced Power Strips - New</v>
          </cell>
        </row>
        <row r="74">
          <cell r="B74" t="str">
            <v>Advanced Power Strips</v>
          </cell>
          <cell r="C74" t="str">
            <v>Retro</v>
          </cell>
          <cell r="D74" t="str">
            <v>Advanced Power Strips - Retro</v>
          </cell>
        </row>
        <row r="75">
          <cell r="B75" t="str">
            <v>Controls Commissioning and Sizing</v>
          </cell>
          <cell r="C75" t="str">
            <v>New</v>
          </cell>
          <cell r="D75" t="str">
            <v>Controls Commissioning and Sizing - New</v>
          </cell>
        </row>
        <row r="76">
          <cell r="B76" t="str">
            <v>Controls Commissioning and Sizing</v>
          </cell>
          <cell r="C76" t="str">
            <v>NR</v>
          </cell>
          <cell r="D76" t="str">
            <v>Controls Commissioning and Sizing - NR</v>
          </cell>
        </row>
        <row r="77">
          <cell r="B77" t="str">
            <v>ResWx</v>
          </cell>
          <cell r="C77" t="str">
            <v>Retro</v>
          </cell>
          <cell r="D77" t="str">
            <v>ResWx - Retro</v>
          </cell>
        </row>
        <row r="78">
          <cell r="B78" t="str">
            <v>ATTIC R0 - R19</v>
          </cell>
          <cell r="C78" t="str">
            <v>Retro</v>
          </cell>
          <cell r="D78" t="str">
            <v>ATTIC R0 - R19 - Retro</v>
          </cell>
        </row>
        <row r="79">
          <cell r="B79" t="str">
            <v>ATTIC R0 - R22</v>
          </cell>
          <cell r="C79" t="str">
            <v>Retro</v>
          </cell>
          <cell r="D79" t="str">
            <v>ATTIC R0 - R22 - Retro</v>
          </cell>
        </row>
        <row r="80">
          <cell r="B80" t="str">
            <v>ATTIC R0 - R30</v>
          </cell>
          <cell r="C80" t="str">
            <v>Retro</v>
          </cell>
          <cell r="D80" t="str">
            <v>ATTIC R0 - R30 - Retro</v>
          </cell>
        </row>
        <row r="81">
          <cell r="B81" t="str">
            <v>ATTIC R0 - R38</v>
          </cell>
          <cell r="C81" t="str">
            <v>Retro</v>
          </cell>
          <cell r="D81" t="str">
            <v>ATTIC R0 - R38 - Retro</v>
          </cell>
        </row>
        <row r="82">
          <cell r="B82" t="str">
            <v>ATTIC R0 - R49</v>
          </cell>
          <cell r="C82" t="str">
            <v>Retro</v>
          </cell>
          <cell r="D82" t="str">
            <v>ATTIC R0 - R49 - Retro</v>
          </cell>
        </row>
        <row r="83">
          <cell r="B83" t="str">
            <v>ATTIC R11 - R30</v>
          </cell>
          <cell r="C83" t="str">
            <v>Retro</v>
          </cell>
          <cell r="D83" t="str">
            <v>ATTIC R11 - R30 - Retro</v>
          </cell>
        </row>
        <row r="84">
          <cell r="B84" t="str">
            <v>ATTIC R11 - R38</v>
          </cell>
          <cell r="C84" t="str">
            <v>Retro</v>
          </cell>
          <cell r="D84" t="str">
            <v>ATTIC R11 - R38 - Retro</v>
          </cell>
        </row>
        <row r="85">
          <cell r="B85" t="str">
            <v>ATTIC R11 - R49</v>
          </cell>
          <cell r="C85" t="str">
            <v>Retro</v>
          </cell>
          <cell r="D85" t="str">
            <v>ATTIC R11 - R49 - Retro</v>
          </cell>
        </row>
        <row r="86">
          <cell r="B86" t="str">
            <v>ATTIC R19 - R30</v>
          </cell>
          <cell r="C86" t="str">
            <v>Retro</v>
          </cell>
          <cell r="D86" t="str">
            <v>ATTIC R19 - R30 - Retro</v>
          </cell>
        </row>
        <row r="87">
          <cell r="B87" t="str">
            <v>ATTIC R19 - R38</v>
          </cell>
          <cell r="C87" t="str">
            <v>Retro</v>
          </cell>
          <cell r="D87" t="str">
            <v>ATTIC R19 - R38 - Retro</v>
          </cell>
        </row>
        <row r="88">
          <cell r="B88" t="str">
            <v>ATTIC R19 - R49</v>
          </cell>
          <cell r="C88" t="str">
            <v>Retro</v>
          </cell>
          <cell r="D88" t="str">
            <v>ATTIC R19 - R49 - Retro</v>
          </cell>
        </row>
        <row r="89">
          <cell r="B89" t="str">
            <v>WALL R0 - R11</v>
          </cell>
          <cell r="C89" t="str">
            <v>Retro</v>
          </cell>
          <cell r="D89" t="str">
            <v>WALL R0 - R11 - Retro</v>
          </cell>
        </row>
        <row r="90">
          <cell r="B90" t="str">
            <v>FLOOR R0 - R19</v>
          </cell>
          <cell r="C90" t="str">
            <v>Retro</v>
          </cell>
          <cell r="D90" t="str">
            <v>FLOOR R0 - R19 - Retro</v>
          </cell>
        </row>
        <row r="91">
          <cell r="B91" t="str">
            <v>FLOOR R0 - R22</v>
          </cell>
          <cell r="C91" t="str">
            <v>Retro</v>
          </cell>
          <cell r="D91" t="str">
            <v>FLOOR R0 - R22 - Retro</v>
          </cell>
        </row>
        <row r="92">
          <cell r="B92" t="str">
            <v>FLOOR R0 - R25</v>
          </cell>
          <cell r="C92" t="str">
            <v>Retro</v>
          </cell>
          <cell r="D92" t="str">
            <v>FLOOR R0 - R25 - Retro</v>
          </cell>
        </row>
        <row r="93">
          <cell r="B93" t="str">
            <v>FLOOR R0 - R30</v>
          </cell>
          <cell r="C93" t="str">
            <v>Retro</v>
          </cell>
          <cell r="D93" t="str">
            <v>FLOOR R0 - R30 - Retro</v>
          </cell>
        </row>
        <row r="94">
          <cell r="B94" t="str">
            <v>FLOOR R11 - R22</v>
          </cell>
          <cell r="C94" t="str">
            <v>Retro</v>
          </cell>
          <cell r="D94" t="str">
            <v>FLOOR R11 - R22 - Retro</v>
          </cell>
        </row>
        <row r="95">
          <cell r="B95" t="str">
            <v>WINDOW CL30 Prime Window Replacement of Single Pane Base</v>
          </cell>
          <cell r="C95" t="str">
            <v>Retro</v>
          </cell>
          <cell r="D95" t="str">
            <v>WINDOW CL30 Prime Window Replacement of Single Pane Base - Retro</v>
          </cell>
        </row>
        <row r="96">
          <cell r="B96" t="str">
            <v>WINDOW CL30 Prime Window Replacement of Double Pane Base</v>
          </cell>
          <cell r="C96" t="str">
            <v>Retro</v>
          </cell>
          <cell r="D96" t="str">
            <v>WINDOW CL30 Prime Window Replacement of Double Pane Base - Retro</v>
          </cell>
        </row>
        <row r="97">
          <cell r="B97" t="str">
            <v>WINDOW CL22 Prime Window Replacement of Single Pane Base</v>
          </cell>
          <cell r="C97" t="str">
            <v>Retro</v>
          </cell>
          <cell r="D97" t="str">
            <v>WINDOW CL22 Prime Window Replacement of Single Pane Base - Retro</v>
          </cell>
        </row>
        <row r="98">
          <cell r="B98" t="str">
            <v>WINDOW CL22 Prime Window Replacement of Double Pane Base</v>
          </cell>
          <cell r="C98" t="str">
            <v>Retro</v>
          </cell>
          <cell r="D98" t="str">
            <v>WINDOW CL22 Prime Window Replacement of Double Pane Base - Retro</v>
          </cell>
        </row>
        <row r="99">
          <cell r="B99" t="str">
            <v>CFM50 Infiltration Reduction</v>
          </cell>
          <cell r="C99" t="str">
            <v>Retro</v>
          </cell>
          <cell r="D99" t="str">
            <v>CFM50 Infiltration Reduction - Retro</v>
          </cell>
        </row>
      </sheetData>
      <sheetData sheetId="3">
        <row r="4">
          <cell r="H4">
            <v>2035</v>
          </cell>
        </row>
        <row r="8">
          <cell r="B8">
            <v>1</v>
          </cell>
          <cell r="C8">
            <v>2</v>
          </cell>
          <cell r="D8">
            <v>3</v>
          </cell>
          <cell r="E8">
            <v>4</v>
          </cell>
          <cell r="F8">
            <v>5</v>
          </cell>
        </row>
        <row r="9">
          <cell r="B9" t="str">
            <v>Measure Index Name</v>
          </cell>
          <cell r="C9" t="str">
            <v>File Link</v>
          </cell>
          <cell r="D9" t="str">
            <v>Supply Curve Worksheet</v>
          </cell>
          <cell r="E9" t="str">
            <v>Lost Opp</v>
          </cell>
          <cell r="F9" t="str">
            <v>Descriptive Name</v>
          </cell>
        </row>
        <row r="10">
          <cell r="B10" t="str">
            <v>Lighting - New</v>
          </cell>
          <cell r="C10" t="str">
            <v>Res-Lighting-7P_v2.xlsx</v>
          </cell>
        </row>
        <row r="11">
          <cell r="B11" t="str">
            <v>Lighting - NR</v>
          </cell>
          <cell r="C11" t="str">
            <v>Res-Lighting-7P_v2.xlsx</v>
          </cell>
        </row>
        <row r="12">
          <cell r="B12" t="str">
            <v>Lighting - PPA</v>
          </cell>
          <cell r="C12" t="str">
            <v>Res-Lighting_PPA-7P_v3.xlsx</v>
          </cell>
        </row>
        <row r="13">
          <cell r="B13" t="str">
            <v>Dishwasher - New</v>
          </cell>
          <cell r="C13" t="str">
            <v>Res-Dishwasher-7P_v3.xlsx</v>
          </cell>
        </row>
        <row r="14">
          <cell r="B14" t="str">
            <v>Dishwasher - NR</v>
          </cell>
          <cell r="C14" t="str">
            <v>Res-Dishwasher-7P_v3.xlsx</v>
          </cell>
        </row>
        <row r="15">
          <cell r="B15" t="str">
            <v>Clothes Washer - New</v>
          </cell>
          <cell r="C15" t="str">
            <v>Res-ClothesWasher-7P_v2.xlsx</v>
          </cell>
        </row>
        <row r="16">
          <cell r="B16" t="str">
            <v>Clothes Washer - NR</v>
          </cell>
          <cell r="C16" t="str">
            <v>Res-ClothesWasher-7P_v2.xlsx</v>
          </cell>
        </row>
        <row r="17">
          <cell r="B17" t="str">
            <v>WasteWater Heat Recovery - New</v>
          </cell>
          <cell r="C17" t="str">
            <v>Res-GFX-7P_v2p.xlsx</v>
          </cell>
        </row>
        <row r="18">
          <cell r="B18" t="str">
            <v>Showerheads - New</v>
          </cell>
          <cell r="C18" t="str">
            <v>Res-Showerhead-7P_v4.xlsx</v>
          </cell>
        </row>
        <row r="19">
          <cell r="B19" t="str">
            <v>Showerheads - Retro</v>
          </cell>
          <cell r="C19" t="str">
            <v>Res-Showerhead-7P_v4.xlsx</v>
          </cell>
        </row>
        <row r="20">
          <cell r="B20" t="str">
            <v>HPWH - New</v>
          </cell>
          <cell r="C20" t="str">
            <v>Res-HPWH-7P_v3.xlsx</v>
          </cell>
        </row>
        <row r="21">
          <cell r="B21" t="str">
            <v>HPWH - NR</v>
          </cell>
          <cell r="C21" t="str">
            <v>Res-HPWH-7P_v3.xlsx</v>
          </cell>
        </row>
        <row r="22">
          <cell r="B22" t="str">
            <v>EV Supply Equip - NR</v>
          </cell>
          <cell r="C22" t="str">
            <v>Res-EVCharger-7P_v1p.xlsx</v>
          </cell>
        </row>
        <row r="23">
          <cell r="B23" t="str">
            <v>Clothes Dryer - New</v>
          </cell>
          <cell r="C23" t="str">
            <v>Res-ClothesDryer-7P_v2.xlsx</v>
          </cell>
        </row>
        <row r="24">
          <cell r="B24" t="str">
            <v>Clothes Dryer - NR</v>
          </cell>
          <cell r="C24" t="str">
            <v>Res-ClothesDryer-7P_v2.xlsx</v>
          </cell>
        </row>
        <row r="25">
          <cell r="B25" t="str">
            <v>Refrigerator - New</v>
          </cell>
          <cell r="C25" t="str">
            <v>Res-RefrigFreezer-7P_v3.xlsm</v>
          </cell>
        </row>
        <row r="26">
          <cell r="B26" t="str">
            <v>Refrigerator - NR</v>
          </cell>
          <cell r="C26" t="str">
            <v>Res-RefrigFreezer-7P_v3.xlsm</v>
          </cell>
        </row>
        <row r="27">
          <cell r="B27" t="str">
            <v>Freezer - New</v>
          </cell>
          <cell r="C27" t="str">
            <v>Res-RefrigFreezer-7P_v3.xlsm</v>
          </cell>
        </row>
        <row r="28">
          <cell r="B28" t="str">
            <v>Freezer - NR</v>
          </cell>
          <cell r="C28" t="str">
            <v>Res-RefrigFreezer-7P_v3.xlsm</v>
          </cell>
        </row>
        <row r="29">
          <cell r="B29" t="str">
            <v>Solar Water Heater - New</v>
          </cell>
          <cell r="C29" t="str">
            <v>Res-SWH-7P_v1.xlsx</v>
          </cell>
        </row>
        <row r="30">
          <cell r="B30" t="str">
            <v>Solar Water Heater - NR</v>
          </cell>
        </row>
        <row r="31">
          <cell r="B31" t="str">
            <v>Solar Water Heater - Retro</v>
          </cell>
          <cell r="C31" t="str">
            <v>Res-SWH-7P_v1.xlsx</v>
          </cell>
        </row>
        <row r="32">
          <cell r="B32">
            <v>0</v>
          </cell>
        </row>
        <row r="33">
          <cell r="B33">
            <v>0</v>
          </cell>
        </row>
        <row r="34">
          <cell r="B34" t="str">
            <v>Electric Oven - New</v>
          </cell>
          <cell r="C34" t="str">
            <v>Res-Oven-7P_v3.xlsx</v>
          </cell>
        </row>
        <row r="35">
          <cell r="B35" t="str">
            <v>Electric Oven - NR</v>
          </cell>
          <cell r="C35" t="str">
            <v>Res-Oven-7P_v3.xlsx</v>
          </cell>
        </row>
        <row r="36">
          <cell r="B36" t="str">
            <v>Microwave - New</v>
          </cell>
          <cell r="C36" t="str">
            <v>Res-Microwave-7P_v3.xlsx</v>
          </cell>
        </row>
        <row r="37">
          <cell r="B37" t="str">
            <v>Microwave - NR</v>
          </cell>
          <cell r="C37" t="str">
            <v>Res-Microwave-7P_v3.xlsx</v>
          </cell>
        </row>
        <row r="38">
          <cell r="B38" t="str">
            <v>Monitor - New</v>
          </cell>
          <cell r="C38" t="str">
            <v>Res-Computers-7P_v4.xlsx</v>
          </cell>
        </row>
        <row r="39">
          <cell r="B39" t="str">
            <v>Monitor - NR</v>
          </cell>
          <cell r="C39" t="str">
            <v>Res-Computers-7P_v4.xlsx</v>
          </cell>
        </row>
        <row r="40">
          <cell r="B40" t="str">
            <v>Desktop - New</v>
          </cell>
          <cell r="C40" t="str">
            <v>Res-Computers-7P_v4.xlsx</v>
          </cell>
        </row>
        <row r="41">
          <cell r="B41" t="str">
            <v>Desktop - NR</v>
          </cell>
          <cell r="C41" t="str">
            <v>Res-Computers-7P_v4.xlsx</v>
          </cell>
        </row>
        <row r="42">
          <cell r="B42" t="str">
            <v>Laptop - New</v>
          </cell>
          <cell r="C42" t="str">
            <v>Res-Computers-7P_v4.xlsx</v>
          </cell>
        </row>
        <row r="43">
          <cell r="B43" t="str">
            <v>Laptop - NR</v>
          </cell>
          <cell r="C43" t="str">
            <v>Res-Computers-7P_v4.xlsx</v>
          </cell>
        </row>
        <row r="46">
          <cell r="B46" t="str">
            <v>ASHP - New</v>
          </cell>
          <cell r="C46" t="str">
            <v>Res-SF_HP-7P_v3.xlsx</v>
          </cell>
        </row>
        <row r="47">
          <cell r="B47" t="str">
            <v>ASHP - NR</v>
          </cell>
          <cell r="C47" t="str">
            <v>Res-SF_HP-7P_v3.xlsx</v>
          </cell>
        </row>
        <row r="49">
          <cell r="B49" t="str">
            <v>DHP - New</v>
          </cell>
          <cell r="C49" t="str">
            <v>Res-SF_HP-7P_v3.xlsx</v>
          </cell>
        </row>
        <row r="50">
          <cell r="B50" t="str">
            <v>DHP - NR</v>
          </cell>
          <cell r="C50" t="str">
            <v>Res-SF_HP-7P_v3.xlsx</v>
          </cell>
        </row>
        <row r="51">
          <cell r="B51" t="str">
            <v>DHP - Retro</v>
          </cell>
        </row>
        <row r="52">
          <cell r="B52" t="str">
            <v>Duct Sealing - New</v>
          </cell>
          <cell r="C52" t="str">
            <v>Res-Duct_Seal-7P_v3.xlsx</v>
          </cell>
        </row>
        <row r="53">
          <cell r="B53" t="str">
            <v>Duct Sealing - Retro</v>
          </cell>
          <cell r="C53" t="str">
            <v>Res-Duct_Seal-7P_v3.xlsx</v>
          </cell>
        </row>
        <row r="54">
          <cell r="B54" t="str">
            <v>WIFI enabled tstats - New</v>
          </cell>
          <cell r="C54" t="str">
            <v>Res-WiFitstat-7P_v3.xlsx</v>
          </cell>
        </row>
        <row r="55">
          <cell r="B55" t="str">
            <v>WIFI enabled tstats - Retro</v>
          </cell>
          <cell r="C55" t="str">
            <v>Res-WiFitstat-7P_v3.xlsx</v>
          </cell>
        </row>
        <row r="56">
          <cell r="B56" t="str">
            <v>Combo DHP/HPWH units - New</v>
          </cell>
        </row>
        <row r="57">
          <cell r="B57" t="str">
            <v>Combo DHP/HPWH units - NR</v>
          </cell>
        </row>
        <row r="58">
          <cell r="B58" t="str">
            <v>Combo DHP/HPWH units - Retro</v>
          </cell>
        </row>
        <row r="59">
          <cell r="B59" t="str">
            <v>Aerator - New</v>
          </cell>
          <cell r="C59" t="str">
            <v>Res-Aerator-7P_v4.xlsx</v>
          </cell>
        </row>
        <row r="60">
          <cell r="B60" t="str">
            <v>Aerator - Retro</v>
          </cell>
          <cell r="C60" t="str">
            <v>Res-Aerator-7P_v4.xlsx</v>
          </cell>
        </row>
        <row r="61">
          <cell r="B61" t="str">
            <v>Behavior - Retro</v>
          </cell>
          <cell r="C61" t="str">
            <v>Res-COP-7P_v2.xlsx</v>
          </cell>
        </row>
        <row r="62">
          <cell r="B62" t="str">
            <v>Behavior - New</v>
          </cell>
          <cell r="C62" t="str">
            <v>Res-COP-7P_v2.xlsx</v>
          </cell>
        </row>
        <row r="63">
          <cell r="B63">
            <v>0</v>
          </cell>
        </row>
        <row r="64">
          <cell r="B64" t="str">
            <v>Heat Recovery Ventilation - New</v>
          </cell>
          <cell r="C64" t="str">
            <v>Res-HRV-7P_v1.xlsx</v>
          </cell>
        </row>
        <row r="65">
          <cell r="B65" t="str">
            <v>GSHP - New</v>
          </cell>
          <cell r="C65" t="str">
            <v>Res-GSHP-7P_v1.xlsx</v>
          </cell>
        </row>
        <row r="66">
          <cell r="B66" t="str">
            <v>GSHP - NR</v>
          </cell>
          <cell r="C66" t="str">
            <v>Res-GSHP-7P_v1.xlsx</v>
          </cell>
        </row>
        <row r="67">
          <cell r="B67">
            <v>0</v>
          </cell>
        </row>
        <row r="68">
          <cell r="B68" t="str">
            <v>ECM for HVAC ventilation - New</v>
          </cell>
        </row>
        <row r="69">
          <cell r="B69" t="str">
            <v>ECM for HVAC ventilation - NR</v>
          </cell>
        </row>
        <row r="70">
          <cell r="B70" t="str">
            <v>Whole house/attic fan - New</v>
          </cell>
        </row>
        <row r="71">
          <cell r="B71" t="str">
            <v>Whole house/attic fan - Retro</v>
          </cell>
        </row>
        <row r="72">
          <cell r="B72" t="str">
            <v>WH Pipe insulation - Retro</v>
          </cell>
        </row>
        <row r="73">
          <cell r="B73" t="str">
            <v>DHP Ducted - NR</v>
          </cell>
          <cell r="C73" t="str">
            <v>Res-FAF to DHP-7P_v1.xlsx</v>
          </cell>
        </row>
        <row r="74">
          <cell r="B74" t="str">
            <v>Advanced Power Strips - New</v>
          </cell>
          <cell r="C74" t="str">
            <v>Res-PowerStrips-7P_v4.xlsx</v>
          </cell>
        </row>
        <row r="75">
          <cell r="B75" t="str">
            <v>Advanced Power Strips - Retro</v>
          </cell>
          <cell r="C75" t="str">
            <v>Res-PowerStrips-7P_v4.xlsx</v>
          </cell>
        </row>
        <row r="76">
          <cell r="B76" t="str">
            <v>Controls Commissioning and Sizing - New</v>
          </cell>
          <cell r="C76" t="str">
            <v>Res-CCS-7P_v3.xlsx</v>
          </cell>
        </row>
        <row r="77">
          <cell r="B77" t="str">
            <v>Controls Commissioning and Sizing - NR</v>
          </cell>
          <cell r="C77" t="str">
            <v>Res-CCS-7P_v3.xlsx</v>
          </cell>
        </row>
        <row r="78">
          <cell r="B78" t="str">
            <v>ResWx - Retro</v>
          </cell>
          <cell r="C78" t="str">
            <v>Res-SF_Wx-7P_v4.xlsx</v>
          </cell>
        </row>
        <row r="79">
          <cell r="B79" t="str">
            <v>ResWx - Retro</v>
          </cell>
          <cell r="C79" t="str">
            <v>Res-MF_Wx-7P_v4.xlsx</v>
          </cell>
        </row>
        <row r="80">
          <cell r="B80" t="str">
            <v>ResWx - Retro</v>
          </cell>
          <cell r="C80" t="str">
            <v>Res-MH_Wx-7P_v3.xlsx</v>
          </cell>
        </row>
      </sheetData>
      <sheetData sheetId="4">
        <row r="8">
          <cell r="B8" t="str">
            <v>Measure Index Name</v>
          </cell>
          <cell r="C8" t="str">
            <v>Single Family</v>
          </cell>
          <cell r="D8" t="str">
            <v>Multifamily - Low Rise</v>
          </cell>
          <cell r="E8" t="str">
            <v>Multifamily - High Rise</v>
          </cell>
          <cell r="F8" t="str">
            <v>Manufactured</v>
          </cell>
        </row>
        <row r="9">
          <cell r="B9" t="str">
            <v>Lighting - New</v>
          </cell>
          <cell r="C9">
            <v>0.76500000000000001</v>
          </cell>
          <cell r="D9">
            <v>0.76500000000000001</v>
          </cell>
          <cell r="E9">
            <v>0.76500000000000001</v>
          </cell>
          <cell r="F9">
            <v>0.76500000000000001</v>
          </cell>
        </row>
        <row r="10">
          <cell r="B10" t="str">
            <v>Lighting - NR</v>
          </cell>
          <cell r="C10">
            <v>0.9</v>
          </cell>
          <cell r="D10">
            <v>0.9</v>
          </cell>
          <cell r="E10">
            <v>0.9</v>
          </cell>
          <cell r="F10">
            <v>0.9</v>
          </cell>
        </row>
        <row r="11">
          <cell r="B11" t="str">
            <v>Lighting - PPA</v>
          </cell>
          <cell r="C11">
            <v>0.9</v>
          </cell>
          <cell r="D11">
            <v>0.9</v>
          </cell>
          <cell r="E11">
            <v>0.9</v>
          </cell>
          <cell r="F11">
            <v>0.9</v>
          </cell>
        </row>
        <row r="12">
          <cell r="B12" t="str">
            <v>Dishwasher - New</v>
          </cell>
          <cell r="C12">
            <v>1</v>
          </cell>
          <cell r="D12">
            <v>1</v>
          </cell>
          <cell r="E12">
            <v>1</v>
          </cell>
          <cell r="F12">
            <v>1</v>
          </cell>
        </row>
        <row r="13">
          <cell r="B13" t="str">
            <v>Dishwasher - NR</v>
          </cell>
          <cell r="C13">
            <v>1</v>
          </cell>
          <cell r="D13">
            <v>1</v>
          </cell>
          <cell r="E13">
            <v>1</v>
          </cell>
          <cell r="F13">
            <v>1</v>
          </cell>
        </row>
        <row r="14">
          <cell r="B14" t="str">
            <v>Clothes Washer - New</v>
          </cell>
          <cell r="C14">
            <v>1</v>
          </cell>
          <cell r="D14">
            <v>0.75</v>
          </cell>
          <cell r="E14">
            <v>0.75</v>
          </cell>
          <cell r="F14">
            <v>1</v>
          </cell>
        </row>
        <row r="15">
          <cell r="B15" t="str">
            <v>Clothes Washer - NR</v>
          </cell>
          <cell r="C15">
            <v>1</v>
          </cell>
          <cell r="D15">
            <v>0.75</v>
          </cell>
          <cell r="E15">
            <v>0.75</v>
          </cell>
          <cell r="F15">
            <v>1</v>
          </cell>
        </row>
        <row r="16">
          <cell r="B16" t="str">
            <v>WasteWater Heat Recovery - New</v>
          </cell>
          <cell r="C16">
            <v>0.9</v>
          </cell>
          <cell r="D16">
            <v>0.5</v>
          </cell>
          <cell r="E16">
            <v>0.9</v>
          </cell>
          <cell r="F16">
            <v>0</v>
          </cell>
        </row>
        <row r="17">
          <cell r="B17" t="str">
            <v>Showerheads - New</v>
          </cell>
          <cell r="C17">
            <v>0.51600000000000001</v>
          </cell>
          <cell r="D17">
            <v>0.58000000000000007</v>
          </cell>
          <cell r="E17">
            <v>0.58000000000000007</v>
          </cell>
          <cell r="F17">
            <v>0.33999999999999997</v>
          </cell>
        </row>
        <row r="18">
          <cell r="B18" t="str">
            <v>Showerheads - Retro</v>
          </cell>
          <cell r="C18">
            <v>0.44247428657992416</v>
          </cell>
          <cell r="D18">
            <v>0.58000000000000007</v>
          </cell>
          <cell r="E18">
            <v>0.58000000000000007</v>
          </cell>
          <cell r="F18">
            <v>0.33999999999999997</v>
          </cell>
        </row>
        <row r="19">
          <cell r="B19" t="str">
            <v>HPWH - New</v>
          </cell>
          <cell r="C19">
            <v>0.94904999999999995</v>
          </cell>
          <cell r="D19">
            <v>0</v>
          </cell>
          <cell r="E19">
            <v>0</v>
          </cell>
          <cell r="F19">
            <v>0.95</v>
          </cell>
        </row>
        <row r="20">
          <cell r="B20" t="str">
            <v>HPWH - NR</v>
          </cell>
          <cell r="C20">
            <v>0.94904999999999995</v>
          </cell>
          <cell r="D20">
            <v>0</v>
          </cell>
          <cell r="E20">
            <v>0</v>
          </cell>
          <cell r="F20">
            <v>0.95</v>
          </cell>
        </row>
        <row r="21">
          <cell r="B21" t="str">
            <v>EV Supply Equip - NR</v>
          </cell>
          <cell r="C21">
            <v>0.89100000000000001</v>
          </cell>
          <cell r="D21">
            <v>0</v>
          </cell>
          <cell r="E21">
            <v>0</v>
          </cell>
          <cell r="F21">
            <v>0</v>
          </cell>
        </row>
        <row r="22">
          <cell r="B22" t="str">
            <v>Clothes Dryer - New</v>
          </cell>
          <cell r="C22">
            <v>0.9</v>
          </cell>
          <cell r="D22">
            <v>0.9</v>
          </cell>
          <cell r="E22">
            <v>0.9</v>
          </cell>
          <cell r="F22">
            <v>0.9</v>
          </cell>
        </row>
        <row r="23">
          <cell r="B23" t="str">
            <v>Clothes Dryer - NR</v>
          </cell>
          <cell r="C23">
            <v>0.9</v>
          </cell>
          <cell r="D23">
            <v>0.9</v>
          </cell>
          <cell r="E23">
            <v>0.9</v>
          </cell>
          <cell r="F23">
            <v>0.9</v>
          </cell>
        </row>
        <row r="24">
          <cell r="B24" t="str">
            <v>Refrigerator - New</v>
          </cell>
          <cell r="C24">
            <v>1</v>
          </cell>
          <cell r="D24">
            <v>1</v>
          </cell>
          <cell r="E24">
            <v>1</v>
          </cell>
          <cell r="F24">
            <v>1</v>
          </cell>
        </row>
        <row r="25">
          <cell r="B25" t="str">
            <v>Refrigerator - NR</v>
          </cell>
          <cell r="C25">
            <v>1</v>
          </cell>
          <cell r="D25">
            <v>1</v>
          </cell>
          <cell r="E25">
            <v>1</v>
          </cell>
          <cell r="F25">
            <v>1</v>
          </cell>
        </row>
        <row r="26">
          <cell r="B26" t="str">
            <v>Freezer - New</v>
          </cell>
          <cell r="C26">
            <v>1</v>
          </cell>
          <cell r="D26">
            <v>1</v>
          </cell>
          <cell r="E26">
            <v>1</v>
          </cell>
          <cell r="F26">
            <v>1</v>
          </cell>
        </row>
        <row r="27">
          <cell r="B27" t="str">
            <v>Freezer - NR</v>
          </cell>
          <cell r="C27">
            <v>1</v>
          </cell>
          <cell r="D27">
            <v>1</v>
          </cell>
          <cell r="E27">
            <v>1</v>
          </cell>
          <cell r="F27">
            <v>1</v>
          </cell>
        </row>
        <row r="28">
          <cell r="B28" t="str">
            <v>Solar Water Heater - New</v>
          </cell>
          <cell r="C28">
            <v>0.2475</v>
          </cell>
          <cell r="D28">
            <v>0.25</v>
          </cell>
          <cell r="E28">
            <v>0</v>
          </cell>
          <cell r="F28">
            <v>0</v>
          </cell>
        </row>
        <row r="29">
          <cell r="B29" t="str">
            <v>Solar Water Heater - NR</v>
          </cell>
          <cell r="C29">
            <v>0.2475</v>
          </cell>
          <cell r="D29">
            <v>0.25</v>
          </cell>
          <cell r="E29">
            <v>0</v>
          </cell>
          <cell r="F29">
            <v>0</v>
          </cell>
        </row>
        <row r="30">
          <cell r="B30" t="str">
            <v>Solar Water Heater - Retro</v>
          </cell>
          <cell r="C30">
            <v>0.2475</v>
          </cell>
          <cell r="D30">
            <v>0.25</v>
          </cell>
          <cell r="E30">
            <v>0</v>
          </cell>
          <cell r="F30">
            <v>0</v>
          </cell>
        </row>
        <row r="31">
          <cell r="B31">
            <v>0</v>
          </cell>
          <cell r="C31">
            <v>0</v>
          </cell>
          <cell r="D31">
            <v>0</v>
          </cell>
          <cell r="E31">
            <v>0</v>
          </cell>
          <cell r="F31">
            <v>0</v>
          </cell>
        </row>
        <row r="32">
          <cell r="B32">
            <v>0</v>
          </cell>
          <cell r="C32">
            <v>0</v>
          </cell>
          <cell r="D32">
            <v>0</v>
          </cell>
          <cell r="E32">
            <v>0</v>
          </cell>
          <cell r="F32">
            <v>0</v>
          </cell>
        </row>
        <row r="33">
          <cell r="B33" t="str">
            <v>Electric Oven - New</v>
          </cell>
          <cell r="C33">
            <v>0.9</v>
          </cell>
          <cell r="D33">
            <v>0.9</v>
          </cell>
          <cell r="E33">
            <v>0.9</v>
          </cell>
          <cell r="F33">
            <v>0.9</v>
          </cell>
        </row>
        <row r="34">
          <cell r="B34" t="str">
            <v>Electric Oven - NR</v>
          </cell>
          <cell r="C34">
            <v>0.9</v>
          </cell>
          <cell r="D34">
            <v>0.9</v>
          </cell>
          <cell r="E34">
            <v>0.9</v>
          </cell>
          <cell r="F34">
            <v>0.9</v>
          </cell>
        </row>
        <row r="35">
          <cell r="B35" t="str">
            <v>Microwave - New</v>
          </cell>
          <cell r="C35">
            <v>1</v>
          </cell>
          <cell r="D35">
            <v>1</v>
          </cell>
          <cell r="E35">
            <v>1</v>
          </cell>
          <cell r="F35">
            <v>1</v>
          </cell>
        </row>
        <row r="36">
          <cell r="B36" t="str">
            <v>Microwave - NR</v>
          </cell>
          <cell r="C36">
            <v>1</v>
          </cell>
          <cell r="D36">
            <v>1</v>
          </cell>
          <cell r="E36">
            <v>1</v>
          </cell>
          <cell r="F36">
            <v>1</v>
          </cell>
        </row>
        <row r="37">
          <cell r="B37" t="str">
            <v>Monitor - New</v>
          </cell>
          <cell r="C37">
            <v>0.44999999999999996</v>
          </cell>
          <cell r="D37">
            <v>0.44999999999999996</v>
          </cell>
          <cell r="E37">
            <v>0.44999999999999996</v>
          </cell>
          <cell r="F37">
            <v>0.44999999999999996</v>
          </cell>
        </row>
        <row r="38">
          <cell r="B38" t="str">
            <v>Monitor - NR</v>
          </cell>
          <cell r="C38">
            <v>0.44999999999999996</v>
          </cell>
          <cell r="D38">
            <v>0.44999999999999996</v>
          </cell>
          <cell r="E38">
            <v>0.44999999999999996</v>
          </cell>
          <cell r="F38">
            <v>0.44999999999999996</v>
          </cell>
        </row>
        <row r="39">
          <cell r="B39" t="str">
            <v>Desktop - New</v>
          </cell>
          <cell r="C39">
            <v>0.75</v>
          </cell>
          <cell r="D39">
            <v>0.75</v>
          </cell>
          <cell r="E39">
            <v>0.75</v>
          </cell>
          <cell r="F39">
            <v>0.75</v>
          </cell>
        </row>
        <row r="40">
          <cell r="B40" t="str">
            <v>Desktop - NR</v>
          </cell>
          <cell r="C40">
            <v>0.75</v>
          </cell>
          <cell r="D40">
            <v>0.75</v>
          </cell>
          <cell r="E40">
            <v>0.75</v>
          </cell>
          <cell r="F40">
            <v>0.75</v>
          </cell>
        </row>
        <row r="41">
          <cell r="B41" t="str">
            <v>Laptop - New</v>
          </cell>
          <cell r="C41">
            <v>0.26</v>
          </cell>
          <cell r="D41">
            <v>0.26</v>
          </cell>
          <cell r="E41">
            <v>0.26</v>
          </cell>
          <cell r="F41">
            <v>0.26</v>
          </cell>
        </row>
        <row r="42">
          <cell r="B42" t="str">
            <v>Laptop - NR</v>
          </cell>
          <cell r="C42">
            <v>0.26</v>
          </cell>
          <cell r="D42">
            <v>0.26</v>
          </cell>
          <cell r="E42">
            <v>0.26</v>
          </cell>
          <cell r="F42">
            <v>0.26</v>
          </cell>
        </row>
        <row r="43">
          <cell r="B43" t="str">
            <v>Computer - New</v>
          </cell>
        </row>
        <row r="44">
          <cell r="B44" t="str">
            <v>Computer - NR</v>
          </cell>
        </row>
        <row r="45">
          <cell r="B45" t="str">
            <v>ASHP - New</v>
          </cell>
          <cell r="C45">
            <v>0.88200000000000001</v>
          </cell>
          <cell r="D45">
            <v>0.5</v>
          </cell>
          <cell r="E45">
            <v>0</v>
          </cell>
          <cell r="F45">
            <v>0.9</v>
          </cell>
        </row>
        <row r="46">
          <cell r="B46" t="str">
            <v>ASHP - NR</v>
          </cell>
          <cell r="C46">
            <v>0.73499999999999999</v>
          </cell>
          <cell r="D46">
            <v>0.5</v>
          </cell>
          <cell r="E46">
            <v>0</v>
          </cell>
          <cell r="F46">
            <v>0.25</v>
          </cell>
        </row>
        <row r="47">
          <cell r="B47" t="str">
            <v>HP - Retro</v>
          </cell>
          <cell r="C47">
            <v>0</v>
          </cell>
          <cell r="D47">
            <v>0</v>
          </cell>
          <cell r="E47">
            <v>0</v>
          </cell>
          <cell r="F47">
            <v>0</v>
          </cell>
        </row>
        <row r="48">
          <cell r="B48" t="str">
            <v>DHP - New</v>
          </cell>
          <cell r="C48">
            <v>0.97019999999999995</v>
          </cell>
          <cell r="D48">
            <v>0.99</v>
          </cell>
          <cell r="E48">
            <v>0</v>
          </cell>
          <cell r="F48">
            <v>0.99</v>
          </cell>
        </row>
        <row r="49">
          <cell r="B49" t="str">
            <v>DHP - NR</v>
          </cell>
          <cell r="C49">
            <v>0.97019999999999995</v>
          </cell>
          <cell r="D49">
            <v>0.99</v>
          </cell>
          <cell r="E49">
            <v>0</v>
          </cell>
          <cell r="F49">
            <v>0.99</v>
          </cell>
        </row>
        <row r="50">
          <cell r="B50" t="str">
            <v>DHP - Retro</v>
          </cell>
          <cell r="C50">
            <v>0</v>
          </cell>
          <cell r="D50">
            <v>0</v>
          </cell>
          <cell r="E50">
            <v>0</v>
          </cell>
          <cell r="F50">
            <v>0</v>
          </cell>
        </row>
        <row r="51">
          <cell r="B51" t="str">
            <v>Duct Sealing - New</v>
          </cell>
          <cell r="C51">
            <v>0.4519771928174614</v>
          </cell>
          <cell r="D51">
            <v>0</v>
          </cell>
          <cell r="E51">
            <v>0</v>
          </cell>
          <cell r="F51">
            <v>0.54161498247447359</v>
          </cell>
        </row>
        <row r="52">
          <cell r="B52" t="str">
            <v>Duct Sealing - Retro</v>
          </cell>
          <cell r="C52">
            <v>0.4293783331765883</v>
          </cell>
          <cell r="D52">
            <v>0</v>
          </cell>
          <cell r="E52">
            <v>0</v>
          </cell>
          <cell r="F52">
            <v>0.51453423335074988</v>
          </cell>
        </row>
        <row r="53">
          <cell r="B53" t="str">
            <v>WIFI enabled tstats - New</v>
          </cell>
          <cell r="C53">
            <v>0.2</v>
          </cell>
          <cell r="D53">
            <v>0.2</v>
          </cell>
          <cell r="E53">
            <v>0</v>
          </cell>
          <cell r="F53">
            <v>0.2</v>
          </cell>
        </row>
        <row r="54">
          <cell r="B54" t="str">
            <v>WIFI enabled tstats - Retro</v>
          </cell>
          <cell r="C54">
            <v>0.19800000000000001</v>
          </cell>
          <cell r="D54">
            <v>0.19800000000000001</v>
          </cell>
          <cell r="E54">
            <v>0</v>
          </cell>
          <cell r="F54">
            <v>0.19800000000000001</v>
          </cell>
        </row>
        <row r="55">
          <cell r="B55" t="str">
            <v>Combo DHP/HPWH units - New</v>
          </cell>
          <cell r="C55">
            <v>0</v>
          </cell>
          <cell r="D55">
            <v>0</v>
          </cell>
          <cell r="E55">
            <v>0</v>
          </cell>
          <cell r="F55">
            <v>0</v>
          </cell>
        </row>
        <row r="56">
          <cell r="B56" t="str">
            <v>Combo DHP/HPWH units - NR</v>
          </cell>
          <cell r="C56">
            <v>0</v>
          </cell>
          <cell r="D56">
            <v>0</v>
          </cell>
          <cell r="E56">
            <v>0</v>
          </cell>
          <cell r="F56">
            <v>0</v>
          </cell>
        </row>
        <row r="57">
          <cell r="B57" t="str">
            <v>Combo DHP/HPWH units - Retro</v>
          </cell>
          <cell r="C57">
            <v>0</v>
          </cell>
          <cell r="D57">
            <v>0</v>
          </cell>
          <cell r="E57">
            <v>0</v>
          </cell>
          <cell r="F57">
            <v>0</v>
          </cell>
        </row>
        <row r="58">
          <cell r="B58" t="str">
            <v>Aerator - New</v>
          </cell>
          <cell r="C58">
            <v>0.315</v>
          </cell>
          <cell r="D58">
            <v>0.315</v>
          </cell>
          <cell r="E58">
            <v>0.315</v>
          </cell>
          <cell r="F58">
            <v>0.315</v>
          </cell>
        </row>
        <row r="59">
          <cell r="B59" t="str">
            <v>Aerator - Retro</v>
          </cell>
          <cell r="C59">
            <v>0.315</v>
          </cell>
          <cell r="D59">
            <v>0.315</v>
          </cell>
          <cell r="E59">
            <v>0.315</v>
          </cell>
          <cell r="F59">
            <v>0.315</v>
          </cell>
        </row>
        <row r="60">
          <cell r="B60" t="str">
            <v>Behavior - Retro</v>
          </cell>
          <cell r="C60">
            <v>0.48999999999999994</v>
          </cell>
          <cell r="D60">
            <v>0.48999999999999994</v>
          </cell>
          <cell r="E60">
            <v>0.48999999999999994</v>
          </cell>
          <cell r="F60">
            <v>0.48999999999999994</v>
          </cell>
        </row>
        <row r="61">
          <cell r="B61" t="str">
            <v>Behavior - New</v>
          </cell>
          <cell r="C61">
            <v>0.48999999999999994</v>
          </cell>
          <cell r="D61">
            <v>0.48999999999999994</v>
          </cell>
          <cell r="E61">
            <v>0.48999999999999994</v>
          </cell>
          <cell r="F61">
            <v>0.48999999999999994</v>
          </cell>
        </row>
        <row r="62">
          <cell r="B62">
            <v>0</v>
          </cell>
          <cell r="C62">
            <v>0</v>
          </cell>
          <cell r="D62">
            <v>0</v>
          </cell>
          <cell r="E62">
            <v>0</v>
          </cell>
          <cell r="F62">
            <v>0</v>
          </cell>
        </row>
        <row r="63">
          <cell r="B63" t="str">
            <v>Heat Recovery Ventilation - New</v>
          </cell>
          <cell r="C63">
            <v>0.89100000000000001</v>
          </cell>
          <cell r="D63">
            <v>0</v>
          </cell>
          <cell r="E63">
            <v>0</v>
          </cell>
          <cell r="F63">
            <v>0</v>
          </cell>
        </row>
        <row r="64">
          <cell r="B64" t="str">
            <v>GSHP - New</v>
          </cell>
          <cell r="C64">
            <v>0.12485156673907999</v>
          </cell>
          <cell r="D64">
            <v>0</v>
          </cell>
          <cell r="E64">
            <v>0</v>
          </cell>
          <cell r="F64">
            <v>0</v>
          </cell>
        </row>
        <row r="65">
          <cell r="B65" t="str">
            <v>GSHP - NR</v>
          </cell>
          <cell r="C65">
            <v>0.12485156673907999</v>
          </cell>
          <cell r="D65">
            <v>0</v>
          </cell>
          <cell r="E65">
            <v>0</v>
          </cell>
          <cell r="F65">
            <v>0</v>
          </cell>
        </row>
        <row r="66">
          <cell r="B66">
            <v>0</v>
          </cell>
          <cell r="C66">
            <v>0</v>
          </cell>
          <cell r="D66">
            <v>0</v>
          </cell>
          <cell r="E66">
            <v>0</v>
          </cell>
          <cell r="F66">
            <v>0</v>
          </cell>
        </row>
        <row r="67">
          <cell r="B67" t="str">
            <v>ECM for HVAC ventilation - New</v>
          </cell>
          <cell r="C67">
            <v>0</v>
          </cell>
          <cell r="D67">
            <v>0</v>
          </cell>
          <cell r="E67">
            <v>0</v>
          </cell>
          <cell r="F67">
            <v>0</v>
          </cell>
        </row>
        <row r="68">
          <cell r="B68" t="str">
            <v>ECM for HVAC ventilation - NR</v>
          </cell>
          <cell r="C68">
            <v>0</v>
          </cell>
          <cell r="D68">
            <v>0</v>
          </cell>
          <cell r="E68">
            <v>0</v>
          </cell>
          <cell r="F68">
            <v>0</v>
          </cell>
        </row>
        <row r="69">
          <cell r="B69" t="str">
            <v>Whole house/attic fan - New</v>
          </cell>
          <cell r="C69">
            <v>0</v>
          </cell>
          <cell r="D69">
            <v>0</v>
          </cell>
          <cell r="E69">
            <v>0</v>
          </cell>
          <cell r="F69">
            <v>0</v>
          </cell>
        </row>
        <row r="70">
          <cell r="B70" t="str">
            <v>Whole house/attic fan - Retro</v>
          </cell>
          <cell r="C70">
            <v>0</v>
          </cell>
          <cell r="D70">
            <v>0</v>
          </cell>
          <cell r="E70">
            <v>0</v>
          </cell>
          <cell r="F70">
            <v>0</v>
          </cell>
        </row>
        <row r="71">
          <cell r="B71" t="str">
            <v>WH Pipe insulation - Retro</v>
          </cell>
          <cell r="C71">
            <v>0</v>
          </cell>
          <cell r="D71">
            <v>0</v>
          </cell>
          <cell r="E71">
            <v>0</v>
          </cell>
          <cell r="F71">
            <v>0</v>
          </cell>
        </row>
        <row r="72">
          <cell r="B72" t="str">
            <v>DHP Ducted - NR</v>
          </cell>
          <cell r="C72">
            <v>0.2475</v>
          </cell>
          <cell r="D72">
            <v>0</v>
          </cell>
          <cell r="E72">
            <v>0</v>
          </cell>
          <cell r="F72">
            <v>0.74249999999999994</v>
          </cell>
        </row>
        <row r="73">
          <cell r="B73" t="str">
            <v>Advanced Power Strips - New</v>
          </cell>
          <cell r="C73">
            <v>0.33660000000000001</v>
          </cell>
          <cell r="D73">
            <v>0.2475</v>
          </cell>
          <cell r="E73">
            <v>0.2475</v>
          </cell>
          <cell r="F73">
            <v>0.2475</v>
          </cell>
        </row>
        <row r="74">
          <cell r="B74" t="str">
            <v>Advanced Power Strips - Retro</v>
          </cell>
          <cell r="C74">
            <v>0.33660000000000001</v>
          </cell>
          <cell r="D74">
            <v>0.2475</v>
          </cell>
          <cell r="E74">
            <v>0.2475</v>
          </cell>
          <cell r="F74">
            <v>0.2475</v>
          </cell>
        </row>
        <row r="75">
          <cell r="B75" t="str">
            <v>Controls Commissioning and Sizing - New</v>
          </cell>
          <cell r="C75">
            <v>0.76</v>
          </cell>
          <cell r="D75">
            <v>0</v>
          </cell>
          <cell r="E75">
            <v>0</v>
          </cell>
          <cell r="F75">
            <v>0.76</v>
          </cell>
        </row>
        <row r="76">
          <cell r="B76" t="str">
            <v>Controls Commissioning and Sizing - NR</v>
          </cell>
          <cell r="C76">
            <v>0.76</v>
          </cell>
          <cell r="D76">
            <v>0</v>
          </cell>
          <cell r="E76">
            <v>0</v>
          </cell>
          <cell r="F76">
            <v>0.76</v>
          </cell>
        </row>
        <row r="77">
          <cell r="B77" t="str">
            <v>ResWx - Retro</v>
          </cell>
          <cell r="C77">
            <v>0.95</v>
          </cell>
          <cell r="D77">
            <v>1</v>
          </cell>
          <cell r="E77">
            <v>0</v>
          </cell>
          <cell r="F77">
            <v>0.95</v>
          </cell>
        </row>
        <row r="78">
          <cell r="B78" t="str">
            <v>ATTIC R0 - R19 - Retro</v>
          </cell>
          <cell r="C78">
            <v>0</v>
          </cell>
          <cell r="D78">
            <v>5.4136342171710254E-2</v>
          </cell>
          <cell r="E78">
            <v>0</v>
          </cell>
          <cell r="F78">
            <v>0</v>
          </cell>
        </row>
        <row r="79">
          <cell r="B79" t="str">
            <v>ATTIC R0 - R22 - Retro</v>
          </cell>
          <cell r="C79">
            <v>0</v>
          </cell>
          <cell r="D79">
            <v>0</v>
          </cell>
          <cell r="E79">
            <v>0</v>
          </cell>
          <cell r="F79">
            <v>1.7654231774693385E-2</v>
          </cell>
        </row>
        <row r="80">
          <cell r="B80" t="str">
            <v>ATTIC R0 - R30 - Retro</v>
          </cell>
          <cell r="C80">
            <v>0</v>
          </cell>
          <cell r="D80">
            <v>0</v>
          </cell>
          <cell r="E80">
            <v>0</v>
          </cell>
          <cell r="F80">
            <v>5.370909487280473E-2</v>
          </cell>
        </row>
        <row r="81">
          <cell r="B81" t="str">
            <v>ATTIC R0 - R38 - Retro</v>
          </cell>
          <cell r="C81">
            <v>3.0150417138103489E-2</v>
          </cell>
          <cell r="D81">
            <v>1.0754159339533284E-2</v>
          </cell>
          <cell r="E81">
            <v>0</v>
          </cell>
          <cell r="F81">
            <v>0</v>
          </cell>
        </row>
        <row r="82">
          <cell r="B82" t="str">
            <v>ATTIC R0 - R49 - Retro</v>
          </cell>
          <cell r="C82">
            <v>1.6064798296574784E-2</v>
          </cell>
          <cell r="D82">
            <v>6.4148166587866887E-2</v>
          </cell>
          <cell r="E82">
            <v>0</v>
          </cell>
          <cell r="F82">
            <v>0</v>
          </cell>
        </row>
        <row r="83">
          <cell r="B83" t="str">
            <v>ATTIC R11 - R30 - Retro</v>
          </cell>
          <cell r="C83">
            <v>0</v>
          </cell>
          <cell r="D83">
            <v>0</v>
          </cell>
          <cell r="E83">
            <v>0</v>
          </cell>
          <cell r="F83">
            <v>1.0533305070999921E-3</v>
          </cell>
        </row>
        <row r="84">
          <cell r="B84" t="str">
            <v>ATTIC R11 - R38 - Retro</v>
          </cell>
          <cell r="C84">
            <v>2.4846271780712467E-2</v>
          </cell>
          <cell r="D84">
            <v>0</v>
          </cell>
          <cell r="E84">
            <v>0</v>
          </cell>
          <cell r="F84">
            <v>0</v>
          </cell>
        </row>
        <row r="85">
          <cell r="B85" t="str">
            <v>ATTIC R11 - R49 - Retro</v>
          </cell>
          <cell r="C85">
            <v>1.9498021140463982E-2</v>
          </cell>
          <cell r="D85">
            <v>0</v>
          </cell>
          <cell r="E85">
            <v>0</v>
          </cell>
          <cell r="F85">
            <v>0</v>
          </cell>
        </row>
        <row r="86">
          <cell r="B86" t="str">
            <v>ATTIC R19 - R30 - Retro</v>
          </cell>
          <cell r="C86">
            <v>0</v>
          </cell>
          <cell r="D86">
            <v>6.5125260012002723E-2</v>
          </cell>
          <cell r="E86">
            <v>0</v>
          </cell>
          <cell r="F86">
            <v>0</v>
          </cell>
        </row>
        <row r="87">
          <cell r="B87" t="str">
            <v>ATTIC R19 - R38 - Retro</v>
          </cell>
          <cell r="C87">
            <v>8.2033817107202978E-3</v>
          </cell>
          <cell r="D87">
            <v>1.0053116760243517E-2</v>
          </cell>
          <cell r="E87">
            <v>0</v>
          </cell>
          <cell r="F87">
            <v>0</v>
          </cell>
        </row>
        <row r="88">
          <cell r="B88" t="str">
            <v>ATTIC R19 - R49 - Retro</v>
          </cell>
          <cell r="C88">
            <v>1.7662848312546196E-2</v>
          </cell>
          <cell r="D88">
            <v>0.14766594591946242</v>
          </cell>
          <cell r="E88">
            <v>0</v>
          </cell>
          <cell r="F88">
            <v>0</v>
          </cell>
        </row>
        <row r="89">
          <cell r="B89" t="str">
            <v>WALL R0 - R11 - Retro</v>
          </cell>
          <cell r="C89">
            <v>8.46755457988283E-2</v>
          </cell>
          <cell r="D89">
            <v>8.6999999999999966E-2</v>
          </cell>
          <cell r="E89">
            <v>0</v>
          </cell>
          <cell r="F89">
            <v>0</v>
          </cell>
        </row>
        <row r="90">
          <cell r="B90" t="str">
            <v>FLOOR R0 - R19 - Retro</v>
          </cell>
          <cell r="C90">
            <v>7.8781984396844446E-2</v>
          </cell>
          <cell r="D90">
            <v>2.1455163910870823E-2</v>
          </cell>
          <cell r="E90">
            <v>0</v>
          </cell>
          <cell r="F90">
            <v>0</v>
          </cell>
        </row>
        <row r="91">
          <cell r="B91" t="str">
            <v>FLOOR R0 - R22 - Retro</v>
          </cell>
          <cell r="C91">
            <v>0</v>
          </cell>
          <cell r="D91">
            <v>0</v>
          </cell>
          <cell r="E91">
            <v>0</v>
          </cell>
          <cell r="F91">
            <v>1.0665247527328225E-2</v>
          </cell>
        </row>
        <row r="92">
          <cell r="B92" t="str">
            <v>FLOOR R0 - R25 - Retro</v>
          </cell>
          <cell r="C92">
            <v>4.555152699293441E-2</v>
          </cell>
          <cell r="D92">
            <v>0</v>
          </cell>
          <cell r="E92">
            <v>0</v>
          </cell>
          <cell r="F92">
            <v>0</v>
          </cell>
        </row>
        <row r="93">
          <cell r="B93" t="str">
            <v>FLOOR R0 - R30 - Retro</v>
          </cell>
          <cell r="C93">
            <v>0.10512619459663457</v>
          </cell>
          <cell r="D93">
            <v>0.23754483608912919</v>
          </cell>
          <cell r="E93">
            <v>0</v>
          </cell>
          <cell r="F93">
            <v>0</v>
          </cell>
        </row>
        <row r="94">
          <cell r="B94" t="str">
            <v>FLOOR R11 - R22 - Retro</v>
          </cell>
          <cell r="C94">
            <v>0</v>
          </cell>
          <cell r="D94">
            <v>0</v>
          </cell>
          <cell r="E94">
            <v>0</v>
          </cell>
          <cell r="F94">
            <v>1.6234206236719673E-2</v>
          </cell>
        </row>
        <row r="95">
          <cell r="B95" t="str">
            <v>WINDOW CL30 Prime Window Replacement of Single Pane Base - Retro</v>
          </cell>
          <cell r="C95">
            <v>3.5442601061513916E-2</v>
          </cell>
          <cell r="D95">
            <v>0.12758359544917094</v>
          </cell>
          <cell r="E95">
            <v>0</v>
          </cell>
          <cell r="F95">
            <v>1.3677383586228942E-2</v>
          </cell>
        </row>
        <row r="96">
          <cell r="B96" t="str">
            <v>WINDOW CL30 Prime Window Replacement of Double Pane Base - Retro</v>
          </cell>
          <cell r="C96">
            <v>0.74240695226153941</v>
          </cell>
          <cell r="D96">
            <v>0.66296155480151864</v>
          </cell>
          <cell r="E96">
            <v>0</v>
          </cell>
          <cell r="F96">
            <v>6.9568000974991058E-4</v>
          </cell>
        </row>
        <row r="97">
          <cell r="B97" t="str">
            <v>WINDOW CL22 Prime Window Replacement of Single Pane Base - Retro</v>
          </cell>
          <cell r="C97">
            <v>8.860650265378479E-3</v>
          </cell>
          <cell r="D97">
            <v>3.1895898862292736E-2</v>
          </cell>
          <cell r="E97">
            <v>0</v>
          </cell>
          <cell r="F97">
            <v>3.4193458965572354E-3</v>
          </cell>
        </row>
        <row r="98">
          <cell r="B98" t="str">
            <v>WINDOW CL22 Prime Window Replacement of Double Pane Base - Retro</v>
          </cell>
          <cell r="C98">
            <v>0.18560173806538485</v>
          </cell>
          <cell r="D98">
            <v>0.16574038870037966</v>
          </cell>
          <cell r="E98">
            <v>0</v>
          </cell>
          <cell r="F98">
            <v>1.7392000243747764E-4</v>
          </cell>
        </row>
        <row r="99">
          <cell r="B99" t="str">
            <v>CFM50 Infiltration Reduction - Retro</v>
          </cell>
          <cell r="C99">
            <v>0.3489194352936118</v>
          </cell>
          <cell r="D99">
            <v>0.5</v>
          </cell>
          <cell r="E99">
            <v>0</v>
          </cell>
          <cell r="F99">
            <v>8.366655018171143E-2</v>
          </cell>
        </row>
        <row r="100">
          <cell r="C100">
            <v>0</v>
          </cell>
          <cell r="D100">
            <v>0</v>
          </cell>
          <cell r="E100">
            <v>0</v>
          </cell>
          <cell r="F100">
            <v>0</v>
          </cell>
        </row>
      </sheetData>
      <sheetData sheetId="5">
        <row r="8">
          <cell r="B8" t="str">
            <v>Measure Index Name</v>
          </cell>
          <cell r="C8" t="str">
            <v>Single Family</v>
          </cell>
          <cell r="D8" t="str">
            <v>Multifamily - Low Rise</v>
          </cell>
          <cell r="E8" t="str">
            <v>Multifamily - High Rise</v>
          </cell>
          <cell r="F8" t="str">
            <v>Manufactured</v>
          </cell>
        </row>
        <row r="9">
          <cell r="B9" t="str">
            <v>Lighting - New</v>
          </cell>
          <cell r="C9">
            <v>1</v>
          </cell>
          <cell r="D9">
            <v>1</v>
          </cell>
          <cell r="E9">
            <v>1</v>
          </cell>
          <cell r="F9">
            <v>1</v>
          </cell>
        </row>
        <row r="10">
          <cell r="B10" t="str">
            <v>Lighting - NR</v>
          </cell>
          <cell r="C10">
            <v>1</v>
          </cell>
          <cell r="D10">
            <v>1</v>
          </cell>
          <cell r="E10">
            <v>1</v>
          </cell>
          <cell r="F10">
            <v>1</v>
          </cell>
        </row>
        <row r="11">
          <cell r="B11" t="str">
            <v>Lighting - PPA</v>
          </cell>
          <cell r="C11">
            <v>1</v>
          </cell>
          <cell r="D11">
            <v>1</v>
          </cell>
          <cell r="E11">
            <v>1</v>
          </cell>
          <cell r="F11">
            <v>1</v>
          </cell>
        </row>
        <row r="12">
          <cell r="B12" t="str">
            <v>Dishwasher - New</v>
          </cell>
          <cell r="C12">
            <v>1</v>
          </cell>
          <cell r="D12">
            <v>1</v>
          </cell>
          <cell r="E12">
            <v>1</v>
          </cell>
          <cell r="F12">
            <v>1</v>
          </cell>
        </row>
        <row r="13">
          <cell r="B13" t="str">
            <v>Dishwasher - NR</v>
          </cell>
          <cell r="C13">
            <v>1</v>
          </cell>
          <cell r="D13">
            <v>1</v>
          </cell>
          <cell r="E13">
            <v>1</v>
          </cell>
          <cell r="F13">
            <v>1</v>
          </cell>
        </row>
        <row r="14">
          <cell r="B14" t="str">
            <v>Clothes Washer - New</v>
          </cell>
          <cell r="C14">
            <v>1</v>
          </cell>
          <cell r="D14">
            <v>0.75</v>
          </cell>
          <cell r="E14">
            <v>0.75</v>
          </cell>
          <cell r="F14">
            <v>1</v>
          </cell>
        </row>
        <row r="15">
          <cell r="B15" t="str">
            <v>Clothes Washer - NR</v>
          </cell>
          <cell r="C15">
            <v>1</v>
          </cell>
          <cell r="D15">
            <v>0.75</v>
          </cell>
          <cell r="E15">
            <v>0.75</v>
          </cell>
          <cell r="F15">
            <v>1</v>
          </cell>
        </row>
        <row r="16">
          <cell r="B16" t="str">
            <v>WasteWater Heat Recovery - New</v>
          </cell>
          <cell r="C16">
            <v>0.9</v>
          </cell>
          <cell r="D16">
            <v>0.5</v>
          </cell>
          <cell r="E16">
            <v>0.9</v>
          </cell>
          <cell r="F16">
            <v>0</v>
          </cell>
        </row>
        <row r="17">
          <cell r="B17" t="str">
            <v>Showerheads - New</v>
          </cell>
          <cell r="C17">
            <v>1</v>
          </cell>
          <cell r="D17">
            <v>1</v>
          </cell>
          <cell r="E17">
            <v>1</v>
          </cell>
          <cell r="F17">
            <v>1</v>
          </cell>
        </row>
        <row r="18">
          <cell r="B18" t="str">
            <v>Showerheads - Retro</v>
          </cell>
          <cell r="C18">
            <v>1</v>
          </cell>
          <cell r="D18">
            <v>1</v>
          </cell>
          <cell r="E18">
            <v>1</v>
          </cell>
          <cell r="F18">
            <v>1</v>
          </cell>
        </row>
        <row r="19">
          <cell r="B19" t="str">
            <v>HPWH - New</v>
          </cell>
          <cell r="C19">
            <v>0.95</v>
          </cell>
          <cell r="D19">
            <v>0</v>
          </cell>
          <cell r="E19">
            <v>0</v>
          </cell>
          <cell r="F19">
            <v>0.95</v>
          </cell>
        </row>
        <row r="20">
          <cell r="B20" t="str">
            <v>HPWH - NR</v>
          </cell>
          <cell r="C20">
            <v>0.95</v>
          </cell>
          <cell r="D20">
            <v>0</v>
          </cell>
          <cell r="E20">
            <v>0</v>
          </cell>
          <cell r="F20">
            <v>0.95</v>
          </cell>
        </row>
        <row r="21">
          <cell r="B21" t="str">
            <v>EV Supply Equip - NR</v>
          </cell>
          <cell r="C21">
            <v>0.9</v>
          </cell>
          <cell r="D21">
            <v>0</v>
          </cell>
          <cell r="E21">
            <v>0</v>
          </cell>
          <cell r="F21">
            <v>0</v>
          </cell>
        </row>
        <row r="22">
          <cell r="B22" t="str">
            <v>Clothes Dryer - New</v>
          </cell>
          <cell r="C22">
            <v>0.9</v>
          </cell>
          <cell r="D22">
            <v>0.9</v>
          </cell>
          <cell r="E22">
            <v>0.9</v>
          </cell>
          <cell r="F22">
            <v>0.9</v>
          </cell>
        </row>
        <row r="23">
          <cell r="B23" t="str">
            <v>Clothes Dryer - NR</v>
          </cell>
          <cell r="C23">
            <v>0.9</v>
          </cell>
          <cell r="D23">
            <v>0.9</v>
          </cell>
          <cell r="E23">
            <v>0.9</v>
          </cell>
          <cell r="F23">
            <v>0.9</v>
          </cell>
        </row>
        <row r="24">
          <cell r="B24" t="str">
            <v>Refrigerator - New</v>
          </cell>
          <cell r="C24">
            <v>1</v>
          </cell>
          <cell r="D24">
            <v>1</v>
          </cell>
          <cell r="E24">
            <v>1</v>
          </cell>
          <cell r="F24">
            <v>1</v>
          </cell>
        </row>
        <row r="25">
          <cell r="B25" t="str">
            <v>Refrigerator - NR</v>
          </cell>
          <cell r="C25">
            <v>1</v>
          </cell>
          <cell r="D25">
            <v>1</v>
          </cell>
          <cell r="E25">
            <v>1</v>
          </cell>
          <cell r="F25">
            <v>1</v>
          </cell>
        </row>
        <row r="26">
          <cell r="B26" t="str">
            <v>Freezer - New</v>
          </cell>
          <cell r="C26">
            <v>1</v>
          </cell>
          <cell r="D26">
            <v>1</v>
          </cell>
          <cell r="E26">
            <v>1</v>
          </cell>
          <cell r="F26">
            <v>1</v>
          </cell>
        </row>
        <row r="27">
          <cell r="B27" t="str">
            <v>Freezer - NR</v>
          </cell>
          <cell r="C27">
            <v>1</v>
          </cell>
          <cell r="D27">
            <v>1</v>
          </cell>
          <cell r="E27">
            <v>1</v>
          </cell>
          <cell r="F27">
            <v>1</v>
          </cell>
        </row>
        <row r="28">
          <cell r="B28" t="str">
            <v>Solar Water Heater - New</v>
          </cell>
          <cell r="C28">
            <v>0.25</v>
          </cell>
          <cell r="D28">
            <v>0.25</v>
          </cell>
        </row>
        <row r="29">
          <cell r="B29" t="str">
            <v>Solar Water Heater - NR</v>
          </cell>
          <cell r="C29">
            <v>0.25</v>
          </cell>
          <cell r="D29">
            <v>0.25</v>
          </cell>
        </row>
        <row r="30">
          <cell r="B30" t="str">
            <v>Solar Water Heater - Retro</v>
          </cell>
          <cell r="C30">
            <v>0.25</v>
          </cell>
          <cell r="D30">
            <v>0.25</v>
          </cell>
        </row>
        <row r="31">
          <cell r="B31">
            <v>0</v>
          </cell>
        </row>
        <row r="32">
          <cell r="B32">
            <v>0</v>
          </cell>
        </row>
        <row r="33">
          <cell r="B33" t="str">
            <v>Electric Oven - New</v>
          </cell>
          <cell r="C33">
            <v>1</v>
          </cell>
          <cell r="D33">
            <v>1</v>
          </cell>
          <cell r="E33">
            <v>1</v>
          </cell>
          <cell r="F33">
            <v>1</v>
          </cell>
        </row>
        <row r="34">
          <cell r="B34" t="str">
            <v>Electric Oven - NR</v>
          </cell>
          <cell r="C34">
            <v>1</v>
          </cell>
          <cell r="D34">
            <v>1</v>
          </cell>
          <cell r="E34">
            <v>1</v>
          </cell>
          <cell r="F34">
            <v>1</v>
          </cell>
        </row>
        <row r="35">
          <cell r="B35" t="str">
            <v>Microwave - New</v>
          </cell>
          <cell r="C35">
            <v>1</v>
          </cell>
          <cell r="D35">
            <v>1</v>
          </cell>
          <cell r="E35">
            <v>1</v>
          </cell>
          <cell r="F35">
            <v>1</v>
          </cell>
        </row>
        <row r="36">
          <cell r="B36" t="str">
            <v>Microwave - NR</v>
          </cell>
          <cell r="C36">
            <v>1</v>
          </cell>
          <cell r="D36">
            <v>1</v>
          </cell>
          <cell r="E36">
            <v>1</v>
          </cell>
          <cell r="F36">
            <v>1</v>
          </cell>
        </row>
        <row r="37">
          <cell r="B37" t="str">
            <v>Monitor - New</v>
          </cell>
          <cell r="C37">
            <v>1</v>
          </cell>
          <cell r="D37">
            <v>1</v>
          </cell>
          <cell r="E37">
            <v>1</v>
          </cell>
          <cell r="F37">
            <v>1</v>
          </cell>
        </row>
        <row r="38">
          <cell r="B38" t="str">
            <v>Monitor - NR</v>
          </cell>
          <cell r="C38">
            <v>1</v>
          </cell>
          <cell r="D38">
            <v>1</v>
          </cell>
          <cell r="E38">
            <v>1</v>
          </cell>
          <cell r="F38">
            <v>1</v>
          </cell>
        </row>
        <row r="39">
          <cell r="B39" t="str">
            <v>Desktop - New</v>
          </cell>
          <cell r="C39">
            <v>1</v>
          </cell>
          <cell r="D39">
            <v>1</v>
          </cell>
          <cell r="E39">
            <v>1</v>
          </cell>
          <cell r="F39">
            <v>1</v>
          </cell>
        </row>
        <row r="40">
          <cell r="B40" t="str">
            <v>Desktop - NR</v>
          </cell>
          <cell r="C40">
            <v>1</v>
          </cell>
          <cell r="D40">
            <v>1</v>
          </cell>
          <cell r="E40">
            <v>1</v>
          </cell>
          <cell r="F40">
            <v>1</v>
          </cell>
        </row>
        <row r="41">
          <cell r="B41" t="str">
            <v>Laptop - New</v>
          </cell>
          <cell r="C41">
            <v>1</v>
          </cell>
          <cell r="D41">
            <v>1</v>
          </cell>
          <cell r="E41">
            <v>1</v>
          </cell>
          <cell r="F41">
            <v>1</v>
          </cell>
        </row>
        <row r="42">
          <cell r="B42" t="str">
            <v>Laptop - NR</v>
          </cell>
          <cell r="C42">
            <v>1</v>
          </cell>
          <cell r="D42">
            <v>1</v>
          </cell>
          <cell r="E42">
            <v>1</v>
          </cell>
          <cell r="F42">
            <v>1</v>
          </cell>
        </row>
        <row r="43">
          <cell r="B43" t="str">
            <v>Computer - New</v>
          </cell>
        </row>
        <row r="44">
          <cell r="B44" t="str">
            <v>Computer - NR</v>
          </cell>
        </row>
        <row r="45">
          <cell r="B45" t="str">
            <v>ASHP - New</v>
          </cell>
          <cell r="C45">
            <v>0.9</v>
          </cell>
          <cell r="D45">
            <v>0.5</v>
          </cell>
          <cell r="E45">
            <v>0</v>
          </cell>
          <cell r="F45">
            <v>0.9</v>
          </cell>
        </row>
        <row r="46">
          <cell r="B46" t="str">
            <v>ASHP - NR</v>
          </cell>
          <cell r="C46">
            <v>0.75</v>
          </cell>
          <cell r="D46">
            <v>0.5</v>
          </cell>
          <cell r="E46">
            <v>0</v>
          </cell>
          <cell r="F46">
            <v>0.25</v>
          </cell>
        </row>
        <row r="47">
          <cell r="B47" t="str">
            <v>HP - Retro</v>
          </cell>
        </row>
        <row r="48">
          <cell r="B48" t="str">
            <v>DHP - New</v>
          </cell>
          <cell r="C48">
            <v>0.99</v>
          </cell>
          <cell r="D48">
            <v>0.99</v>
          </cell>
          <cell r="E48">
            <v>0</v>
          </cell>
          <cell r="F48">
            <v>0.99</v>
          </cell>
        </row>
        <row r="49">
          <cell r="B49" t="str">
            <v>DHP - NR</v>
          </cell>
          <cell r="C49">
            <v>0.99</v>
          </cell>
          <cell r="D49">
            <v>0.99</v>
          </cell>
          <cell r="E49">
            <v>0</v>
          </cell>
          <cell r="F49">
            <v>0.99</v>
          </cell>
        </row>
        <row r="50">
          <cell r="B50" t="str">
            <v>DHP - Retro</v>
          </cell>
        </row>
        <row r="51">
          <cell r="B51" t="str">
            <v>Duct Sealing - New</v>
          </cell>
          <cell r="C51">
            <v>1</v>
          </cell>
          <cell r="F51">
            <v>1</v>
          </cell>
        </row>
        <row r="52">
          <cell r="B52" t="str">
            <v>Duct Sealing - Retro</v>
          </cell>
          <cell r="C52">
            <v>0.95</v>
          </cell>
          <cell r="F52">
            <v>0.95</v>
          </cell>
        </row>
        <row r="53">
          <cell r="B53" t="str">
            <v>WIFI enabled tstats - New</v>
          </cell>
          <cell r="C53">
            <v>0.2</v>
          </cell>
          <cell r="D53">
            <v>0.2</v>
          </cell>
          <cell r="E53">
            <v>0</v>
          </cell>
          <cell r="F53">
            <v>0.2</v>
          </cell>
        </row>
        <row r="54">
          <cell r="B54" t="str">
            <v>WIFI enabled tstats - Retro</v>
          </cell>
          <cell r="C54">
            <v>0.2</v>
          </cell>
          <cell r="D54">
            <v>0.2</v>
          </cell>
          <cell r="E54">
            <v>0</v>
          </cell>
          <cell r="F54">
            <v>0.2</v>
          </cell>
        </row>
        <row r="55">
          <cell r="B55" t="str">
            <v>Combo DHP/HPWH units - New</v>
          </cell>
        </row>
        <row r="56">
          <cell r="B56" t="str">
            <v>Combo DHP/HPWH units - NR</v>
          </cell>
        </row>
        <row r="57">
          <cell r="B57" t="str">
            <v>Combo DHP/HPWH units - Retro</v>
          </cell>
        </row>
        <row r="58">
          <cell r="B58" t="str">
            <v>Aerator - New</v>
          </cell>
          <cell r="C58">
            <v>0.9</v>
          </cell>
          <cell r="D58">
            <v>0.9</v>
          </cell>
          <cell r="E58">
            <v>0.9</v>
          </cell>
          <cell r="F58">
            <v>0.9</v>
          </cell>
        </row>
        <row r="59">
          <cell r="B59" t="str">
            <v>Aerator - Retro</v>
          </cell>
          <cell r="C59">
            <v>0.9</v>
          </cell>
          <cell r="D59">
            <v>0.9</v>
          </cell>
          <cell r="E59">
            <v>0.9</v>
          </cell>
          <cell r="F59">
            <v>0.9</v>
          </cell>
        </row>
        <row r="60">
          <cell r="B60" t="str">
            <v>Behavior - Retro</v>
          </cell>
          <cell r="C60">
            <v>0.48999999999999994</v>
          </cell>
          <cell r="D60">
            <v>0.48999999999999994</v>
          </cell>
          <cell r="E60">
            <v>0.48999999999999994</v>
          </cell>
          <cell r="F60">
            <v>0.48999999999999994</v>
          </cell>
        </row>
        <row r="61">
          <cell r="B61" t="str">
            <v>Behavior - New</v>
          </cell>
          <cell r="C61">
            <v>0.48999999999999994</v>
          </cell>
          <cell r="D61">
            <v>0.48999999999999994</v>
          </cell>
          <cell r="E61">
            <v>0.48999999999999994</v>
          </cell>
          <cell r="F61">
            <v>0.48999999999999994</v>
          </cell>
        </row>
        <row r="62">
          <cell r="B62">
            <v>0</v>
          </cell>
        </row>
        <row r="63">
          <cell r="B63" t="str">
            <v>Heat Recovery Ventilation - New</v>
          </cell>
          <cell r="C63">
            <v>0.9</v>
          </cell>
        </row>
        <row r="64">
          <cell r="B64" t="str">
            <v>GSHP - New</v>
          </cell>
          <cell r="C64">
            <v>0.12485156673907999</v>
          </cell>
        </row>
        <row r="65">
          <cell r="B65" t="str">
            <v>GSHP - NR</v>
          </cell>
          <cell r="C65">
            <v>0.12485156673907999</v>
          </cell>
        </row>
        <row r="66">
          <cell r="B66">
            <v>0</v>
          </cell>
        </row>
        <row r="67">
          <cell r="B67" t="str">
            <v>ECM for HVAC ventilation - New</v>
          </cell>
        </row>
        <row r="68">
          <cell r="B68" t="str">
            <v>ECM for HVAC ventilation - NR</v>
          </cell>
        </row>
        <row r="69">
          <cell r="B69" t="str">
            <v>Whole house/attic fan - New</v>
          </cell>
        </row>
        <row r="70">
          <cell r="B70" t="str">
            <v>Whole house/attic fan - Retro</v>
          </cell>
        </row>
        <row r="71">
          <cell r="B71" t="str">
            <v>WH Pipe insulation - Retro</v>
          </cell>
        </row>
        <row r="72">
          <cell r="B72" t="str">
            <v>DHP Ducted - NR</v>
          </cell>
          <cell r="C72">
            <v>0.25</v>
          </cell>
          <cell r="D72">
            <v>0</v>
          </cell>
          <cell r="E72">
            <v>0</v>
          </cell>
          <cell r="F72">
            <v>0.75</v>
          </cell>
        </row>
        <row r="73">
          <cell r="B73" t="str">
            <v>Advanced Power Strips - New</v>
          </cell>
          <cell r="C73">
            <v>0.34</v>
          </cell>
          <cell r="D73">
            <v>0.25</v>
          </cell>
          <cell r="E73">
            <v>0.25</v>
          </cell>
          <cell r="F73">
            <v>0.25</v>
          </cell>
        </row>
        <row r="74">
          <cell r="B74" t="str">
            <v>Advanced Power Strips - Retro</v>
          </cell>
          <cell r="C74">
            <v>0.34</v>
          </cell>
          <cell r="D74">
            <v>0.25</v>
          </cell>
          <cell r="E74">
            <v>0.25</v>
          </cell>
          <cell r="F74">
            <v>0.25</v>
          </cell>
        </row>
        <row r="75">
          <cell r="B75" t="str">
            <v>Controls Commissioning and Sizing - New</v>
          </cell>
          <cell r="C75">
            <v>0.8</v>
          </cell>
          <cell r="F75">
            <v>0.8</v>
          </cell>
        </row>
        <row r="76">
          <cell r="B76" t="str">
            <v>Controls Commissioning and Sizing - NR</v>
          </cell>
          <cell r="C76">
            <v>0.8</v>
          </cell>
          <cell r="F76">
            <v>0.8</v>
          </cell>
        </row>
        <row r="77">
          <cell r="B77" t="str">
            <v>ResWx - Retro</v>
          </cell>
          <cell r="C77">
            <v>1</v>
          </cell>
          <cell r="D77">
            <v>1</v>
          </cell>
          <cell r="E77">
            <v>0</v>
          </cell>
          <cell r="F77">
            <v>1</v>
          </cell>
        </row>
        <row r="78">
          <cell r="B78" t="str">
            <v>ATTIC R0 - R19 - Retro</v>
          </cell>
          <cell r="D78">
            <v>5.4136342171710254E-2</v>
          </cell>
          <cell r="E78">
            <v>0</v>
          </cell>
        </row>
        <row r="79">
          <cell r="B79" t="str">
            <v>ATTIC R0 - R22 - Retro</v>
          </cell>
          <cell r="E79">
            <v>0</v>
          </cell>
          <cell r="F79">
            <v>1</v>
          </cell>
        </row>
        <row r="80">
          <cell r="B80" t="str">
            <v>ATTIC R0 - R30 - Retro</v>
          </cell>
          <cell r="E80">
            <v>0</v>
          </cell>
          <cell r="F80">
            <v>1</v>
          </cell>
        </row>
        <row r="81">
          <cell r="B81" t="str">
            <v>ATTIC R0 - R38 - Retro</v>
          </cell>
          <cell r="C81">
            <v>0.32014844015471466</v>
          </cell>
          <cell r="D81">
            <v>4.7584775838642859E-2</v>
          </cell>
          <cell r="E81">
            <v>0</v>
          </cell>
        </row>
        <row r="82">
          <cell r="B82" t="str">
            <v>ATTIC R0 - R49 - Retro</v>
          </cell>
          <cell r="C82">
            <v>0.17058205505053403</v>
          </cell>
          <cell r="D82">
            <v>0.28384144507905706</v>
          </cell>
          <cell r="E82">
            <v>0</v>
          </cell>
        </row>
        <row r="83">
          <cell r="B83" t="str">
            <v>ATTIC R11 - R30 - Retro</v>
          </cell>
          <cell r="E83">
            <v>0</v>
          </cell>
          <cell r="F83">
            <v>1</v>
          </cell>
        </row>
        <row r="84">
          <cell r="B84" t="str">
            <v>ATTIC R11 - R38 - Retro</v>
          </cell>
          <cell r="C84">
            <v>0.17430969903565588</v>
          </cell>
          <cell r="E84">
            <v>0</v>
          </cell>
        </row>
        <row r="85">
          <cell r="B85" t="str">
            <v>ATTIC R11 - R49 - Retro</v>
          </cell>
          <cell r="C85">
            <v>0.13678890043469027</v>
          </cell>
          <cell r="E85">
            <v>0</v>
          </cell>
        </row>
        <row r="86">
          <cell r="B86" t="str">
            <v>ATTIC R19 - R30 - Retro</v>
          </cell>
          <cell r="D86">
            <v>0.22227051198635747</v>
          </cell>
          <cell r="E86">
            <v>0</v>
          </cell>
        </row>
        <row r="87">
          <cell r="B87" t="str">
            <v>ATTIC R19 - R38 - Retro</v>
          </cell>
          <cell r="C87">
            <v>4.6501964215835925E-2</v>
          </cell>
          <cell r="D87">
            <v>3.4310978703902796E-2</v>
          </cell>
          <cell r="E87">
            <v>0</v>
          </cell>
        </row>
        <row r="88">
          <cell r="B88" t="str">
            <v>ATTIC R19 - R49 - Retro</v>
          </cell>
          <cell r="C88">
            <v>0.1001242132993031</v>
          </cell>
          <cell r="D88">
            <v>0.50397933760908686</v>
          </cell>
          <cell r="E88">
            <v>0</v>
          </cell>
        </row>
        <row r="89">
          <cell r="B89" t="str">
            <v>WALL R0 - R11 - Retro</v>
          </cell>
          <cell r="C89">
            <v>1</v>
          </cell>
          <cell r="D89">
            <v>1</v>
          </cell>
          <cell r="E89">
            <v>0</v>
          </cell>
        </row>
        <row r="90">
          <cell r="B90" t="str">
            <v>FLOOR R0 - R19 - Retro</v>
          </cell>
          <cell r="C90">
            <v>0.34333690117039206</v>
          </cell>
          <cell r="D90">
            <v>8.2838470698342936E-2</v>
          </cell>
          <cell r="E90">
            <v>0</v>
          </cell>
        </row>
        <row r="91">
          <cell r="B91" t="str">
            <v>FLOOR R0 - R22 - Retro</v>
          </cell>
          <cell r="E91">
            <v>0</v>
          </cell>
          <cell r="F91">
            <v>1</v>
          </cell>
        </row>
        <row r="92">
          <cell r="B92" t="str">
            <v>FLOOR R0 - R25 - Retro</v>
          </cell>
          <cell r="C92">
            <v>0.19851645323572223</v>
          </cell>
          <cell r="E92">
            <v>0</v>
          </cell>
        </row>
        <row r="93">
          <cell r="B93" t="str">
            <v>FLOOR R0 - R30 - Retro</v>
          </cell>
          <cell r="C93">
            <v>0.45814664559388574</v>
          </cell>
          <cell r="D93">
            <v>0.91716152930165706</v>
          </cell>
          <cell r="E93">
            <v>0</v>
          </cell>
        </row>
        <row r="94">
          <cell r="B94" t="str">
            <v>FLOOR R11 - R22 - Retro</v>
          </cell>
          <cell r="E94">
            <v>0</v>
          </cell>
          <cell r="F94">
            <v>1</v>
          </cell>
        </row>
        <row r="95">
          <cell r="B95" t="str">
            <v>WINDOW CL30 Prime Window Replacement of Single Pane Base - Retro</v>
          </cell>
          <cell r="C95">
            <v>0.8</v>
          </cell>
          <cell r="D95">
            <v>0.8</v>
          </cell>
          <cell r="E95">
            <v>0</v>
          </cell>
          <cell r="F95">
            <v>0.8</v>
          </cell>
        </row>
        <row r="96">
          <cell r="B96" t="str">
            <v>WINDOW CL30 Prime Window Replacement of Double Pane Base - Retro</v>
          </cell>
          <cell r="C96">
            <v>0.8</v>
          </cell>
          <cell r="D96">
            <v>0.8</v>
          </cell>
          <cell r="E96">
            <v>0</v>
          </cell>
          <cell r="F96">
            <v>0.8</v>
          </cell>
        </row>
        <row r="97">
          <cell r="B97" t="str">
            <v>WINDOW CL22 Prime Window Replacement of Single Pane Base - Retro</v>
          </cell>
          <cell r="C97">
            <v>0.2</v>
          </cell>
          <cell r="D97">
            <v>0.2</v>
          </cell>
          <cell r="E97">
            <v>0</v>
          </cell>
          <cell r="F97">
            <v>0.2</v>
          </cell>
        </row>
        <row r="98">
          <cell r="B98" t="str">
            <v>WINDOW CL22 Prime Window Replacement of Double Pane Base - Retro</v>
          </cell>
          <cell r="C98">
            <v>0.2</v>
          </cell>
          <cell r="D98">
            <v>0.2</v>
          </cell>
          <cell r="E98">
            <v>0</v>
          </cell>
          <cell r="F98">
            <v>0.2</v>
          </cell>
        </row>
        <row r="99">
          <cell r="B99" t="str">
            <v>CFM50 Infiltration Reduction - Retro</v>
          </cell>
          <cell r="C99">
            <v>0.5</v>
          </cell>
          <cell r="D99">
            <v>0.5</v>
          </cell>
          <cell r="E99">
            <v>0</v>
          </cell>
          <cell r="F99">
            <v>1</v>
          </cell>
        </row>
      </sheetData>
      <sheetData sheetId="6">
        <row r="8">
          <cell r="B8" t="str">
            <v>Measure Index Name</v>
          </cell>
          <cell r="C8" t="str">
            <v>Single Family</v>
          </cell>
          <cell r="D8" t="str">
            <v>Multifamily - Low Rise</v>
          </cell>
          <cell r="E8" t="str">
            <v>Multifamily - High Rise</v>
          </cell>
          <cell r="F8" t="str">
            <v>Manufactured</v>
          </cell>
        </row>
        <row r="9">
          <cell r="B9" t="str">
            <v>Lighting - New</v>
          </cell>
          <cell r="C9">
            <v>0.23499999999999999</v>
          </cell>
          <cell r="D9">
            <v>0.23499999999999999</v>
          </cell>
          <cell r="E9">
            <v>0.23499999999999999</v>
          </cell>
          <cell r="F9">
            <v>0.23499999999999999</v>
          </cell>
        </row>
        <row r="10">
          <cell r="B10" t="str">
            <v>Lighting - NR</v>
          </cell>
          <cell r="C10">
            <v>0.1</v>
          </cell>
          <cell r="D10">
            <v>0.1</v>
          </cell>
          <cell r="E10">
            <v>0.1</v>
          </cell>
          <cell r="F10">
            <v>0.1</v>
          </cell>
        </row>
        <row r="11">
          <cell r="B11" t="str">
            <v>Lighting - PPA</v>
          </cell>
          <cell r="C11">
            <v>0.1</v>
          </cell>
          <cell r="D11">
            <v>0.1</v>
          </cell>
          <cell r="E11">
            <v>0.1</v>
          </cell>
          <cell r="F11">
            <v>0.1</v>
          </cell>
        </row>
        <row r="12">
          <cell r="B12" t="str">
            <v>Dishwasher - New</v>
          </cell>
          <cell r="C12">
            <v>0</v>
          </cell>
          <cell r="D12">
            <v>0</v>
          </cell>
          <cell r="E12">
            <v>0</v>
          </cell>
          <cell r="F12">
            <v>0</v>
          </cell>
        </row>
        <row r="13">
          <cell r="B13" t="str">
            <v>Dishwasher - NR</v>
          </cell>
          <cell r="C13">
            <v>0</v>
          </cell>
          <cell r="D13">
            <v>0</v>
          </cell>
          <cell r="E13">
            <v>0</v>
          </cell>
          <cell r="F13">
            <v>0</v>
          </cell>
        </row>
        <row r="14">
          <cell r="B14" t="str">
            <v>Clothes Washer - New</v>
          </cell>
          <cell r="C14">
            <v>0</v>
          </cell>
          <cell r="D14">
            <v>0</v>
          </cell>
          <cell r="E14">
            <v>0</v>
          </cell>
          <cell r="F14">
            <v>0</v>
          </cell>
        </row>
        <row r="15">
          <cell r="B15" t="str">
            <v>Clothes Washer - NR</v>
          </cell>
          <cell r="C15">
            <v>0</v>
          </cell>
          <cell r="D15">
            <v>0</v>
          </cell>
          <cell r="E15">
            <v>0</v>
          </cell>
          <cell r="F15">
            <v>0</v>
          </cell>
        </row>
        <row r="16">
          <cell r="B16" t="str">
            <v>WasteWater Heat Recovery - New</v>
          </cell>
          <cell r="C16">
            <v>0</v>
          </cell>
          <cell r="D16">
            <v>0</v>
          </cell>
          <cell r="E16">
            <v>0</v>
          </cell>
          <cell r="F16">
            <v>0</v>
          </cell>
        </row>
        <row r="17">
          <cell r="B17" t="str">
            <v>Showerheads - New</v>
          </cell>
          <cell r="C17">
            <v>0.48399999999999999</v>
          </cell>
          <cell r="D17">
            <v>0.42</v>
          </cell>
          <cell r="E17">
            <v>0.42</v>
          </cell>
          <cell r="F17">
            <v>0.66</v>
          </cell>
        </row>
        <row r="18">
          <cell r="B18" t="str">
            <v>Showerheads - Retro</v>
          </cell>
          <cell r="C18">
            <v>0.55752571342007584</v>
          </cell>
          <cell r="D18">
            <v>0.42</v>
          </cell>
          <cell r="E18">
            <v>0.42</v>
          </cell>
          <cell r="F18">
            <v>0.66</v>
          </cell>
        </row>
        <row r="19">
          <cell r="B19" t="str">
            <v>HPWH - New</v>
          </cell>
          <cell r="C19">
            <v>1E-3</v>
          </cell>
          <cell r="D19">
            <v>0</v>
          </cell>
          <cell r="E19">
            <v>0</v>
          </cell>
          <cell r="F19">
            <v>0</v>
          </cell>
        </row>
        <row r="20">
          <cell r="B20" t="str">
            <v>HPWH - NR</v>
          </cell>
          <cell r="C20">
            <v>1E-3</v>
          </cell>
          <cell r="D20">
            <v>0</v>
          </cell>
          <cell r="E20">
            <v>0</v>
          </cell>
          <cell r="F20">
            <v>0</v>
          </cell>
        </row>
        <row r="21">
          <cell r="B21" t="str">
            <v>EV Supply Equip - NR</v>
          </cell>
          <cell r="C21">
            <v>0.01</v>
          </cell>
          <cell r="D21">
            <v>0</v>
          </cell>
          <cell r="E21">
            <v>0</v>
          </cell>
          <cell r="F21">
            <v>0</v>
          </cell>
        </row>
        <row r="22">
          <cell r="B22" t="str">
            <v>Clothes Dryer - New</v>
          </cell>
          <cell r="C22">
            <v>0</v>
          </cell>
          <cell r="D22">
            <v>0</v>
          </cell>
          <cell r="E22">
            <v>0</v>
          </cell>
          <cell r="F22">
            <v>0</v>
          </cell>
        </row>
        <row r="23">
          <cell r="B23" t="str">
            <v>Clothes Dryer - NR</v>
          </cell>
          <cell r="C23">
            <v>0</v>
          </cell>
          <cell r="D23">
            <v>0</v>
          </cell>
          <cell r="E23">
            <v>0</v>
          </cell>
          <cell r="F23">
            <v>0</v>
          </cell>
        </row>
        <row r="24">
          <cell r="B24" t="str">
            <v>Refrigerator - New</v>
          </cell>
          <cell r="C24">
            <v>0</v>
          </cell>
          <cell r="D24">
            <v>0</v>
          </cell>
          <cell r="E24">
            <v>0</v>
          </cell>
          <cell r="F24">
            <v>0</v>
          </cell>
        </row>
        <row r="25">
          <cell r="B25" t="str">
            <v>Refrigerator - NR</v>
          </cell>
          <cell r="C25">
            <v>0</v>
          </cell>
          <cell r="D25">
            <v>0</v>
          </cell>
          <cell r="E25">
            <v>0</v>
          </cell>
          <cell r="F25">
            <v>0</v>
          </cell>
        </row>
        <row r="26">
          <cell r="B26" t="str">
            <v>Freezer - New</v>
          </cell>
          <cell r="C26">
            <v>0</v>
          </cell>
          <cell r="D26">
            <v>0</v>
          </cell>
          <cell r="E26">
            <v>0</v>
          </cell>
          <cell r="F26">
            <v>0</v>
          </cell>
        </row>
        <row r="27">
          <cell r="B27" t="str">
            <v>Freezer - NR</v>
          </cell>
          <cell r="C27">
            <v>0</v>
          </cell>
          <cell r="D27">
            <v>0</v>
          </cell>
          <cell r="E27">
            <v>0</v>
          </cell>
          <cell r="F27">
            <v>0</v>
          </cell>
        </row>
        <row r="28">
          <cell r="B28" t="str">
            <v>Solar Water Heater - New</v>
          </cell>
          <cell r="C28">
            <v>0.01</v>
          </cell>
          <cell r="D28">
            <v>0</v>
          </cell>
        </row>
        <row r="29">
          <cell r="B29" t="str">
            <v>Solar Water Heater - NR</v>
          </cell>
          <cell r="C29">
            <v>0.01</v>
          </cell>
          <cell r="D29">
            <v>0</v>
          </cell>
        </row>
        <row r="30">
          <cell r="B30" t="str">
            <v>Solar Water Heater - Retro</v>
          </cell>
          <cell r="C30">
            <v>0.01</v>
          </cell>
          <cell r="D30">
            <v>0</v>
          </cell>
        </row>
        <row r="31">
          <cell r="B31">
            <v>0</v>
          </cell>
        </row>
        <row r="32">
          <cell r="B32">
            <v>0</v>
          </cell>
        </row>
        <row r="33">
          <cell r="B33" t="str">
            <v>Electric Oven - New</v>
          </cell>
          <cell r="C33">
            <v>0.1</v>
          </cell>
          <cell r="D33">
            <v>0.1</v>
          </cell>
          <cell r="E33">
            <v>0.1</v>
          </cell>
          <cell r="F33">
            <v>0.1</v>
          </cell>
        </row>
        <row r="34">
          <cell r="B34" t="str">
            <v>Electric Oven - NR</v>
          </cell>
          <cell r="C34">
            <v>0.1</v>
          </cell>
          <cell r="D34">
            <v>0.1</v>
          </cell>
          <cell r="E34">
            <v>0.1</v>
          </cell>
          <cell r="F34">
            <v>0.1</v>
          </cell>
        </row>
        <row r="35">
          <cell r="B35" t="str">
            <v>Microwave - New</v>
          </cell>
          <cell r="C35">
            <v>0</v>
          </cell>
          <cell r="D35">
            <v>0</v>
          </cell>
          <cell r="E35">
            <v>0</v>
          </cell>
          <cell r="F35">
            <v>0</v>
          </cell>
        </row>
        <row r="36">
          <cell r="B36" t="str">
            <v>Microwave - NR</v>
          </cell>
          <cell r="C36">
            <v>0</v>
          </cell>
          <cell r="D36">
            <v>0</v>
          </cell>
          <cell r="E36">
            <v>0</v>
          </cell>
          <cell r="F36">
            <v>0</v>
          </cell>
        </row>
        <row r="37">
          <cell r="B37" t="str">
            <v>Monitor - New</v>
          </cell>
          <cell r="C37">
            <v>0.55000000000000004</v>
          </cell>
          <cell r="D37">
            <v>0.55000000000000004</v>
          </cell>
          <cell r="E37">
            <v>0.55000000000000004</v>
          </cell>
          <cell r="F37">
            <v>0.55000000000000004</v>
          </cell>
        </row>
        <row r="38">
          <cell r="B38" t="str">
            <v>Monitor - NR</v>
          </cell>
          <cell r="C38">
            <v>0.55000000000000004</v>
          </cell>
          <cell r="D38">
            <v>0.55000000000000004</v>
          </cell>
          <cell r="E38">
            <v>0.55000000000000004</v>
          </cell>
          <cell r="F38">
            <v>0.55000000000000004</v>
          </cell>
        </row>
        <row r="39">
          <cell r="B39" t="str">
            <v>Desktop - New</v>
          </cell>
          <cell r="C39">
            <v>0.25</v>
          </cell>
          <cell r="D39">
            <v>0.25</v>
          </cell>
          <cell r="E39">
            <v>0.25</v>
          </cell>
          <cell r="F39">
            <v>0.25</v>
          </cell>
        </row>
        <row r="40">
          <cell r="B40" t="str">
            <v>Desktop - NR</v>
          </cell>
          <cell r="C40">
            <v>0.25</v>
          </cell>
          <cell r="D40">
            <v>0.25</v>
          </cell>
          <cell r="E40">
            <v>0.25</v>
          </cell>
          <cell r="F40">
            <v>0.25</v>
          </cell>
        </row>
        <row r="41">
          <cell r="B41" t="str">
            <v>Laptop - New</v>
          </cell>
          <cell r="C41">
            <v>0.74</v>
          </cell>
          <cell r="D41">
            <v>0.74</v>
          </cell>
          <cell r="E41">
            <v>0.74</v>
          </cell>
          <cell r="F41">
            <v>0.74</v>
          </cell>
        </row>
        <row r="42">
          <cell r="B42" t="str">
            <v>Laptop - NR</v>
          </cell>
          <cell r="C42">
            <v>0.74</v>
          </cell>
          <cell r="D42">
            <v>0.74</v>
          </cell>
          <cell r="E42">
            <v>0.74</v>
          </cell>
          <cell r="F42">
            <v>0.74</v>
          </cell>
        </row>
        <row r="43">
          <cell r="B43" t="str">
            <v>Computer - New</v>
          </cell>
        </row>
        <row r="44">
          <cell r="B44" t="str">
            <v>Computer - NR</v>
          </cell>
        </row>
        <row r="45">
          <cell r="B45" t="str">
            <v>ASHP - New</v>
          </cell>
          <cell r="C45">
            <v>0.02</v>
          </cell>
          <cell r="D45">
            <v>0</v>
          </cell>
          <cell r="E45">
            <v>0</v>
          </cell>
          <cell r="F45">
            <v>0</v>
          </cell>
        </row>
        <row r="46">
          <cell r="B46" t="str">
            <v>ASHP - NR</v>
          </cell>
          <cell r="C46">
            <v>0.02</v>
          </cell>
          <cell r="D46">
            <v>0</v>
          </cell>
          <cell r="E46">
            <v>0</v>
          </cell>
          <cell r="F46">
            <v>0</v>
          </cell>
        </row>
        <row r="47">
          <cell r="B47" t="str">
            <v>HP - Retro</v>
          </cell>
        </row>
        <row r="48">
          <cell r="B48" t="str">
            <v>DHP - New</v>
          </cell>
          <cell r="C48">
            <v>0.02</v>
          </cell>
          <cell r="D48">
            <v>0</v>
          </cell>
          <cell r="E48">
            <v>0</v>
          </cell>
          <cell r="F48">
            <v>0</v>
          </cell>
        </row>
        <row r="49">
          <cell r="B49" t="str">
            <v>DHP - NR</v>
          </cell>
          <cell r="C49">
            <v>0.02</v>
          </cell>
          <cell r="D49">
            <v>0</v>
          </cell>
          <cell r="E49">
            <v>0</v>
          </cell>
          <cell r="F49">
            <v>0</v>
          </cell>
        </row>
        <row r="50">
          <cell r="B50" t="str">
            <v>DHP - Retro</v>
          </cell>
        </row>
        <row r="51">
          <cell r="B51" t="str">
            <v>Duct Sealing - New</v>
          </cell>
          <cell r="C51">
            <v>0.5480228071825386</v>
          </cell>
          <cell r="F51">
            <v>0.45838501752552641</v>
          </cell>
        </row>
        <row r="52">
          <cell r="B52" t="str">
            <v>Duct Sealing - Retro</v>
          </cell>
          <cell r="C52">
            <v>0.5480228071825386</v>
          </cell>
          <cell r="F52">
            <v>0.45838501752552641</v>
          </cell>
        </row>
        <row r="53">
          <cell r="B53" t="str">
            <v>WIFI enabled tstats - New</v>
          </cell>
          <cell r="C53">
            <v>0</v>
          </cell>
          <cell r="D53">
            <v>0</v>
          </cell>
          <cell r="E53">
            <v>0</v>
          </cell>
          <cell r="F53">
            <v>0</v>
          </cell>
        </row>
        <row r="54">
          <cell r="B54" t="str">
            <v>WIFI enabled tstats - Retro</v>
          </cell>
          <cell r="C54">
            <v>0.01</v>
          </cell>
          <cell r="D54">
            <v>0.01</v>
          </cell>
          <cell r="E54">
            <v>0.01</v>
          </cell>
          <cell r="F54">
            <v>0.01</v>
          </cell>
        </row>
        <row r="55">
          <cell r="B55" t="str">
            <v>Combo DHP/HPWH units - New</v>
          </cell>
        </row>
        <row r="56">
          <cell r="B56" t="str">
            <v>Combo DHP/HPWH units - NR</v>
          </cell>
        </row>
        <row r="57">
          <cell r="B57" t="str">
            <v>Combo DHP/HPWH units - Retro</v>
          </cell>
        </row>
        <row r="58">
          <cell r="B58" t="str">
            <v>Aerator - New</v>
          </cell>
          <cell r="C58">
            <v>0.65</v>
          </cell>
          <cell r="D58">
            <v>0.65</v>
          </cell>
          <cell r="E58">
            <v>0.65</v>
          </cell>
          <cell r="F58">
            <v>0.65</v>
          </cell>
        </row>
        <row r="59">
          <cell r="B59" t="str">
            <v>Aerator - Retro</v>
          </cell>
          <cell r="C59">
            <v>0.65</v>
          </cell>
          <cell r="D59">
            <v>0.65</v>
          </cell>
          <cell r="E59">
            <v>0.65</v>
          </cell>
          <cell r="F59">
            <v>0.65</v>
          </cell>
        </row>
        <row r="60">
          <cell r="B60" t="str">
            <v>Behavior - Retro</v>
          </cell>
          <cell r="C60">
            <v>0</v>
          </cell>
          <cell r="D60">
            <v>0</v>
          </cell>
          <cell r="E60">
            <v>0</v>
          </cell>
          <cell r="F60">
            <v>0</v>
          </cell>
        </row>
        <row r="61">
          <cell r="B61" t="str">
            <v>Behavior - New</v>
          </cell>
          <cell r="C61">
            <v>0</v>
          </cell>
          <cell r="D61">
            <v>0</v>
          </cell>
          <cell r="E61">
            <v>0</v>
          </cell>
          <cell r="F61">
            <v>0</v>
          </cell>
        </row>
        <row r="62">
          <cell r="B62">
            <v>0</v>
          </cell>
        </row>
        <row r="63">
          <cell r="B63" t="str">
            <v>Heat Recovery Ventilation - New</v>
          </cell>
          <cell r="C63">
            <v>0.01</v>
          </cell>
        </row>
        <row r="64">
          <cell r="B64" t="str">
            <v>GSHP - New</v>
          </cell>
          <cell r="C64">
            <v>0</v>
          </cell>
        </row>
        <row r="65">
          <cell r="B65" t="str">
            <v>GSHP - NR</v>
          </cell>
          <cell r="C65">
            <v>0</v>
          </cell>
        </row>
        <row r="66">
          <cell r="B66">
            <v>0</v>
          </cell>
        </row>
        <row r="67">
          <cell r="B67" t="str">
            <v>ECM for HVAC ventilation - New</v>
          </cell>
        </row>
        <row r="68">
          <cell r="B68" t="str">
            <v>ECM for HVAC ventilation - NR</v>
          </cell>
        </row>
        <row r="69">
          <cell r="B69" t="str">
            <v>Whole house/attic fan - New</v>
          </cell>
        </row>
        <row r="70">
          <cell r="B70" t="str">
            <v>Whole house/attic fan - Retro</v>
          </cell>
        </row>
        <row r="71">
          <cell r="B71" t="str">
            <v>WH Pipe insulation - Retro</v>
          </cell>
        </row>
        <row r="72">
          <cell r="B72" t="str">
            <v>DHP Ducted - NR</v>
          </cell>
          <cell r="C72">
            <v>0.01</v>
          </cell>
          <cell r="D72">
            <v>0</v>
          </cell>
          <cell r="E72">
            <v>0</v>
          </cell>
          <cell r="F72">
            <v>0.01</v>
          </cell>
        </row>
        <row r="73">
          <cell r="B73" t="str">
            <v>Advanced Power Strips - New</v>
          </cell>
          <cell r="C73">
            <v>0.01</v>
          </cell>
          <cell r="D73">
            <v>0.01</v>
          </cell>
          <cell r="E73">
            <v>0.01</v>
          </cell>
          <cell r="F73">
            <v>0.01</v>
          </cell>
        </row>
        <row r="74">
          <cell r="B74" t="str">
            <v>Advanced Power Strips - Retro</v>
          </cell>
          <cell r="C74">
            <v>0.01</v>
          </cell>
          <cell r="D74">
            <v>0.01</v>
          </cell>
          <cell r="E74">
            <v>0.01</v>
          </cell>
          <cell r="F74">
            <v>0.01</v>
          </cell>
        </row>
        <row r="75">
          <cell r="B75" t="str">
            <v>Controls Commissioning and Sizing - New</v>
          </cell>
          <cell r="C75">
            <v>0.05</v>
          </cell>
          <cell r="F75">
            <v>0.05</v>
          </cell>
        </row>
        <row r="76">
          <cell r="B76" t="str">
            <v>Controls Commissioning and Sizing - NR</v>
          </cell>
          <cell r="C76">
            <v>0.05</v>
          </cell>
          <cell r="F76">
            <v>0.05</v>
          </cell>
        </row>
        <row r="77">
          <cell r="B77" t="str">
            <v>ResWx - Retro</v>
          </cell>
        </row>
        <row r="78">
          <cell r="B78" t="str">
            <v>ATTIC R0 - R19 - Retro</v>
          </cell>
        </row>
        <row r="79">
          <cell r="B79" t="str">
            <v>ATTIC R0 - R22 - Retro</v>
          </cell>
          <cell r="F79">
            <v>0.98234576822530661</v>
          </cell>
        </row>
        <row r="80">
          <cell r="B80" t="str">
            <v>ATTIC R0 - R30 - Retro</v>
          </cell>
          <cell r="F80">
            <v>0.94629090512719527</v>
          </cell>
        </row>
        <row r="81">
          <cell r="B81" t="str">
            <v>ATTIC R0 - R38 - Retro</v>
          </cell>
          <cell r="C81">
            <v>0.90582363255140952</v>
          </cell>
          <cell r="D81">
            <v>0.77400000000000002</v>
          </cell>
        </row>
        <row r="82">
          <cell r="B82" t="str">
            <v>ATTIC R0 - R49 - Retro</v>
          </cell>
          <cell r="C82">
            <v>0.90582363255140952</v>
          </cell>
          <cell r="D82">
            <v>0.77400000000000002</v>
          </cell>
        </row>
        <row r="83">
          <cell r="B83" t="str">
            <v>ATTIC R11 - R30 - Retro</v>
          </cell>
          <cell r="F83">
            <v>0.99894666949290001</v>
          </cell>
        </row>
        <row r="84">
          <cell r="B84" t="str">
            <v>ATTIC R11 - R38 - Retro</v>
          </cell>
          <cell r="C84">
            <v>0.85745904032781306</v>
          </cell>
        </row>
        <row r="85">
          <cell r="B85" t="str">
            <v>ATTIC R11 - R49 - Retro</v>
          </cell>
          <cell r="C85">
            <v>0.85745904032781306</v>
          </cell>
        </row>
        <row r="86">
          <cell r="B86" t="str">
            <v>ATTIC R19 - R30 - Retro</v>
          </cell>
          <cell r="D86">
            <v>0.70700000000000007</v>
          </cell>
        </row>
        <row r="87">
          <cell r="B87" t="str">
            <v>ATTIC R19 - R38 - Retro</v>
          </cell>
          <cell r="C87">
            <v>0.8235906407599296</v>
          </cell>
          <cell r="D87">
            <v>0.70700000000000007</v>
          </cell>
        </row>
        <row r="88">
          <cell r="B88" t="str">
            <v>ATTIC R19 - R49 - Retro</v>
          </cell>
          <cell r="C88">
            <v>0.8235906407599296</v>
          </cell>
          <cell r="D88">
            <v>0.70700000000000007</v>
          </cell>
        </row>
        <row r="89">
          <cell r="B89" t="str">
            <v>WALL R0 - R11 - Retro</v>
          </cell>
          <cell r="C89">
            <v>0.9153244542011717</v>
          </cell>
          <cell r="D89">
            <v>0.91300000000000003</v>
          </cell>
        </row>
        <row r="90">
          <cell r="B90" t="str">
            <v>FLOOR R0 - R19 - Retro</v>
          </cell>
          <cell r="C90">
            <v>0.77054029401358659</v>
          </cell>
          <cell r="D90">
            <v>0.74099999999999999</v>
          </cell>
        </row>
        <row r="91">
          <cell r="B91" t="str">
            <v>FLOOR R0 - R22 - Retro</v>
          </cell>
          <cell r="F91">
            <v>0.98933475247267177</v>
          </cell>
        </row>
        <row r="92">
          <cell r="B92" t="str">
            <v>FLOOR R0 - R25 - Retro</v>
          </cell>
          <cell r="C92">
            <v>0.77054029401358659</v>
          </cell>
        </row>
        <row r="93">
          <cell r="B93" t="str">
            <v>FLOOR R0 - R30 - Retro</v>
          </cell>
          <cell r="C93">
            <v>0.77054029401358659</v>
          </cell>
          <cell r="D93">
            <v>0.74099999999999999</v>
          </cell>
        </row>
        <row r="94">
          <cell r="B94" t="str">
            <v>FLOOR R11 - R22 - Retro</v>
          </cell>
          <cell r="F94">
            <v>0.98376579376328033</v>
          </cell>
        </row>
        <row r="95">
          <cell r="B95" t="str">
            <v>WINDOW CL30 Prime Window Replacement of Single Pane Base - Retro</v>
          </cell>
          <cell r="C95">
            <v>0.95569674867310761</v>
          </cell>
          <cell r="D95">
            <v>0.84052050568853631</v>
          </cell>
          <cell r="F95">
            <v>0.98290327051721382</v>
          </cell>
        </row>
        <row r="96">
          <cell r="B96" t="str">
            <v>WINDOW CL30 Prime Window Replacement of Double Pane Base - Retro</v>
          </cell>
          <cell r="C96">
            <v>7.1991309673075765E-2</v>
          </cell>
          <cell r="D96">
            <v>0.17129805649810181</v>
          </cell>
          <cell r="F96">
            <v>0.99913039998781261</v>
          </cell>
        </row>
        <row r="97">
          <cell r="B97" t="str">
            <v>WINDOW CL22 Prime Window Replacement of Single Pane Base - Retro</v>
          </cell>
          <cell r="C97">
            <v>0.95569674867310761</v>
          </cell>
          <cell r="D97">
            <v>0.84052050568853631</v>
          </cell>
          <cell r="F97">
            <v>0.98290327051721382</v>
          </cell>
        </row>
        <row r="98">
          <cell r="B98" t="str">
            <v>WINDOW CL22 Prime Window Replacement of Double Pane Base - Retro</v>
          </cell>
          <cell r="C98">
            <v>7.1991309673075765E-2</v>
          </cell>
          <cell r="D98">
            <v>0.17129805649810181</v>
          </cell>
          <cell r="F98">
            <v>0.99913039998781261</v>
          </cell>
        </row>
        <row r="99">
          <cell r="B99" t="str">
            <v>CFM50 Infiltration Reduction - Retro</v>
          </cell>
          <cell r="C99">
            <v>0.3021611294127764</v>
          </cell>
          <cell r="F99">
            <v>0.91633344981828857</v>
          </cell>
        </row>
      </sheetData>
      <sheetData sheetId="7">
        <row r="8">
          <cell r="B8" t="str">
            <v>Single Family</v>
          </cell>
          <cell r="C8" t="str">
            <v>Multifamily - Low Rise</v>
          </cell>
          <cell r="D8" t="str">
            <v>Multifamily - High Rise</v>
          </cell>
          <cell r="E8" t="str">
            <v>Manufactured</v>
          </cell>
          <cell r="F8" t="str">
            <v>Non-Building Stock</v>
          </cell>
        </row>
        <row r="9">
          <cell r="B9" t="str">
            <v>Post2016</v>
          </cell>
          <cell r="C9" t="str">
            <v>Post2016</v>
          </cell>
          <cell r="D9" t="str">
            <v>Post2016</v>
          </cell>
          <cell r="E9" t="str">
            <v>Post2016</v>
          </cell>
          <cell r="F9" t="str">
            <v>Post2016</v>
          </cell>
        </row>
        <row r="10">
          <cell r="B10" t="str">
            <v>Pre2016</v>
          </cell>
          <cell r="C10" t="str">
            <v>Pre2016</v>
          </cell>
          <cell r="D10" t="str">
            <v>Pre2016</v>
          </cell>
          <cell r="E10" t="str">
            <v>Pre2016</v>
          </cell>
          <cell r="F10" t="str">
            <v>Pre2016</v>
          </cell>
        </row>
        <row r="11">
          <cell r="B11" t="str">
            <v>Pre2016</v>
          </cell>
          <cell r="C11" t="str">
            <v>Pre2016</v>
          </cell>
          <cell r="D11" t="str">
            <v>Pre2016</v>
          </cell>
          <cell r="E11" t="str">
            <v>Pre2016</v>
          </cell>
          <cell r="F11" t="str">
            <v>Pre2016</v>
          </cell>
        </row>
        <row r="12">
          <cell r="B12" t="str">
            <v>Post2016</v>
          </cell>
          <cell r="C12" t="str">
            <v>Post2016</v>
          </cell>
          <cell r="D12" t="str">
            <v>Post2016</v>
          </cell>
          <cell r="E12" t="str">
            <v>Post2016</v>
          </cell>
          <cell r="F12" t="str">
            <v>Post2016</v>
          </cell>
        </row>
        <row r="13">
          <cell r="B13" t="str">
            <v>Pre2016</v>
          </cell>
          <cell r="C13" t="str">
            <v>Pre2016</v>
          </cell>
          <cell r="D13" t="str">
            <v>Pre2016</v>
          </cell>
          <cell r="E13" t="str">
            <v>Pre2016</v>
          </cell>
          <cell r="F13" t="str">
            <v>Pre2016</v>
          </cell>
        </row>
        <row r="14">
          <cell r="B14" t="str">
            <v>Post2016</v>
          </cell>
          <cell r="C14" t="str">
            <v>Post2016</v>
          </cell>
          <cell r="D14" t="str">
            <v>Post2016</v>
          </cell>
          <cell r="E14" t="str">
            <v>Post2016</v>
          </cell>
          <cell r="F14" t="str">
            <v>Post2016</v>
          </cell>
        </row>
        <row r="15">
          <cell r="B15" t="str">
            <v>Pre2016</v>
          </cell>
          <cell r="C15" t="str">
            <v>Pre2016</v>
          </cell>
          <cell r="D15" t="str">
            <v>Pre2016</v>
          </cell>
          <cell r="E15" t="str">
            <v>Pre2016</v>
          </cell>
          <cell r="F15" t="str">
            <v>Pre2016</v>
          </cell>
        </row>
        <row r="16">
          <cell r="B16" t="str">
            <v>Post2016</v>
          </cell>
          <cell r="C16" t="str">
            <v>Post2016</v>
          </cell>
          <cell r="D16" t="str">
            <v>Post2016</v>
          </cell>
          <cell r="E16" t="str">
            <v>Post2016</v>
          </cell>
          <cell r="F16" t="str">
            <v>Post2016</v>
          </cell>
        </row>
        <row r="17">
          <cell r="B17" t="str">
            <v>Post2016</v>
          </cell>
          <cell r="C17" t="str">
            <v>Post2016</v>
          </cell>
          <cell r="D17" t="str">
            <v>Post2016</v>
          </cell>
          <cell r="E17" t="str">
            <v>Post2016</v>
          </cell>
          <cell r="F17" t="str">
            <v>Post2016</v>
          </cell>
        </row>
        <row r="18">
          <cell r="B18" t="str">
            <v>Pre2016</v>
          </cell>
          <cell r="C18" t="str">
            <v>Pre2016</v>
          </cell>
          <cell r="D18" t="str">
            <v>Pre2016</v>
          </cell>
          <cell r="E18" t="str">
            <v>Pre2016</v>
          </cell>
          <cell r="F18" t="str">
            <v>Pre2016</v>
          </cell>
        </row>
        <row r="19">
          <cell r="B19" t="str">
            <v>Post2016</v>
          </cell>
          <cell r="C19" t="str">
            <v>Post2016</v>
          </cell>
          <cell r="D19" t="str">
            <v>Post2016</v>
          </cell>
          <cell r="E19" t="str">
            <v>Post2016</v>
          </cell>
          <cell r="F19" t="str">
            <v>Post2016</v>
          </cell>
        </row>
        <row r="20">
          <cell r="B20" t="str">
            <v>Pre2016</v>
          </cell>
          <cell r="C20" t="str">
            <v>Pre2016</v>
          </cell>
          <cell r="D20" t="str">
            <v>Pre2016</v>
          </cell>
          <cell r="E20" t="str">
            <v>Pre2016</v>
          </cell>
          <cell r="F20" t="str">
            <v>Pre2016</v>
          </cell>
        </row>
        <row r="21">
          <cell r="B21" t="str">
            <v>Pre2016</v>
          </cell>
          <cell r="C21" t="str">
            <v>Pre2016</v>
          </cell>
          <cell r="D21" t="str">
            <v>Pre2016</v>
          </cell>
          <cell r="E21" t="str">
            <v>Pre2016</v>
          </cell>
          <cell r="F21" t="str">
            <v>Pre2016</v>
          </cell>
        </row>
        <row r="22">
          <cell r="B22" t="str">
            <v>Post2016</v>
          </cell>
          <cell r="C22" t="str">
            <v>Post2016</v>
          </cell>
          <cell r="D22" t="str">
            <v>Post2016</v>
          </cell>
          <cell r="E22" t="str">
            <v>Post2016</v>
          </cell>
          <cell r="F22" t="str">
            <v>Post2016</v>
          </cell>
        </row>
        <row r="23">
          <cell r="B23" t="str">
            <v>Pre2016</v>
          </cell>
          <cell r="C23" t="str">
            <v>Pre2016</v>
          </cell>
          <cell r="D23" t="str">
            <v>Pre2016</v>
          </cell>
          <cell r="E23" t="str">
            <v>Pre2016</v>
          </cell>
          <cell r="F23" t="str">
            <v>Pre2016</v>
          </cell>
        </row>
        <row r="24">
          <cell r="B24" t="str">
            <v>Post2016</v>
          </cell>
          <cell r="C24" t="str">
            <v>Post2016</v>
          </cell>
          <cell r="D24" t="str">
            <v>Post2016</v>
          </cell>
          <cell r="E24" t="str">
            <v>Post2016</v>
          </cell>
          <cell r="F24" t="str">
            <v>Post2016</v>
          </cell>
        </row>
        <row r="25">
          <cell r="B25" t="str">
            <v>Pre2016</v>
          </cell>
          <cell r="C25" t="str">
            <v>Pre2016</v>
          </cell>
          <cell r="D25" t="str">
            <v>Pre2016</v>
          </cell>
          <cell r="E25" t="str">
            <v>Pre2016</v>
          </cell>
          <cell r="F25" t="str">
            <v>Pre2016</v>
          </cell>
        </row>
        <row r="26">
          <cell r="B26" t="str">
            <v>Post2016</v>
          </cell>
          <cell r="C26" t="str">
            <v>Post2016</v>
          </cell>
          <cell r="D26" t="str">
            <v>Post2016</v>
          </cell>
          <cell r="E26" t="str">
            <v>Post2016</v>
          </cell>
          <cell r="F26" t="str">
            <v>Post2016</v>
          </cell>
        </row>
        <row r="27">
          <cell r="B27" t="str">
            <v>Pre2016</v>
          </cell>
          <cell r="C27" t="str">
            <v>Pre2016</v>
          </cell>
          <cell r="D27" t="str">
            <v>Pre2016</v>
          </cell>
          <cell r="E27" t="str">
            <v>Pre2016</v>
          </cell>
          <cell r="F27" t="str">
            <v>Pre2016</v>
          </cell>
        </row>
        <row r="28">
          <cell r="B28" t="str">
            <v>Post2016</v>
          </cell>
          <cell r="C28" t="str">
            <v>Post2016</v>
          </cell>
          <cell r="D28" t="str">
            <v>Post2016</v>
          </cell>
          <cell r="E28" t="str">
            <v>Post2016</v>
          </cell>
          <cell r="F28" t="str">
            <v>Post2016</v>
          </cell>
        </row>
        <row r="29">
          <cell r="B29" t="str">
            <v>Pre2016</v>
          </cell>
          <cell r="C29" t="str">
            <v>Pre2016</v>
          </cell>
          <cell r="D29" t="str">
            <v>Pre2016</v>
          </cell>
          <cell r="E29" t="str">
            <v>Pre2016</v>
          </cell>
          <cell r="F29" t="str">
            <v>Pre2016</v>
          </cell>
        </row>
        <row r="30">
          <cell r="B30" t="str">
            <v>Pre2016</v>
          </cell>
          <cell r="C30" t="str">
            <v>Pre2016</v>
          </cell>
          <cell r="D30" t="str">
            <v>Pre2016</v>
          </cell>
          <cell r="E30" t="str">
            <v>Pre2016</v>
          </cell>
          <cell r="F30" t="str">
            <v>Pre2016</v>
          </cell>
        </row>
        <row r="31">
          <cell r="B31" t="str">
            <v>Pre2016</v>
          </cell>
          <cell r="C31" t="str">
            <v>Pre2016</v>
          </cell>
          <cell r="D31" t="str">
            <v>Pre2016</v>
          </cell>
          <cell r="E31" t="str">
            <v>Pre2016</v>
          </cell>
          <cell r="F31" t="str">
            <v>Pre2016</v>
          </cell>
        </row>
        <row r="32">
          <cell r="B32" t="str">
            <v>Pre2016</v>
          </cell>
          <cell r="C32" t="str">
            <v>Pre2016</v>
          </cell>
          <cell r="D32" t="str">
            <v>Pre2016</v>
          </cell>
          <cell r="E32" t="str">
            <v>Pre2016</v>
          </cell>
          <cell r="F32" t="str">
            <v>Pre2016</v>
          </cell>
        </row>
        <row r="33">
          <cell r="B33" t="str">
            <v>Post2016</v>
          </cell>
          <cell r="C33" t="str">
            <v>Post2016</v>
          </cell>
          <cell r="D33" t="str">
            <v>Post2016</v>
          </cell>
          <cell r="E33" t="str">
            <v>Post2016</v>
          </cell>
          <cell r="F33" t="str">
            <v>Post2016</v>
          </cell>
        </row>
        <row r="34">
          <cell r="B34" t="str">
            <v>Pre2016</v>
          </cell>
          <cell r="C34" t="str">
            <v>Pre2016</v>
          </cell>
          <cell r="D34" t="str">
            <v>Pre2016</v>
          </cell>
          <cell r="E34" t="str">
            <v>Pre2016</v>
          </cell>
          <cell r="F34" t="str">
            <v>Pre2016</v>
          </cell>
        </row>
        <row r="35">
          <cell r="B35" t="str">
            <v>Post2016</v>
          </cell>
          <cell r="C35" t="str">
            <v>Post2016</v>
          </cell>
          <cell r="D35" t="str">
            <v>Post2016</v>
          </cell>
          <cell r="E35" t="str">
            <v>Post2016</v>
          </cell>
          <cell r="F35" t="str">
            <v>Post2016</v>
          </cell>
        </row>
        <row r="36">
          <cell r="B36" t="str">
            <v>Pre2016</v>
          </cell>
          <cell r="C36" t="str">
            <v>Pre2016</v>
          </cell>
          <cell r="D36" t="str">
            <v>Pre2016</v>
          </cell>
          <cell r="E36" t="str">
            <v>Pre2016</v>
          </cell>
          <cell r="F36" t="str">
            <v>Pre2016</v>
          </cell>
        </row>
        <row r="37">
          <cell r="B37" t="str">
            <v>Post2016</v>
          </cell>
          <cell r="C37" t="str">
            <v>Post2016</v>
          </cell>
          <cell r="D37" t="str">
            <v>Post2016</v>
          </cell>
          <cell r="E37" t="str">
            <v>Post2016</v>
          </cell>
          <cell r="F37" t="str">
            <v>Post2016</v>
          </cell>
        </row>
        <row r="38">
          <cell r="B38" t="str">
            <v>Pre2016</v>
          </cell>
          <cell r="C38" t="str">
            <v>Pre2016</v>
          </cell>
          <cell r="D38" t="str">
            <v>Pre2016</v>
          </cell>
          <cell r="E38" t="str">
            <v>Pre2016</v>
          </cell>
          <cell r="F38" t="str">
            <v>Pre2016</v>
          </cell>
        </row>
        <row r="39">
          <cell r="B39" t="str">
            <v>Post2016</v>
          </cell>
          <cell r="C39" t="str">
            <v>Post2016</v>
          </cell>
          <cell r="D39" t="str">
            <v>Post2016</v>
          </cell>
          <cell r="E39" t="str">
            <v>Post2016</v>
          </cell>
          <cell r="F39" t="str">
            <v>Post2016</v>
          </cell>
        </row>
        <row r="40">
          <cell r="B40" t="str">
            <v>Pre2016</v>
          </cell>
          <cell r="C40" t="str">
            <v>Pre2016</v>
          </cell>
          <cell r="D40" t="str">
            <v>Pre2016</v>
          </cell>
          <cell r="E40" t="str">
            <v>Pre2016</v>
          </cell>
          <cell r="F40" t="str">
            <v>Pre2016</v>
          </cell>
        </row>
        <row r="41">
          <cell r="B41" t="str">
            <v>Post2016</v>
          </cell>
          <cell r="C41" t="str">
            <v>Post2016</v>
          </cell>
          <cell r="D41" t="str">
            <v>Post2016</v>
          </cell>
          <cell r="E41" t="str">
            <v>Post2016</v>
          </cell>
          <cell r="F41" t="str">
            <v>Post2016</v>
          </cell>
        </row>
        <row r="42">
          <cell r="B42" t="str">
            <v>Pre2016</v>
          </cell>
          <cell r="C42" t="str">
            <v>Pre2016</v>
          </cell>
          <cell r="D42" t="str">
            <v>Pre2016</v>
          </cell>
          <cell r="E42" t="str">
            <v>Pre2016</v>
          </cell>
          <cell r="F42" t="str">
            <v>Pre2016</v>
          </cell>
        </row>
        <row r="43">
          <cell r="B43" t="str">
            <v>Post2016</v>
          </cell>
          <cell r="C43" t="str">
            <v>Post2016</v>
          </cell>
          <cell r="D43" t="str">
            <v>Post2016</v>
          </cell>
          <cell r="E43" t="str">
            <v>Post2016</v>
          </cell>
          <cell r="F43" t="str">
            <v>Post2016</v>
          </cell>
        </row>
        <row r="44">
          <cell r="B44" t="str">
            <v>Pre2016</v>
          </cell>
          <cell r="C44" t="str">
            <v>Pre2016</v>
          </cell>
          <cell r="D44" t="str">
            <v>Pre2016</v>
          </cell>
          <cell r="E44" t="str">
            <v>Pre2016</v>
          </cell>
          <cell r="F44" t="str">
            <v>Pre2016</v>
          </cell>
        </row>
        <row r="45">
          <cell r="B45" t="str">
            <v>Post2016</v>
          </cell>
          <cell r="C45" t="str">
            <v>Post2016</v>
          </cell>
          <cell r="D45" t="str">
            <v>Post2016</v>
          </cell>
          <cell r="E45" t="str">
            <v>Post2016</v>
          </cell>
          <cell r="F45" t="str">
            <v>Post2016</v>
          </cell>
        </row>
        <row r="46">
          <cell r="B46" t="str">
            <v>Pre2016</v>
          </cell>
          <cell r="C46" t="str">
            <v>Pre2016</v>
          </cell>
          <cell r="D46" t="str">
            <v>Pre2016</v>
          </cell>
          <cell r="E46" t="str">
            <v>Pre2016</v>
          </cell>
          <cell r="F46" t="str">
            <v>Pre2016</v>
          </cell>
        </row>
        <row r="47">
          <cell r="B47" t="str">
            <v>Pre2016</v>
          </cell>
          <cell r="C47" t="str">
            <v>Pre2016</v>
          </cell>
          <cell r="D47" t="str">
            <v>Pre2016</v>
          </cell>
          <cell r="E47" t="str">
            <v>Pre2016</v>
          </cell>
          <cell r="F47" t="str">
            <v>Pre2016</v>
          </cell>
        </row>
        <row r="48">
          <cell r="B48" t="str">
            <v>Post2016</v>
          </cell>
          <cell r="C48" t="str">
            <v>Post2016</v>
          </cell>
          <cell r="D48" t="str">
            <v>Post2016</v>
          </cell>
          <cell r="E48" t="str">
            <v>Post2016</v>
          </cell>
          <cell r="F48" t="str">
            <v>Post2016</v>
          </cell>
        </row>
        <row r="49">
          <cell r="B49" t="str">
            <v>Pre2016</v>
          </cell>
          <cell r="C49" t="str">
            <v>Pre2016</v>
          </cell>
          <cell r="D49" t="str">
            <v>Pre2016</v>
          </cell>
          <cell r="E49" t="str">
            <v>Pre2016</v>
          </cell>
          <cell r="F49" t="str">
            <v>Pre2016</v>
          </cell>
        </row>
        <row r="50">
          <cell r="B50" t="str">
            <v>Pre2016</v>
          </cell>
          <cell r="C50" t="str">
            <v>Pre2016</v>
          </cell>
          <cell r="D50" t="str">
            <v>Pre2016</v>
          </cell>
          <cell r="E50" t="str">
            <v>Pre2016</v>
          </cell>
          <cell r="F50" t="str">
            <v>Pre2016</v>
          </cell>
        </row>
        <row r="51">
          <cell r="B51" t="str">
            <v>Post2016</v>
          </cell>
          <cell r="C51" t="str">
            <v>Post2016</v>
          </cell>
          <cell r="D51" t="str">
            <v>Post2016</v>
          </cell>
          <cell r="E51" t="str">
            <v>Post2016</v>
          </cell>
          <cell r="F51" t="str">
            <v>Post2016</v>
          </cell>
        </row>
        <row r="52">
          <cell r="B52" t="str">
            <v>Pre2016</v>
          </cell>
          <cell r="C52" t="str">
            <v>Pre2016</v>
          </cell>
          <cell r="D52" t="str">
            <v>Pre2016</v>
          </cell>
          <cell r="E52" t="str">
            <v>Pre2016</v>
          </cell>
          <cell r="F52" t="str">
            <v>Pre2016</v>
          </cell>
        </row>
        <row r="53">
          <cell r="B53" t="str">
            <v>Post2016</v>
          </cell>
          <cell r="C53" t="str">
            <v>Post2016</v>
          </cell>
          <cell r="D53" t="str">
            <v>Post2016</v>
          </cell>
          <cell r="E53" t="str">
            <v>Post2016</v>
          </cell>
          <cell r="F53" t="str">
            <v>Post2016</v>
          </cell>
        </row>
        <row r="54">
          <cell r="B54" t="str">
            <v>Pre2016</v>
          </cell>
          <cell r="C54" t="str">
            <v>Pre2016</v>
          </cell>
          <cell r="D54" t="str">
            <v>Pre2016</v>
          </cell>
          <cell r="E54" t="str">
            <v>Pre2016</v>
          </cell>
          <cell r="F54" t="str">
            <v>Pre2016</v>
          </cell>
        </row>
        <row r="55">
          <cell r="B55" t="str">
            <v>Post2016</v>
          </cell>
          <cell r="C55" t="str">
            <v>Post2016</v>
          </cell>
          <cell r="D55" t="str">
            <v>Post2016</v>
          </cell>
          <cell r="E55" t="str">
            <v>Post2016</v>
          </cell>
          <cell r="F55" t="str">
            <v>Post2016</v>
          </cell>
        </row>
        <row r="56">
          <cell r="B56" t="str">
            <v>Pre2016</v>
          </cell>
          <cell r="C56" t="str">
            <v>Pre2016</v>
          </cell>
          <cell r="D56" t="str">
            <v>Pre2016</v>
          </cell>
          <cell r="E56" t="str">
            <v>Pre2016</v>
          </cell>
          <cell r="F56" t="str">
            <v>Pre2016</v>
          </cell>
        </row>
        <row r="57">
          <cell r="B57" t="str">
            <v>Pre2016</v>
          </cell>
          <cell r="C57" t="str">
            <v>Pre2016</v>
          </cell>
          <cell r="D57" t="str">
            <v>Pre2016</v>
          </cell>
          <cell r="E57" t="str">
            <v>Pre2016</v>
          </cell>
          <cell r="F57" t="str">
            <v>Pre2016</v>
          </cell>
        </row>
        <row r="58">
          <cell r="B58" t="str">
            <v>Post2016</v>
          </cell>
          <cell r="C58" t="str">
            <v>Post2016</v>
          </cell>
          <cell r="D58" t="str">
            <v>Post2016</v>
          </cell>
          <cell r="E58" t="str">
            <v>Post2016</v>
          </cell>
          <cell r="F58" t="str">
            <v>Post2016</v>
          </cell>
        </row>
        <row r="59">
          <cell r="B59" t="str">
            <v>Pre2016</v>
          </cell>
          <cell r="C59" t="str">
            <v>Pre2016</v>
          </cell>
          <cell r="D59" t="str">
            <v>Pre2016</v>
          </cell>
          <cell r="E59" t="str">
            <v>Pre2016</v>
          </cell>
          <cell r="F59" t="str">
            <v>Pre2016</v>
          </cell>
        </row>
        <row r="60">
          <cell r="B60" t="str">
            <v>Pre2016</v>
          </cell>
          <cell r="C60" t="str">
            <v>Pre2016</v>
          </cell>
          <cell r="D60" t="str">
            <v>Pre2016</v>
          </cell>
          <cell r="E60" t="str">
            <v>Pre2016</v>
          </cell>
          <cell r="F60" t="str">
            <v>Pre2016</v>
          </cell>
        </row>
        <row r="61">
          <cell r="B61" t="str">
            <v>Post2016</v>
          </cell>
          <cell r="C61" t="str">
            <v>Post2016</v>
          </cell>
          <cell r="D61" t="str">
            <v>Post2016</v>
          </cell>
          <cell r="E61" t="str">
            <v>Post2016</v>
          </cell>
          <cell r="F61" t="str">
            <v>Post2016</v>
          </cell>
        </row>
        <row r="62">
          <cell r="B62" t="str">
            <v>Pre2016</v>
          </cell>
          <cell r="C62" t="str">
            <v>Pre2016</v>
          </cell>
          <cell r="D62" t="str">
            <v>Pre2016</v>
          </cell>
          <cell r="E62" t="str">
            <v>Pre2016</v>
          </cell>
          <cell r="F62" t="str">
            <v>Pre2016</v>
          </cell>
        </row>
        <row r="63">
          <cell r="B63" t="str">
            <v>Post2016</v>
          </cell>
          <cell r="C63" t="str">
            <v>Post2016</v>
          </cell>
          <cell r="D63" t="str">
            <v>Post2016</v>
          </cell>
          <cell r="E63" t="str">
            <v>Post2016</v>
          </cell>
          <cell r="F63" t="str">
            <v>Post2016</v>
          </cell>
        </row>
        <row r="64">
          <cell r="B64" t="str">
            <v>Post2016</v>
          </cell>
          <cell r="C64" t="str">
            <v>Post2016</v>
          </cell>
          <cell r="D64" t="str">
            <v>Post2016</v>
          </cell>
          <cell r="E64" t="str">
            <v>Post2016</v>
          </cell>
          <cell r="F64" t="str">
            <v>Post2016</v>
          </cell>
        </row>
        <row r="65">
          <cell r="B65" t="str">
            <v>Pre2016</v>
          </cell>
          <cell r="C65" t="str">
            <v>Pre2016</v>
          </cell>
          <cell r="D65" t="str">
            <v>Pre2016</v>
          </cell>
          <cell r="E65" t="str">
            <v>Pre2016</v>
          </cell>
          <cell r="F65" t="str">
            <v>Pre2016</v>
          </cell>
        </row>
        <row r="66">
          <cell r="B66" t="str">
            <v>Pre2016</v>
          </cell>
          <cell r="C66" t="str">
            <v>Pre2016</v>
          </cell>
          <cell r="D66" t="str">
            <v>Pre2016</v>
          </cell>
          <cell r="E66" t="str">
            <v>Pre2016</v>
          </cell>
          <cell r="F66" t="str">
            <v>Pre2016</v>
          </cell>
        </row>
        <row r="67">
          <cell r="B67" t="str">
            <v>Post2016</v>
          </cell>
          <cell r="C67" t="str">
            <v>Post2016</v>
          </cell>
          <cell r="D67" t="str">
            <v>Post2016</v>
          </cell>
          <cell r="E67" t="str">
            <v>Post2016</v>
          </cell>
          <cell r="F67" t="str">
            <v>Post2016</v>
          </cell>
        </row>
        <row r="68">
          <cell r="B68" t="str">
            <v>Pre2016</v>
          </cell>
          <cell r="C68" t="str">
            <v>Pre2016</v>
          </cell>
          <cell r="D68" t="str">
            <v>Pre2016</v>
          </cell>
          <cell r="E68" t="str">
            <v>Pre2016</v>
          </cell>
          <cell r="F68" t="str">
            <v>Pre2016</v>
          </cell>
        </row>
        <row r="69">
          <cell r="B69" t="str">
            <v>Post2016</v>
          </cell>
          <cell r="C69" t="str">
            <v>Post2016</v>
          </cell>
          <cell r="D69" t="str">
            <v>Post2016</v>
          </cell>
          <cell r="E69" t="str">
            <v>Post2016</v>
          </cell>
          <cell r="F69" t="str">
            <v>Post2016</v>
          </cell>
        </row>
        <row r="70">
          <cell r="B70" t="str">
            <v>Pre2016</v>
          </cell>
          <cell r="C70" t="str">
            <v>Pre2016</v>
          </cell>
          <cell r="D70" t="str">
            <v>Pre2016</v>
          </cell>
          <cell r="E70" t="str">
            <v>Pre2016</v>
          </cell>
          <cell r="F70" t="str">
            <v>Pre2016</v>
          </cell>
        </row>
        <row r="71">
          <cell r="B71" t="str">
            <v>Pre2016</v>
          </cell>
          <cell r="C71" t="str">
            <v>Pre2016</v>
          </cell>
          <cell r="D71" t="str">
            <v>Pre2016</v>
          </cell>
          <cell r="E71" t="str">
            <v>Pre2016</v>
          </cell>
          <cell r="F71" t="str">
            <v>Pre2016</v>
          </cell>
        </row>
        <row r="72">
          <cell r="B72" t="str">
            <v>Pre2016</v>
          </cell>
          <cell r="C72" t="str">
            <v>Pre2016</v>
          </cell>
          <cell r="D72" t="str">
            <v>Pre2016</v>
          </cell>
          <cell r="E72" t="str">
            <v>Pre2016</v>
          </cell>
          <cell r="F72" t="str">
            <v>Pre2016</v>
          </cell>
        </row>
        <row r="73">
          <cell r="B73" t="str">
            <v>Post2016</v>
          </cell>
          <cell r="C73" t="str">
            <v>Post2016</v>
          </cell>
          <cell r="D73" t="str">
            <v>Post2016</v>
          </cell>
          <cell r="E73" t="str">
            <v>Post2016</v>
          </cell>
          <cell r="F73" t="str">
            <v>Post2016</v>
          </cell>
        </row>
        <row r="74">
          <cell r="B74" t="str">
            <v>Pre2016</v>
          </cell>
          <cell r="C74" t="str">
            <v>Pre2016</v>
          </cell>
          <cell r="D74" t="str">
            <v>Pre2016</v>
          </cell>
          <cell r="E74" t="str">
            <v>Pre2016</v>
          </cell>
          <cell r="F74" t="str">
            <v>Pre2016</v>
          </cell>
        </row>
        <row r="77">
          <cell r="B77" t="str">
            <v>Pre2016</v>
          </cell>
          <cell r="C77" t="str">
            <v>Pre2016</v>
          </cell>
          <cell r="D77" t="str">
            <v>Pre2016</v>
          </cell>
          <cell r="E77" t="str">
            <v>Pre2016</v>
          </cell>
          <cell r="F77" t="str">
            <v>Pre2016</v>
          </cell>
        </row>
      </sheetData>
      <sheetData sheetId="8">
        <row r="8">
          <cell r="B8" t="str">
            <v>Measure Index Name</v>
          </cell>
          <cell r="C8" t="str">
            <v>Single Family</v>
          </cell>
          <cell r="D8" t="str">
            <v>Multifamily - Low Rise</v>
          </cell>
          <cell r="E8" t="str">
            <v>Multifamily - High Rise</v>
          </cell>
          <cell r="F8" t="str">
            <v>Manufactured</v>
          </cell>
        </row>
        <row r="9">
          <cell r="B9" t="str">
            <v>Lighting - New</v>
          </cell>
          <cell r="C9">
            <v>1</v>
          </cell>
          <cell r="D9">
            <v>1</v>
          </cell>
          <cell r="E9">
            <v>1</v>
          </cell>
          <cell r="F9">
            <v>1</v>
          </cell>
        </row>
        <row r="10">
          <cell r="B10" t="str">
            <v>Lighting - NR</v>
          </cell>
          <cell r="C10">
            <v>0.125</v>
          </cell>
          <cell r="D10">
            <v>0.125</v>
          </cell>
          <cell r="E10">
            <v>0.125</v>
          </cell>
          <cell r="F10">
            <v>0.125</v>
          </cell>
          <cell r="G10">
            <v>0.125</v>
          </cell>
        </row>
        <row r="11">
          <cell r="B11" t="str">
            <v>Lighting - PPA</v>
          </cell>
          <cell r="C11" t="str">
            <v/>
          </cell>
          <cell r="D11" t="str">
            <v/>
          </cell>
          <cell r="E11" t="str">
            <v/>
          </cell>
          <cell r="F11" t="str">
            <v/>
          </cell>
          <cell r="G11" t="str">
            <v/>
          </cell>
        </row>
        <row r="12">
          <cell r="B12" t="str">
            <v>Dishwasher - New</v>
          </cell>
          <cell r="C12">
            <v>1</v>
          </cell>
          <cell r="D12">
            <v>1</v>
          </cell>
          <cell r="E12">
            <v>1</v>
          </cell>
          <cell r="F12">
            <v>1</v>
          </cell>
          <cell r="G12">
            <v>1</v>
          </cell>
        </row>
        <row r="13">
          <cell r="B13" t="str">
            <v>Dishwasher - NR</v>
          </cell>
          <cell r="C13">
            <v>6.4935064935064929E-2</v>
          </cell>
          <cell r="D13">
            <v>6.4935064935064929E-2</v>
          </cell>
          <cell r="E13">
            <v>6.4935064935064929E-2</v>
          </cell>
          <cell r="F13">
            <v>6.4935064935064929E-2</v>
          </cell>
          <cell r="G13">
            <v>6.4935064935064929E-2</v>
          </cell>
        </row>
        <row r="14">
          <cell r="B14" t="str">
            <v>Clothes Washer - New</v>
          </cell>
          <cell r="C14">
            <v>1</v>
          </cell>
          <cell r="D14">
            <v>1</v>
          </cell>
          <cell r="E14">
            <v>1</v>
          </cell>
          <cell r="F14">
            <v>1</v>
          </cell>
          <cell r="G14">
            <v>1</v>
          </cell>
        </row>
        <row r="15">
          <cell r="B15" t="str">
            <v>Clothes Washer - NR</v>
          </cell>
          <cell r="C15">
            <v>7.1428571428571425E-2</v>
          </cell>
          <cell r="D15">
            <v>7.1428571428571425E-2</v>
          </cell>
          <cell r="E15">
            <v>7.1428571428571425E-2</v>
          </cell>
          <cell r="F15">
            <v>7.1428571428571425E-2</v>
          </cell>
          <cell r="G15">
            <v>7.1428571428571425E-2</v>
          </cell>
        </row>
        <row r="16">
          <cell r="B16" t="str">
            <v>WasteWater Heat Recovery - New</v>
          </cell>
          <cell r="C16">
            <v>1</v>
          </cell>
          <cell r="D16">
            <v>1</v>
          </cell>
          <cell r="E16">
            <v>1</v>
          </cell>
          <cell r="F16">
            <v>1</v>
          </cell>
          <cell r="G16">
            <v>1</v>
          </cell>
        </row>
        <row r="17">
          <cell r="B17" t="str">
            <v>Showerheads - New</v>
          </cell>
          <cell r="C17">
            <v>1</v>
          </cell>
          <cell r="D17">
            <v>1</v>
          </cell>
          <cell r="E17">
            <v>1</v>
          </cell>
          <cell r="F17">
            <v>1</v>
          </cell>
          <cell r="G17">
            <v>1</v>
          </cell>
        </row>
        <row r="18">
          <cell r="B18" t="str">
            <v>Showerheads - Retro</v>
          </cell>
          <cell r="C18" t="str">
            <v/>
          </cell>
          <cell r="D18" t="str">
            <v/>
          </cell>
          <cell r="E18" t="str">
            <v/>
          </cell>
          <cell r="F18" t="str">
            <v/>
          </cell>
          <cell r="G18" t="str">
            <v/>
          </cell>
        </row>
        <row r="19">
          <cell r="B19" t="str">
            <v>HPWH - New</v>
          </cell>
          <cell r="C19">
            <v>1</v>
          </cell>
          <cell r="D19">
            <v>1</v>
          </cell>
          <cell r="E19">
            <v>1</v>
          </cell>
          <cell r="F19">
            <v>1</v>
          </cell>
          <cell r="G19">
            <v>1</v>
          </cell>
        </row>
        <row r="20">
          <cell r="B20" t="str">
            <v>HPWH - NR</v>
          </cell>
          <cell r="C20">
            <v>7.6923076923076927E-2</v>
          </cell>
          <cell r="D20">
            <v>7.6923076923076927E-2</v>
          </cell>
          <cell r="E20">
            <v>7.6923076923076927E-2</v>
          </cell>
          <cell r="F20">
            <v>7.6923076923076927E-2</v>
          </cell>
          <cell r="G20">
            <v>7.6923076923076927E-2</v>
          </cell>
        </row>
        <row r="21">
          <cell r="B21" t="str">
            <v>EV Supply Equip - NR</v>
          </cell>
          <cell r="C21">
            <v>0.1</v>
          </cell>
          <cell r="D21">
            <v>0.1</v>
          </cell>
          <cell r="E21">
            <v>0.1</v>
          </cell>
          <cell r="F21">
            <v>0.1</v>
          </cell>
          <cell r="G21">
            <v>0.1</v>
          </cell>
        </row>
        <row r="22">
          <cell r="B22" t="str">
            <v>Clothes Dryer - New</v>
          </cell>
          <cell r="C22">
            <v>1</v>
          </cell>
          <cell r="D22">
            <v>1</v>
          </cell>
          <cell r="E22">
            <v>1</v>
          </cell>
          <cell r="F22">
            <v>1</v>
          </cell>
          <cell r="G22">
            <v>1</v>
          </cell>
        </row>
        <row r="23">
          <cell r="B23" t="str">
            <v>Clothes Dryer - NR</v>
          </cell>
          <cell r="C23">
            <v>6.25E-2</v>
          </cell>
          <cell r="D23">
            <v>6.25E-2</v>
          </cell>
          <cell r="E23">
            <v>6.25E-2</v>
          </cell>
          <cell r="F23">
            <v>6.25E-2</v>
          </cell>
          <cell r="G23">
            <v>6.25E-2</v>
          </cell>
        </row>
        <row r="24">
          <cell r="B24" t="str">
            <v>Refrigerator - New</v>
          </cell>
          <cell r="C24">
            <v>1</v>
          </cell>
          <cell r="D24">
            <v>1</v>
          </cell>
          <cell r="E24">
            <v>1</v>
          </cell>
          <cell r="F24">
            <v>1</v>
          </cell>
          <cell r="G24">
            <v>1</v>
          </cell>
        </row>
        <row r="25">
          <cell r="B25" t="str">
            <v>Refrigerator - NR</v>
          </cell>
          <cell r="C25">
            <v>6.5789473684210523E-2</v>
          </cell>
          <cell r="D25">
            <v>6.5789473684210523E-2</v>
          </cell>
          <cell r="E25">
            <v>6.5789473684210523E-2</v>
          </cell>
          <cell r="F25">
            <v>6.5789473684210523E-2</v>
          </cell>
          <cell r="G25">
            <v>6.5789473684210523E-2</v>
          </cell>
        </row>
        <row r="26">
          <cell r="B26" t="str">
            <v>Freezer - New</v>
          </cell>
          <cell r="C26">
            <v>1</v>
          </cell>
          <cell r="D26">
            <v>1</v>
          </cell>
          <cell r="E26">
            <v>1</v>
          </cell>
          <cell r="F26">
            <v>1</v>
          </cell>
          <cell r="G26">
            <v>1</v>
          </cell>
        </row>
        <row r="27">
          <cell r="B27" t="str">
            <v>Freezer - NR</v>
          </cell>
          <cell r="C27">
            <v>4.6082949308755762E-2</v>
          </cell>
          <cell r="D27">
            <v>4.6082949308755762E-2</v>
          </cell>
          <cell r="E27">
            <v>4.6082949308755762E-2</v>
          </cell>
          <cell r="F27">
            <v>4.6082949308755762E-2</v>
          </cell>
          <cell r="G27">
            <v>4.6082949308755762E-2</v>
          </cell>
        </row>
        <row r="28">
          <cell r="B28" t="str">
            <v>Solar Water Heater - New</v>
          </cell>
          <cell r="C28">
            <v>1</v>
          </cell>
          <cell r="D28">
            <v>1</v>
          </cell>
          <cell r="E28">
            <v>1</v>
          </cell>
          <cell r="F28">
            <v>1</v>
          </cell>
          <cell r="G28">
            <v>1</v>
          </cell>
        </row>
        <row r="29">
          <cell r="B29" t="str">
            <v>Solar Water Heater - NR</v>
          </cell>
          <cell r="C29" t="e">
            <v>#DIV/0!</v>
          </cell>
          <cell r="D29" t="e">
            <v>#DIV/0!</v>
          </cell>
          <cell r="E29" t="e">
            <v>#DIV/0!</v>
          </cell>
          <cell r="F29" t="e">
            <v>#DIV/0!</v>
          </cell>
          <cell r="G29" t="e">
            <v>#DIV/0!</v>
          </cell>
        </row>
        <row r="30">
          <cell r="B30" t="str">
            <v>Solar Water Heater - Retro</v>
          </cell>
          <cell r="C30" t="str">
            <v/>
          </cell>
          <cell r="D30" t="str">
            <v/>
          </cell>
          <cell r="E30" t="str">
            <v/>
          </cell>
          <cell r="F30" t="str">
            <v/>
          </cell>
          <cell r="G30" t="str">
            <v/>
          </cell>
        </row>
        <row r="31">
          <cell r="B31">
            <v>0</v>
          </cell>
          <cell r="C31" t="str">
            <v/>
          </cell>
          <cell r="D31" t="str">
            <v/>
          </cell>
          <cell r="E31" t="str">
            <v/>
          </cell>
          <cell r="F31" t="str">
            <v/>
          </cell>
          <cell r="G31" t="str">
            <v/>
          </cell>
        </row>
        <row r="32">
          <cell r="B32">
            <v>0</v>
          </cell>
          <cell r="C32" t="str">
            <v/>
          </cell>
          <cell r="D32" t="str">
            <v/>
          </cell>
          <cell r="E32" t="str">
            <v/>
          </cell>
          <cell r="F32" t="str">
            <v/>
          </cell>
          <cell r="G32" t="str">
            <v/>
          </cell>
        </row>
        <row r="33">
          <cell r="B33" t="str">
            <v>Electric Oven - New</v>
          </cell>
          <cell r="C33">
            <v>1</v>
          </cell>
          <cell r="D33">
            <v>1</v>
          </cell>
          <cell r="E33">
            <v>1</v>
          </cell>
          <cell r="F33">
            <v>1</v>
          </cell>
          <cell r="G33">
            <v>1</v>
          </cell>
        </row>
        <row r="34">
          <cell r="B34" t="str">
            <v>Electric Oven - NR</v>
          </cell>
          <cell r="C34">
            <v>0.05</v>
          </cell>
          <cell r="D34">
            <v>0.05</v>
          </cell>
          <cell r="E34">
            <v>0.05</v>
          </cell>
          <cell r="F34">
            <v>0.05</v>
          </cell>
          <cell r="G34">
            <v>0.05</v>
          </cell>
        </row>
        <row r="35">
          <cell r="B35" t="str">
            <v>Microwave - New</v>
          </cell>
          <cell r="C35">
            <v>1</v>
          </cell>
          <cell r="D35">
            <v>1</v>
          </cell>
          <cell r="E35">
            <v>1</v>
          </cell>
          <cell r="F35">
            <v>1</v>
          </cell>
          <cell r="G35">
            <v>1</v>
          </cell>
        </row>
        <row r="36">
          <cell r="B36" t="str">
            <v>Microwave - NR</v>
          </cell>
          <cell r="C36">
            <v>0.1111111111111111</v>
          </cell>
          <cell r="D36">
            <v>0.1111111111111111</v>
          </cell>
          <cell r="E36">
            <v>0.1111111111111111</v>
          </cell>
          <cell r="F36">
            <v>0.1111111111111111</v>
          </cell>
          <cell r="G36">
            <v>0.1111111111111111</v>
          </cell>
        </row>
        <row r="37">
          <cell r="B37" t="str">
            <v>Monitor - New</v>
          </cell>
          <cell r="C37">
            <v>1</v>
          </cell>
          <cell r="D37">
            <v>1</v>
          </cell>
          <cell r="E37">
            <v>1</v>
          </cell>
          <cell r="F37">
            <v>1</v>
          </cell>
          <cell r="G37">
            <v>1</v>
          </cell>
        </row>
        <row r="38">
          <cell r="B38" t="str">
            <v>Monitor - NR</v>
          </cell>
          <cell r="C38">
            <v>0.2</v>
          </cell>
          <cell r="D38">
            <v>0.2</v>
          </cell>
          <cell r="E38">
            <v>0.2</v>
          </cell>
          <cell r="F38">
            <v>0.2</v>
          </cell>
          <cell r="G38">
            <v>0.2</v>
          </cell>
        </row>
        <row r="39">
          <cell r="B39" t="str">
            <v>Desktop - New</v>
          </cell>
          <cell r="C39">
            <v>1</v>
          </cell>
          <cell r="D39">
            <v>1</v>
          </cell>
          <cell r="E39">
            <v>1</v>
          </cell>
          <cell r="F39">
            <v>1</v>
          </cell>
          <cell r="G39">
            <v>1</v>
          </cell>
        </row>
        <row r="40">
          <cell r="B40" t="str">
            <v>Desktop - NR</v>
          </cell>
          <cell r="C40">
            <v>0.25</v>
          </cell>
          <cell r="D40">
            <v>0.25</v>
          </cell>
          <cell r="E40">
            <v>0.25</v>
          </cell>
          <cell r="F40">
            <v>0.25</v>
          </cell>
          <cell r="G40">
            <v>0.25</v>
          </cell>
        </row>
        <row r="41">
          <cell r="B41" t="str">
            <v>Laptop - New</v>
          </cell>
          <cell r="C41">
            <v>1</v>
          </cell>
          <cell r="D41">
            <v>1</v>
          </cell>
          <cell r="E41">
            <v>1</v>
          </cell>
          <cell r="F41">
            <v>1</v>
          </cell>
          <cell r="G41">
            <v>1</v>
          </cell>
        </row>
        <row r="42">
          <cell r="B42" t="str">
            <v>Laptop - NR</v>
          </cell>
          <cell r="C42">
            <v>0.25</v>
          </cell>
          <cell r="D42">
            <v>0.25</v>
          </cell>
          <cell r="E42">
            <v>0.25</v>
          </cell>
          <cell r="F42">
            <v>0.25</v>
          </cell>
          <cell r="G42">
            <v>0.25</v>
          </cell>
        </row>
        <row r="43">
          <cell r="B43" t="str">
            <v>Computer - New</v>
          </cell>
          <cell r="C43">
            <v>1</v>
          </cell>
          <cell r="D43">
            <v>1</v>
          </cell>
          <cell r="E43">
            <v>1</v>
          </cell>
          <cell r="F43">
            <v>1</v>
          </cell>
          <cell r="G43">
            <v>1</v>
          </cell>
        </row>
        <row r="44">
          <cell r="B44" t="str">
            <v>Computer - NR</v>
          </cell>
          <cell r="C44">
            <v>0.25</v>
          </cell>
          <cell r="D44">
            <v>0.25</v>
          </cell>
          <cell r="E44">
            <v>0.25</v>
          </cell>
          <cell r="F44">
            <v>0.25</v>
          </cell>
          <cell r="G44">
            <v>0.25</v>
          </cell>
        </row>
        <row r="45">
          <cell r="B45" t="str">
            <v>ASHP - New</v>
          </cell>
          <cell r="C45">
            <v>1</v>
          </cell>
          <cell r="D45">
            <v>1</v>
          </cell>
          <cell r="E45">
            <v>1</v>
          </cell>
          <cell r="F45">
            <v>1</v>
          </cell>
          <cell r="G45">
            <v>1</v>
          </cell>
        </row>
        <row r="46">
          <cell r="B46" t="str">
            <v>ASHP - NR</v>
          </cell>
          <cell r="C46">
            <v>6.6666666666666666E-2</v>
          </cell>
          <cell r="D46">
            <v>6.6666666666666666E-2</v>
          </cell>
          <cell r="E46">
            <v>6.6666666666666666E-2</v>
          </cell>
          <cell r="F46">
            <v>6.6666666666666666E-2</v>
          </cell>
          <cell r="G46">
            <v>6.6666666666666666E-2</v>
          </cell>
        </row>
        <row r="47">
          <cell r="B47" t="str">
            <v>HP - Retro</v>
          </cell>
          <cell r="C47" t="str">
            <v/>
          </cell>
          <cell r="D47" t="str">
            <v/>
          </cell>
          <cell r="E47" t="str">
            <v/>
          </cell>
          <cell r="F47" t="str">
            <v/>
          </cell>
          <cell r="G47" t="str">
            <v/>
          </cell>
        </row>
        <row r="48">
          <cell r="B48" t="str">
            <v>DHP - New</v>
          </cell>
          <cell r="C48">
            <v>1</v>
          </cell>
          <cell r="D48">
            <v>1</v>
          </cell>
          <cell r="E48">
            <v>1</v>
          </cell>
          <cell r="F48">
            <v>1</v>
          </cell>
          <cell r="G48">
            <v>1</v>
          </cell>
        </row>
        <row r="49">
          <cell r="B49" t="str">
            <v>DHP - NR</v>
          </cell>
          <cell r="C49">
            <v>6.6666666666666666E-2</v>
          </cell>
          <cell r="D49">
            <v>6.6666666666666666E-2</v>
          </cell>
          <cell r="E49">
            <v>6.6666666666666666E-2</v>
          </cell>
          <cell r="F49">
            <v>6.6666666666666666E-2</v>
          </cell>
          <cell r="G49">
            <v>6.6666666666666666E-2</v>
          </cell>
        </row>
        <row r="50">
          <cell r="B50" t="str">
            <v>DHP - Retro</v>
          </cell>
          <cell r="C50" t="str">
            <v/>
          </cell>
          <cell r="D50" t="str">
            <v/>
          </cell>
          <cell r="E50" t="str">
            <v/>
          </cell>
          <cell r="F50" t="str">
            <v/>
          </cell>
          <cell r="G50" t="str">
            <v/>
          </cell>
        </row>
        <row r="51">
          <cell r="B51" t="str">
            <v>Duct Sealing - New</v>
          </cell>
          <cell r="C51">
            <v>1</v>
          </cell>
          <cell r="D51">
            <v>1</v>
          </cell>
          <cell r="E51">
            <v>1</v>
          </cell>
          <cell r="F51">
            <v>1</v>
          </cell>
          <cell r="G51">
            <v>1</v>
          </cell>
        </row>
        <row r="52">
          <cell r="B52" t="str">
            <v>Duct Sealing - Retro</v>
          </cell>
          <cell r="C52" t="str">
            <v/>
          </cell>
          <cell r="D52" t="str">
            <v/>
          </cell>
          <cell r="E52" t="str">
            <v/>
          </cell>
          <cell r="F52" t="str">
            <v/>
          </cell>
          <cell r="G52" t="str">
            <v/>
          </cell>
        </row>
        <row r="53">
          <cell r="B53" t="str">
            <v>WIFI enabled tstats - New</v>
          </cell>
          <cell r="C53">
            <v>1</v>
          </cell>
          <cell r="D53">
            <v>1</v>
          </cell>
          <cell r="E53">
            <v>1</v>
          </cell>
          <cell r="F53">
            <v>1</v>
          </cell>
          <cell r="G53">
            <v>1</v>
          </cell>
        </row>
        <row r="54">
          <cell r="B54" t="str">
            <v>WIFI enabled tstats - Retro</v>
          </cell>
          <cell r="C54" t="str">
            <v/>
          </cell>
          <cell r="D54" t="str">
            <v/>
          </cell>
          <cell r="E54" t="str">
            <v/>
          </cell>
          <cell r="F54" t="str">
            <v/>
          </cell>
          <cell r="G54" t="str">
            <v/>
          </cell>
        </row>
        <row r="55">
          <cell r="B55" t="str">
            <v>Combo DHP/HPWH units - New</v>
          </cell>
          <cell r="C55">
            <v>1</v>
          </cell>
          <cell r="D55">
            <v>1</v>
          </cell>
          <cell r="E55">
            <v>1</v>
          </cell>
          <cell r="F55">
            <v>1</v>
          </cell>
          <cell r="G55">
            <v>1</v>
          </cell>
        </row>
        <row r="56">
          <cell r="B56" t="str">
            <v>Combo DHP/HPWH units - NR</v>
          </cell>
          <cell r="C56" t="e">
            <v>#DIV/0!</v>
          </cell>
          <cell r="D56" t="e">
            <v>#DIV/0!</v>
          </cell>
          <cell r="E56" t="e">
            <v>#DIV/0!</v>
          </cell>
          <cell r="F56" t="e">
            <v>#DIV/0!</v>
          </cell>
          <cell r="G56" t="e">
            <v>#DIV/0!</v>
          </cell>
        </row>
        <row r="57">
          <cell r="B57" t="str">
            <v>Combo DHP/HPWH units - Retro</v>
          </cell>
          <cell r="C57" t="str">
            <v/>
          </cell>
          <cell r="D57" t="str">
            <v/>
          </cell>
          <cell r="E57" t="str">
            <v/>
          </cell>
          <cell r="F57" t="str">
            <v/>
          </cell>
          <cell r="G57" t="str">
            <v/>
          </cell>
        </row>
        <row r="58">
          <cell r="B58" t="str">
            <v>Aerator - New</v>
          </cell>
          <cell r="C58">
            <v>1</v>
          </cell>
          <cell r="D58">
            <v>1</v>
          </cell>
          <cell r="E58">
            <v>1</v>
          </cell>
          <cell r="F58">
            <v>1</v>
          </cell>
          <cell r="G58">
            <v>1</v>
          </cell>
        </row>
        <row r="59">
          <cell r="B59" t="str">
            <v>Aerator - Retro</v>
          </cell>
          <cell r="C59" t="str">
            <v/>
          </cell>
          <cell r="D59" t="str">
            <v/>
          </cell>
          <cell r="E59" t="str">
            <v/>
          </cell>
          <cell r="F59" t="str">
            <v/>
          </cell>
          <cell r="G59" t="str">
            <v/>
          </cell>
        </row>
        <row r="60">
          <cell r="B60" t="str">
            <v>Behavior - Retro</v>
          </cell>
          <cell r="C60" t="str">
            <v/>
          </cell>
          <cell r="D60" t="str">
            <v/>
          </cell>
          <cell r="E60" t="str">
            <v/>
          </cell>
          <cell r="F60" t="str">
            <v/>
          </cell>
          <cell r="G60" t="str">
            <v/>
          </cell>
        </row>
        <row r="61">
          <cell r="B61" t="str">
            <v>Behavior - New</v>
          </cell>
          <cell r="C61">
            <v>1</v>
          </cell>
          <cell r="D61">
            <v>1</v>
          </cell>
          <cell r="E61">
            <v>1</v>
          </cell>
          <cell r="F61">
            <v>1</v>
          </cell>
          <cell r="G61">
            <v>1</v>
          </cell>
        </row>
        <row r="62">
          <cell r="B62">
            <v>0</v>
          </cell>
          <cell r="C62" t="str">
            <v/>
          </cell>
          <cell r="D62" t="str">
            <v/>
          </cell>
          <cell r="E62" t="str">
            <v/>
          </cell>
          <cell r="F62" t="str">
            <v/>
          </cell>
          <cell r="G62" t="str">
            <v/>
          </cell>
        </row>
        <row r="63">
          <cell r="B63" t="str">
            <v>Heat Recovery Ventilation - New</v>
          </cell>
          <cell r="C63">
            <v>1</v>
          </cell>
          <cell r="D63">
            <v>1</v>
          </cell>
          <cell r="E63">
            <v>1</v>
          </cell>
          <cell r="F63">
            <v>1</v>
          </cell>
          <cell r="G63">
            <v>1</v>
          </cell>
        </row>
        <row r="64">
          <cell r="B64" t="str">
            <v>GSHP - New</v>
          </cell>
          <cell r="C64">
            <v>1</v>
          </cell>
          <cell r="D64">
            <v>1</v>
          </cell>
          <cell r="E64">
            <v>1</v>
          </cell>
          <cell r="F64">
            <v>1</v>
          </cell>
          <cell r="G64">
            <v>1</v>
          </cell>
        </row>
        <row r="65">
          <cell r="B65" t="str">
            <v>GSHP - NR</v>
          </cell>
          <cell r="C65">
            <v>6.6666666666666666E-2</v>
          </cell>
          <cell r="D65">
            <v>6.6666666666666666E-2</v>
          </cell>
          <cell r="E65">
            <v>6.6666666666666666E-2</v>
          </cell>
          <cell r="F65">
            <v>6.6666666666666666E-2</v>
          </cell>
          <cell r="G65">
            <v>6.6666666666666666E-2</v>
          </cell>
        </row>
        <row r="66">
          <cell r="B66">
            <v>0</v>
          </cell>
          <cell r="C66" t="str">
            <v/>
          </cell>
          <cell r="D66" t="str">
            <v/>
          </cell>
          <cell r="E66" t="str">
            <v/>
          </cell>
          <cell r="F66" t="str">
            <v/>
          </cell>
          <cell r="G66" t="str">
            <v/>
          </cell>
        </row>
        <row r="67">
          <cell r="B67" t="str">
            <v>ECM for HVAC ventilation - New</v>
          </cell>
          <cell r="C67">
            <v>1</v>
          </cell>
          <cell r="D67">
            <v>1</v>
          </cell>
          <cell r="E67">
            <v>1</v>
          </cell>
          <cell r="F67">
            <v>1</v>
          </cell>
          <cell r="G67">
            <v>1</v>
          </cell>
        </row>
        <row r="68">
          <cell r="B68" t="str">
            <v>ECM for HVAC ventilation - NR</v>
          </cell>
          <cell r="C68" t="e">
            <v>#DIV/0!</v>
          </cell>
          <cell r="D68" t="e">
            <v>#DIV/0!</v>
          </cell>
          <cell r="E68" t="e">
            <v>#DIV/0!</v>
          </cell>
          <cell r="F68" t="e">
            <v>#DIV/0!</v>
          </cell>
          <cell r="G68" t="e">
            <v>#DIV/0!</v>
          </cell>
        </row>
        <row r="69">
          <cell r="B69" t="str">
            <v>Whole house/attic fan - New</v>
          </cell>
          <cell r="C69">
            <v>1</v>
          </cell>
          <cell r="D69">
            <v>1</v>
          </cell>
          <cell r="E69">
            <v>1</v>
          </cell>
          <cell r="F69">
            <v>1</v>
          </cell>
          <cell r="G69">
            <v>1</v>
          </cell>
        </row>
        <row r="70">
          <cell r="B70" t="str">
            <v>Whole house/attic fan - Retro</v>
          </cell>
          <cell r="C70" t="str">
            <v/>
          </cell>
          <cell r="D70" t="str">
            <v/>
          </cell>
          <cell r="E70" t="str">
            <v/>
          </cell>
          <cell r="F70" t="str">
            <v/>
          </cell>
          <cell r="G70" t="str">
            <v/>
          </cell>
        </row>
        <row r="71">
          <cell r="B71" t="str">
            <v>WH Pipe insulation - Retro</v>
          </cell>
          <cell r="C71" t="str">
            <v/>
          </cell>
          <cell r="D71" t="str">
            <v/>
          </cell>
          <cell r="E71" t="str">
            <v/>
          </cell>
          <cell r="F71" t="str">
            <v/>
          </cell>
          <cell r="G71" t="str">
            <v/>
          </cell>
        </row>
        <row r="72">
          <cell r="B72" t="str">
            <v>DHP Ducted - NR</v>
          </cell>
          <cell r="C72">
            <v>6.6666666666666666E-2</v>
          </cell>
          <cell r="D72">
            <v>6.6666666666666666E-2</v>
          </cell>
          <cell r="E72">
            <v>6.6666666666666666E-2</v>
          </cell>
          <cell r="F72">
            <v>6.6666666666666666E-2</v>
          </cell>
          <cell r="G72">
            <v>6.6666666666666666E-2</v>
          </cell>
        </row>
        <row r="73">
          <cell r="B73" t="str">
            <v>Advanced Power Strips - New</v>
          </cell>
          <cell r="C73">
            <v>1</v>
          </cell>
          <cell r="D73">
            <v>1</v>
          </cell>
          <cell r="E73">
            <v>1</v>
          </cell>
          <cell r="F73">
            <v>1</v>
          </cell>
          <cell r="G73">
            <v>1</v>
          </cell>
        </row>
        <row r="74">
          <cell r="B74" t="str">
            <v>Advanced Power Strips - Retro</v>
          </cell>
          <cell r="C74" t="str">
            <v/>
          </cell>
          <cell r="D74" t="str">
            <v/>
          </cell>
          <cell r="E74" t="str">
            <v/>
          </cell>
          <cell r="F74" t="str">
            <v/>
          </cell>
          <cell r="G74" t="str">
            <v/>
          </cell>
        </row>
        <row r="75">
          <cell r="B75" t="str">
            <v>Controls Commissioning and Sizing - New</v>
          </cell>
          <cell r="C75">
            <v>1</v>
          </cell>
          <cell r="D75">
            <v>1</v>
          </cell>
          <cell r="E75">
            <v>1</v>
          </cell>
          <cell r="F75">
            <v>1</v>
          </cell>
          <cell r="G75">
            <v>1</v>
          </cell>
        </row>
        <row r="76">
          <cell r="B76" t="str">
            <v>Controls Commissioning and Sizing - NR</v>
          </cell>
          <cell r="C76">
            <v>6.6666666666666666E-2</v>
          </cell>
          <cell r="D76">
            <v>6.6666666666666666E-2</v>
          </cell>
          <cell r="E76">
            <v>6.6666666666666666E-2</v>
          </cell>
          <cell r="F76">
            <v>6.6666666666666666E-2</v>
          </cell>
          <cell r="G76">
            <v>6.6666666666666666E-2</v>
          </cell>
        </row>
        <row r="77">
          <cell r="B77" t="str">
            <v>ResWx - Retro</v>
          </cell>
          <cell r="C77" t="str">
            <v/>
          </cell>
          <cell r="D77" t="str">
            <v/>
          </cell>
          <cell r="E77" t="str">
            <v/>
          </cell>
          <cell r="F77" t="str">
            <v/>
          </cell>
        </row>
      </sheetData>
      <sheetData sheetId="9">
        <row r="8">
          <cell r="C8" t="str">
            <v>LO3Slow</v>
          </cell>
          <cell r="D8">
            <v>5.5320496977002724E-3</v>
          </cell>
          <cell r="E8">
            <v>1.4227918344261844E-2</v>
          </cell>
          <cell r="F8">
            <v>3.1619655637384989E-2</v>
          </cell>
        </row>
        <row r="9">
          <cell r="C9" t="str">
            <v>Retro12Med</v>
          </cell>
          <cell r="D9">
            <v>0.10937459468255628</v>
          </cell>
          <cell r="E9">
            <v>0.10937459468255628</v>
          </cell>
          <cell r="F9">
            <v>0.10937459468255628</v>
          </cell>
          <cell r="G9">
            <v>0.10937459468255628</v>
          </cell>
          <cell r="H9">
            <v>0.10937459468255628</v>
          </cell>
          <cell r="I9">
            <v>9.8437135214300656E-2</v>
          </cell>
          <cell r="J9">
            <v>7.874970817144053E-2</v>
          </cell>
          <cell r="K9">
            <v>6.2999766537152418E-2</v>
          </cell>
          <cell r="L9">
            <v>5.0399813229721938E-2</v>
          </cell>
          <cell r="M9">
            <v>4.0319850583777551E-2</v>
          </cell>
          <cell r="N9">
            <v>3.225588046702204E-2</v>
          </cell>
          <cell r="O9">
            <v>2.5804704373617631E-2</v>
          </cell>
          <cell r="P9">
            <v>2.0643763498894106E-2</v>
          </cell>
          <cell r="Q9">
            <v>1.6515010799115284E-2</v>
          </cell>
          <cell r="R9">
            <v>1.3212008639292228E-2</v>
          </cell>
          <cell r="S9">
            <v>1.0569606911433781E-2</v>
          </cell>
          <cell r="T9">
            <v>7.2092823794611682E-5</v>
          </cell>
          <cell r="U9">
            <v>2.5747437069512102E-5</v>
          </cell>
          <cell r="V9">
            <v>8.7775353646568632E-6</v>
          </cell>
          <cell r="W9">
            <v>2.8622397928446119E-6</v>
          </cell>
        </row>
        <row r="10">
          <cell r="C10" t="str">
            <v>Retro5Med</v>
          </cell>
          <cell r="D10">
            <v>4.2999999999999997E-2</v>
          </cell>
          <cell r="E10">
            <v>5.279714228027832E-2</v>
          </cell>
          <cell r="F10">
            <v>6.4608251467478173E-2</v>
          </cell>
          <cell r="G10">
            <v>7.4999999999999997E-2</v>
          </cell>
          <cell r="H10">
            <v>8.5546997470333563E-2</v>
          </cell>
          <cell r="I10">
            <v>0.10001472303820647</v>
          </cell>
          <cell r="J10">
            <v>0.10971770435235073</v>
          </cell>
          <cell r="K10">
            <v>0.11208438511970376</v>
          </cell>
          <cell r="L10">
            <v>0.10562608162722853</v>
          </cell>
          <cell r="M10">
            <v>9.0794563997872335E-2</v>
          </cell>
          <cell r="N10">
            <v>7.0260666991849297E-2</v>
          </cell>
          <cell r="O10">
            <v>4.8218360404944538E-2</v>
          </cell>
          <cell r="P10">
            <v>2.8854234614640095E-2</v>
          </cell>
          <cell r="Q10">
            <v>1.4773964924806759E-2</v>
          </cell>
          <cell r="R10">
            <v>6.3385343681182649E-3</v>
          </cell>
          <cell r="S10">
            <v>2.2268577196306039E-3</v>
          </cell>
          <cell r="T10">
            <v>6.2471001963848583E-4</v>
          </cell>
          <cell r="U10">
            <v>1.3615841889635938E-4</v>
          </cell>
          <cell r="V10">
            <v>2.2380636622298944E-5</v>
          </cell>
          <cell r="W10">
            <v>2.68643837586513E-6</v>
          </cell>
        </row>
        <row r="11">
          <cell r="C11" t="str">
            <v>Retro1Slow</v>
          </cell>
          <cell r="D11">
            <v>2.5643970768378654E-3</v>
          </cell>
          <cell r="E11">
            <v>5.1260615529385989E-3</v>
          </cell>
          <cell r="F11">
            <v>9.1015544176433795E-3</v>
          </cell>
          <cell r="G11">
            <v>1.4804925730045659E-2</v>
          </cell>
          <cell r="H11">
            <v>2.2471809420486211E-2</v>
          </cell>
          <cell r="I11">
            <v>3.2184432813882391E-2</v>
          </cell>
          <cell r="J11">
            <v>4.3779667172004086E-2</v>
          </cell>
          <cell r="K11">
            <v>5.675426075474499E-2</v>
          </cell>
          <cell r="L11">
            <v>7.0195239068707532E-2</v>
          </cell>
          <cell r="M11">
            <v>8.2776861842756788E-2</v>
          </cell>
          <cell r="N11">
            <v>9.2870259507494834E-2</v>
          </cell>
          <cell r="O11">
            <v>9.8796470678915727E-2</v>
          </cell>
          <cell r="P11">
            <v>9.9208932889988999E-2</v>
          </cell>
          <cell r="Q11">
            <v>9.3521150494244254E-2</v>
          </cell>
          <cell r="R11">
            <v>8.2226007896862296E-2</v>
          </cell>
          <cell r="S11">
            <v>6.6933566027365665E-2</v>
          </cell>
          <cell r="T11">
            <v>5.0029565143448806E-2</v>
          </cell>
          <cell r="U11">
            <v>3.402486521893211E-2</v>
          </cell>
          <cell r="V11">
            <v>2.0846059340774659E-2</v>
          </cell>
          <cell r="W11">
            <v>0.01</v>
          </cell>
        </row>
        <row r="12">
          <cell r="C12" t="str">
            <v>Retro50Fast</v>
          </cell>
          <cell r="D12">
            <v>0.45</v>
          </cell>
          <cell r="E12">
            <v>0.21</v>
          </cell>
          <cell r="F12">
            <v>0.14000000000000001</v>
          </cell>
          <cell r="G12">
            <v>0.09</v>
          </cell>
          <cell r="H12">
            <v>5.9540362609726505E-2</v>
          </cell>
          <cell r="I12">
            <v>2.9770181304863419E-2</v>
          </cell>
          <cell r="J12">
            <v>1.3231191691050248E-2</v>
          </cell>
          <cell r="K12">
            <v>5.2924766764202991E-3</v>
          </cell>
          <cell r="L12">
            <v>1.9245369732436846E-3</v>
          </cell>
          <cell r="M12">
            <v>6.415123244144505E-4</v>
          </cell>
          <cell r="N12">
            <v>1.9738840751215569E-4</v>
          </cell>
          <cell r="O12">
            <v>5.6396687860615913E-5</v>
          </cell>
          <cell r="P12">
            <v>1.5039116763038152E-5</v>
          </cell>
          <cell r="Q12">
            <v>3.7597791905374933E-6</v>
          </cell>
          <cell r="R12">
            <v>8.8465392733549919E-7</v>
          </cell>
          <cell r="S12">
            <v>1.9658976146974538E-7</v>
          </cell>
          <cell r="T12">
            <v>4.13873183502389E-8</v>
          </cell>
          <cell r="U12">
            <v>8.2774636034343985E-9</v>
          </cell>
          <cell r="V12">
            <v>1.5766598027155965E-9</v>
          </cell>
          <cell r="W12">
            <v>2.8666535811794347E-10</v>
          </cell>
        </row>
        <row r="13">
          <cell r="C13" t="str">
            <v>Retro20Fast</v>
          </cell>
          <cell r="D13">
            <v>0.22119921692859512</v>
          </cell>
          <cell r="E13">
            <v>0.15504311102289431</v>
          </cell>
          <cell r="F13">
            <v>0.10733128557729499</v>
          </cell>
          <cell r="G13">
            <v>8.3589689255657879E-2</v>
          </cell>
          <cell r="H13">
            <v>7.3237179880126971E-2</v>
          </cell>
          <cell r="I13">
            <v>6.3374636711760357E-2</v>
          </cell>
          <cell r="J13">
            <v>5.4291838367783084E-2</v>
          </cell>
          <cell r="K13">
            <v>4.612639225659896E-2</v>
          </cell>
          <cell r="L13">
            <v>3.8916876277172864E-2</v>
          </cell>
          <cell r="M13">
            <v>3.2639916313151704E-2</v>
          </cell>
          <cell r="N13">
            <v>2.7235706125786907E-2</v>
          </cell>
          <cell r="O13">
            <v>2.1211189258265428E-2</v>
          </cell>
          <cell r="P13">
            <v>1.6519290804212883E-2</v>
          </cell>
          <cell r="Q13">
            <v>1.2865236614105324E-2</v>
          </cell>
          <cell r="R13">
            <v>1.0019456349464106E-2</v>
          </cell>
          <cell r="S13">
            <v>7.8031604509122832E-3</v>
          </cell>
          <cell r="T13">
            <v>6.077107469602494E-3</v>
          </cell>
          <cell r="U13">
            <v>4.7328560561354371E-3</v>
          </cell>
          <cell r="V13">
            <v>3.6859520026825132E-3</v>
          </cell>
          <cell r="W13">
            <v>2.8706223060526725E-3</v>
          </cell>
        </row>
        <row r="14">
          <cell r="C14" t="str">
            <v>RetroEven20</v>
          </cell>
          <cell r="D14">
            <v>0.05</v>
          </cell>
          <cell r="E14">
            <v>0.05</v>
          </cell>
          <cell r="F14">
            <v>0.05</v>
          </cell>
          <cell r="G14">
            <v>0.05</v>
          </cell>
          <cell r="H14">
            <v>0.05</v>
          </cell>
          <cell r="I14">
            <v>0.05</v>
          </cell>
          <cell r="J14">
            <v>0.05</v>
          </cell>
          <cell r="K14">
            <v>0.05</v>
          </cell>
          <cell r="L14">
            <v>0.05</v>
          </cell>
          <cell r="M14">
            <v>0.05</v>
          </cell>
          <cell r="N14">
            <v>0.05</v>
          </cell>
          <cell r="O14">
            <v>0.05</v>
          </cell>
          <cell r="P14">
            <v>0.05</v>
          </cell>
          <cell r="Q14">
            <v>0.05</v>
          </cell>
          <cell r="R14">
            <v>0.05</v>
          </cell>
          <cell r="S14">
            <v>0.05</v>
          </cell>
          <cell r="T14">
            <v>0.05</v>
          </cell>
          <cell r="U14">
            <v>0.05</v>
          </cell>
          <cell r="V14">
            <v>0.05</v>
          </cell>
          <cell r="W14">
            <v>0.05</v>
          </cell>
        </row>
        <row r="15">
          <cell r="C15" t="str">
            <v>RetroMax60</v>
          </cell>
          <cell r="D15">
            <v>0.01</v>
          </cell>
          <cell r="E15">
            <v>1.9799999999999998E-2</v>
          </cell>
          <cell r="F15">
            <v>2.9106E-2</v>
          </cell>
          <cell r="G15">
            <v>3.7643759999999998E-2</v>
          </cell>
          <cell r="H15">
            <v>4.5172511999999984E-2</v>
          </cell>
          <cell r="I15">
            <v>4.8635737920000005E-2</v>
          </cell>
          <cell r="J15">
            <v>4.587971277120001E-2</v>
          </cell>
          <cell r="K15">
            <v>4.3279862380832007E-2</v>
          </cell>
          <cell r="L15">
            <v>4.0827336845918161E-2</v>
          </cell>
          <cell r="M15">
            <v>3.8513787757982809E-2</v>
          </cell>
          <cell r="N15">
            <v>3.6331339785030448E-2</v>
          </cell>
          <cell r="O15">
            <v>3.4272563863878724E-2</v>
          </cell>
          <cell r="P15">
            <v>3.2330451911592284E-2</v>
          </cell>
          <cell r="Q15">
            <v>3.0498392969935395E-2</v>
          </cell>
          <cell r="R15">
            <v>2.8770150701639075E-2</v>
          </cell>
          <cell r="S15">
            <v>2.7139842161879479E-2</v>
          </cell>
          <cell r="T15">
            <v>2.5601917772706373E-2</v>
          </cell>
          <cell r="U15">
            <v>2.4151142432252914E-2</v>
          </cell>
          <cell r="V15">
            <v>2.2782577694425266E-2</v>
          </cell>
          <cell r="W15">
            <v>2.1491564958407872E-2</v>
          </cell>
        </row>
        <row r="16">
          <cell r="C16" t="str">
            <v>Retro3Slow</v>
          </cell>
          <cell r="D16">
            <v>5.5320496977002724E-3</v>
          </cell>
          <cell r="E16">
            <v>8.6958686465615706E-3</v>
          </cell>
          <cell r="F16">
            <v>1.7391737293123145E-2</v>
          </cell>
          <cell r="G16">
            <v>3.0435540262965514E-2</v>
          </cell>
          <cell r="H16">
            <v>4.7344173742390784E-2</v>
          </cell>
          <cell r="I16">
            <v>6.6281843239347063E-2</v>
          </cell>
          <cell r="J16">
            <v>8.4358709577350838E-2</v>
          </cell>
          <cell r="K16">
            <v>9.8418494506909315E-2</v>
          </cell>
          <cell r="L16">
            <v>0.10598914793051767</v>
          </cell>
          <cell r="M16">
            <v>0.10598914793051767</v>
          </cell>
          <cell r="N16">
            <v>9.8923204735149928E-2</v>
          </cell>
          <cell r="O16">
            <v>8.655780414325609E-2</v>
          </cell>
          <cell r="P16">
            <v>7.1282897529740263E-2</v>
          </cell>
          <cell r="Q16">
            <v>5.5442253634242489E-2</v>
          </cell>
          <cell r="R16">
            <v>4.0852186888389319E-2</v>
          </cell>
          <cell r="S16">
            <v>2.8596530821872412E-2</v>
          </cell>
          <cell r="T16">
            <v>1.9064353881248275E-2</v>
          </cell>
          <cell r="U16">
            <v>1.2131861560794377E-2</v>
          </cell>
          <cell r="V16">
            <v>7.3846113848314854E-3</v>
          </cell>
          <cell r="W16">
            <v>4.3076899744848296E-3</v>
          </cell>
        </row>
        <row r="17">
          <cell r="C17" t="str">
            <v>LightingPPA</v>
          </cell>
          <cell r="D17">
            <v>0.5468729734127814</v>
          </cell>
          <cell r="E17">
            <v>0.43749837873022512</v>
          </cell>
          <cell r="F17">
            <v>0.32812378404766884</v>
          </cell>
          <cell r="G17">
            <v>0.21874918936511256</v>
          </cell>
          <cell r="H17">
            <v>0.10937459468255628</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row>
        <row r="19">
          <cell r="A19" t="str">
            <v>End Use</v>
          </cell>
          <cell r="B19" t="str">
            <v>Measure Index Name</v>
          </cell>
          <cell r="C19" t="str">
            <v>Ramp</v>
          </cell>
          <cell r="D19">
            <v>2016</v>
          </cell>
          <cell r="E19">
            <v>2017</v>
          </cell>
          <cell r="F19">
            <v>2018</v>
          </cell>
          <cell r="G19">
            <v>2019</v>
          </cell>
          <cell r="H19">
            <v>2020</v>
          </cell>
          <cell r="I19">
            <v>2021</v>
          </cell>
          <cell r="J19">
            <v>2022</v>
          </cell>
          <cell r="K19">
            <v>2023</v>
          </cell>
          <cell r="L19">
            <v>2024</v>
          </cell>
          <cell r="M19">
            <v>2025</v>
          </cell>
          <cell r="N19">
            <v>2026</v>
          </cell>
          <cell r="O19">
            <v>2027</v>
          </cell>
          <cell r="P19">
            <v>2028</v>
          </cell>
          <cell r="Q19">
            <v>2029</v>
          </cell>
          <cell r="R19">
            <v>2030</v>
          </cell>
          <cell r="S19">
            <v>2031</v>
          </cell>
          <cell r="T19">
            <v>2032</v>
          </cell>
          <cell r="U19">
            <v>2033</v>
          </cell>
          <cell r="V19">
            <v>2034</v>
          </cell>
          <cell r="W19">
            <v>2035</v>
          </cell>
        </row>
        <row r="20">
          <cell r="A20" t="str">
            <v>Lighting</v>
          </cell>
          <cell r="B20" t="str">
            <v>Lighting - New</v>
          </cell>
          <cell r="C20" t="str">
            <v>LO20Fast</v>
          </cell>
          <cell r="D20">
            <v>0.22119921692859512</v>
          </cell>
          <cell r="E20">
            <v>0.37624232795148943</v>
          </cell>
          <cell r="F20">
            <v>0.48357361352878442</v>
          </cell>
          <cell r="G20">
            <v>0.56716330278444227</v>
          </cell>
          <cell r="H20">
            <v>0.64040048266456928</v>
          </cell>
          <cell r="I20">
            <v>0.70377511937632964</v>
          </cell>
          <cell r="J20">
            <v>0.7580669577441127</v>
          </cell>
          <cell r="K20">
            <v>0.80419335000071168</v>
          </cell>
          <cell r="L20">
            <v>0.84311022627788457</v>
          </cell>
          <cell r="M20">
            <v>0.87575014259103623</v>
          </cell>
          <cell r="N20">
            <v>0.90298584871682319</v>
          </cell>
          <cell r="O20">
            <v>0.92419703797508856</v>
          </cell>
          <cell r="P20">
            <v>0.94071632877930145</v>
          </cell>
          <cell r="Q20">
            <v>0.95358156539340677</v>
          </cell>
          <cell r="R20">
            <v>0.96360102174287088</v>
          </cell>
          <cell r="S20">
            <v>0.97140418219378311</v>
          </cell>
          <cell r="T20">
            <v>0.97748128966338554</v>
          </cell>
          <cell r="U20">
            <v>0.98221414571952104</v>
          </cell>
          <cell r="V20">
            <v>0.98590009772220355</v>
          </cell>
          <cell r="W20">
            <v>0.98877072002825628</v>
          </cell>
        </row>
        <row r="21">
          <cell r="A21" t="str">
            <v>Lighting</v>
          </cell>
          <cell r="B21" t="str">
            <v>Lighting - NR</v>
          </cell>
          <cell r="C21" t="str">
            <v>LO20Fast</v>
          </cell>
          <cell r="D21">
            <v>0.22119921692859512</v>
          </cell>
          <cell r="E21">
            <v>0.37624232795148943</v>
          </cell>
          <cell r="F21">
            <v>0.48357361352878442</v>
          </cell>
          <cell r="G21">
            <v>0.56716330278444227</v>
          </cell>
          <cell r="H21">
            <v>0.64040048266456928</v>
          </cell>
          <cell r="I21">
            <v>0.70377511937632964</v>
          </cell>
          <cell r="J21">
            <v>0.7580669577441127</v>
          </cell>
          <cell r="K21">
            <v>0.80419335000071168</v>
          </cell>
          <cell r="L21">
            <v>0.84311022627788457</v>
          </cell>
          <cell r="M21">
            <v>0.87575014259103623</v>
          </cell>
          <cell r="N21">
            <v>0.90298584871682319</v>
          </cell>
          <cell r="O21">
            <v>0.92419703797508856</v>
          </cell>
          <cell r="P21">
            <v>0.94071632877930145</v>
          </cell>
          <cell r="Q21">
            <v>0.95358156539340677</v>
          </cell>
          <cell r="R21">
            <v>0.96360102174287088</v>
          </cell>
          <cell r="S21">
            <v>0.97140418219378311</v>
          </cell>
          <cell r="T21">
            <v>0.97748128966338554</v>
          </cell>
          <cell r="U21">
            <v>0.98221414571952104</v>
          </cell>
          <cell r="V21">
            <v>0.98590009772220355</v>
          </cell>
          <cell r="W21">
            <v>0.98877072002825628</v>
          </cell>
        </row>
        <row r="22">
          <cell r="A22" t="str">
            <v>Lighting</v>
          </cell>
          <cell r="B22" t="str">
            <v>Lighting - PPA</v>
          </cell>
          <cell r="C22" t="str">
            <v>Retro20Fast</v>
          </cell>
          <cell r="D22">
            <v>0.22119921692859512</v>
          </cell>
          <cell r="E22">
            <v>0.15504311102289431</v>
          </cell>
          <cell r="F22">
            <v>0.10733128557729499</v>
          </cell>
          <cell r="G22">
            <v>8.3589689255657879E-2</v>
          </cell>
          <cell r="H22">
            <v>7.3237179880126971E-2</v>
          </cell>
          <cell r="I22">
            <v>6.3374636711760357E-2</v>
          </cell>
          <cell r="J22">
            <v>5.4291838367783084E-2</v>
          </cell>
          <cell r="K22">
            <v>4.612639225659896E-2</v>
          </cell>
          <cell r="L22">
            <v>3.8916876277172864E-2</v>
          </cell>
          <cell r="M22">
            <v>3.2639916313151704E-2</v>
          </cell>
          <cell r="N22">
            <v>2.7235706125786907E-2</v>
          </cell>
          <cell r="O22">
            <v>2.1211189258265428E-2</v>
          </cell>
          <cell r="P22">
            <v>1.6519290804212883E-2</v>
          </cell>
          <cell r="Q22">
            <v>1.2865236614105324E-2</v>
          </cell>
          <cell r="R22">
            <v>1.0019456349464106E-2</v>
          </cell>
          <cell r="S22">
            <v>7.8031604509122832E-3</v>
          </cell>
          <cell r="T22">
            <v>6.077107469602494E-3</v>
          </cell>
          <cell r="U22">
            <v>4.7328560561354371E-3</v>
          </cell>
          <cell r="V22">
            <v>3.6859520026825132E-3</v>
          </cell>
          <cell r="W22">
            <v>2.8706223060526725E-3</v>
          </cell>
        </row>
        <row r="23">
          <cell r="A23" t="str">
            <v>Lighting PPA</v>
          </cell>
          <cell r="B23" t="str">
            <v>Lighting PPA</v>
          </cell>
          <cell r="C23" t="str">
            <v>LightingPPA</v>
          </cell>
          <cell r="D23">
            <v>0.5468729734127814</v>
          </cell>
          <cell r="E23">
            <v>0.43749837873022512</v>
          </cell>
          <cell r="F23">
            <v>0.32812378404766884</v>
          </cell>
          <cell r="G23">
            <v>0.21874918936511256</v>
          </cell>
          <cell r="H23">
            <v>0.10937459468255628</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row>
        <row r="24">
          <cell r="A24" t="str">
            <v>Water Heating</v>
          </cell>
          <cell r="B24" t="str">
            <v>Dishwasher - New</v>
          </cell>
          <cell r="C24" t="str">
            <v>LO12Med</v>
          </cell>
          <cell r="D24">
            <v>0.10937459468255628</v>
          </cell>
          <cell r="E24">
            <v>0.21874918936511256</v>
          </cell>
          <cell r="F24">
            <v>0.32812378404766884</v>
          </cell>
          <cell r="G24">
            <v>0.43749837873022512</v>
          </cell>
          <cell r="H24">
            <v>0.5468729734127814</v>
          </cell>
          <cell r="I24">
            <v>0.64531010862708205</v>
          </cell>
          <cell r="J24">
            <v>0.7240598167985226</v>
          </cell>
          <cell r="K24">
            <v>0.78705958333567505</v>
          </cell>
          <cell r="L24">
            <v>0.83745939656539703</v>
          </cell>
          <cell r="M24">
            <v>0.87777924714917455</v>
          </cell>
          <cell r="N24">
            <v>0.91003512761619654</v>
          </cell>
          <cell r="O24">
            <v>0.93583983198981413</v>
          </cell>
          <cell r="P24">
            <v>0.9564835954887082</v>
          </cell>
          <cell r="Q24">
            <v>0.97299860628782353</v>
          </cell>
          <cell r="R24">
            <v>0.9862106149271157</v>
          </cell>
          <cell r="S24">
            <v>0.99678022183854953</v>
          </cell>
          <cell r="T24">
            <v>0.99685231466234414</v>
          </cell>
          <cell r="U24">
            <v>0.99687806209941365</v>
          </cell>
          <cell r="V24">
            <v>0.99688683963477831</v>
          </cell>
          <cell r="W24">
            <v>0.99688970187457115</v>
          </cell>
        </row>
        <row r="25">
          <cell r="A25" t="str">
            <v>Water Heating</v>
          </cell>
          <cell r="B25" t="str">
            <v>Dishwasher - NR</v>
          </cell>
          <cell r="C25" t="str">
            <v>LO12Med</v>
          </cell>
          <cell r="D25">
            <v>0.10937459468255628</v>
          </cell>
          <cell r="E25">
            <v>0.21874918936511256</v>
          </cell>
          <cell r="F25">
            <v>0.32812378404766884</v>
          </cell>
          <cell r="G25">
            <v>0.43749837873022512</v>
          </cell>
          <cell r="H25">
            <v>0.5468729734127814</v>
          </cell>
          <cell r="I25">
            <v>0.64531010862708205</v>
          </cell>
          <cell r="J25">
            <v>0.7240598167985226</v>
          </cell>
          <cell r="K25">
            <v>0.78705958333567505</v>
          </cell>
          <cell r="L25">
            <v>0.83745939656539703</v>
          </cell>
          <cell r="M25">
            <v>0.87777924714917455</v>
          </cell>
          <cell r="N25">
            <v>0.91003512761619654</v>
          </cell>
          <cell r="O25">
            <v>0.93583983198981413</v>
          </cell>
          <cell r="P25">
            <v>0.9564835954887082</v>
          </cell>
          <cell r="Q25">
            <v>0.97299860628782353</v>
          </cell>
          <cell r="R25">
            <v>0.9862106149271157</v>
          </cell>
          <cell r="S25">
            <v>0.99678022183854953</v>
          </cell>
          <cell r="T25">
            <v>0.99685231466234414</v>
          </cell>
          <cell r="U25">
            <v>0.99687806209941365</v>
          </cell>
          <cell r="V25">
            <v>0.99688683963477831</v>
          </cell>
          <cell r="W25">
            <v>0.99688970187457115</v>
          </cell>
        </row>
        <row r="26">
          <cell r="A26" t="str">
            <v>Water Heating</v>
          </cell>
          <cell r="B26" t="str">
            <v>Clothes Washer - New</v>
          </cell>
          <cell r="C26" t="str">
            <v>LO12Med</v>
          </cell>
          <cell r="D26">
            <v>0.10937459468255628</v>
          </cell>
          <cell r="E26">
            <v>0.21874918936511256</v>
          </cell>
          <cell r="F26">
            <v>0.32812378404766884</v>
          </cell>
          <cell r="G26">
            <v>0.43749837873022512</v>
          </cell>
          <cell r="H26">
            <v>0.5468729734127814</v>
          </cell>
          <cell r="I26">
            <v>0.64531010862708205</v>
          </cell>
          <cell r="J26">
            <v>0.7240598167985226</v>
          </cell>
          <cell r="K26">
            <v>0.78705958333567505</v>
          </cell>
          <cell r="L26">
            <v>0.83745939656539703</v>
          </cell>
          <cell r="M26">
            <v>0.87777924714917455</v>
          </cell>
          <cell r="N26">
            <v>0.91003512761619654</v>
          </cell>
          <cell r="O26">
            <v>0.93583983198981413</v>
          </cell>
          <cell r="P26">
            <v>0.9564835954887082</v>
          </cell>
          <cell r="Q26">
            <v>0.97299860628782353</v>
          </cell>
          <cell r="R26">
            <v>0.9862106149271157</v>
          </cell>
          <cell r="S26">
            <v>0.99678022183854953</v>
          </cell>
          <cell r="T26">
            <v>0.99685231466234414</v>
          </cell>
          <cell r="U26">
            <v>0.99687806209941365</v>
          </cell>
          <cell r="V26">
            <v>0.99688683963477831</v>
          </cell>
          <cell r="W26">
            <v>0.99688970187457115</v>
          </cell>
        </row>
        <row r="27">
          <cell r="A27" t="str">
            <v>Water Heating</v>
          </cell>
          <cell r="B27" t="str">
            <v>Clothes Washer - NR</v>
          </cell>
          <cell r="C27" t="str">
            <v>LO12Med</v>
          </cell>
          <cell r="D27">
            <v>0.10937459468255628</v>
          </cell>
          <cell r="E27">
            <v>0.21874918936511256</v>
          </cell>
          <cell r="F27">
            <v>0.32812378404766884</v>
          </cell>
          <cell r="G27">
            <v>0.43749837873022512</v>
          </cell>
          <cell r="H27">
            <v>0.5468729734127814</v>
          </cell>
          <cell r="I27">
            <v>0.64531010862708205</v>
          </cell>
          <cell r="J27">
            <v>0.7240598167985226</v>
          </cell>
          <cell r="K27">
            <v>0.78705958333567505</v>
          </cell>
          <cell r="L27">
            <v>0.83745939656539703</v>
          </cell>
          <cell r="M27">
            <v>0.87777924714917455</v>
          </cell>
          <cell r="N27">
            <v>0.91003512761619654</v>
          </cell>
          <cell r="O27">
            <v>0.93583983198981413</v>
          </cell>
          <cell r="P27">
            <v>0.9564835954887082</v>
          </cell>
          <cell r="Q27">
            <v>0.97299860628782353</v>
          </cell>
          <cell r="R27">
            <v>0.9862106149271157</v>
          </cell>
          <cell r="S27">
            <v>0.99678022183854953</v>
          </cell>
          <cell r="T27">
            <v>0.99685231466234414</v>
          </cell>
          <cell r="U27">
            <v>0.99687806209941365</v>
          </cell>
          <cell r="V27">
            <v>0.99688683963477831</v>
          </cell>
          <cell r="W27">
            <v>0.99688970187457115</v>
          </cell>
        </row>
        <row r="28">
          <cell r="A28" t="str">
            <v>Water Heating</v>
          </cell>
          <cell r="B28" t="str">
            <v>WasteWater Heat Recovery - New</v>
          </cell>
          <cell r="C28" t="str">
            <v>LO1Slow</v>
          </cell>
          <cell r="D28">
            <v>2.5643970768378654E-3</v>
          </cell>
          <cell r="E28">
            <v>7.6904586297764643E-3</v>
          </cell>
          <cell r="F28">
            <v>1.6792013047419844E-2</v>
          </cell>
          <cell r="G28">
            <v>3.15969387774655E-2</v>
          </cell>
          <cell r="H28">
            <v>5.406874819795171E-2</v>
          </cell>
          <cell r="I28">
            <v>8.6253181011834101E-2</v>
          </cell>
          <cell r="J28">
            <v>0.1300328481838382</v>
          </cell>
          <cell r="K28">
            <v>0.18678710893858319</v>
          </cell>
          <cell r="L28">
            <v>0.2569823480072907</v>
          </cell>
          <cell r="M28">
            <v>0.33975920985004748</v>
          </cell>
          <cell r="N28">
            <v>0.43262946935754232</v>
          </cell>
          <cell r="O28">
            <v>0.53142594003645804</v>
          </cell>
          <cell r="P28">
            <v>0.63063487292644704</v>
          </cell>
          <cell r="Q28">
            <v>0.7241560234206913</v>
          </cell>
          <cell r="R28">
            <v>0.80638203131755359</v>
          </cell>
          <cell r="S28">
            <v>0.87331559734491926</v>
          </cell>
          <cell r="T28">
            <v>0.92334516248836807</v>
          </cell>
          <cell r="U28">
            <v>0.95737002770730018</v>
          </cell>
          <cell r="V28">
            <v>0.97821608704807483</v>
          </cell>
          <cell r="W28">
            <v>0.98821608704807484</v>
          </cell>
        </row>
        <row r="29">
          <cell r="A29" t="str">
            <v>Water Heating</v>
          </cell>
          <cell r="B29" t="str">
            <v>Showerheads - New</v>
          </cell>
          <cell r="C29" t="str">
            <v>LO12MEd</v>
          </cell>
          <cell r="D29">
            <v>0.10937459468255628</v>
          </cell>
          <cell r="E29">
            <v>0.21874918936511256</v>
          </cell>
          <cell r="F29">
            <v>0.32812378404766884</v>
          </cell>
          <cell r="G29">
            <v>0.43749837873022512</v>
          </cell>
          <cell r="H29">
            <v>0.5468729734127814</v>
          </cell>
          <cell r="I29">
            <v>0.64531010862708205</v>
          </cell>
          <cell r="J29">
            <v>0.7240598167985226</v>
          </cell>
          <cell r="K29">
            <v>0.78705958333567505</v>
          </cell>
          <cell r="L29">
            <v>0.83745939656539703</v>
          </cell>
          <cell r="M29">
            <v>0.87777924714917455</v>
          </cell>
          <cell r="N29">
            <v>0.91003512761619654</v>
          </cell>
          <cell r="O29">
            <v>0.93583983198981413</v>
          </cell>
          <cell r="P29">
            <v>0.9564835954887082</v>
          </cell>
          <cell r="Q29">
            <v>0.97299860628782353</v>
          </cell>
          <cell r="R29">
            <v>0.9862106149271157</v>
          </cell>
          <cell r="S29">
            <v>0.99678022183854953</v>
          </cell>
          <cell r="T29">
            <v>0.99685231466234414</v>
          </cell>
          <cell r="U29">
            <v>0.99687806209941365</v>
          </cell>
          <cell r="V29">
            <v>0.99688683963477831</v>
          </cell>
          <cell r="W29">
            <v>0.99688970187457115</v>
          </cell>
        </row>
        <row r="30">
          <cell r="A30" t="str">
            <v>Water Heating</v>
          </cell>
          <cell r="B30" t="str">
            <v>Showerheads - Retro</v>
          </cell>
          <cell r="C30" t="str">
            <v>Retro12Med</v>
          </cell>
          <cell r="D30">
            <v>0.10937459468255628</v>
          </cell>
          <cell r="E30">
            <v>0.10937459468255628</v>
          </cell>
          <cell r="F30">
            <v>0.10937459468255628</v>
          </cell>
          <cell r="G30">
            <v>0.10937459468255628</v>
          </cell>
          <cell r="H30">
            <v>0.10937459468255628</v>
          </cell>
          <cell r="I30">
            <v>9.8437135214300656E-2</v>
          </cell>
          <cell r="J30">
            <v>7.874970817144053E-2</v>
          </cell>
          <cell r="K30">
            <v>6.2999766537152418E-2</v>
          </cell>
          <cell r="L30">
            <v>5.0399813229721938E-2</v>
          </cell>
          <cell r="M30">
            <v>4.0319850583777551E-2</v>
          </cell>
          <cell r="N30">
            <v>3.225588046702204E-2</v>
          </cell>
          <cell r="O30">
            <v>2.5804704373617631E-2</v>
          </cell>
          <cell r="P30">
            <v>2.0643763498894106E-2</v>
          </cell>
          <cell r="Q30">
            <v>1.6515010799115284E-2</v>
          </cell>
          <cell r="R30">
            <v>1.3212008639292228E-2</v>
          </cell>
          <cell r="S30">
            <v>1.0569606911433781E-2</v>
          </cell>
          <cell r="T30">
            <v>7.2092823794611682E-5</v>
          </cell>
          <cell r="U30">
            <v>2.5747437069512102E-5</v>
          </cell>
          <cell r="V30">
            <v>8.7775353646568632E-6</v>
          </cell>
          <cell r="W30">
            <v>2.8622397928446119E-6</v>
          </cell>
        </row>
        <row r="31">
          <cell r="A31" t="str">
            <v>Water Heating</v>
          </cell>
          <cell r="B31" t="str">
            <v>HPWH - New</v>
          </cell>
          <cell r="C31" t="str">
            <v>LO3Slow</v>
          </cell>
          <cell r="D31">
            <v>5.5320496977002724E-3</v>
          </cell>
          <cell r="E31">
            <v>1.4227918344261844E-2</v>
          </cell>
          <cell r="F31">
            <v>3.1619655637384989E-2</v>
          </cell>
          <cell r="G31">
            <v>6.2055195900350503E-2</v>
          </cell>
          <cell r="H31">
            <v>0.10939936964274129</v>
          </cell>
          <cell r="I31">
            <v>0.17568121288208835</v>
          </cell>
          <cell r="J31">
            <v>0.26003992245943919</v>
          </cell>
          <cell r="K31">
            <v>0.3584584169663485</v>
          </cell>
          <cell r="L31">
            <v>0.46444756489686617</v>
          </cell>
          <cell r="M31">
            <v>0.57043671282738384</v>
          </cell>
          <cell r="N31">
            <v>0.66935991756253377</v>
          </cell>
          <cell r="O31">
            <v>0.75591772170578986</v>
          </cell>
          <cell r="P31">
            <v>0.82720061923553012</v>
          </cell>
          <cell r="Q31">
            <v>0.88264287286977261</v>
          </cell>
          <cell r="R31">
            <v>0.92349505975816193</v>
          </cell>
          <cell r="S31">
            <v>0.95209159058003434</v>
          </cell>
          <cell r="T31">
            <v>0.97115594446128262</v>
          </cell>
          <cell r="U31">
            <v>0.98328780602207699</v>
          </cell>
          <cell r="V31">
            <v>0.99067241740690848</v>
          </cell>
          <cell r="W31">
            <v>0.99498010738139331</v>
          </cell>
        </row>
        <row r="32">
          <cell r="A32" t="str">
            <v>Water Heating</v>
          </cell>
          <cell r="B32" t="str">
            <v>HPWH - NR</v>
          </cell>
          <cell r="C32" t="str">
            <v>LO3Slow</v>
          </cell>
          <cell r="D32">
            <v>5.5320496977002724E-3</v>
          </cell>
          <cell r="E32">
            <v>1.4227918344261844E-2</v>
          </cell>
          <cell r="F32">
            <v>3.1619655637384989E-2</v>
          </cell>
          <cell r="G32">
            <v>6.2055195900350503E-2</v>
          </cell>
          <cell r="H32">
            <v>0.10939936964274129</v>
          </cell>
          <cell r="I32">
            <v>0.17568121288208835</v>
          </cell>
          <cell r="J32">
            <v>0.26003992245943919</v>
          </cell>
          <cell r="K32">
            <v>0.3584584169663485</v>
          </cell>
          <cell r="L32">
            <v>0.46444756489686617</v>
          </cell>
          <cell r="M32">
            <v>0.57043671282738384</v>
          </cell>
          <cell r="N32">
            <v>0.66935991756253377</v>
          </cell>
          <cell r="O32">
            <v>0.75591772170578986</v>
          </cell>
          <cell r="P32">
            <v>0.82720061923553012</v>
          </cell>
          <cell r="Q32">
            <v>0.88264287286977261</v>
          </cell>
          <cell r="R32">
            <v>0.92349505975816193</v>
          </cell>
          <cell r="S32">
            <v>0.95209159058003434</v>
          </cell>
          <cell r="T32">
            <v>0.97115594446128262</v>
          </cell>
          <cell r="U32">
            <v>0.98328780602207699</v>
          </cell>
          <cell r="V32">
            <v>0.99067241740690848</v>
          </cell>
          <cell r="W32">
            <v>0.99498010738139331</v>
          </cell>
        </row>
        <row r="33">
          <cell r="A33" t="str">
            <v>Whole Bldg/Meter Level</v>
          </cell>
          <cell r="B33" t="str">
            <v>EV Supply Equip - NR</v>
          </cell>
          <cell r="C33" t="str">
            <v>LOMax60</v>
          </cell>
          <cell r="D33">
            <v>0.01</v>
          </cell>
          <cell r="E33">
            <v>2.98E-2</v>
          </cell>
          <cell r="F33">
            <v>5.8906E-2</v>
          </cell>
          <cell r="G33">
            <v>9.6549759999999998E-2</v>
          </cell>
          <cell r="H33">
            <v>0.14172227199999998</v>
          </cell>
          <cell r="I33">
            <v>0.19035800991999999</v>
          </cell>
          <cell r="J33">
            <v>0.2362377226912</v>
          </cell>
          <cell r="K33">
            <v>0.279517585072032</v>
          </cell>
          <cell r="L33">
            <v>0.32034492191795017</v>
          </cell>
          <cell r="M33">
            <v>0.35885870967593297</v>
          </cell>
          <cell r="N33">
            <v>0.39519004946096342</v>
          </cell>
          <cell r="O33">
            <v>0.42946261332484215</v>
          </cell>
          <cell r="P33">
            <v>0.46179306523643443</v>
          </cell>
          <cell r="Q33">
            <v>0.49229145820636983</v>
          </cell>
          <cell r="R33">
            <v>0.5210616089080089</v>
          </cell>
          <cell r="S33">
            <v>0.54820145106988838</v>
          </cell>
          <cell r="T33">
            <v>0.57380336884259475</v>
          </cell>
          <cell r="U33">
            <v>0.59795451127484767</v>
          </cell>
          <cell r="V33">
            <v>0.62073708896927293</v>
          </cell>
          <cell r="W33">
            <v>0.6422286539276808</v>
          </cell>
        </row>
        <row r="34">
          <cell r="A34" t="str">
            <v>Dryer</v>
          </cell>
          <cell r="B34" t="str">
            <v>Clothes Dryer - New</v>
          </cell>
          <cell r="C34" t="str">
            <v>LOMax60</v>
          </cell>
          <cell r="D34">
            <v>0.01</v>
          </cell>
          <cell r="E34">
            <v>2.98E-2</v>
          </cell>
          <cell r="F34">
            <v>5.8906E-2</v>
          </cell>
          <cell r="G34">
            <v>9.6549759999999998E-2</v>
          </cell>
          <cell r="H34">
            <v>0.14172227199999998</v>
          </cell>
          <cell r="I34">
            <v>0.19035800991999999</v>
          </cell>
          <cell r="J34">
            <v>0.2362377226912</v>
          </cell>
          <cell r="K34">
            <v>0.279517585072032</v>
          </cell>
          <cell r="L34">
            <v>0.32034492191795017</v>
          </cell>
          <cell r="M34">
            <v>0.35885870967593297</v>
          </cell>
          <cell r="N34">
            <v>0.39519004946096342</v>
          </cell>
          <cell r="O34">
            <v>0.42946261332484215</v>
          </cell>
          <cell r="P34">
            <v>0.46179306523643443</v>
          </cell>
          <cell r="Q34">
            <v>0.49229145820636983</v>
          </cell>
          <cell r="R34">
            <v>0.5210616089080089</v>
          </cell>
          <cell r="S34">
            <v>0.54820145106988838</v>
          </cell>
          <cell r="T34">
            <v>0.57380336884259475</v>
          </cell>
          <cell r="U34">
            <v>0.59795451127484767</v>
          </cell>
          <cell r="V34">
            <v>0.62073708896927293</v>
          </cell>
          <cell r="W34">
            <v>0.6422286539276808</v>
          </cell>
        </row>
        <row r="35">
          <cell r="A35" t="str">
            <v>Dryer</v>
          </cell>
          <cell r="B35" t="str">
            <v>Clothes Dryer - NR</v>
          </cell>
          <cell r="C35" t="str">
            <v>LOMax60</v>
          </cell>
          <cell r="D35">
            <v>0.01</v>
          </cell>
          <cell r="E35">
            <v>2.98E-2</v>
          </cell>
          <cell r="F35">
            <v>5.8906E-2</v>
          </cell>
          <cell r="G35">
            <v>9.6549759999999998E-2</v>
          </cell>
          <cell r="H35">
            <v>0.14172227199999998</v>
          </cell>
          <cell r="I35">
            <v>0.19035800991999999</v>
          </cell>
          <cell r="J35">
            <v>0.2362377226912</v>
          </cell>
          <cell r="K35">
            <v>0.279517585072032</v>
          </cell>
          <cell r="L35">
            <v>0.32034492191795017</v>
          </cell>
          <cell r="M35">
            <v>0.35885870967593297</v>
          </cell>
          <cell r="N35">
            <v>0.39519004946096342</v>
          </cell>
          <cell r="O35">
            <v>0.42946261332484215</v>
          </cell>
          <cell r="P35">
            <v>0.46179306523643443</v>
          </cell>
          <cell r="Q35">
            <v>0.49229145820636983</v>
          </cell>
          <cell r="R35">
            <v>0.5210616089080089</v>
          </cell>
          <cell r="S35">
            <v>0.54820145106988838</v>
          </cell>
          <cell r="T35">
            <v>0.57380336884259475</v>
          </cell>
          <cell r="U35">
            <v>0.59795451127484767</v>
          </cell>
          <cell r="V35">
            <v>0.62073708896927293</v>
          </cell>
          <cell r="W35">
            <v>0.6422286539276808</v>
          </cell>
        </row>
        <row r="36">
          <cell r="A36" t="str">
            <v>Refrigeration</v>
          </cell>
          <cell r="B36" t="str">
            <v>Refrigerator - New</v>
          </cell>
          <cell r="C36" t="str">
            <v>LO1Slow</v>
          </cell>
          <cell r="D36">
            <v>2.5643970768378654E-3</v>
          </cell>
          <cell r="E36">
            <v>7.6904586297764643E-3</v>
          </cell>
          <cell r="F36">
            <v>1.6792013047419844E-2</v>
          </cell>
          <cell r="G36">
            <v>3.15969387774655E-2</v>
          </cell>
          <cell r="H36">
            <v>5.406874819795171E-2</v>
          </cell>
          <cell r="I36">
            <v>8.6253181011834101E-2</v>
          </cell>
          <cell r="J36">
            <v>0.1300328481838382</v>
          </cell>
          <cell r="K36">
            <v>0.18678710893858319</v>
          </cell>
          <cell r="L36">
            <v>0.2569823480072907</v>
          </cell>
          <cell r="M36">
            <v>0.33975920985004748</v>
          </cell>
          <cell r="N36">
            <v>0.43262946935754232</v>
          </cell>
          <cell r="O36">
            <v>0.53142594003645804</v>
          </cell>
          <cell r="P36">
            <v>0.63063487292644704</v>
          </cell>
          <cell r="Q36">
            <v>0.7241560234206913</v>
          </cell>
          <cell r="R36">
            <v>0.80638203131755359</v>
          </cell>
          <cell r="S36">
            <v>0.87331559734491926</v>
          </cell>
          <cell r="T36">
            <v>0.92334516248836807</v>
          </cell>
          <cell r="U36">
            <v>0.95737002770730018</v>
          </cell>
          <cell r="V36">
            <v>0.97821608704807483</v>
          </cell>
          <cell r="W36">
            <v>0.98821608704807484</v>
          </cell>
        </row>
        <row r="37">
          <cell r="A37" t="str">
            <v>Refrigeration</v>
          </cell>
          <cell r="B37" t="str">
            <v>Refrigerator - NR</v>
          </cell>
          <cell r="C37" t="str">
            <v>LO1Slow</v>
          </cell>
          <cell r="D37">
            <v>2.5643970768378654E-3</v>
          </cell>
          <cell r="E37">
            <v>7.6904586297764643E-3</v>
          </cell>
          <cell r="F37">
            <v>1.6792013047419844E-2</v>
          </cell>
          <cell r="G37">
            <v>3.15969387774655E-2</v>
          </cell>
          <cell r="H37">
            <v>5.406874819795171E-2</v>
          </cell>
          <cell r="I37">
            <v>8.6253181011834101E-2</v>
          </cell>
          <cell r="J37">
            <v>0.1300328481838382</v>
          </cell>
          <cell r="K37">
            <v>0.18678710893858319</v>
          </cell>
          <cell r="L37">
            <v>0.2569823480072907</v>
          </cell>
          <cell r="M37">
            <v>0.33975920985004748</v>
          </cell>
          <cell r="N37">
            <v>0.43262946935754232</v>
          </cell>
          <cell r="O37">
            <v>0.53142594003645804</v>
          </cell>
          <cell r="P37">
            <v>0.63063487292644704</v>
          </cell>
          <cell r="Q37">
            <v>0.7241560234206913</v>
          </cell>
          <cell r="R37">
            <v>0.80638203131755359</v>
          </cell>
          <cell r="S37">
            <v>0.87331559734491926</v>
          </cell>
          <cell r="T37">
            <v>0.92334516248836807</v>
          </cell>
          <cell r="U37">
            <v>0.95737002770730018</v>
          </cell>
          <cell r="V37">
            <v>0.97821608704807483</v>
          </cell>
          <cell r="W37">
            <v>0.98821608704807484</v>
          </cell>
        </row>
        <row r="38">
          <cell r="A38" t="str">
            <v>Refrigeration</v>
          </cell>
          <cell r="B38" t="str">
            <v>Freezer - New</v>
          </cell>
          <cell r="C38" t="str">
            <v>LO1Slow</v>
          </cell>
          <cell r="D38">
            <v>2.5643970768378654E-3</v>
          </cell>
          <cell r="E38">
            <v>7.6904586297764643E-3</v>
          </cell>
          <cell r="F38">
            <v>1.6792013047419844E-2</v>
          </cell>
          <cell r="G38">
            <v>3.15969387774655E-2</v>
          </cell>
          <cell r="H38">
            <v>5.406874819795171E-2</v>
          </cell>
          <cell r="I38">
            <v>8.6253181011834101E-2</v>
          </cell>
          <cell r="J38">
            <v>0.1300328481838382</v>
          </cell>
          <cell r="K38">
            <v>0.18678710893858319</v>
          </cell>
          <cell r="L38">
            <v>0.2569823480072907</v>
          </cell>
          <cell r="M38">
            <v>0.33975920985004748</v>
          </cell>
          <cell r="N38">
            <v>0.43262946935754232</v>
          </cell>
          <cell r="O38">
            <v>0.53142594003645804</v>
          </cell>
          <cell r="P38">
            <v>0.63063487292644704</v>
          </cell>
          <cell r="Q38">
            <v>0.7241560234206913</v>
          </cell>
          <cell r="R38">
            <v>0.80638203131755359</v>
          </cell>
          <cell r="S38">
            <v>0.87331559734491926</v>
          </cell>
          <cell r="T38">
            <v>0.92334516248836807</v>
          </cell>
          <cell r="U38">
            <v>0.95737002770730018</v>
          </cell>
          <cell r="V38">
            <v>0.97821608704807483</v>
          </cell>
          <cell r="W38">
            <v>0.98821608704807484</v>
          </cell>
        </row>
        <row r="39">
          <cell r="A39" t="str">
            <v>Refrigeration</v>
          </cell>
          <cell r="B39" t="str">
            <v>Freezer - NR</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Water Heating</v>
          </cell>
          <cell r="B40" t="str">
            <v>Solar Water Heater - New</v>
          </cell>
          <cell r="C40" t="str">
            <v>LOMax60</v>
          </cell>
          <cell r="D40">
            <v>0.01</v>
          </cell>
          <cell r="E40">
            <v>2.98E-2</v>
          </cell>
          <cell r="F40">
            <v>5.8906E-2</v>
          </cell>
          <cell r="G40">
            <v>9.6549759999999998E-2</v>
          </cell>
          <cell r="H40">
            <v>0.14172227199999998</v>
          </cell>
          <cell r="I40">
            <v>0.19035800991999999</v>
          </cell>
          <cell r="J40">
            <v>0.2362377226912</v>
          </cell>
          <cell r="K40">
            <v>0.279517585072032</v>
          </cell>
          <cell r="L40">
            <v>0.32034492191795017</v>
          </cell>
          <cell r="M40">
            <v>0.35885870967593297</v>
          </cell>
          <cell r="N40">
            <v>0.39519004946096342</v>
          </cell>
          <cell r="O40">
            <v>0.42946261332484215</v>
          </cell>
          <cell r="P40">
            <v>0.46179306523643443</v>
          </cell>
          <cell r="Q40">
            <v>0.49229145820636983</v>
          </cell>
          <cell r="R40">
            <v>0.5210616089080089</v>
          </cell>
          <cell r="S40">
            <v>0.54820145106988838</v>
          </cell>
          <cell r="T40">
            <v>0.57380336884259475</v>
          </cell>
          <cell r="U40">
            <v>0.59795451127484767</v>
          </cell>
          <cell r="V40">
            <v>0.62073708896927293</v>
          </cell>
          <cell r="W40">
            <v>0.6422286539276808</v>
          </cell>
        </row>
        <row r="41">
          <cell r="A41" t="str">
            <v>Water Heating</v>
          </cell>
          <cell r="B41" t="str">
            <v>Solar Water Heater - NR</v>
          </cell>
          <cell r="C41" t="str">
            <v>LOMax60</v>
          </cell>
          <cell r="D41">
            <v>0.01</v>
          </cell>
          <cell r="E41">
            <v>2.98E-2</v>
          </cell>
          <cell r="F41">
            <v>5.8906E-2</v>
          </cell>
          <cell r="G41">
            <v>9.6549759999999998E-2</v>
          </cell>
          <cell r="H41">
            <v>0.14172227199999998</v>
          </cell>
          <cell r="I41">
            <v>0.19035800991999999</v>
          </cell>
          <cell r="J41">
            <v>0.2362377226912</v>
          </cell>
          <cell r="K41">
            <v>0.279517585072032</v>
          </cell>
          <cell r="L41">
            <v>0.32034492191795017</v>
          </cell>
          <cell r="M41">
            <v>0.35885870967593297</v>
          </cell>
          <cell r="N41">
            <v>0.39519004946096342</v>
          </cell>
          <cell r="O41">
            <v>0.42946261332484215</v>
          </cell>
          <cell r="P41">
            <v>0.46179306523643443</v>
          </cell>
          <cell r="Q41">
            <v>0.49229145820636983</v>
          </cell>
          <cell r="R41">
            <v>0.5210616089080089</v>
          </cell>
          <cell r="S41">
            <v>0.54820145106988838</v>
          </cell>
          <cell r="T41">
            <v>0.57380336884259475</v>
          </cell>
          <cell r="U41">
            <v>0.59795451127484767</v>
          </cell>
          <cell r="V41">
            <v>0.62073708896927293</v>
          </cell>
          <cell r="W41">
            <v>0.6422286539276808</v>
          </cell>
        </row>
        <row r="42">
          <cell r="A42" t="str">
            <v>Water Heating</v>
          </cell>
          <cell r="B42" t="str">
            <v>Solar Water Heater - Retro</v>
          </cell>
          <cell r="C42" t="str">
            <v>RetroMax60</v>
          </cell>
          <cell r="D42">
            <v>0.01</v>
          </cell>
          <cell r="E42">
            <v>1.9799999999999998E-2</v>
          </cell>
          <cell r="F42">
            <v>2.9106E-2</v>
          </cell>
          <cell r="G42">
            <v>3.7643759999999998E-2</v>
          </cell>
          <cell r="H42">
            <v>4.5172511999999984E-2</v>
          </cell>
          <cell r="I42">
            <v>4.8635737920000005E-2</v>
          </cell>
          <cell r="J42">
            <v>4.587971277120001E-2</v>
          </cell>
          <cell r="K42">
            <v>4.3279862380832007E-2</v>
          </cell>
          <cell r="L42">
            <v>4.0827336845918161E-2</v>
          </cell>
          <cell r="M42">
            <v>3.8513787757982809E-2</v>
          </cell>
          <cell r="N42">
            <v>3.6331339785030448E-2</v>
          </cell>
          <cell r="O42">
            <v>3.4272563863878724E-2</v>
          </cell>
          <cell r="P42">
            <v>3.2330451911592284E-2</v>
          </cell>
          <cell r="Q42">
            <v>3.0498392969935395E-2</v>
          </cell>
          <cell r="R42">
            <v>2.8770150701639075E-2</v>
          </cell>
          <cell r="S42">
            <v>2.7139842161879479E-2</v>
          </cell>
          <cell r="T42">
            <v>2.5601917772706373E-2</v>
          </cell>
          <cell r="U42">
            <v>2.4151142432252914E-2</v>
          </cell>
          <cell r="V42">
            <v>2.2782577694425266E-2</v>
          </cell>
          <cell r="W42">
            <v>2.1491564958407872E-2</v>
          </cell>
        </row>
        <row r="43">
          <cell r="A43">
            <v>0</v>
          </cell>
          <cell r="B43">
            <v>0</v>
          </cell>
          <cell r="C43" t="str">
            <v>LOMax60</v>
          </cell>
          <cell r="D43">
            <v>0.01</v>
          </cell>
          <cell r="E43">
            <v>2.98E-2</v>
          </cell>
          <cell r="F43">
            <v>5.8906E-2</v>
          </cell>
          <cell r="G43">
            <v>9.6549759999999998E-2</v>
          </cell>
          <cell r="H43">
            <v>0.14172227199999998</v>
          </cell>
          <cell r="I43">
            <v>0.19035800991999999</v>
          </cell>
          <cell r="J43">
            <v>0.2362377226912</v>
          </cell>
          <cell r="K43">
            <v>0.279517585072032</v>
          </cell>
          <cell r="L43">
            <v>0.32034492191795017</v>
          </cell>
          <cell r="M43">
            <v>0.35885870967593297</v>
          </cell>
          <cell r="N43">
            <v>0.39519004946096342</v>
          </cell>
          <cell r="O43">
            <v>0.42946261332484215</v>
          </cell>
          <cell r="P43">
            <v>0.46179306523643443</v>
          </cell>
          <cell r="Q43">
            <v>0.49229145820636983</v>
          </cell>
          <cell r="R43">
            <v>0.5210616089080089</v>
          </cell>
          <cell r="S43">
            <v>0.54820145106988838</v>
          </cell>
          <cell r="T43">
            <v>0.57380336884259475</v>
          </cell>
          <cell r="U43">
            <v>0.59795451127484767</v>
          </cell>
          <cell r="V43">
            <v>0.62073708896927293</v>
          </cell>
          <cell r="W43">
            <v>0.6422286539276808</v>
          </cell>
        </row>
        <row r="44">
          <cell r="A44">
            <v>0</v>
          </cell>
          <cell r="B44">
            <v>0</v>
          </cell>
          <cell r="C44" t="str">
            <v>RetroMax60</v>
          </cell>
          <cell r="D44">
            <v>0.01</v>
          </cell>
          <cell r="E44">
            <v>1.9799999999999998E-2</v>
          </cell>
          <cell r="F44">
            <v>2.9106E-2</v>
          </cell>
          <cell r="G44">
            <v>3.7643759999999998E-2</v>
          </cell>
          <cell r="H44">
            <v>4.5172511999999984E-2</v>
          </cell>
          <cell r="I44">
            <v>4.8635737920000005E-2</v>
          </cell>
          <cell r="J44">
            <v>4.587971277120001E-2</v>
          </cell>
          <cell r="K44">
            <v>4.3279862380832007E-2</v>
          </cell>
          <cell r="L44">
            <v>4.0827336845918161E-2</v>
          </cell>
          <cell r="M44">
            <v>3.8513787757982809E-2</v>
          </cell>
          <cell r="N44">
            <v>3.6331339785030448E-2</v>
          </cell>
          <cell r="O44">
            <v>3.4272563863878724E-2</v>
          </cell>
          <cell r="P44">
            <v>3.2330451911592284E-2</v>
          </cell>
          <cell r="Q44">
            <v>3.0498392969935395E-2</v>
          </cell>
          <cell r="R44">
            <v>2.8770150701639075E-2</v>
          </cell>
          <cell r="S44">
            <v>2.7139842161879479E-2</v>
          </cell>
          <cell r="T44">
            <v>2.5601917772706373E-2</v>
          </cell>
          <cell r="U44">
            <v>2.4151142432252914E-2</v>
          </cell>
          <cell r="V44">
            <v>2.2782577694425266E-2</v>
          </cell>
          <cell r="W44">
            <v>2.1491564958407872E-2</v>
          </cell>
        </row>
        <row r="45">
          <cell r="A45" t="str">
            <v>Food Preparation</v>
          </cell>
          <cell r="B45" t="str">
            <v>Electric Oven - New</v>
          </cell>
          <cell r="C45" t="str">
            <v>LO20Fast</v>
          </cell>
          <cell r="D45">
            <v>0.22119921692859512</v>
          </cell>
          <cell r="E45">
            <v>0.37624232795148943</v>
          </cell>
          <cell r="F45">
            <v>0.48357361352878442</v>
          </cell>
          <cell r="G45">
            <v>0.56716330278444227</v>
          </cell>
          <cell r="H45">
            <v>0.64040048266456928</v>
          </cell>
          <cell r="I45">
            <v>0.70377511937632964</v>
          </cell>
          <cell r="J45">
            <v>0.7580669577441127</v>
          </cell>
          <cell r="K45">
            <v>0.80419335000071168</v>
          </cell>
          <cell r="L45">
            <v>0.84311022627788457</v>
          </cell>
          <cell r="M45">
            <v>0.87575014259103623</v>
          </cell>
          <cell r="N45">
            <v>0.90298584871682319</v>
          </cell>
          <cell r="O45">
            <v>0.92419703797508856</v>
          </cell>
          <cell r="P45">
            <v>0.94071632877930145</v>
          </cell>
          <cell r="Q45">
            <v>0.95358156539340677</v>
          </cell>
          <cell r="R45">
            <v>0.96360102174287088</v>
          </cell>
          <cell r="S45">
            <v>0.97140418219378311</v>
          </cell>
          <cell r="T45">
            <v>0.97748128966338554</v>
          </cell>
          <cell r="U45">
            <v>0.98221414571952104</v>
          </cell>
          <cell r="V45">
            <v>0.98590009772220355</v>
          </cell>
          <cell r="W45">
            <v>0.98877072002825628</v>
          </cell>
        </row>
        <row r="46">
          <cell r="A46" t="str">
            <v>Food Preparation</v>
          </cell>
          <cell r="B46" t="str">
            <v>Electric Oven - NR</v>
          </cell>
          <cell r="C46" t="str">
            <v>LO20Fast</v>
          </cell>
          <cell r="D46">
            <v>0.22119921692859512</v>
          </cell>
          <cell r="E46">
            <v>0.37624232795148943</v>
          </cell>
          <cell r="F46">
            <v>0.48357361352878442</v>
          </cell>
          <cell r="G46">
            <v>0.56716330278444227</v>
          </cell>
          <cell r="H46">
            <v>0.64040048266456928</v>
          </cell>
          <cell r="I46">
            <v>0.70377511937632964</v>
          </cell>
          <cell r="J46">
            <v>0.7580669577441127</v>
          </cell>
          <cell r="K46">
            <v>0.80419335000071168</v>
          </cell>
          <cell r="L46">
            <v>0.84311022627788457</v>
          </cell>
          <cell r="M46">
            <v>0.87575014259103623</v>
          </cell>
          <cell r="N46">
            <v>0.90298584871682319</v>
          </cell>
          <cell r="O46">
            <v>0.92419703797508856</v>
          </cell>
          <cell r="P46">
            <v>0.94071632877930145</v>
          </cell>
          <cell r="Q46">
            <v>0.95358156539340677</v>
          </cell>
          <cell r="R46">
            <v>0.96360102174287088</v>
          </cell>
          <cell r="S46">
            <v>0.97140418219378311</v>
          </cell>
          <cell r="T46">
            <v>0.97748128966338554</v>
          </cell>
          <cell r="U46">
            <v>0.98221414571952104</v>
          </cell>
          <cell r="V46">
            <v>0.98590009772220355</v>
          </cell>
          <cell r="W46">
            <v>0.98877072002825628</v>
          </cell>
        </row>
        <row r="47">
          <cell r="A47" t="str">
            <v>Food Preparation</v>
          </cell>
          <cell r="B47" t="str">
            <v>Microwave - New</v>
          </cell>
          <cell r="C47" t="str">
            <v>LO12Med</v>
          </cell>
          <cell r="D47">
            <v>0.10937459468255628</v>
          </cell>
          <cell r="E47">
            <v>0.21874918936511256</v>
          </cell>
          <cell r="F47">
            <v>0.32812378404766884</v>
          </cell>
          <cell r="G47">
            <v>0.43749837873022512</v>
          </cell>
          <cell r="H47">
            <v>0.5468729734127814</v>
          </cell>
          <cell r="I47">
            <v>0.64531010862708205</v>
          </cell>
          <cell r="J47">
            <v>0.7240598167985226</v>
          </cell>
          <cell r="K47">
            <v>0.78705958333567505</v>
          </cell>
          <cell r="L47">
            <v>0.83745939656539703</v>
          </cell>
          <cell r="M47">
            <v>0.87777924714917455</v>
          </cell>
          <cell r="N47">
            <v>0.91003512761619654</v>
          </cell>
          <cell r="O47">
            <v>0.93583983198981413</v>
          </cell>
          <cell r="P47">
            <v>0.9564835954887082</v>
          </cell>
          <cell r="Q47">
            <v>0.97299860628782353</v>
          </cell>
          <cell r="R47">
            <v>0.9862106149271157</v>
          </cell>
          <cell r="S47">
            <v>0.99678022183854953</v>
          </cell>
          <cell r="T47">
            <v>0.99685231466234414</v>
          </cell>
          <cell r="U47">
            <v>0.99687806209941365</v>
          </cell>
          <cell r="V47">
            <v>0.99688683963477831</v>
          </cell>
          <cell r="W47">
            <v>0.99688970187457115</v>
          </cell>
        </row>
        <row r="48">
          <cell r="A48" t="str">
            <v>Food Preparation</v>
          </cell>
          <cell r="B48" t="str">
            <v>Microwave - NR</v>
          </cell>
          <cell r="C48" t="str">
            <v>LO12Med</v>
          </cell>
          <cell r="D48">
            <v>0.10937459468255628</v>
          </cell>
          <cell r="E48">
            <v>0.21874918936511256</v>
          </cell>
          <cell r="F48">
            <v>0.32812378404766884</v>
          </cell>
          <cell r="G48">
            <v>0.43749837873022512</v>
          </cell>
          <cell r="H48">
            <v>0.5468729734127814</v>
          </cell>
          <cell r="I48">
            <v>0.64531010862708205</v>
          </cell>
          <cell r="J48">
            <v>0.7240598167985226</v>
          </cell>
          <cell r="K48">
            <v>0.78705958333567505</v>
          </cell>
          <cell r="L48">
            <v>0.83745939656539703</v>
          </cell>
          <cell r="M48">
            <v>0.87777924714917455</v>
          </cell>
          <cell r="N48">
            <v>0.91003512761619654</v>
          </cell>
          <cell r="O48">
            <v>0.93583983198981413</v>
          </cell>
          <cell r="P48">
            <v>0.9564835954887082</v>
          </cell>
          <cell r="Q48">
            <v>0.97299860628782353</v>
          </cell>
          <cell r="R48">
            <v>0.9862106149271157</v>
          </cell>
          <cell r="S48">
            <v>0.99678022183854953</v>
          </cell>
          <cell r="T48">
            <v>0.99685231466234414</v>
          </cell>
          <cell r="U48">
            <v>0.99687806209941365</v>
          </cell>
          <cell r="V48">
            <v>0.99688683963477831</v>
          </cell>
          <cell r="W48">
            <v>0.99688970187457115</v>
          </cell>
        </row>
        <row r="49">
          <cell r="A49" t="str">
            <v>Electronics</v>
          </cell>
          <cell r="B49" t="str">
            <v>Monitor - New</v>
          </cell>
          <cell r="C49" t="str">
            <v>LO50Fast</v>
          </cell>
          <cell r="D49">
            <v>0.45</v>
          </cell>
          <cell r="E49">
            <v>0.66</v>
          </cell>
          <cell r="F49">
            <v>0.8</v>
          </cell>
          <cell r="G49">
            <v>0.89</v>
          </cell>
          <cell r="H49">
            <v>0.94954036260972652</v>
          </cell>
          <cell r="I49">
            <v>0.97931054391458994</v>
          </cell>
          <cell r="J49">
            <v>0.99254173560564019</v>
          </cell>
          <cell r="K49">
            <v>0.99783421228206048</v>
          </cell>
          <cell r="L49">
            <v>0.99975874925530417</v>
          </cell>
          <cell r="M49">
            <v>1.0004002615797187</v>
          </cell>
          <cell r="N49">
            <v>1.0005976499872309</v>
          </cell>
          <cell r="O49">
            <v>1.0006540466750915</v>
          </cell>
          <cell r="P49">
            <v>1.0006690857918545</v>
          </cell>
          <cell r="Q49">
            <v>1.000672845571045</v>
          </cell>
          <cell r="R49">
            <v>1.0006737302249724</v>
          </cell>
          <cell r="S49">
            <v>1.0006739268147338</v>
          </cell>
          <cell r="T49">
            <v>1.0006739682020522</v>
          </cell>
          <cell r="U49">
            <v>1.0006739764795158</v>
          </cell>
          <cell r="V49">
            <v>1.0006739780561755</v>
          </cell>
          <cell r="W49">
            <v>1.0006739783428409</v>
          </cell>
        </row>
        <row r="50">
          <cell r="A50" t="str">
            <v>Electronics</v>
          </cell>
          <cell r="B50" t="str">
            <v>Monitor - NR</v>
          </cell>
          <cell r="C50" t="str">
            <v>LO50Fast</v>
          </cell>
          <cell r="D50">
            <v>0.45</v>
          </cell>
          <cell r="E50">
            <v>0.66</v>
          </cell>
          <cell r="F50">
            <v>0.8</v>
          </cell>
          <cell r="G50">
            <v>0.89</v>
          </cell>
          <cell r="H50">
            <v>0.94954036260972652</v>
          </cell>
          <cell r="I50">
            <v>0.97931054391458994</v>
          </cell>
          <cell r="J50">
            <v>0.99254173560564019</v>
          </cell>
          <cell r="K50">
            <v>0.99783421228206048</v>
          </cell>
          <cell r="L50">
            <v>0.99975874925530417</v>
          </cell>
          <cell r="M50">
            <v>1.0004002615797187</v>
          </cell>
          <cell r="N50">
            <v>1.0005976499872309</v>
          </cell>
          <cell r="O50">
            <v>1.0006540466750915</v>
          </cell>
          <cell r="P50">
            <v>1.0006690857918545</v>
          </cell>
          <cell r="Q50">
            <v>1.000672845571045</v>
          </cell>
          <cell r="R50">
            <v>1.0006737302249724</v>
          </cell>
          <cell r="S50">
            <v>1.0006739268147338</v>
          </cell>
          <cell r="T50">
            <v>1.0006739682020522</v>
          </cell>
          <cell r="U50">
            <v>1.0006739764795158</v>
          </cell>
          <cell r="V50">
            <v>1.0006739780561755</v>
          </cell>
          <cell r="W50">
            <v>1.0006739783428409</v>
          </cell>
        </row>
        <row r="51">
          <cell r="A51" t="str">
            <v>Electronics</v>
          </cell>
          <cell r="B51" t="str">
            <v>Desktop - New</v>
          </cell>
          <cell r="C51" t="str">
            <v>LO50Fast</v>
          </cell>
          <cell r="D51">
            <v>0.45</v>
          </cell>
          <cell r="E51">
            <v>0.66</v>
          </cell>
          <cell r="F51">
            <v>0.8</v>
          </cell>
          <cell r="G51">
            <v>0.89</v>
          </cell>
          <cell r="H51">
            <v>0.94954036260972652</v>
          </cell>
          <cell r="I51">
            <v>0.97931054391458994</v>
          </cell>
          <cell r="J51">
            <v>0.99254173560564019</v>
          </cell>
          <cell r="K51">
            <v>0.99783421228206048</v>
          </cell>
          <cell r="L51">
            <v>0.99975874925530417</v>
          </cell>
          <cell r="M51">
            <v>1.0004002615797187</v>
          </cell>
          <cell r="N51">
            <v>1.0005976499872309</v>
          </cell>
          <cell r="O51">
            <v>1.0006540466750915</v>
          </cell>
          <cell r="P51">
            <v>1.0006690857918545</v>
          </cell>
          <cell r="Q51">
            <v>1.000672845571045</v>
          </cell>
          <cell r="R51">
            <v>1.0006737302249724</v>
          </cell>
          <cell r="S51">
            <v>1.0006739268147338</v>
          </cell>
          <cell r="T51">
            <v>1.0006739682020522</v>
          </cell>
          <cell r="U51">
            <v>1.0006739764795158</v>
          </cell>
          <cell r="V51">
            <v>1.0006739780561755</v>
          </cell>
          <cell r="W51">
            <v>1.0006739783428409</v>
          </cell>
        </row>
        <row r="52">
          <cell r="A52" t="str">
            <v>Electronics</v>
          </cell>
          <cell r="B52" t="str">
            <v>Desktop - NR</v>
          </cell>
          <cell r="C52" t="str">
            <v>LO50Fast</v>
          </cell>
          <cell r="D52">
            <v>0.45</v>
          </cell>
          <cell r="E52">
            <v>0.66</v>
          </cell>
          <cell r="F52">
            <v>0.8</v>
          </cell>
          <cell r="G52">
            <v>0.89</v>
          </cell>
          <cell r="H52">
            <v>0.94954036260972652</v>
          </cell>
          <cell r="I52">
            <v>0.97931054391458994</v>
          </cell>
          <cell r="J52">
            <v>0.99254173560564019</v>
          </cell>
          <cell r="K52">
            <v>0.99783421228206048</v>
          </cell>
          <cell r="L52">
            <v>0.99975874925530417</v>
          </cell>
          <cell r="M52">
            <v>1.0004002615797187</v>
          </cell>
          <cell r="N52">
            <v>1.0005976499872309</v>
          </cell>
          <cell r="O52">
            <v>1.0006540466750915</v>
          </cell>
          <cell r="P52">
            <v>1.0006690857918545</v>
          </cell>
          <cell r="Q52">
            <v>1.000672845571045</v>
          </cell>
          <cell r="R52">
            <v>1.0006737302249724</v>
          </cell>
          <cell r="S52">
            <v>1.0006739268147338</v>
          </cell>
          <cell r="T52">
            <v>1.0006739682020522</v>
          </cell>
          <cell r="U52">
            <v>1.0006739764795158</v>
          </cell>
          <cell r="V52">
            <v>1.0006739780561755</v>
          </cell>
          <cell r="W52">
            <v>1.0006739783428409</v>
          </cell>
        </row>
        <row r="53">
          <cell r="A53" t="str">
            <v>Electronics</v>
          </cell>
          <cell r="B53" t="str">
            <v>Laptop - New</v>
          </cell>
          <cell r="C53" t="str">
            <v>LO50Fast</v>
          </cell>
          <cell r="D53">
            <v>0.45</v>
          </cell>
          <cell r="E53">
            <v>0.66</v>
          </cell>
          <cell r="F53">
            <v>0.8</v>
          </cell>
          <cell r="G53">
            <v>0.89</v>
          </cell>
          <cell r="H53">
            <v>0.94954036260972652</v>
          </cell>
          <cell r="I53">
            <v>0.97931054391458994</v>
          </cell>
          <cell r="J53">
            <v>0.99254173560564019</v>
          </cell>
          <cell r="K53">
            <v>0.99783421228206048</v>
          </cell>
          <cell r="L53">
            <v>0.99975874925530417</v>
          </cell>
          <cell r="M53">
            <v>1.0004002615797187</v>
          </cell>
          <cell r="N53">
            <v>1.0005976499872309</v>
          </cell>
          <cell r="O53">
            <v>1.0006540466750915</v>
          </cell>
          <cell r="P53">
            <v>1.0006690857918545</v>
          </cell>
          <cell r="Q53">
            <v>1.000672845571045</v>
          </cell>
          <cell r="R53">
            <v>1.0006737302249724</v>
          </cell>
          <cell r="S53">
            <v>1.0006739268147338</v>
          </cell>
          <cell r="T53">
            <v>1.0006739682020522</v>
          </cell>
          <cell r="U53">
            <v>1.0006739764795158</v>
          </cell>
          <cell r="V53">
            <v>1.0006739780561755</v>
          </cell>
          <cell r="W53">
            <v>1.0006739783428409</v>
          </cell>
        </row>
        <row r="54">
          <cell r="A54" t="str">
            <v>Electronics</v>
          </cell>
          <cell r="B54" t="str">
            <v>Laptop - NR</v>
          </cell>
          <cell r="C54" t="str">
            <v>LO50Fast</v>
          </cell>
          <cell r="D54">
            <v>0.45</v>
          </cell>
          <cell r="E54">
            <v>0.66</v>
          </cell>
          <cell r="F54">
            <v>0.8</v>
          </cell>
          <cell r="G54">
            <v>0.89</v>
          </cell>
          <cell r="H54">
            <v>0.94954036260972652</v>
          </cell>
          <cell r="I54">
            <v>0.97931054391458994</v>
          </cell>
          <cell r="J54">
            <v>0.99254173560564019</v>
          </cell>
          <cell r="K54">
            <v>0.99783421228206048</v>
          </cell>
          <cell r="L54">
            <v>0.99975874925530417</v>
          </cell>
          <cell r="M54">
            <v>1.0004002615797187</v>
          </cell>
          <cell r="N54">
            <v>1.0005976499872309</v>
          </cell>
          <cell r="O54">
            <v>1.0006540466750915</v>
          </cell>
          <cell r="P54">
            <v>1.0006690857918545</v>
          </cell>
          <cell r="Q54">
            <v>1.000672845571045</v>
          </cell>
          <cell r="R54">
            <v>1.0006737302249724</v>
          </cell>
          <cell r="S54">
            <v>1.0006739268147338</v>
          </cell>
          <cell r="T54">
            <v>1.0006739682020522</v>
          </cell>
          <cell r="U54">
            <v>1.0006739764795158</v>
          </cell>
          <cell r="V54">
            <v>1.0006739780561755</v>
          </cell>
          <cell r="W54">
            <v>1.0006739783428409</v>
          </cell>
        </row>
        <row r="55">
          <cell r="A55" t="str">
            <v>Electronics</v>
          </cell>
          <cell r="B55" t="str">
            <v>Computer - New</v>
          </cell>
          <cell r="C55" t="str">
            <v>LO50Fast</v>
          </cell>
          <cell r="D55">
            <v>0.45</v>
          </cell>
          <cell r="E55">
            <v>0.66</v>
          </cell>
          <cell r="F55">
            <v>0.8</v>
          </cell>
          <cell r="G55">
            <v>0.89</v>
          </cell>
          <cell r="H55">
            <v>0.94954036260972652</v>
          </cell>
          <cell r="I55">
            <v>0.97931054391458994</v>
          </cell>
          <cell r="J55">
            <v>0.99254173560564019</v>
          </cell>
          <cell r="K55">
            <v>0.99783421228206048</v>
          </cell>
          <cell r="L55">
            <v>0.99975874925530417</v>
          </cell>
          <cell r="M55">
            <v>1.0004002615797187</v>
          </cell>
          <cell r="N55">
            <v>1.0005976499872309</v>
          </cell>
          <cell r="O55">
            <v>1.0006540466750915</v>
          </cell>
          <cell r="P55">
            <v>1.0006690857918545</v>
          </cell>
          <cell r="Q55">
            <v>1.000672845571045</v>
          </cell>
          <cell r="R55">
            <v>1.0006737302249724</v>
          </cell>
          <cell r="S55">
            <v>1.0006739268147338</v>
          </cell>
          <cell r="T55">
            <v>1.0006739682020522</v>
          </cell>
          <cell r="U55">
            <v>1.0006739764795158</v>
          </cell>
          <cell r="V55">
            <v>1.0006739780561755</v>
          </cell>
          <cell r="W55">
            <v>1.0006739783428409</v>
          </cell>
        </row>
        <row r="56">
          <cell r="A56" t="str">
            <v>Electronics</v>
          </cell>
          <cell r="B56" t="str">
            <v>Computer - NR</v>
          </cell>
          <cell r="C56" t="str">
            <v>LO50Fast</v>
          </cell>
          <cell r="D56">
            <v>0.45</v>
          </cell>
          <cell r="E56">
            <v>0.66</v>
          </cell>
          <cell r="F56">
            <v>0.8</v>
          </cell>
          <cell r="G56">
            <v>0.89</v>
          </cell>
          <cell r="H56">
            <v>0.94954036260972652</v>
          </cell>
          <cell r="I56">
            <v>0.97931054391458994</v>
          </cell>
          <cell r="J56">
            <v>0.99254173560564019</v>
          </cell>
          <cell r="K56">
            <v>0.99783421228206048</v>
          </cell>
          <cell r="L56">
            <v>0.99975874925530417</v>
          </cell>
          <cell r="M56">
            <v>1.0004002615797187</v>
          </cell>
          <cell r="N56">
            <v>1.0005976499872309</v>
          </cell>
          <cell r="O56">
            <v>1.0006540466750915</v>
          </cell>
          <cell r="P56">
            <v>1.0006690857918545</v>
          </cell>
          <cell r="Q56">
            <v>1.000672845571045</v>
          </cell>
          <cell r="R56">
            <v>1.0006737302249724</v>
          </cell>
          <cell r="S56">
            <v>1.0006739268147338</v>
          </cell>
          <cell r="T56">
            <v>1.0006739682020522</v>
          </cell>
          <cell r="U56">
            <v>1.0006739764795158</v>
          </cell>
          <cell r="V56">
            <v>1.0006739780561755</v>
          </cell>
          <cell r="W56">
            <v>1.0006739783428409</v>
          </cell>
        </row>
        <row r="57">
          <cell r="A57" t="str">
            <v>HVAC</v>
          </cell>
          <cell r="B57" t="str">
            <v>ASHP - New</v>
          </cell>
          <cell r="C57" t="str">
            <v>LO5Med</v>
          </cell>
          <cell r="D57">
            <v>4.2999999999999997E-2</v>
          </cell>
          <cell r="E57">
            <v>9.5797142280278316E-2</v>
          </cell>
          <cell r="F57">
            <v>0.16040539374775648</v>
          </cell>
          <cell r="G57">
            <v>0.23540539374775649</v>
          </cell>
          <cell r="H57">
            <v>0.32095239121809005</v>
          </cell>
          <cell r="I57">
            <v>0.42096711425629652</v>
          </cell>
          <cell r="J57">
            <v>0.53068481860864725</v>
          </cell>
          <cell r="K57">
            <v>0.642769203728351</v>
          </cell>
          <cell r="L57">
            <v>0.74839528535557953</v>
          </cell>
          <cell r="M57">
            <v>0.83918984935345187</v>
          </cell>
          <cell r="N57">
            <v>0.90945051634530116</v>
          </cell>
          <cell r="O57">
            <v>0.9576688767502457</v>
          </cell>
          <cell r="P57">
            <v>0.9865231113648858</v>
          </cell>
          <cell r="Q57">
            <v>1.0012970762896924</v>
          </cell>
          <cell r="R57">
            <v>1.0076356106578106</v>
          </cell>
          <cell r="S57">
            <v>1.0098624683774413</v>
          </cell>
          <cell r="T57">
            <v>1.0104871783970797</v>
          </cell>
          <cell r="U57">
            <v>1.010623336815976</v>
          </cell>
          <cell r="V57">
            <v>1.0106457174525985</v>
          </cell>
          <cell r="W57">
            <v>1.0106484038909742</v>
          </cell>
        </row>
        <row r="58">
          <cell r="A58" t="str">
            <v>HVAC</v>
          </cell>
          <cell r="B58" t="str">
            <v>ASHP - NR</v>
          </cell>
          <cell r="C58" t="str">
            <v>LO5Med</v>
          </cell>
          <cell r="D58">
            <v>4.2999999999999997E-2</v>
          </cell>
          <cell r="E58">
            <v>9.5797142280278316E-2</v>
          </cell>
          <cell r="F58">
            <v>0.16040539374775648</v>
          </cell>
          <cell r="G58">
            <v>0.23540539374775649</v>
          </cell>
          <cell r="H58">
            <v>0.32095239121809005</v>
          </cell>
          <cell r="I58">
            <v>0.42096711425629652</v>
          </cell>
          <cell r="J58">
            <v>0.53068481860864725</v>
          </cell>
          <cell r="K58">
            <v>0.642769203728351</v>
          </cell>
          <cell r="L58">
            <v>0.74839528535557953</v>
          </cell>
          <cell r="M58">
            <v>0.83918984935345187</v>
          </cell>
          <cell r="N58">
            <v>0.90945051634530116</v>
          </cell>
          <cell r="O58">
            <v>0.9576688767502457</v>
          </cell>
          <cell r="P58">
            <v>0.9865231113648858</v>
          </cell>
          <cell r="Q58">
            <v>1.0012970762896924</v>
          </cell>
          <cell r="R58">
            <v>1.0076356106578106</v>
          </cell>
          <cell r="S58">
            <v>1.0098624683774413</v>
          </cell>
          <cell r="T58">
            <v>1.0104871783970797</v>
          </cell>
          <cell r="U58">
            <v>1.010623336815976</v>
          </cell>
          <cell r="V58">
            <v>1.0106457174525985</v>
          </cell>
          <cell r="W58">
            <v>1.0106484038909742</v>
          </cell>
        </row>
        <row r="59">
          <cell r="A59" t="str">
            <v>HVAC</v>
          </cell>
          <cell r="B59" t="str">
            <v>HP - Retro</v>
          </cell>
          <cell r="C59" t="str">
            <v>Retro12Med</v>
          </cell>
          <cell r="D59">
            <v>0.10937459468255628</v>
          </cell>
          <cell r="E59">
            <v>0.10937459468255628</v>
          </cell>
          <cell r="F59">
            <v>0.10937459468255628</v>
          </cell>
          <cell r="G59">
            <v>0.10937459468255628</v>
          </cell>
          <cell r="H59">
            <v>0.10937459468255628</v>
          </cell>
          <cell r="I59">
            <v>9.8437135214300656E-2</v>
          </cell>
          <cell r="J59">
            <v>7.874970817144053E-2</v>
          </cell>
          <cell r="K59">
            <v>6.2999766537152418E-2</v>
          </cell>
          <cell r="L59">
            <v>5.0399813229721938E-2</v>
          </cell>
          <cell r="M59">
            <v>4.0319850583777551E-2</v>
          </cell>
          <cell r="N59">
            <v>3.225588046702204E-2</v>
          </cell>
          <cell r="O59">
            <v>2.5804704373617631E-2</v>
          </cell>
          <cell r="P59">
            <v>2.0643763498894106E-2</v>
          </cell>
          <cell r="Q59">
            <v>1.6515010799115284E-2</v>
          </cell>
          <cell r="R59">
            <v>1.3212008639292228E-2</v>
          </cell>
          <cell r="S59">
            <v>1.0569606911433781E-2</v>
          </cell>
          <cell r="T59">
            <v>7.2092823794611682E-5</v>
          </cell>
          <cell r="U59">
            <v>2.5747437069512102E-5</v>
          </cell>
          <cell r="V59">
            <v>8.7775353646568632E-6</v>
          </cell>
          <cell r="W59">
            <v>2.8622397928446119E-6</v>
          </cell>
        </row>
        <row r="60">
          <cell r="A60" t="str">
            <v>HVAC</v>
          </cell>
          <cell r="B60" t="str">
            <v>DHP - New</v>
          </cell>
          <cell r="C60" t="str">
            <v>LO5Med</v>
          </cell>
          <cell r="D60">
            <v>4.2999999999999997E-2</v>
          </cell>
          <cell r="E60">
            <v>9.5797142280278316E-2</v>
          </cell>
          <cell r="F60">
            <v>0.16040539374775648</v>
          </cell>
          <cell r="G60">
            <v>0.23540539374775649</v>
          </cell>
          <cell r="H60">
            <v>0.32095239121809005</v>
          </cell>
          <cell r="I60">
            <v>0.42096711425629652</v>
          </cell>
          <cell r="J60">
            <v>0.53068481860864725</v>
          </cell>
          <cell r="K60">
            <v>0.642769203728351</v>
          </cell>
          <cell r="L60">
            <v>0.74839528535557953</v>
          </cell>
          <cell r="M60">
            <v>0.83918984935345187</v>
          </cell>
          <cell r="N60">
            <v>0.90945051634530116</v>
          </cell>
          <cell r="O60">
            <v>0.9576688767502457</v>
          </cell>
          <cell r="P60">
            <v>0.9865231113648858</v>
          </cell>
          <cell r="Q60">
            <v>1.0012970762896924</v>
          </cell>
          <cell r="R60">
            <v>1.0076356106578106</v>
          </cell>
          <cell r="S60">
            <v>1.0098624683774413</v>
          </cell>
          <cell r="T60">
            <v>1.0104871783970797</v>
          </cell>
          <cell r="U60">
            <v>1.010623336815976</v>
          </cell>
          <cell r="V60">
            <v>1.0106457174525985</v>
          </cell>
          <cell r="W60">
            <v>1.0106484038909742</v>
          </cell>
        </row>
        <row r="61">
          <cell r="A61" t="str">
            <v>HVAC</v>
          </cell>
          <cell r="B61" t="str">
            <v>DHP - NR</v>
          </cell>
          <cell r="C61" t="str">
            <v>LO5Med</v>
          </cell>
          <cell r="D61">
            <v>4.2999999999999997E-2</v>
          </cell>
          <cell r="E61">
            <v>9.5797142280278316E-2</v>
          </cell>
          <cell r="F61">
            <v>0.16040539374775648</v>
          </cell>
          <cell r="G61">
            <v>0.23540539374775649</v>
          </cell>
          <cell r="H61">
            <v>0.32095239121809005</v>
          </cell>
          <cell r="I61">
            <v>0.42096711425629652</v>
          </cell>
          <cell r="J61">
            <v>0.53068481860864725</v>
          </cell>
          <cell r="K61">
            <v>0.642769203728351</v>
          </cell>
          <cell r="L61">
            <v>0.74839528535557953</v>
          </cell>
          <cell r="M61">
            <v>0.83918984935345187</v>
          </cell>
          <cell r="N61">
            <v>0.90945051634530116</v>
          </cell>
          <cell r="O61">
            <v>0.9576688767502457</v>
          </cell>
          <cell r="P61">
            <v>0.9865231113648858</v>
          </cell>
          <cell r="Q61">
            <v>1.0012970762896924</v>
          </cell>
          <cell r="R61">
            <v>1.0076356106578106</v>
          </cell>
          <cell r="S61">
            <v>1.0098624683774413</v>
          </cell>
          <cell r="T61">
            <v>1.0104871783970797</v>
          </cell>
          <cell r="U61">
            <v>1.010623336815976</v>
          </cell>
          <cell r="V61">
            <v>1.0106457174525985</v>
          </cell>
          <cell r="W61">
            <v>1.0106484038909742</v>
          </cell>
        </row>
        <row r="62">
          <cell r="A62" t="str">
            <v>HVAC</v>
          </cell>
          <cell r="B62" t="str">
            <v>DHP - Retro</v>
          </cell>
          <cell r="C62" t="str">
            <v>Retro5Med</v>
          </cell>
          <cell r="D62">
            <v>4.2999999999999997E-2</v>
          </cell>
          <cell r="E62">
            <v>5.279714228027832E-2</v>
          </cell>
          <cell r="F62">
            <v>6.4608251467478173E-2</v>
          </cell>
          <cell r="G62">
            <v>7.4999999999999997E-2</v>
          </cell>
          <cell r="H62">
            <v>8.5546997470333563E-2</v>
          </cell>
          <cell r="I62">
            <v>0.10001472303820647</v>
          </cell>
          <cell r="J62">
            <v>0.10971770435235073</v>
          </cell>
          <cell r="K62">
            <v>0.11208438511970376</v>
          </cell>
          <cell r="L62">
            <v>0.10562608162722853</v>
          </cell>
          <cell r="M62">
            <v>9.0794563997872335E-2</v>
          </cell>
          <cell r="N62">
            <v>7.0260666991849297E-2</v>
          </cell>
          <cell r="O62">
            <v>4.8218360404944538E-2</v>
          </cell>
          <cell r="P62">
            <v>2.8854234614640095E-2</v>
          </cell>
          <cell r="Q62">
            <v>1.4773964924806759E-2</v>
          </cell>
          <cell r="R62">
            <v>6.3385343681182649E-3</v>
          </cell>
          <cell r="S62">
            <v>2.2268577196306039E-3</v>
          </cell>
          <cell r="T62">
            <v>6.2471001963848583E-4</v>
          </cell>
          <cell r="U62">
            <v>1.3615841889635938E-4</v>
          </cell>
          <cell r="V62">
            <v>2.2380636622298944E-5</v>
          </cell>
          <cell r="W62">
            <v>2.68643837586513E-6</v>
          </cell>
        </row>
        <row r="63">
          <cell r="A63" t="str">
            <v>HVAC</v>
          </cell>
          <cell r="B63" t="str">
            <v>Duct Sealing - New</v>
          </cell>
          <cell r="C63" t="str">
            <v>LO12Med</v>
          </cell>
          <cell r="D63">
            <v>0.10937459468255628</v>
          </cell>
          <cell r="E63">
            <v>0.21874918936511256</v>
          </cell>
          <cell r="F63">
            <v>0.32812378404766884</v>
          </cell>
          <cell r="G63">
            <v>0.43749837873022512</v>
          </cell>
          <cell r="H63">
            <v>0.5468729734127814</v>
          </cell>
          <cell r="I63">
            <v>0.64531010862708205</v>
          </cell>
          <cell r="J63">
            <v>0.7240598167985226</v>
          </cell>
          <cell r="K63">
            <v>0.78705958333567505</v>
          </cell>
          <cell r="L63">
            <v>0.83745939656539703</v>
          </cell>
          <cell r="M63">
            <v>0.87777924714917455</v>
          </cell>
          <cell r="N63">
            <v>0.91003512761619654</v>
          </cell>
          <cell r="O63">
            <v>0.93583983198981413</v>
          </cell>
          <cell r="P63">
            <v>0.9564835954887082</v>
          </cell>
          <cell r="Q63">
            <v>0.97299860628782353</v>
          </cell>
          <cell r="R63">
            <v>0.9862106149271157</v>
          </cell>
          <cell r="S63">
            <v>0.99678022183854953</v>
          </cell>
          <cell r="T63">
            <v>0.99685231466234414</v>
          </cell>
          <cell r="U63">
            <v>0.99687806209941365</v>
          </cell>
          <cell r="V63">
            <v>0.99688683963477831</v>
          </cell>
          <cell r="W63">
            <v>0.99688970187457115</v>
          </cell>
        </row>
        <row r="64">
          <cell r="A64" t="str">
            <v>HVAC</v>
          </cell>
          <cell r="B64" t="str">
            <v>Duct Sealing - Retro</v>
          </cell>
          <cell r="C64" t="str">
            <v>Retro12Med</v>
          </cell>
          <cell r="D64">
            <v>0.10937459468255628</v>
          </cell>
          <cell r="E64">
            <v>0.10937459468255628</v>
          </cell>
          <cell r="F64">
            <v>0.10937459468255628</v>
          </cell>
          <cell r="G64">
            <v>0.10937459468255628</v>
          </cell>
          <cell r="H64">
            <v>0.10937459468255628</v>
          </cell>
          <cell r="I64">
            <v>9.8437135214300656E-2</v>
          </cell>
          <cell r="J64">
            <v>7.874970817144053E-2</v>
          </cell>
          <cell r="K64">
            <v>6.2999766537152418E-2</v>
          </cell>
          <cell r="L64">
            <v>5.0399813229721938E-2</v>
          </cell>
          <cell r="M64">
            <v>4.0319850583777551E-2</v>
          </cell>
          <cell r="N64">
            <v>3.225588046702204E-2</v>
          </cell>
          <cell r="O64">
            <v>2.5804704373617631E-2</v>
          </cell>
          <cell r="P64">
            <v>2.0643763498894106E-2</v>
          </cell>
          <cell r="Q64">
            <v>1.6515010799115284E-2</v>
          </cell>
          <cell r="R64">
            <v>1.3212008639292228E-2</v>
          </cell>
          <cell r="S64">
            <v>1.0569606911433781E-2</v>
          </cell>
          <cell r="T64">
            <v>7.2092823794611682E-5</v>
          </cell>
          <cell r="U64">
            <v>2.5747437069512102E-5</v>
          </cell>
          <cell r="V64">
            <v>8.7775353646568632E-6</v>
          </cell>
          <cell r="W64">
            <v>2.8622397928446119E-6</v>
          </cell>
        </row>
        <row r="65">
          <cell r="A65" t="str">
            <v>HVAC</v>
          </cell>
          <cell r="B65" t="str">
            <v>WIFI enabled tstats - New</v>
          </cell>
          <cell r="C65" t="str">
            <v>LO5Med</v>
          </cell>
          <cell r="D65">
            <v>4.2999999999999997E-2</v>
          </cell>
          <cell r="E65">
            <v>9.5797142280278316E-2</v>
          </cell>
          <cell r="F65">
            <v>0.16040539374775648</v>
          </cell>
          <cell r="G65">
            <v>0.23540539374775649</v>
          </cell>
          <cell r="H65">
            <v>0.32095239121809005</v>
          </cell>
          <cell r="I65">
            <v>0.42096711425629652</v>
          </cell>
          <cell r="J65">
            <v>0.53068481860864725</v>
          </cell>
          <cell r="K65">
            <v>0.642769203728351</v>
          </cell>
          <cell r="L65">
            <v>0.74839528535557953</v>
          </cell>
          <cell r="M65">
            <v>0.83918984935345187</v>
          </cell>
          <cell r="N65">
            <v>0.90945051634530116</v>
          </cell>
          <cell r="O65">
            <v>0.9576688767502457</v>
          </cell>
          <cell r="P65">
            <v>0.9865231113648858</v>
          </cell>
          <cell r="Q65">
            <v>1.0012970762896924</v>
          </cell>
          <cell r="R65">
            <v>1.0076356106578106</v>
          </cell>
          <cell r="S65">
            <v>1.0098624683774413</v>
          </cell>
          <cell r="T65">
            <v>1.0104871783970797</v>
          </cell>
          <cell r="U65">
            <v>1.010623336815976</v>
          </cell>
          <cell r="V65">
            <v>1.0106457174525985</v>
          </cell>
          <cell r="W65">
            <v>1.0106484038909742</v>
          </cell>
        </row>
        <row r="66">
          <cell r="A66" t="str">
            <v>HVAC</v>
          </cell>
          <cell r="B66" t="str">
            <v>WIFI enabled tstats - Retro</v>
          </cell>
          <cell r="C66" t="str">
            <v>Retro5Med</v>
          </cell>
          <cell r="D66">
            <v>4.2999999999999997E-2</v>
          </cell>
          <cell r="E66">
            <v>5.279714228027832E-2</v>
          </cell>
          <cell r="F66">
            <v>6.4608251467478173E-2</v>
          </cell>
          <cell r="G66">
            <v>7.4999999999999997E-2</v>
          </cell>
          <cell r="H66">
            <v>8.5546997470333563E-2</v>
          </cell>
          <cell r="I66">
            <v>0.10001472303820647</v>
          </cell>
          <cell r="J66">
            <v>0.10971770435235073</v>
          </cell>
          <cell r="K66">
            <v>0.11208438511970376</v>
          </cell>
          <cell r="L66">
            <v>0.10562608162722853</v>
          </cell>
          <cell r="M66">
            <v>9.0794563997872335E-2</v>
          </cell>
          <cell r="N66">
            <v>7.0260666991849297E-2</v>
          </cell>
          <cell r="O66">
            <v>4.8218360404944538E-2</v>
          </cell>
          <cell r="P66">
            <v>2.8854234614640095E-2</v>
          </cell>
          <cell r="Q66">
            <v>1.4773964924806759E-2</v>
          </cell>
          <cell r="R66">
            <v>6.3385343681182649E-3</v>
          </cell>
          <cell r="S66">
            <v>2.2268577196306039E-3</v>
          </cell>
          <cell r="T66">
            <v>6.2471001963848583E-4</v>
          </cell>
          <cell r="U66">
            <v>1.3615841889635938E-4</v>
          </cell>
          <cell r="V66">
            <v>2.2380636622298944E-5</v>
          </cell>
          <cell r="W66">
            <v>2.68643837586513E-6</v>
          </cell>
        </row>
        <row r="67">
          <cell r="A67" t="str">
            <v>HVAC</v>
          </cell>
          <cell r="B67" t="str">
            <v>Combo DHP/HPWH units - New</v>
          </cell>
          <cell r="C67" t="str">
            <v>LO5Med</v>
          </cell>
          <cell r="D67">
            <v>4.2999999999999997E-2</v>
          </cell>
          <cell r="E67">
            <v>9.5797142280278316E-2</v>
          </cell>
          <cell r="F67">
            <v>0.16040539374775648</v>
          </cell>
          <cell r="G67">
            <v>0.23540539374775649</v>
          </cell>
          <cell r="H67">
            <v>0.32095239121809005</v>
          </cell>
          <cell r="I67">
            <v>0.42096711425629652</v>
          </cell>
          <cell r="J67">
            <v>0.53068481860864725</v>
          </cell>
          <cell r="K67">
            <v>0.642769203728351</v>
          </cell>
          <cell r="L67">
            <v>0.74839528535557953</v>
          </cell>
          <cell r="M67">
            <v>0.83918984935345187</v>
          </cell>
          <cell r="N67">
            <v>0.90945051634530116</v>
          </cell>
          <cell r="O67">
            <v>0.9576688767502457</v>
          </cell>
          <cell r="P67">
            <v>0.9865231113648858</v>
          </cell>
          <cell r="Q67">
            <v>1.0012970762896924</v>
          </cell>
          <cell r="R67">
            <v>1.0076356106578106</v>
          </cell>
          <cell r="S67">
            <v>1.0098624683774413</v>
          </cell>
          <cell r="T67">
            <v>1.0104871783970797</v>
          </cell>
          <cell r="U67">
            <v>1.010623336815976</v>
          </cell>
          <cell r="V67">
            <v>1.0106457174525985</v>
          </cell>
          <cell r="W67">
            <v>1.0106484038909742</v>
          </cell>
        </row>
        <row r="68">
          <cell r="A68" t="str">
            <v>HVAC</v>
          </cell>
          <cell r="B68" t="str">
            <v>Combo DHP/HPWH units - NR</v>
          </cell>
          <cell r="C68" t="str">
            <v>LO5Med</v>
          </cell>
          <cell r="D68">
            <v>4.2999999999999997E-2</v>
          </cell>
          <cell r="E68">
            <v>9.5797142280278316E-2</v>
          </cell>
          <cell r="F68">
            <v>0.16040539374775648</v>
          </cell>
          <cell r="G68">
            <v>0.23540539374775649</v>
          </cell>
          <cell r="H68">
            <v>0.32095239121809005</v>
          </cell>
          <cell r="I68">
            <v>0.42096711425629652</v>
          </cell>
          <cell r="J68">
            <v>0.53068481860864725</v>
          </cell>
          <cell r="K68">
            <v>0.642769203728351</v>
          </cell>
          <cell r="L68">
            <v>0.74839528535557953</v>
          </cell>
          <cell r="M68">
            <v>0.83918984935345187</v>
          </cell>
          <cell r="N68">
            <v>0.90945051634530116</v>
          </cell>
          <cell r="O68">
            <v>0.9576688767502457</v>
          </cell>
          <cell r="P68">
            <v>0.9865231113648858</v>
          </cell>
          <cell r="Q68">
            <v>1.0012970762896924</v>
          </cell>
          <cell r="R68">
            <v>1.0076356106578106</v>
          </cell>
          <cell r="S68">
            <v>1.0098624683774413</v>
          </cell>
          <cell r="T68">
            <v>1.0104871783970797</v>
          </cell>
          <cell r="U68">
            <v>1.010623336815976</v>
          </cell>
          <cell r="V68">
            <v>1.0106457174525985</v>
          </cell>
          <cell r="W68">
            <v>1.0106484038909742</v>
          </cell>
        </row>
        <row r="69">
          <cell r="A69" t="str">
            <v>HVAC</v>
          </cell>
          <cell r="B69" t="str">
            <v>Combo DHP/HPWH units - Retro</v>
          </cell>
          <cell r="C69" t="str">
            <v>Retro5Med</v>
          </cell>
          <cell r="D69">
            <v>4.2999999999999997E-2</v>
          </cell>
          <cell r="E69">
            <v>5.279714228027832E-2</v>
          </cell>
          <cell r="F69">
            <v>6.4608251467478173E-2</v>
          </cell>
          <cell r="G69">
            <v>7.4999999999999997E-2</v>
          </cell>
          <cell r="H69">
            <v>8.5546997470333563E-2</v>
          </cell>
          <cell r="I69">
            <v>0.10001472303820647</v>
          </cell>
          <cell r="J69">
            <v>0.10971770435235073</v>
          </cell>
          <cell r="K69">
            <v>0.11208438511970376</v>
          </cell>
          <cell r="L69">
            <v>0.10562608162722853</v>
          </cell>
          <cell r="M69">
            <v>9.0794563997872335E-2</v>
          </cell>
          <cell r="N69">
            <v>7.0260666991849297E-2</v>
          </cell>
          <cell r="O69">
            <v>4.8218360404944538E-2</v>
          </cell>
          <cell r="P69">
            <v>2.8854234614640095E-2</v>
          </cell>
          <cell r="Q69">
            <v>1.4773964924806759E-2</v>
          </cell>
          <cell r="R69">
            <v>6.3385343681182649E-3</v>
          </cell>
          <cell r="S69">
            <v>2.2268577196306039E-3</v>
          </cell>
          <cell r="T69">
            <v>6.2471001963848583E-4</v>
          </cell>
          <cell r="U69">
            <v>1.3615841889635938E-4</v>
          </cell>
          <cell r="V69">
            <v>2.2380636622298944E-5</v>
          </cell>
          <cell r="W69">
            <v>2.68643837586513E-6</v>
          </cell>
        </row>
        <row r="70">
          <cell r="A70" t="str">
            <v>Water Heating</v>
          </cell>
          <cell r="B70" t="str">
            <v>Aerator - New</v>
          </cell>
          <cell r="C70" t="str">
            <v>LO3Slow</v>
          </cell>
          <cell r="D70">
            <v>5.5320496977002724E-3</v>
          </cell>
          <cell r="E70">
            <v>1.4227918344261844E-2</v>
          </cell>
          <cell r="F70">
            <v>3.1619655637384989E-2</v>
          </cell>
          <cell r="G70">
            <v>6.2055195900350503E-2</v>
          </cell>
          <cell r="H70">
            <v>0.10939936964274129</v>
          </cell>
          <cell r="I70">
            <v>0.17568121288208835</v>
          </cell>
          <cell r="J70">
            <v>0.26003992245943919</v>
          </cell>
          <cell r="K70">
            <v>0.3584584169663485</v>
          </cell>
          <cell r="L70">
            <v>0.46444756489686617</v>
          </cell>
          <cell r="M70">
            <v>0.57043671282738384</v>
          </cell>
          <cell r="N70">
            <v>0.66935991756253377</v>
          </cell>
          <cell r="O70">
            <v>0.75591772170578986</v>
          </cell>
          <cell r="P70">
            <v>0.82720061923553012</v>
          </cell>
          <cell r="Q70">
            <v>0.88264287286977261</v>
          </cell>
          <cell r="R70">
            <v>0.92349505975816193</v>
          </cell>
          <cell r="S70">
            <v>0.95209159058003434</v>
          </cell>
          <cell r="T70">
            <v>0.97115594446128262</v>
          </cell>
          <cell r="U70">
            <v>0.98328780602207699</v>
          </cell>
          <cell r="V70">
            <v>0.99067241740690848</v>
          </cell>
          <cell r="W70">
            <v>0.99498010738139331</v>
          </cell>
        </row>
        <row r="71">
          <cell r="A71" t="str">
            <v>Water Heating</v>
          </cell>
          <cell r="B71" t="str">
            <v>Aerator - Retro</v>
          </cell>
          <cell r="C71" t="str">
            <v>Retro3Slow</v>
          </cell>
          <cell r="D71">
            <v>5.5320496977002724E-3</v>
          </cell>
          <cell r="E71">
            <v>8.6958686465615706E-3</v>
          </cell>
          <cell r="F71">
            <v>1.7391737293123145E-2</v>
          </cell>
          <cell r="G71">
            <v>3.0435540262965514E-2</v>
          </cell>
          <cell r="H71">
            <v>4.7344173742390784E-2</v>
          </cell>
          <cell r="I71">
            <v>6.6281843239347063E-2</v>
          </cell>
          <cell r="J71">
            <v>8.4358709577350838E-2</v>
          </cell>
          <cell r="K71">
            <v>9.8418494506909315E-2</v>
          </cell>
          <cell r="L71">
            <v>0.10598914793051767</v>
          </cell>
          <cell r="M71">
            <v>0.10598914793051767</v>
          </cell>
          <cell r="N71">
            <v>9.8923204735149928E-2</v>
          </cell>
          <cell r="O71">
            <v>8.655780414325609E-2</v>
          </cell>
          <cell r="P71">
            <v>7.1282897529740263E-2</v>
          </cell>
          <cell r="Q71">
            <v>5.5442253634242489E-2</v>
          </cell>
          <cell r="R71">
            <v>4.0852186888389319E-2</v>
          </cell>
          <cell r="S71">
            <v>2.8596530821872412E-2</v>
          </cell>
          <cell r="T71">
            <v>1.9064353881248275E-2</v>
          </cell>
          <cell r="U71">
            <v>1.2131861560794377E-2</v>
          </cell>
          <cell r="V71">
            <v>7.3846113848314854E-3</v>
          </cell>
          <cell r="W71">
            <v>4.3076899744848296E-3</v>
          </cell>
        </row>
        <row r="72">
          <cell r="A72" t="str">
            <v>Water Heating</v>
          </cell>
          <cell r="B72" t="str">
            <v>Behavior - Retro</v>
          </cell>
          <cell r="C72" t="str">
            <v>Retro5Med</v>
          </cell>
          <cell r="D72">
            <v>4.2999999999999997E-2</v>
          </cell>
          <cell r="E72">
            <v>5.279714228027832E-2</v>
          </cell>
          <cell r="F72">
            <v>6.4608251467478173E-2</v>
          </cell>
          <cell r="G72">
            <v>7.4999999999999997E-2</v>
          </cell>
          <cell r="H72">
            <v>8.5546997470333563E-2</v>
          </cell>
          <cell r="I72">
            <v>0.10001472303820647</v>
          </cell>
          <cell r="J72">
            <v>0.10971770435235073</v>
          </cell>
          <cell r="K72">
            <v>0.11208438511970376</v>
          </cell>
          <cell r="L72">
            <v>0.10562608162722853</v>
          </cell>
          <cell r="M72">
            <v>9.0794563997872335E-2</v>
          </cell>
          <cell r="N72">
            <v>7.0260666991849297E-2</v>
          </cell>
          <cell r="O72">
            <v>4.8218360404944538E-2</v>
          </cell>
          <cell r="P72">
            <v>2.8854234614640095E-2</v>
          </cell>
          <cell r="Q72">
            <v>1.4773964924806759E-2</v>
          </cell>
          <cell r="R72">
            <v>6.3385343681182649E-3</v>
          </cell>
          <cell r="S72">
            <v>2.2268577196306039E-3</v>
          </cell>
          <cell r="T72">
            <v>6.2471001963848583E-4</v>
          </cell>
          <cell r="U72">
            <v>1.3615841889635938E-4</v>
          </cell>
          <cell r="V72">
            <v>2.2380636622298944E-5</v>
          </cell>
          <cell r="W72">
            <v>2.68643837586513E-6</v>
          </cell>
        </row>
        <row r="73">
          <cell r="A73" t="str">
            <v>Water Heating</v>
          </cell>
          <cell r="B73" t="str">
            <v>Behavior - New</v>
          </cell>
          <cell r="C73" t="str">
            <v>LO5Med</v>
          </cell>
          <cell r="D73">
            <v>4.2999999999999997E-2</v>
          </cell>
          <cell r="E73">
            <v>9.5797142280278316E-2</v>
          </cell>
          <cell r="F73">
            <v>0.16040539374775648</v>
          </cell>
          <cell r="G73">
            <v>0.23540539374775649</v>
          </cell>
          <cell r="H73">
            <v>0.32095239121809005</v>
          </cell>
          <cell r="I73">
            <v>0.42096711425629652</v>
          </cell>
          <cell r="J73">
            <v>0.53068481860864725</v>
          </cell>
          <cell r="K73">
            <v>0.642769203728351</v>
          </cell>
          <cell r="L73">
            <v>0.74839528535557953</v>
          </cell>
          <cell r="M73">
            <v>0.83918984935345187</v>
          </cell>
          <cell r="N73">
            <v>0.90945051634530116</v>
          </cell>
          <cell r="O73">
            <v>0.9576688767502457</v>
          </cell>
          <cell r="P73">
            <v>0.9865231113648858</v>
          </cell>
          <cell r="Q73">
            <v>1.0012970762896924</v>
          </cell>
          <cell r="R73">
            <v>1.0076356106578106</v>
          </cell>
          <cell r="S73">
            <v>1.0098624683774413</v>
          </cell>
          <cell r="T73">
            <v>1.0104871783970797</v>
          </cell>
          <cell r="U73">
            <v>1.010623336815976</v>
          </cell>
          <cell r="V73">
            <v>1.0106457174525985</v>
          </cell>
          <cell r="W73">
            <v>1.0106484038909742</v>
          </cell>
        </row>
        <row r="74">
          <cell r="A74">
            <v>0</v>
          </cell>
          <cell r="B74">
            <v>0</v>
          </cell>
          <cell r="C74" t="str">
            <v>Retro1Slow</v>
          </cell>
          <cell r="D74">
            <v>2.5643970768378654E-3</v>
          </cell>
          <cell r="E74">
            <v>5.1260615529385989E-3</v>
          </cell>
          <cell r="F74">
            <v>9.1015544176433795E-3</v>
          </cell>
          <cell r="G74">
            <v>1.4804925730045659E-2</v>
          </cell>
          <cell r="H74">
            <v>2.2471809420486211E-2</v>
          </cell>
          <cell r="I74">
            <v>3.2184432813882391E-2</v>
          </cell>
          <cell r="J74">
            <v>4.3779667172004086E-2</v>
          </cell>
          <cell r="K74">
            <v>5.675426075474499E-2</v>
          </cell>
          <cell r="L74">
            <v>7.0195239068707532E-2</v>
          </cell>
          <cell r="M74">
            <v>8.2776861842756788E-2</v>
          </cell>
          <cell r="N74">
            <v>9.2870259507494834E-2</v>
          </cell>
          <cell r="O74">
            <v>9.8796470678915727E-2</v>
          </cell>
          <cell r="P74">
            <v>9.9208932889988999E-2</v>
          </cell>
          <cell r="Q74">
            <v>9.3521150494244254E-2</v>
          </cell>
          <cell r="R74">
            <v>8.2226007896862296E-2</v>
          </cell>
          <cell r="S74">
            <v>6.6933566027365665E-2</v>
          </cell>
          <cell r="T74">
            <v>5.0029565143448806E-2</v>
          </cell>
          <cell r="U74">
            <v>3.402486521893211E-2</v>
          </cell>
          <cell r="V74">
            <v>2.0846059340774659E-2</v>
          </cell>
          <cell r="W74">
            <v>0.01</v>
          </cell>
        </row>
        <row r="75">
          <cell r="A75" t="str">
            <v>HVAC</v>
          </cell>
          <cell r="B75" t="str">
            <v>Heat Recovery Ventilation - New</v>
          </cell>
          <cell r="C75" t="str">
            <v>LO1Slow</v>
          </cell>
          <cell r="D75">
            <v>2.5643970768378654E-3</v>
          </cell>
          <cell r="E75">
            <v>7.6904586297764643E-3</v>
          </cell>
          <cell r="F75">
            <v>1.6792013047419844E-2</v>
          </cell>
          <cell r="G75">
            <v>3.15969387774655E-2</v>
          </cell>
          <cell r="H75">
            <v>5.406874819795171E-2</v>
          </cell>
          <cell r="I75">
            <v>8.6253181011834101E-2</v>
          </cell>
          <cell r="J75">
            <v>0.1300328481838382</v>
          </cell>
          <cell r="K75">
            <v>0.18678710893858319</v>
          </cell>
          <cell r="L75">
            <v>0.2569823480072907</v>
          </cell>
          <cell r="M75">
            <v>0.33975920985004748</v>
          </cell>
          <cell r="N75">
            <v>0.43262946935754232</v>
          </cell>
          <cell r="O75">
            <v>0.53142594003645804</v>
          </cell>
          <cell r="P75">
            <v>0.63063487292644704</v>
          </cell>
          <cell r="Q75">
            <v>0.7241560234206913</v>
          </cell>
          <cell r="R75">
            <v>0.80638203131755359</v>
          </cell>
          <cell r="S75">
            <v>0.87331559734491926</v>
          </cell>
          <cell r="T75">
            <v>0.92334516248836807</v>
          </cell>
          <cell r="U75">
            <v>0.95737002770730018</v>
          </cell>
          <cell r="V75">
            <v>0.97821608704807483</v>
          </cell>
          <cell r="W75">
            <v>0.98821608704807484</v>
          </cell>
        </row>
        <row r="76">
          <cell r="A76" t="str">
            <v>HVAC</v>
          </cell>
          <cell r="B76" t="str">
            <v>GSHP - New</v>
          </cell>
          <cell r="C76" t="str">
            <v>LO1Slow</v>
          </cell>
          <cell r="D76">
            <v>2.5643970768378654E-3</v>
          </cell>
          <cell r="E76">
            <v>7.6904586297764643E-3</v>
          </cell>
          <cell r="F76">
            <v>1.6792013047419844E-2</v>
          </cell>
          <cell r="G76">
            <v>3.15969387774655E-2</v>
          </cell>
          <cell r="H76">
            <v>5.406874819795171E-2</v>
          </cell>
          <cell r="I76">
            <v>8.6253181011834101E-2</v>
          </cell>
          <cell r="J76">
            <v>0.1300328481838382</v>
          </cell>
          <cell r="K76">
            <v>0.18678710893858319</v>
          </cell>
          <cell r="L76">
            <v>0.2569823480072907</v>
          </cell>
          <cell r="M76">
            <v>0.33975920985004748</v>
          </cell>
          <cell r="N76">
            <v>0.43262946935754232</v>
          </cell>
          <cell r="O76">
            <v>0.53142594003645804</v>
          </cell>
          <cell r="P76">
            <v>0.63063487292644704</v>
          </cell>
          <cell r="Q76">
            <v>0.7241560234206913</v>
          </cell>
          <cell r="R76">
            <v>0.80638203131755359</v>
          </cell>
          <cell r="S76">
            <v>0.87331559734491926</v>
          </cell>
          <cell r="T76">
            <v>0.92334516248836807</v>
          </cell>
          <cell r="U76">
            <v>0.95737002770730018</v>
          </cell>
          <cell r="V76">
            <v>0.97821608704807483</v>
          </cell>
          <cell r="W76">
            <v>0.98821608704807484</v>
          </cell>
        </row>
        <row r="77">
          <cell r="A77" t="str">
            <v>HVAC</v>
          </cell>
          <cell r="B77" t="str">
            <v>GSHP - NR</v>
          </cell>
          <cell r="C77" t="str">
            <v>LO1Slow</v>
          </cell>
          <cell r="D77">
            <v>2.5643970768378654E-3</v>
          </cell>
          <cell r="E77">
            <v>7.6904586297764643E-3</v>
          </cell>
          <cell r="F77">
            <v>1.6792013047419844E-2</v>
          </cell>
          <cell r="G77">
            <v>3.15969387774655E-2</v>
          </cell>
          <cell r="H77">
            <v>5.406874819795171E-2</v>
          </cell>
          <cell r="I77">
            <v>8.6253181011834101E-2</v>
          </cell>
          <cell r="J77">
            <v>0.1300328481838382</v>
          </cell>
          <cell r="K77">
            <v>0.18678710893858319</v>
          </cell>
          <cell r="L77">
            <v>0.2569823480072907</v>
          </cell>
          <cell r="M77">
            <v>0.33975920985004748</v>
          </cell>
          <cell r="N77">
            <v>0.43262946935754232</v>
          </cell>
          <cell r="O77">
            <v>0.53142594003645804</v>
          </cell>
          <cell r="P77">
            <v>0.63063487292644704</v>
          </cell>
          <cell r="Q77">
            <v>0.7241560234206913</v>
          </cell>
          <cell r="R77">
            <v>0.80638203131755359</v>
          </cell>
          <cell r="S77">
            <v>0.87331559734491926</v>
          </cell>
          <cell r="T77">
            <v>0.92334516248836807</v>
          </cell>
          <cell r="U77">
            <v>0.95737002770730018</v>
          </cell>
          <cell r="V77">
            <v>0.97821608704807483</v>
          </cell>
          <cell r="W77">
            <v>0.98821608704807484</v>
          </cell>
        </row>
        <row r="78">
          <cell r="A78">
            <v>0</v>
          </cell>
          <cell r="B78">
            <v>0</v>
          </cell>
          <cell r="C78" t="str">
            <v>Retro5Med</v>
          </cell>
          <cell r="D78">
            <v>4.2999999999999997E-2</v>
          </cell>
          <cell r="E78">
            <v>5.279714228027832E-2</v>
          </cell>
          <cell r="F78">
            <v>6.4608251467478173E-2</v>
          </cell>
          <cell r="G78">
            <v>7.4999999999999997E-2</v>
          </cell>
          <cell r="H78">
            <v>8.5546997470333563E-2</v>
          </cell>
          <cell r="I78">
            <v>0.10001472303820647</v>
          </cell>
          <cell r="J78">
            <v>0.10971770435235073</v>
          </cell>
          <cell r="K78">
            <v>0.11208438511970376</v>
          </cell>
          <cell r="L78">
            <v>0.10562608162722853</v>
          </cell>
          <cell r="M78">
            <v>9.0794563997872335E-2</v>
          </cell>
          <cell r="N78">
            <v>7.0260666991849297E-2</v>
          </cell>
          <cell r="O78">
            <v>4.8218360404944538E-2</v>
          </cell>
          <cell r="P78">
            <v>2.8854234614640095E-2</v>
          </cell>
          <cell r="Q78">
            <v>1.4773964924806759E-2</v>
          </cell>
          <cell r="R78">
            <v>6.3385343681182649E-3</v>
          </cell>
          <cell r="S78">
            <v>2.2268577196306039E-3</v>
          </cell>
          <cell r="T78">
            <v>6.2471001963848583E-4</v>
          </cell>
          <cell r="U78">
            <v>1.3615841889635938E-4</v>
          </cell>
          <cell r="V78">
            <v>2.2380636622298944E-5</v>
          </cell>
          <cell r="W78">
            <v>2.68643837586513E-6</v>
          </cell>
        </row>
        <row r="79">
          <cell r="A79" t="str">
            <v>HVAC</v>
          </cell>
          <cell r="B79" t="str">
            <v>ECM for HVAC ventilation - New</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HVAC</v>
          </cell>
          <cell r="B80" t="str">
            <v>ECM for HVAC ventilation - NR</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HVAC</v>
          </cell>
          <cell r="B81" t="str">
            <v>Whole house/attic fan - New</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HVAC</v>
          </cell>
          <cell r="B82" t="str">
            <v>Whole house/attic fan - Retro</v>
          </cell>
          <cell r="C82" t="str">
            <v>Retro12Med</v>
          </cell>
          <cell r="D82">
            <v>0.10937459468255628</v>
          </cell>
          <cell r="E82">
            <v>0.10937459468255628</v>
          </cell>
          <cell r="F82">
            <v>0.10937459468255628</v>
          </cell>
          <cell r="G82">
            <v>0.10937459468255628</v>
          </cell>
          <cell r="H82">
            <v>0.10937459468255628</v>
          </cell>
          <cell r="I82">
            <v>9.8437135214300656E-2</v>
          </cell>
          <cell r="J82">
            <v>7.874970817144053E-2</v>
          </cell>
          <cell r="K82">
            <v>6.2999766537152418E-2</v>
          </cell>
          <cell r="L82">
            <v>5.0399813229721938E-2</v>
          </cell>
          <cell r="M82">
            <v>4.0319850583777551E-2</v>
          </cell>
          <cell r="N82">
            <v>3.225588046702204E-2</v>
          </cell>
          <cell r="O82">
            <v>2.5804704373617631E-2</v>
          </cell>
          <cell r="P82">
            <v>2.0643763498894106E-2</v>
          </cell>
          <cell r="Q82">
            <v>1.6515010799115284E-2</v>
          </cell>
          <cell r="R82">
            <v>1.3212008639292228E-2</v>
          </cell>
          <cell r="S82">
            <v>1.0569606911433781E-2</v>
          </cell>
          <cell r="T82">
            <v>7.2092823794611682E-5</v>
          </cell>
          <cell r="U82">
            <v>2.5747437069512102E-5</v>
          </cell>
          <cell r="V82">
            <v>8.7775353646568632E-6</v>
          </cell>
          <cell r="W82">
            <v>2.8622397928446119E-6</v>
          </cell>
        </row>
        <row r="83">
          <cell r="A83" t="str">
            <v>Water heating</v>
          </cell>
          <cell r="B83" t="str">
            <v>WH Pipe insulation - Retro</v>
          </cell>
          <cell r="C83" t="str">
            <v>Retro12Med</v>
          </cell>
          <cell r="D83">
            <v>0.10937459468255628</v>
          </cell>
          <cell r="E83">
            <v>0.10937459468255628</v>
          </cell>
          <cell r="F83">
            <v>0.10937459468255628</v>
          </cell>
          <cell r="G83">
            <v>0.10937459468255628</v>
          </cell>
          <cell r="H83">
            <v>0.10937459468255628</v>
          </cell>
          <cell r="I83">
            <v>9.8437135214300656E-2</v>
          </cell>
          <cell r="J83">
            <v>7.874970817144053E-2</v>
          </cell>
          <cell r="K83">
            <v>6.2999766537152418E-2</v>
          </cell>
          <cell r="L83">
            <v>5.0399813229721938E-2</v>
          </cell>
          <cell r="M83">
            <v>4.0319850583777551E-2</v>
          </cell>
          <cell r="N83">
            <v>3.225588046702204E-2</v>
          </cell>
          <cell r="O83">
            <v>2.5804704373617631E-2</v>
          </cell>
          <cell r="P83">
            <v>2.0643763498894106E-2</v>
          </cell>
          <cell r="Q83">
            <v>1.6515010799115284E-2</v>
          </cell>
          <cell r="R83">
            <v>1.3212008639292228E-2</v>
          </cell>
          <cell r="S83">
            <v>1.0569606911433781E-2</v>
          </cell>
          <cell r="T83">
            <v>7.2092823794611682E-5</v>
          </cell>
          <cell r="U83">
            <v>2.5747437069512102E-5</v>
          </cell>
          <cell r="V83">
            <v>8.7775353646568632E-6</v>
          </cell>
          <cell r="W83">
            <v>2.8622397928446119E-6</v>
          </cell>
        </row>
        <row r="84">
          <cell r="A84" t="str">
            <v>HVAC</v>
          </cell>
          <cell r="B84" t="str">
            <v>DHP Ducted - 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Electronics</v>
          </cell>
          <cell r="B85" t="str">
            <v>Advanced Power Strips - New</v>
          </cell>
          <cell r="C85" t="str">
            <v>LO5Med</v>
          </cell>
          <cell r="D85">
            <v>4.2999999999999997E-2</v>
          </cell>
          <cell r="E85">
            <v>9.5797142280278316E-2</v>
          </cell>
          <cell r="F85">
            <v>0.16040539374775648</v>
          </cell>
          <cell r="G85">
            <v>0.23540539374775649</v>
          </cell>
          <cell r="H85">
            <v>0.32095239121809005</v>
          </cell>
          <cell r="I85">
            <v>0.42096711425629652</v>
          </cell>
          <cell r="J85">
            <v>0.53068481860864725</v>
          </cell>
          <cell r="K85">
            <v>0.642769203728351</v>
          </cell>
          <cell r="L85">
            <v>0.74839528535557953</v>
          </cell>
          <cell r="M85">
            <v>0.83918984935345187</v>
          </cell>
          <cell r="N85">
            <v>0.90945051634530116</v>
          </cell>
          <cell r="O85">
            <v>0.9576688767502457</v>
          </cell>
          <cell r="P85">
            <v>0.9865231113648858</v>
          </cell>
          <cell r="Q85">
            <v>1.0012970762896924</v>
          </cell>
          <cell r="R85">
            <v>1.0076356106578106</v>
          </cell>
          <cell r="S85">
            <v>1.0098624683774413</v>
          </cell>
          <cell r="T85">
            <v>1.0104871783970797</v>
          </cell>
          <cell r="U85">
            <v>1.010623336815976</v>
          </cell>
          <cell r="V85">
            <v>1.0106457174525985</v>
          </cell>
          <cell r="W85">
            <v>1.0106484038909742</v>
          </cell>
        </row>
        <row r="86">
          <cell r="A86" t="str">
            <v>Electronics</v>
          </cell>
          <cell r="B86" t="str">
            <v>Advanced Power Strips - 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HVAC</v>
          </cell>
          <cell r="B87" t="str">
            <v>Controls Commissioning and Sizing - New</v>
          </cell>
          <cell r="C87" t="str">
            <v>LO5Med</v>
          </cell>
          <cell r="D87">
            <v>4.2999999999999997E-2</v>
          </cell>
          <cell r="E87">
            <v>9.5797142280278316E-2</v>
          </cell>
          <cell r="F87">
            <v>0.16040539374775648</v>
          </cell>
          <cell r="G87">
            <v>0.23540539374775649</v>
          </cell>
          <cell r="H87">
            <v>0.32095239121809005</v>
          </cell>
          <cell r="I87">
            <v>0.42096711425629652</v>
          </cell>
          <cell r="J87">
            <v>0.53068481860864725</v>
          </cell>
          <cell r="K87">
            <v>0.642769203728351</v>
          </cell>
          <cell r="L87">
            <v>0.74839528535557953</v>
          </cell>
          <cell r="M87">
            <v>0.83918984935345187</v>
          </cell>
          <cell r="N87">
            <v>0.90945051634530116</v>
          </cell>
          <cell r="O87">
            <v>0.9576688767502457</v>
          </cell>
          <cell r="P87">
            <v>0.9865231113648858</v>
          </cell>
          <cell r="Q87">
            <v>1.0012970762896924</v>
          </cell>
          <cell r="R87">
            <v>1.0076356106578106</v>
          </cell>
          <cell r="S87">
            <v>1.0098624683774413</v>
          </cell>
          <cell r="T87">
            <v>1.0104871783970797</v>
          </cell>
          <cell r="U87">
            <v>1.010623336815976</v>
          </cell>
          <cell r="V87">
            <v>1.0106457174525985</v>
          </cell>
          <cell r="W87">
            <v>1.0106484038909742</v>
          </cell>
        </row>
        <row r="88">
          <cell r="A88" t="str">
            <v>HVAC</v>
          </cell>
          <cell r="B88" t="str">
            <v>Controls Commissioning and Sizing - NR</v>
          </cell>
          <cell r="C88" t="str">
            <v>LO5Med</v>
          </cell>
          <cell r="D88">
            <v>4.2999999999999997E-2</v>
          </cell>
          <cell r="E88">
            <v>9.5797142280278316E-2</v>
          </cell>
          <cell r="F88">
            <v>0.16040539374775648</v>
          </cell>
          <cell r="G88">
            <v>0.23540539374775649</v>
          </cell>
          <cell r="H88">
            <v>0.32095239121809005</v>
          </cell>
          <cell r="I88">
            <v>0.42096711425629652</v>
          </cell>
          <cell r="J88">
            <v>0.53068481860864725</v>
          </cell>
          <cell r="K88">
            <v>0.642769203728351</v>
          </cell>
          <cell r="L88">
            <v>0.74839528535557953</v>
          </cell>
          <cell r="M88">
            <v>0.83918984935345187</v>
          </cell>
          <cell r="N88">
            <v>0.90945051634530116</v>
          </cell>
          <cell r="O88">
            <v>0.9576688767502457</v>
          </cell>
          <cell r="P88">
            <v>0.9865231113648858</v>
          </cell>
          <cell r="Q88">
            <v>1.0012970762896924</v>
          </cell>
          <cell r="R88">
            <v>1.0076356106578106</v>
          </cell>
          <cell r="S88">
            <v>1.0098624683774413</v>
          </cell>
          <cell r="T88">
            <v>1.0104871783970797</v>
          </cell>
          <cell r="U88">
            <v>1.010623336815976</v>
          </cell>
          <cell r="V88">
            <v>1.0106457174525985</v>
          </cell>
          <cell r="W88">
            <v>1.0106484038909742</v>
          </cell>
        </row>
        <row r="89">
          <cell r="A89" t="str">
            <v>HVAC</v>
          </cell>
          <cell r="B89" t="str">
            <v>ResWx - Retro</v>
          </cell>
          <cell r="C89" t="str">
            <v>Retro12Med</v>
          </cell>
          <cell r="D89">
            <v>0.10937459468255628</v>
          </cell>
          <cell r="E89">
            <v>0.10937459468255628</v>
          </cell>
          <cell r="F89">
            <v>0.10937459468255628</v>
          </cell>
          <cell r="G89">
            <v>0.10937459468255628</v>
          </cell>
          <cell r="H89">
            <v>0.10937459468255628</v>
          </cell>
          <cell r="I89">
            <v>9.8437135214300656E-2</v>
          </cell>
          <cell r="J89">
            <v>7.874970817144053E-2</v>
          </cell>
          <cell r="K89">
            <v>6.2999766537152418E-2</v>
          </cell>
          <cell r="L89">
            <v>5.0399813229721938E-2</v>
          </cell>
          <cell r="M89">
            <v>4.0319850583777551E-2</v>
          </cell>
          <cell r="N89">
            <v>3.225588046702204E-2</v>
          </cell>
          <cell r="O89">
            <v>2.5804704373617631E-2</v>
          </cell>
          <cell r="P89">
            <v>2.0643763498894106E-2</v>
          </cell>
          <cell r="Q89">
            <v>1.6515010799115284E-2</v>
          </cell>
          <cell r="R89">
            <v>1.3212008639292228E-2</v>
          </cell>
          <cell r="S89">
            <v>1.0569606911433781E-2</v>
          </cell>
          <cell r="T89">
            <v>7.2092823794611682E-5</v>
          </cell>
          <cell r="U89">
            <v>2.5747437069512102E-5</v>
          </cell>
          <cell r="V89">
            <v>8.7775353646568632E-6</v>
          </cell>
          <cell r="W89">
            <v>2.8622397928446119E-6</v>
          </cell>
        </row>
      </sheetData>
      <sheetData sheetId="10">
        <row r="9">
          <cell r="B9" t="str">
            <v>Measure Index Name</v>
          </cell>
          <cell r="C9" t="str">
            <v>Adjustments Made to Conservation Assessment for Code conditions</v>
          </cell>
        </row>
        <row r="10">
          <cell r="B10" t="str">
            <v>Lighting - New</v>
          </cell>
        </row>
        <row r="11">
          <cell r="B11" t="str">
            <v>Lighting - NR</v>
          </cell>
        </row>
        <row r="12">
          <cell r="B12" t="str">
            <v>Lighting - PPA</v>
          </cell>
        </row>
        <row r="13">
          <cell r="B13" t="str">
            <v>Dishwasher - New</v>
          </cell>
        </row>
        <row r="14">
          <cell r="B14" t="str">
            <v>Dishwasher - NR</v>
          </cell>
        </row>
        <row r="15">
          <cell r="B15" t="str">
            <v>Clothes Washer - New</v>
          </cell>
        </row>
        <row r="16">
          <cell r="B16" t="str">
            <v>Clothes Washer - NR</v>
          </cell>
        </row>
        <row r="17">
          <cell r="B17" t="str">
            <v>WasteWater Heat Recovery - New</v>
          </cell>
        </row>
        <row r="18">
          <cell r="B18" t="str">
            <v>Showerheads - New</v>
          </cell>
        </row>
        <row r="19">
          <cell r="B19" t="str">
            <v>Showerheads - Retro</v>
          </cell>
        </row>
        <row r="20">
          <cell r="B20" t="str">
            <v>HPWH - New</v>
          </cell>
        </row>
        <row r="21">
          <cell r="B21" t="str">
            <v>HPWH - NR</v>
          </cell>
        </row>
        <row r="22">
          <cell r="B22" t="str">
            <v>EV Supply Equip - NR</v>
          </cell>
        </row>
        <row r="23">
          <cell r="B23" t="str">
            <v>Clothes Dryer - New</v>
          </cell>
        </row>
        <row r="24">
          <cell r="B24" t="str">
            <v>Clothes Dryer - NR</v>
          </cell>
        </row>
        <row r="25">
          <cell r="B25" t="str">
            <v>Refrigerator - New</v>
          </cell>
        </row>
        <row r="26">
          <cell r="B26" t="str">
            <v>Refrigerator - NR</v>
          </cell>
        </row>
        <row r="27">
          <cell r="B27" t="str">
            <v>Freezer - New</v>
          </cell>
        </row>
        <row r="28">
          <cell r="B28" t="str">
            <v>Freezer - NR</v>
          </cell>
        </row>
        <row r="29">
          <cell r="B29" t="str">
            <v>Solar Water Heater - New</v>
          </cell>
        </row>
        <row r="30">
          <cell r="B30" t="str">
            <v>Solar Water Heater - NR</v>
          </cell>
        </row>
        <row r="31">
          <cell r="B31" t="str">
            <v>Solar Water Heater - Retro</v>
          </cell>
        </row>
        <row r="32">
          <cell r="B32">
            <v>0</v>
          </cell>
        </row>
        <row r="33">
          <cell r="B33">
            <v>0</v>
          </cell>
        </row>
        <row r="34">
          <cell r="B34" t="str">
            <v>Microwave - New</v>
          </cell>
        </row>
        <row r="35">
          <cell r="B35" t="str">
            <v>Microwave - NR</v>
          </cell>
        </row>
        <row r="36">
          <cell r="B36" t="str">
            <v>Monitor - New</v>
          </cell>
        </row>
        <row r="37">
          <cell r="B37" t="str">
            <v>Monitor - NR</v>
          </cell>
        </row>
        <row r="38">
          <cell r="B38" t="str">
            <v>Desktop - New</v>
          </cell>
        </row>
        <row r="39">
          <cell r="B39" t="str">
            <v>Desktop - NR</v>
          </cell>
        </row>
        <row r="40">
          <cell r="B40" t="str">
            <v>Laptop - New</v>
          </cell>
        </row>
        <row r="41">
          <cell r="B41" t="str">
            <v>Laptop - NR</v>
          </cell>
        </row>
        <row r="42">
          <cell r="B42" t="str">
            <v>Computer - New</v>
          </cell>
        </row>
        <row r="43">
          <cell r="B43" t="str">
            <v>Computer - NR</v>
          </cell>
        </row>
        <row r="44">
          <cell r="B44" t="str">
            <v>ASHP - New</v>
          </cell>
        </row>
        <row r="45">
          <cell r="B45" t="str">
            <v>ASHP - NR</v>
          </cell>
        </row>
        <row r="46">
          <cell r="B46" t="str">
            <v>HP - Retro</v>
          </cell>
        </row>
        <row r="47">
          <cell r="B47" t="str">
            <v>DHP - New</v>
          </cell>
        </row>
        <row r="48">
          <cell r="B48" t="str">
            <v>DHP - NR</v>
          </cell>
        </row>
        <row r="49">
          <cell r="B49" t="str">
            <v>DHP - Retro</v>
          </cell>
        </row>
        <row r="50">
          <cell r="B50" t="str">
            <v>Duct Sealing - New</v>
          </cell>
        </row>
        <row r="51">
          <cell r="B51" t="str">
            <v>Duct Sealing - Retro</v>
          </cell>
        </row>
        <row r="52">
          <cell r="B52" t="str">
            <v>WIFI enabled tstats - New</v>
          </cell>
        </row>
        <row r="53">
          <cell r="B53" t="str">
            <v>WIFI enabled tstats - Retro</v>
          </cell>
        </row>
        <row r="54">
          <cell r="B54" t="str">
            <v>Combo DHP/HPWH units - New</v>
          </cell>
        </row>
        <row r="55">
          <cell r="B55" t="str">
            <v>Combo DHP/HPWH units - NR</v>
          </cell>
        </row>
        <row r="56">
          <cell r="B56" t="str">
            <v>Combo DHP/HPWH units - Retro</v>
          </cell>
        </row>
        <row r="57">
          <cell r="B57" t="str">
            <v>Aerator - New</v>
          </cell>
        </row>
        <row r="58">
          <cell r="B58" t="str">
            <v>Aerator - Retro</v>
          </cell>
        </row>
        <row r="59">
          <cell r="B59" t="str">
            <v>Behavior - Retro</v>
          </cell>
        </row>
        <row r="60">
          <cell r="B60" t="str">
            <v>Behavior - New</v>
          </cell>
        </row>
        <row r="61">
          <cell r="B61">
            <v>0</v>
          </cell>
        </row>
        <row r="62">
          <cell r="B62" t="str">
            <v>Heat Recovery Ventilation - New</v>
          </cell>
        </row>
        <row r="63">
          <cell r="B63" t="str">
            <v>GSHP - New</v>
          </cell>
        </row>
        <row r="64">
          <cell r="B64" t="str">
            <v>GSHP - NR</v>
          </cell>
        </row>
        <row r="65">
          <cell r="B65">
            <v>0</v>
          </cell>
        </row>
        <row r="66">
          <cell r="B66" t="str">
            <v>ECM for HVAC ventilation - New</v>
          </cell>
        </row>
        <row r="67">
          <cell r="B67" t="str">
            <v>ECM for HVAC ventilation - NR</v>
          </cell>
        </row>
        <row r="68">
          <cell r="B68" t="str">
            <v>Whole house/attic fan - New</v>
          </cell>
        </row>
        <row r="69">
          <cell r="B69" t="str">
            <v>Whole house/attic fan - Retro</v>
          </cell>
        </row>
        <row r="70">
          <cell r="B70" t="str">
            <v>WH Pipe insulation - Retro</v>
          </cell>
        </row>
        <row r="71">
          <cell r="B71" t="str">
            <v>DHP Ducted - NR</v>
          </cell>
        </row>
        <row r="72">
          <cell r="B72" t="str">
            <v>Advanced Power Strips - New</v>
          </cell>
        </row>
        <row r="73">
          <cell r="B73" t="str">
            <v>Advanced Power Strips - Retro</v>
          </cell>
        </row>
        <row r="74">
          <cell r="B74" t="str">
            <v>ResWx - Retro</v>
          </cell>
        </row>
        <row r="75">
          <cell r="B75" t="str">
            <v>ATTIC R0 - R19 - Retro</v>
          </cell>
        </row>
        <row r="76">
          <cell r="B76" t="str">
            <v>ATTIC R0 - R38 - Retro</v>
          </cell>
        </row>
        <row r="77">
          <cell r="B77" t="str">
            <v>ATTIC R0 - R49 - Retro</v>
          </cell>
        </row>
        <row r="78">
          <cell r="B78" t="str">
            <v>ATTIC R11 - R38 - Retro</v>
          </cell>
        </row>
        <row r="79">
          <cell r="B79" t="str">
            <v>ATTIC R11 - R49 - Retro</v>
          </cell>
        </row>
        <row r="80">
          <cell r="B80" t="str">
            <v>ATTIC R19 - R30 - Retro</v>
          </cell>
        </row>
        <row r="81">
          <cell r="B81" t="str">
            <v>ATTIC R19 - R38 - Retro</v>
          </cell>
        </row>
        <row r="82">
          <cell r="B82" t="str">
            <v>ATTIC R19 - R49 - Retro</v>
          </cell>
        </row>
        <row r="83">
          <cell r="B83" t="str">
            <v>WALL R0 - R11 - Retro</v>
          </cell>
        </row>
        <row r="84">
          <cell r="B84" t="str">
            <v>FLOOR R0 - R19 - Retro</v>
          </cell>
        </row>
        <row r="85">
          <cell r="B85" t="str">
            <v>FLOOR R0 - R25 - Retro</v>
          </cell>
        </row>
        <row r="86">
          <cell r="B86" t="str">
            <v>FLOOR R0 - R30 - Retro</v>
          </cell>
        </row>
        <row r="87">
          <cell r="B87" t="str">
            <v>WINDOW CL30 Prime Window Replacement of Single Pane Base - Retro</v>
          </cell>
        </row>
        <row r="88">
          <cell r="B88" t="str">
            <v>WINDOW CL30 Prime Window Replacement of Double Pane Base - Retro</v>
          </cell>
        </row>
        <row r="89">
          <cell r="B89" t="e">
            <v>#REF!</v>
          </cell>
        </row>
        <row r="90">
          <cell r="B90" t="str">
            <v>WINDOW CL22 Prime Window Replacement of Single Pane Base - Retro</v>
          </cell>
        </row>
        <row r="91">
          <cell r="B91" t="str">
            <v>WINDOW CL22 Prime Window Replacement of Double Pane Base - Retro</v>
          </cell>
        </row>
        <row r="92">
          <cell r="B92" t="e">
            <v>#REF!</v>
          </cell>
        </row>
        <row r="93">
          <cell r="B93" t="str">
            <v>CFM50 Infiltration Reduction - Retro</v>
          </cell>
        </row>
        <row r="94">
          <cell r="B94" t="str">
            <v>Controls Commissioning and Sizing - New</v>
          </cell>
        </row>
        <row r="95">
          <cell r="B95" t="str">
            <v>Controls Commissioning and Sizing - NR</v>
          </cell>
        </row>
        <row r="96">
          <cell r="B96">
            <v>0</v>
          </cell>
        </row>
      </sheetData>
      <sheetData sheetId="11">
        <row r="9">
          <cell r="B9" t="str">
            <v>All Cohorts RBSA 2012</v>
          </cell>
          <cell r="C9" t="str">
            <v>BLDGTYPE</v>
          </cell>
        </row>
        <row r="10">
          <cell r="B10" t="str">
            <v>Vars</v>
          </cell>
          <cell r="C10" t="str">
            <v>Single Family</v>
          </cell>
          <cell r="D10" t="str">
            <v>Multifamily - Low Rise</v>
          </cell>
          <cell r="E10" t="str">
            <v>Multifamily - High Rise</v>
          </cell>
          <cell r="F10" t="str">
            <v>Manufactured</v>
          </cell>
        </row>
        <row r="11">
          <cell r="B11" t="str">
            <v>Electric FAF - HZ1CZ1</v>
          </cell>
          <cell r="C11">
            <v>6.8910359437455118E-2</v>
          </cell>
          <cell r="D11">
            <v>2.9671514740017984E-2</v>
          </cell>
          <cell r="E11">
            <v>2.9671514740017984E-2</v>
          </cell>
          <cell r="F11">
            <v>0.68310644913823848</v>
          </cell>
        </row>
        <row r="12">
          <cell r="B12" t="str">
            <v>Electric FAF - HZ1CZ23</v>
          </cell>
          <cell r="C12">
            <v>5.5704832325126567E-2</v>
          </cell>
          <cell r="D12">
            <v>0</v>
          </cell>
          <cell r="E12">
            <v>0</v>
          </cell>
          <cell r="F12">
            <v>0.53068387215316171</v>
          </cell>
        </row>
        <row r="13">
          <cell r="B13" t="str">
            <v>Electric FAF - HZ23CZ1</v>
          </cell>
          <cell r="C13">
            <v>6.6557500117039647E-2</v>
          </cell>
          <cell r="D13">
            <v>0</v>
          </cell>
          <cell r="E13">
            <v>0</v>
          </cell>
          <cell r="F13">
            <v>0.29641575914254098</v>
          </cell>
        </row>
        <row r="14">
          <cell r="B14" t="str">
            <v>Electric FAF - HZ23CZ23</v>
          </cell>
          <cell r="C14">
            <v>4.1453999442898203E-2</v>
          </cell>
          <cell r="D14">
            <v>0</v>
          </cell>
          <cell r="E14">
            <v>0</v>
          </cell>
          <cell r="F14">
            <v>0.49242118699820225</v>
          </cell>
        </row>
        <row r="15">
          <cell r="B15" t="str">
            <v>Electric FAF - HZ1</v>
          </cell>
          <cell r="C15">
            <v>6.3764394229545662E-2</v>
          </cell>
          <cell r="D15">
            <v>2.279607208754721E-2</v>
          </cell>
          <cell r="E15">
            <v>2.279607208754721E-2</v>
          </cell>
          <cell r="F15">
            <v>0.6103855317692306</v>
          </cell>
        </row>
        <row r="16">
          <cell r="B16" t="str">
            <v>Electric FAF - HZ23</v>
          </cell>
          <cell r="C16">
            <v>4.8202841751037277E-2</v>
          </cell>
          <cell r="D16">
            <v>0</v>
          </cell>
          <cell r="E16">
            <v>0</v>
          </cell>
          <cell r="F16">
            <v>0.42117367880782697</v>
          </cell>
        </row>
        <row r="17">
          <cell r="B17" t="str">
            <v>Electric FAF - Region</v>
          </cell>
          <cell r="C17">
            <v>5.9888429585079297E-2</v>
          </cell>
          <cell r="D17">
            <v>1.96145349060163E-2</v>
          </cell>
          <cell r="E17">
            <v>1.96145349060163E-2</v>
          </cell>
          <cell r="F17">
            <v>0.54052539788177201</v>
          </cell>
        </row>
        <row r="18">
          <cell r="B18" t="str">
            <v>Electric FAF w/ CAC - HZ1CZ1</v>
          </cell>
          <cell r="C18">
            <v>1.5601272192892677E-2</v>
          </cell>
          <cell r="D18">
            <v>0</v>
          </cell>
          <cell r="E18">
            <v>0</v>
          </cell>
          <cell r="F18">
            <v>0.15868069027846163</v>
          </cell>
        </row>
        <row r="19">
          <cell r="B19" t="str">
            <v>Electric FAF w/ CAC - HZ1CZ23</v>
          </cell>
          <cell r="C19">
            <v>0</v>
          </cell>
          <cell r="D19">
            <v>0</v>
          </cell>
          <cell r="E19">
            <v>0</v>
          </cell>
          <cell r="F19">
            <v>4.8523578535561704E-2</v>
          </cell>
        </row>
        <row r="20">
          <cell r="B20" t="str">
            <v>Electric FAF w/ CAC - HZ23CZ1</v>
          </cell>
          <cell r="C20">
            <v>0</v>
          </cell>
          <cell r="D20">
            <v>0</v>
          </cell>
          <cell r="E20">
            <v>0</v>
          </cell>
          <cell r="F20">
            <v>8.6847892074621388E-2</v>
          </cell>
        </row>
        <row r="21">
          <cell r="B21" t="str">
            <v>Electric FAF w/ CAC - HZ23CZ23</v>
          </cell>
          <cell r="C21">
            <v>0</v>
          </cell>
          <cell r="D21">
            <v>0</v>
          </cell>
          <cell r="E21">
            <v>0</v>
          </cell>
          <cell r="F21">
            <v>6.4577174474630405E-2</v>
          </cell>
        </row>
        <row r="22">
          <cell r="B22" t="str">
            <v>Heat Pump - HZ1CZ1</v>
          </cell>
          <cell r="C22">
            <v>0.13597821666189061</v>
          </cell>
          <cell r="D22">
            <v>1.0945836048995988E-3</v>
          </cell>
          <cell r="E22">
            <v>1.0945836048995988E-3</v>
          </cell>
          <cell r="F22">
            <v>0.11042200533666623</v>
          </cell>
        </row>
        <row r="23">
          <cell r="B23" t="str">
            <v>Heat Pump - HZ1CZ23</v>
          </cell>
          <cell r="C23">
            <v>0.23487960154215734</v>
          </cell>
          <cell r="D23">
            <v>4.9999998343195358E-2</v>
          </cell>
          <cell r="E23">
            <v>4.9999998343195358E-2</v>
          </cell>
          <cell r="F23">
            <v>0.3014354043468136</v>
          </cell>
        </row>
        <row r="24">
          <cell r="B24" t="str">
            <v>Heat Pump - HZ23CZ1</v>
          </cell>
          <cell r="C24">
            <v>5.8367674105625697E-2</v>
          </cell>
          <cell r="D24">
            <v>0</v>
          </cell>
          <cell r="E24">
            <v>0</v>
          </cell>
          <cell r="F24">
            <v>1.6598912836278519E-2</v>
          </cell>
        </row>
        <row r="25">
          <cell r="B25" t="str">
            <v>Heat Pump - HZ23CZ23</v>
          </cell>
          <cell r="C25">
            <v>0.12819607887593021</v>
          </cell>
          <cell r="D25">
            <v>0</v>
          </cell>
          <cell r="E25">
            <v>0</v>
          </cell>
          <cell r="F25">
            <v>7.8940309013942875E-2</v>
          </cell>
        </row>
        <row r="26">
          <cell r="B26" t="str">
            <v>Heat Pump - HZ1</v>
          </cell>
          <cell r="C26">
            <v>0.17451837346735202</v>
          </cell>
          <cell r="D26">
            <v>1.2426879154171162E-2</v>
          </cell>
          <cell r="E26">
            <v>1.2426879154171162E-2</v>
          </cell>
          <cell r="F26">
            <v>0.20155463070325005</v>
          </cell>
        </row>
        <row r="27">
          <cell r="B27" t="str">
            <v>Heat Pump - HZ23</v>
          </cell>
          <cell r="C27">
            <v>0.10942336273004506</v>
          </cell>
          <cell r="D27">
            <v>0</v>
          </cell>
          <cell r="E27">
            <v>0</v>
          </cell>
          <cell r="F27">
            <v>5.6279359348618191E-2</v>
          </cell>
        </row>
        <row r="28">
          <cell r="B28" t="str">
            <v>Heat Pump - Region</v>
          </cell>
          <cell r="C28">
            <v>0.15830495514052295</v>
          </cell>
          <cell r="D28">
            <v>1.0692519922126772E-2</v>
          </cell>
          <cell r="E28">
            <v>1.0692519922126772E-2</v>
          </cell>
          <cell r="F28">
            <v>0.14791660671834839</v>
          </cell>
        </row>
        <row r="29">
          <cell r="B29" t="str">
            <v>Electric Zonal - HZ1CZ1</v>
          </cell>
          <cell r="C29">
            <v>0.1649901802637759</v>
          </cell>
          <cell r="D29">
            <v>0.85383980263040493</v>
          </cell>
          <cell r="E29">
            <v>0.85383980263040493</v>
          </cell>
          <cell r="F29">
            <v>3.0024948086295324E-2</v>
          </cell>
        </row>
        <row r="30">
          <cell r="B30" t="str">
            <v>Electric Zonal - HZ1CZ23</v>
          </cell>
          <cell r="C30">
            <v>9.8631712913821959E-2</v>
          </cell>
          <cell r="D30">
            <v>0.73333333554240632</v>
          </cell>
          <cell r="E30">
            <v>0.73333333554240632</v>
          </cell>
          <cell r="F30">
            <v>2.9788775817665265E-2</v>
          </cell>
        </row>
        <row r="31">
          <cell r="B31" t="str">
            <v>Electric Zonal - HZ23CZ1</v>
          </cell>
          <cell r="C31">
            <v>0.12476331328161443</v>
          </cell>
          <cell r="D31">
            <v>0.59999998409467525</v>
          </cell>
          <cell r="E31">
            <v>0.59999998409467525</v>
          </cell>
          <cell r="F31">
            <v>3.3197825672557038E-2</v>
          </cell>
        </row>
        <row r="32">
          <cell r="B32" t="str">
            <v>Electric Zonal - HZ23CZ23</v>
          </cell>
          <cell r="C32">
            <v>0.1649470283041021</v>
          </cell>
          <cell r="D32">
            <v>0.77777778759587934</v>
          </cell>
          <cell r="E32">
            <v>0.77777778759587934</v>
          </cell>
          <cell r="F32">
            <v>3.9084849826646118E-2</v>
          </cell>
        </row>
        <row r="33">
          <cell r="B33" t="str">
            <v>Electric Zonal - HZ1</v>
          </cell>
          <cell r="C33">
            <v>0.1391314348060306</v>
          </cell>
          <cell r="D33">
            <v>0.82591620954879041</v>
          </cell>
          <cell r="E33">
            <v>0.82591620954879041</v>
          </cell>
          <cell r="F33">
            <v>2.9912270132860779E-2</v>
          </cell>
        </row>
        <row r="34">
          <cell r="B34" t="str">
            <v>Electric Zonal - HZ23</v>
          </cell>
          <cell r="C34">
            <v>0.15414401084601026</v>
          </cell>
          <cell r="D34">
            <v>0.71428571563820797</v>
          </cell>
          <cell r="E34">
            <v>0.71428571563820797</v>
          </cell>
          <cell r="F34">
            <v>3.6944930507961368E-2</v>
          </cell>
        </row>
        <row r="35">
          <cell r="B35" t="str">
            <v>Electric Zonal - Region</v>
          </cell>
          <cell r="C35">
            <v>0.14287066416850494</v>
          </cell>
          <cell r="D35">
            <v>0.81033648311148054</v>
          </cell>
          <cell r="E35">
            <v>0.81033648311148054</v>
          </cell>
          <cell r="F35">
            <v>3.2508844225339915E-2</v>
          </cell>
        </row>
        <row r="36">
          <cell r="B36" t="str">
            <v>DHP - HZ1CZ1</v>
          </cell>
          <cell r="C36">
            <v>3.2261403645206709E-2</v>
          </cell>
          <cell r="D36">
            <v>2.3692380398754449E-2</v>
          </cell>
          <cell r="E36">
            <v>2.3692380398754449E-2</v>
          </cell>
          <cell r="F36">
            <v>1.2931050080460879E-2</v>
          </cell>
        </row>
        <row r="37">
          <cell r="B37" t="str">
            <v>DHP - HZ1CZ23</v>
          </cell>
          <cell r="C37">
            <v>1.0644758975689617E-2</v>
          </cell>
          <cell r="D37">
            <v>0</v>
          </cell>
          <cell r="E37">
            <v>0</v>
          </cell>
          <cell r="F37">
            <v>0</v>
          </cell>
        </row>
        <row r="38">
          <cell r="B38" t="str">
            <v>DHP - HZ23CZ1</v>
          </cell>
          <cell r="C38">
            <v>0</v>
          </cell>
          <cell r="D38">
            <v>0</v>
          </cell>
          <cell r="E38">
            <v>0</v>
          </cell>
          <cell r="F38">
            <v>2.3801185576297144E-2</v>
          </cell>
        </row>
        <row r="39">
          <cell r="B39" t="str">
            <v>DHP - HZ23CZ23</v>
          </cell>
          <cell r="C39">
            <v>2.8613550828090885E-3</v>
          </cell>
          <cell r="D39">
            <v>0</v>
          </cell>
          <cell r="E39">
            <v>0</v>
          </cell>
          <cell r="F39">
            <v>9.4794076514498494E-3</v>
          </cell>
        </row>
        <row r="40">
          <cell r="B40" t="str">
            <v>DHP - HZ1</v>
          </cell>
          <cell r="C40">
            <v>2.3837771598196254E-2</v>
          </cell>
          <cell r="D40">
            <v>1.8202414545664333E-2</v>
          </cell>
          <cell r="E40">
            <v>1.8202414545664333E-2</v>
          </cell>
          <cell r="F40">
            <v>6.761637103748332E-3</v>
          </cell>
        </row>
        <row r="41">
          <cell r="B41" t="str">
            <v>DHP - HZ23</v>
          </cell>
          <cell r="C41">
            <v>2.0921064233437379E-3</v>
          </cell>
          <cell r="D41">
            <v>0</v>
          </cell>
          <cell r="E41">
            <v>0</v>
          </cell>
          <cell r="F41">
            <v>1.4685339962430082E-2</v>
          </cell>
        </row>
        <row r="42">
          <cell r="B42" t="str">
            <v>DHP - Region</v>
          </cell>
          <cell r="C42">
            <v>1.8421510623943455E-2</v>
          </cell>
          <cell r="D42">
            <v>1.5661991860200661E-2</v>
          </cell>
          <cell r="E42">
            <v>1.5661991860200661E-2</v>
          </cell>
          <cell r="F42">
            <v>9.6871987634867523E-3</v>
          </cell>
        </row>
        <row r="43">
          <cell r="B43" t="str">
            <v>Central AC - CZ1</v>
          </cell>
          <cell r="C43">
            <v>8.7547645191238574E-2</v>
          </cell>
          <cell r="D43">
            <v>1.2325175673207357E-2</v>
          </cell>
          <cell r="E43">
            <v>1.2325175673207357E-2</v>
          </cell>
          <cell r="F43">
            <v>0.14076353391268348</v>
          </cell>
        </row>
        <row r="44">
          <cell r="B44" t="str">
            <v>Central AC - CZ23</v>
          </cell>
          <cell r="C44">
            <v>0.27842841395843276</v>
          </cell>
          <cell r="D44">
            <v>6.8965519290222155E-2</v>
          </cell>
          <cell r="E44">
            <v>6.8965519290222155E-2</v>
          </cell>
          <cell r="F44">
            <v>0.17641272113455647</v>
          </cell>
        </row>
        <row r="45">
          <cell r="B45" t="str">
            <v>Room A/C - CZ1</v>
          </cell>
          <cell r="C45">
            <v>3.8197963209166262E-2</v>
          </cell>
          <cell r="D45">
            <v>5.3226756579866766E-2</v>
          </cell>
          <cell r="E45">
            <v>5.3226756579866766E-2</v>
          </cell>
          <cell r="F45">
            <v>0.21069287259219041</v>
          </cell>
        </row>
        <row r="46">
          <cell r="B46" t="str">
            <v>Room A/C - CZ23</v>
          </cell>
          <cell r="C46">
            <v>9.88884449045868E-2</v>
          </cell>
          <cell r="D46">
            <v>0.10344827665008544</v>
          </cell>
          <cell r="E46">
            <v>0.10344827665008544</v>
          </cell>
          <cell r="F46">
            <v>0.16156829862253547</v>
          </cell>
        </row>
        <row r="47">
          <cell r="B47" t="str">
            <v>Electric WH</v>
          </cell>
          <cell r="C47">
            <v>0.55200000000000005</v>
          </cell>
          <cell r="D47">
            <v>0.94699999999999995</v>
          </cell>
          <cell r="E47">
            <v>0.94699999999999995</v>
          </cell>
          <cell r="F47">
            <v>0.88900000000000001</v>
          </cell>
        </row>
        <row r="48">
          <cell r="B48" t="str">
            <v>DWH &lt;55 inside</v>
          </cell>
          <cell r="C48">
            <v>0.34060273187152323</v>
          </cell>
          <cell r="D48">
            <v>0.69037391065424225</v>
          </cell>
          <cell r="E48">
            <v>0.69037391065424225</v>
          </cell>
          <cell r="F48">
            <v>0.64044035004660882</v>
          </cell>
        </row>
        <row r="49">
          <cell r="B49" t="str">
            <v>DHW &lt;55 outside buffer</v>
          </cell>
          <cell r="C49">
            <v>0.13278888545034082</v>
          </cell>
          <cell r="D49">
            <v>0</v>
          </cell>
          <cell r="E49">
            <v>0</v>
          </cell>
          <cell r="F49">
            <v>3.5084497934898207E-2</v>
          </cell>
        </row>
        <row r="50">
          <cell r="B50" t="str">
            <v>DHW &lt; 55 outside unbuffer</v>
          </cell>
          <cell r="C50">
            <v>0</v>
          </cell>
          <cell r="D50">
            <v>0</v>
          </cell>
          <cell r="E50">
            <v>0</v>
          </cell>
          <cell r="F50">
            <v>0.19050866802895391</v>
          </cell>
        </row>
        <row r="51">
          <cell r="B51" t="str">
            <v>DHW &gt;55 inside</v>
          </cell>
          <cell r="C51">
            <v>4.0633005829326954E-2</v>
          </cell>
          <cell r="D51">
            <v>5.571349522752414E-2</v>
          </cell>
          <cell r="E51">
            <v>5.571349522752414E-2</v>
          </cell>
          <cell r="F51">
            <v>0</v>
          </cell>
        </row>
        <row r="52">
          <cell r="B52" t="str">
            <v>DHW &gt;55 outside buffer</v>
          </cell>
          <cell r="C52">
            <v>1.9105116539180608E-2</v>
          </cell>
          <cell r="D52">
            <v>0</v>
          </cell>
          <cell r="E52">
            <v>0</v>
          </cell>
          <cell r="F52">
            <v>0</v>
          </cell>
        </row>
        <row r="53">
          <cell r="B53" t="str">
            <v>DHW &gt;55 outside unbuffer</v>
          </cell>
          <cell r="C53">
            <v>7.8395734639023578E-4</v>
          </cell>
          <cell r="D53">
            <v>0</v>
          </cell>
          <cell r="E53">
            <v>0</v>
          </cell>
          <cell r="F53">
            <v>0</v>
          </cell>
        </row>
        <row r="54">
          <cell r="B54" t="str">
            <v>Refrigerator</v>
          </cell>
          <cell r="C54">
            <v>1.2831400506742725</v>
          </cell>
          <cell r="D54">
            <v>1.0236201688615751</v>
          </cell>
          <cell r="E54">
            <v>1.0236201688615751</v>
          </cell>
          <cell r="F54">
            <v>1.1963734390534748</v>
          </cell>
        </row>
        <row r="55">
          <cell r="B55" t="str">
            <v>Freezer</v>
          </cell>
          <cell r="C55">
            <v>0.52766223341265472</v>
          </cell>
          <cell r="D55">
            <v>4.7085148422193572E-2</v>
          </cell>
          <cell r="E55">
            <v>4.7085148422193572E-2</v>
          </cell>
          <cell r="F55">
            <v>0.44147575101117187</v>
          </cell>
        </row>
        <row r="56">
          <cell r="B56" t="str">
            <v>Clothes Washer</v>
          </cell>
          <cell r="C56">
            <v>0.98546930096285335</v>
          </cell>
          <cell r="D56">
            <v>0.46477658924872384</v>
          </cell>
          <cell r="E56">
            <v>0.46477658924872384</v>
          </cell>
          <cell r="F56">
            <v>0.95368270905809616</v>
          </cell>
        </row>
        <row r="57">
          <cell r="B57" t="str">
            <v>Clothes Dryer</v>
          </cell>
          <cell r="C57">
            <v>0.93640551858187504</v>
          </cell>
          <cell r="D57">
            <v>0.46266057162974022</v>
          </cell>
          <cell r="E57">
            <v>0.46266057162974022</v>
          </cell>
          <cell r="F57">
            <v>0.88480083438048951</v>
          </cell>
        </row>
        <row r="58">
          <cell r="B58" t="str">
            <v>Dishwasher</v>
          </cell>
          <cell r="C58">
            <v>0.87764489634961651</v>
          </cell>
          <cell r="D58">
            <v>0.78113749066870952</v>
          </cell>
          <cell r="E58">
            <v>0.78113749066870952</v>
          </cell>
          <cell r="F58">
            <v>0.76196535734220561</v>
          </cell>
        </row>
        <row r="59">
          <cell r="B59" t="str">
            <v>Microwave</v>
          </cell>
          <cell r="C59">
            <v>0.95</v>
          </cell>
          <cell r="D59">
            <v>0.95</v>
          </cell>
          <cell r="E59">
            <v>0.95</v>
          </cell>
          <cell r="F59">
            <v>0.95</v>
          </cell>
        </row>
        <row r="60">
          <cell r="B60" t="str">
            <v>Electric Oven</v>
          </cell>
          <cell r="C60">
            <v>0.86895503473004965</v>
          </cell>
          <cell r="D60">
            <v>0.96585088459989477</v>
          </cell>
          <cell r="E60">
            <v>0.96585088459989477</v>
          </cell>
          <cell r="F60">
            <v>0.89920410170315002</v>
          </cell>
        </row>
        <row r="61">
          <cell r="B61" t="str">
            <v>TV</v>
          </cell>
          <cell r="C61">
            <v>2.2906090340948593</v>
          </cell>
          <cell r="D61">
            <v>1.5145007606068333</v>
          </cell>
          <cell r="E61">
            <v>1.5145007606068333</v>
          </cell>
          <cell r="F61">
            <v>2.0454162110233622</v>
          </cell>
        </row>
        <row r="62">
          <cell r="B62" t="str">
            <v>Set top box</v>
          </cell>
          <cell r="C62">
            <v>1.0654190989347723</v>
          </cell>
          <cell r="D62">
            <v>1.038434724492763</v>
          </cell>
          <cell r="E62">
            <v>1.038434724492763</v>
          </cell>
          <cell r="F62">
            <v>1.3170555258448295</v>
          </cell>
        </row>
        <row r="63">
          <cell r="B63" t="str">
            <v>Computer</v>
          </cell>
          <cell r="C63">
            <v>1.6655502145549572</v>
          </cell>
          <cell r="D63">
            <v>0.71239882016544165</v>
          </cell>
          <cell r="E63">
            <v>0.71239882016544165</v>
          </cell>
          <cell r="F63">
            <v>1.1331497454290105</v>
          </cell>
        </row>
        <row r="64">
          <cell r="B64" t="str">
            <v>Monitor</v>
          </cell>
          <cell r="C64">
            <v>1.0109839382712824</v>
          </cell>
          <cell r="D64">
            <v>0.45062457275939666</v>
          </cell>
          <cell r="E64">
            <v>0.45062457275939666</v>
          </cell>
          <cell r="F64">
            <v>0.72198913200149617</v>
          </cell>
        </row>
        <row r="65">
          <cell r="B65" t="str">
            <v>EISA nx</v>
          </cell>
          <cell r="C65">
            <v>0.73183262488926393</v>
          </cell>
          <cell r="D65">
            <v>0.41826483853544827</v>
          </cell>
          <cell r="E65">
            <v>0.41826483853544827</v>
          </cell>
          <cell r="F65">
            <v>0.81140182193357802</v>
          </cell>
        </row>
        <row r="66">
          <cell r="B66" t="str">
            <v>EISA x</v>
          </cell>
          <cell r="C66">
            <v>0.26816737511073607</v>
          </cell>
          <cell r="D66">
            <v>0.58148897029728519</v>
          </cell>
          <cell r="E66">
            <v>0.58148897029728519</v>
          </cell>
          <cell r="F66">
            <v>0.18859817806642193</v>
          </cell>
        </row>
        <row r="67">
          <cell r="B67" t="str">
            <v>WallSqft</v>
          </cell>
          <cell r="C67">
            <v>1802.7725325176218</v>
          </cell>
          <cell r="D67">
            <v>487</v>
          </cell>
          <cell r="F67">
            <v>1216.4209797598855</v>
          </cell>
        </row>
        <row r="68">
          <cell r="B68" t="str">
            <v>AtticSqft</v>
          </cell>
          <cell r="C68">
            <v>1431.3235818765609</v>
          </cell>
          <cell r="D68">
            <v>407</v>
          </cell>
          <cell r="F68">
            <v>1280</v>
          </cell>
        </row>
        <row r="69">
          <cell r="B69" t="str">
            <v>FloorSqft</v>
          </cell>
          <cell r="C69">
            <v>1431.3235818765609</v>
          </cell>
          <cell r="D69">
            <v>390</v>
          </cell>
          <cell r="F69">
            <v>1280</v>
          </cell>
        </row>
        <row r="70">
          <cell r="B70" t="str">
            <v>WindowSqft</v>
          </cell>
          <cell r="C70">
            <v>178.91544773457011</v>
          </cell>
          <cell r="D70">
            <v>174</v>
          </cell>
          <cell r="F70">
            <v>160</v>
          </cell>
        </row>
        <row r="71">
          <cell r="B71" t="str">
            <v>HomeSqft</v>
          </cell>
          <cell r="C71">
            <v>2006</v>
          </cell>
          <cell r="D71">
            <v>1150</v>
          </cell>
          <cell r="E71">
            <v>1150</v>
          </cell>
          <cell r="F71">
            <v>1280</v>
          </cell>
        </row>
        <row r="72">
          <cell r="B72" t="str">
            <v>Lighting</v>
          </cell>
          <cell r="C72">
            <v>63</v>
          </cell>
          <cell r="D72">
            <v>23</v>
          </cell>
          <cell r="E72">
            <v>23</v>
          </cell>
          <cell r="F72">
            <v>34.5</v>
          </cell>
        </row>
        <row r="86">
          <cell r="B86" t="str">
            <v>FORECAST</v>
          </cell>
          <cell r="C86" t="str">
            <v>BLDGTYPE</v>
          </cell>
        </row>
        <row r="87">
          <cell r="B87" t="str">
            <v>Vars</v>
          </cell>
          <cell r="C87" t="str">
            <v>Single Family</v>
          </cell>
          <cell r="D87" t="str">
            <v>Multifamily - Low Rise</v>
          </cell>
          <cell r="E87" t="str">
            <v>Multifamily - High Rise</v>
          </cell>
          <cell r="F87" t="str">
            <v>Manufactured</v>
          </cell>
        </row>
        <row r="88">
          <cell r="B88" t="str">
            <v>Electric FAF - HZ1CZ1</v>
          </cell>
          <cell r="C88">
            <v>1.8379055706406227E-2</v>
          </cell>
          <cell r="D88">
            <v>2.9671514740017984E-2</v>
          </cell>
          <cell r="E88">
            <v>2.9671514740017984E-2</v>
          </cell>
          <cell r="F88">
            <v>0.68310644913823848</v>
          </cell>
        </row>
        <row r="89">
          <cell r="B89" t="str">
            <v>Electric FAF - HZ1CZ23</v>
          </cell>
          <cell r="C89">
            <v>2.412923495568365E-2</v>
          </cell>
          <cell r="D89">
            <v>0</v>
          </cell>
          <cell r="E89">
            <v>0</v>
          </cell>
          <cell r="F89">
            <v>0.53068387215316171</v>
          </cell>
        </row>
        <row r="90">
          <cell r="B90" t="str">
            <v>Electric FAF - HZ23CZ1</v>
          </cell>
          <cell r="C90">
            <v>1.4117647058823532E-2</v>
          </cell>
          <cell r="D90">
            <v>0</v>
          </cell>
          <cell r="E90">
            <v>0</v>
          </cell>
          <cell r="F90">
            <v>0.29641575914254098</v>
          </cell>
        </row>
        <row r="91">
          <cell r="B91" t="str">
            <v>Electric FAF - HZ23CZ23</v>
          </cell>
          <cell r="C91">
            <v>0.14117647058823535</v>
          </cell>
          <cell r="D91">
            <v>0</v>
          </cell>
          <cell r="E91">
            <v>0</v>
          </cell>
          <cell r="F91">
            <v>0.49242118699820225</v>
          </cell>
        </row>
        <row r="92">
          <cell r="B92" t="str">
            <v>Electric FAF - HZ1</v>
          </cell>
          <cell r="C92">
            <v>2.0048426314096562E-2</v>
          </cell>
          <cell r="D92">
            <v>2.279607208754721E-2</v>
          </cell>
          <cell r="E92">
            <v>2.279607208754721E-2</v>
          </cell>
          <cell r="F92">
            <v>0.6103855317692306</v>
          </cell>
        </row>
        <row r="93">
          <cell r="B93" t="str">
            <v>Electric FAF - HZ23</v>
          </cell>
          <cell r="C93">
            <v>8.8458324594873558E-2</v>
          </cell>
          <cell r="D93">
            <v>0</v>
          </cell>
          <cell r="E93">
            <v>0</v>
          </cell>
          <cell r="F93">
            <v>0.42117367880782697</v>
          </cell>
        </row>
        <row r="94">
          <cell r="B94" t="str">
            <v>Electric FAF - Region</v>
          </cell>
          <cell r="C94">
            <v>2.1766292465668989E-2</v>
          </cell>
          <cell r="D94">
            <v>1.96145349060163E-2</v>
          </cell>
          <cell r="E94">
            <v>1.96145349060163E-2</v>
          </cell>
          <cell r="F94">
            <v>0.54052539788177201</v>
          </cell>
        </row>
        <row r="95">
          <cell r="B95" t="str">
            <v>Electric FAF w/ CAC - HZ1CZ1</v>
          </cell>
          <cell r="C95">
            <v>0.13310430527104683</v>
          </cell>
          <cell r="D95">
            <v>0</v>
          </cell>
          <cell r="E95">
            <v>0</v>
          </cell>
          <cell r="F95">
            <v>0.15868069027846163</v>
          </cell>
        </row>
        <row r="96">
          <cell r="B96" t="str">
            <v>Electric FAF w/ CAC - HZ1CZ23</v>
          </cell>
          <cell r="C96">
            <v>0.12117534162825606</v>
          </cell>
          <cell r="D96">
            <v>0</v>
          </cell>
          <cell r="E96">
            <v>0</v>
          </cell>
          <cell r="F96">
            <v>4.8523578535561704E-2</v>
          </cell>
        </row>
        <row r="97">
          <cell r="B97" t="str">
            <v>Electric FAF w/ CAC - HZ23CZ1</v>
          </cell>
          <cell r="C97">
            <v>1.9503476240466618E-2</v>
          </cell>
          <cell r="D97">
            <v>0</v>
          </cell>
          <cell r="E97">
            <v>0</v>
          </cell>
          <cell r="F97">
            <v>8.6847892074621388E-2</v>
          </cell>
        </row>
        <row r="98">
          <cell r="B98" t="str">
            <v>Electric FAF w/ CAC - HZ23CZ23</v>
          </cell>
          <cell r="C98">
            <v>3.0407952417464763E-2</v>
          </cell>
          <cell r="D98">
            <v>0</v>
          </cell>
          <cell r="E98">
            <v>0</v>
          </cell>
          <cell r="F98">
            <v>6.4577174474630405E-2</v>
          </cell>
        </row>
        <row r="99">
          <cell r="B99" t="str">
            <v>Heat Pump - HZ1CZ1</v>
          </cell>
          <cell r="C99">
            <v>7.4095770994953139E-2</v>
          </cell>
          <cell r="D99">
            <v>1.0945836048995988E-3</v>
          </cell>
          <cell r="E99">
            <v>1.0945836048995988E-3</v>
          </cell>
          <cell r="F99">
            <v>0.11042200533666623</v>
          </cell>
        </row>
        <row r="100">
          <cell r="B100" t="str">
            <v>Heat Pump - HZ1CZ23</v>
          </cell>
          <cell r="C100">
            <v>0.1235678638282882</v>
          </cell>
          <cell r="D100">
            <v>4.9999998343195358E-2</v>
          </cell>
          <cell r="E100">
            <v>4.9999998343195358E-2</v>
          </cell>
          <cell r="F100">
            <v>0.3014354043468136</v>
          </cell>
        </row>
        <row r="101">
          <cell r="B101" t="str">
            <v>Heat Pump - HZ23CZ1</v>
          </cell>
          <cell r="C101">
            <v>0.11294117647058827</v>
          </cell>
          <cell r="D101">
            <v>0</v>
          </cell>
          <cell r="E101">
            <v>0</v>
          </cell>
          <cell r="F101">
            <v>1.6598912836278519E-2</v>
          </cell>
        </row>
        <row r="102">
          <cell r="B102" t="str">
            <v>Heat Pump - HZ23CZ23</v>
          </cell>
          <cell r="C102">
            <v>0</v>
          </cell>
          <cell r="D102">
            <v>0</v>
          </cell>
          <cell r="E102">
            <v>0</v>
          </cell>
          <cell r="F102">
            <v>7.8940309013942875E-2</v>
          </cell>
        </row>
        <row r="103">
          <cell r="B103" t="str">
            <v>Heat Pump - HZ1</v>
          </cell>
          <cell r="C103">
            <v>8.8458324594873558E-2</v>
          </cell>
          <cell r="D103">
            <v>1.2426879154171162E-2</v>
          </cell>
          <cell r="E103">
            <v>1.2426879154171162E-2</v>
          </cell>
          <cell r="F103">
            <v>0.20155463070325005</v>
          </cell>
        </row>
        <row r="104">
          <cell r="B104" t="str">
            <v>Heat Pump - HZ23</v>
          </cell>
          <cell r="C104">
            <v>9.6333066453162572E-2</v>
          </cell>
          <cell r="D104">
            <v>0</v>
          </cell>
          <cell r="E104">
            <v>0</v>
          </cell>
          <cell r="F104">
            <v>5.6279359348618191E-2</v>
          </cell>
        </row>
        <row r="105">
          <cell r="B105" t="str">
            <v>Heat Pump - Region</v>
          </cell>
          <cell r="C105">
            <v>8.9373362312324317E-2</v>
          </cell>
          <cell r="D105">
            <v>1.0692519922126772E-2</v>
          </cell>
          <cell r="E105">
            <v>1.0692519922126772E-2</v>
          </cell>
          <cell r="F105">
            <v>0.14791660671834839</v>
          </cell>
        </row>
        <row r="106">
          <cell r="B106" t="str">
            <v>Electric Zonal - HZ1CZ1</v>
          </cell>
          <cell r="C106">
            <v>6.1965327738795109E-2</v>
          </cell>
          <cell r="D106">
            <v>0.85383980263040493</v>
          </cell>
          <cell r="E106">
            <v>0.85383980263040493</v>
          </cell>
          <cell r="F106">
            <v>3.0024948086295324E-2</v>
          </cell>
        </row>
        <row r="107">
          <cell r="B107" t="str">
            <v>Electric Zonal - HZ1CZ23</v>
          </cell>
          <cell r="C107">
            <v>6.7430556561826104E-3</v>
          </cell>
          <cell r="D107">
            <v>0.73333333554240632</v>
          </cell>
          <cell r="E107">
            <v>0.73333333554240632</v>
          </cell>
          <cell r="F107">
            <v>2.9788775817665265E-2</v>
          </cell>
        </row>
        <row r="108">
          <cell r="B108" t="str">
            <v>Electric Zonal - HZ23CZ1</v>
          </cell>
          <cell r="C108">
            <v>1.4117647058823532E-2</v>
          </cell>
          <cell r="D108">
            <v>0.59999998409467525</v>
          </cell>
          <cell r="E108">
            <v>0.59999998409467525</v>
          </cell>
          <cell r="F108">
            <v>3.3197825672557038E-2</v>
          </cell>
        </row>
        <row r="109">
          <cell r="B109" t="str">
            <v>Electric Zonal - HZ23CZ23</v>
          </cell>
          <cell r="C109">
            <v>0</v>
          </cell>
          <cell r="D109">
            <v>0.77777778759587934</v>
          </cell>
          <cell r="E109">
            <v>0.77777778759587934</v>
          </cell>
          <cell r="F109">
            <v>3.9084849826646118E-2</v>
          </cell>
        </row>
        <row r="110">
          <cell r="B110" t="str">
            <v>Electric Zonal - HZ1</v>
          </cell>
          <cell r="C110">
            <v>2.0048426314096562E-2</v>
          </cell>
          <cell r="D110">
            <v>0.82591620954879041</v>
          </cell>
          <cell r="E110">
            <v>0.82591620954879041</v>
          </cell>
          <cell r="F110">
            <v>2.9912270132860779E-2</v>
          </cell>
        </row>
        <row r="111">
          <cell r="B111" t="str">
            <v>Electric Zonal - HZ23</v>
          </cell>
          <cell r="C111">
            <v>1.204163330664532E-2</v>
          </cell>
          <cell r="D111">
            <v>0.71428571563820797</v>
          </cell>
          <cell r="E111">
            <v>0.71428571563820797</v>
          </cell>
          <cell r="F111">
            <v>3.6944930507961368E-2</v>
          </cell>
        </row>
        <row r="112">
          <cell r="B112" t="str">
            <v>Electric Zonal - Region</v>
          </cell>
          <cell r="C112">
            <v>4.1178226016708668E-2</v>
          </cell>
          <cell r="D112">
            <v>0.81033648311148054</v>
          </cell>
          <cell r="E112">
            <v>0.81033648311148054</v>
          </cell>
          <cell r="F112">
            <v>3.2508844225339915E-2</v>
          </cell>
        </row>
        <row r="113">
          <cell r="B113" t="str">
            <v>DHP - HZ1CZ1</v>
          </cell>
          <cell r="C113">
            <v>0</v>
          </cell>
          <cell r="D113">
            <v>2.3692380398754449E-2</v>
          </cell>
          <cell r="E113">
            <v>2.3692380398754449E-2</v>
          </cell>
          <cell r="F113">
            <v>1.2931050080460879E-2</v>
          </cell>
        </row>
        <row r="114">
          <cell r="B114" t="str">
            <v>DHP - HZ1CZ23</v>
          </cell>
          <cell r="C114">
            <v>0</v>
          </cell>
          <cell r="D114">
            <v>0</v>
          </cell>
          <cell r="E114">
            <v>0</v>
          </cell>
          <cell r="F114">
            <v>0</v>
          </cell>
        </row>
        <row r="115">
          <cell r="B115" t="str">
            <v>DHP - HZ23CZ1</v>
          </cell>
          <cell r="C115">
            <v>0</v>
          </cell>
          <cell r="D115">
            <v>0</v>
          </cell>
          <cell r="E115">
            <v>0</v>
          </cell>
          <cell r="F115">
            <v>2.3801185576297144E-2</v>
          </cell>
        </row>
        <row r="116">
          <cell r="B116" t="str">
            <v>DHP - HZ23CZ23</v>
          </cell>
          <cell r="C116">
            <v>0</v>
          </cell>
          <cell r="D116">
            <v>0</v>
          </cell>
          <cell r="E116">
            <v>0</v>
          </cell>
          <cell r="F116">
            <v>9.4794076514498494E-3</v>
          </cell>
        </row>
        <row r="117">
          <cell r="B117" t="str">
            <v>DHP - HZ1</v>
          </cell>
          <cell r="C117">
            <v>0</v>
          </cell>
          <cell r="D117">
            <v>1.8202414545664333E-2</v>
          </cell>
          <cell r="E117">
            <v>1.8202414545664333E-2</v>
          </cell>
          <cell r="F117">
            <v>6.761637103748332E-3</v>
          </cell>
        </row>
        <row r="118">
          <cell r="B118" t="str">
            <v>DHP - HZ23</v>
          </cell>
          <cell r="C118">
            <v>0</v>
          </cell>
          <cell r="D118">
            <v>0</v>
          </cell>
          <cell r="E118">
            <v>0</v>
          </cell>
          <cell r="F118">
            <v>1.4685339962430082E-2</v>
          </cell>
        </row>
        <row r="119">
          <cell r="B119" t="str">
            <v>DHP - Region</v>
          </cell>
          <cell r="C119">
            <v>0</v>
          </cell>
          <cell r="D119">
            <v>1.5661991860200661E-2</v>
          </cell>
          <cell r="E119">
            <v>1.5661991860200661E-2</v>
          </cell>
          <cell r="F119">
            <v>9.6871987634867523E-3</v>
          </cell>
        </row>
        <row r="120">
          <cell r="B120" t="str">
            <v>Central AC - CZ1</v>
          </cell>
          <cell r="C120">
            <v>0.99177648564154341</v>
          </cell>
          <cell r="D120">
            <v>1.2325175673207357E-2</v>
          </cell>
          <cell r="E120">
            <v>1.2325175673207357E-2</v>
          </cell>
          <cell r="F120">
            <v>0.14076353391268348</v>
          </cell>
        </row>
        <row r="121">
          <cell r="B121" t="str">
            <v>Central AC - CZ23</v>
          </cell>
          <cell r="C121">
            <v>0.97720135258324703</v>
          </cell>
          <cell r="D121">
            <v>6.8965519290222155E-2</v>
          </cell>
          <cell r="E121">
            <v>6.8965519290222155E-2</v>
          </cell>
          <cell r="F121">
            <v>0.17641272113455647</v>
          </cell>
        </row>
        <row r="122">
          <cell r="B122" t="str">
            <v>Room A/C - CZ1</v>
          </cell>
          <cell r="C122">
            <v>8.2235143584565747E-3</v>
          </cell>
          <cell r="D122">
            <v>5.3226756579866766E-2</v>
          </cell>
          <cell r="E122">
            <v>5.3226756579866766E-2</v>
          </cell>
          <cell r="F122">
            <v>0.21069287259219041</v>
          </cell>
        </row>
        <row r="123">
          <cell r="B123" t="str">
            <v>Room A/C - CZ23</v>
          </cell>
          <cell r="C123">
            <v>2.2798647416753057E-2</v>
          </cell>
          <cell r="D123">
            <v>0.10344827665008544</v>
          </cell>
          <cell r="E123">
            <v>0.10344827665008544</v>
          </cell>
          <cell r="F123">
            <v>0.16156829862253547</v>
          </cell>
        </row>
        <row r="124">
          <cell r="B124" t="str">
            <v>Electric WH</v>
          </cell>
          <cell r="C124">
            <v>0.55200000000000005</v>
          </cell>
          <cell r="D124">
            <v>0.94699999999999995</v>
          </cell>
          <cell r="E124">
            <v>0.94699999999999995</v>
          </cell>
          <cell r="F124">
            <v>0.88900000000000001</v>
          </cell>
        </row>
        <row r="125">
          <cell r="B125" t="str">
            <v xml:space="preserve">DHW &lt;55 </v>
          </cell>
          <cell r="C125">
            <v>0.58017916240221834</v>
          </cell>
        </row>
        <row r="126">
          <cell r="B126" t="str">
            <v>DHW &gt;55</v>
          </cell>
          <cell r="C126">
            <v>0.4198208375977816</v>
          </cell>
        </row>
        <row r="127">
          <cell r="B127" t="str">
            <v>Refrigerator</v>
          </cell>
          <cell r="C127">
            <v>1.2831400506742725</v>
          </cell>
          <cell r="D127">
            <v>1.0236201688615751</v>
          </cell>
          <cell r="E127">
            <v>1.0236201688615751</v>
          </cell>
          <cell r="F127">
            <v>1.1963734390534748</v>
          </cell>
        </row>
        <row r="128">
          <cell r="B128" t="str">
            <v>Freezer</v>
          </cell>
          <cell r="C128">
            <v>0.52766223341265472</v>
          </cell>
          <cell r="D128">
            <v>4.7085148422193572E-2</v>
          </cell>
          <cell r="E128">
            <v>4.7085148422193572E-2</v>
          </cell>
          <cell r="F128">
            <v>0.44147575101117187</v>
          </cell>
        </row>
        <row r="129">
          <cell r="B129" t="str">
            <v>Clothes Washer</v>
          </cell>
          <cell r="C129">
            <v>0.98546930096285335</v>
          </cell>
          <cell r="D129">
            <v>0.46477658924872384</v>
          </cell>
          <cell r="E129">
            <v>0.46477658924872384</v>
          </cell>
          <cell r="F129">
            <v>0.95368270905809616</v>
          </cell>
        </row>
        <row r="130">
          <cell r="B130" t="str">
            <v>Clothes Dryer</v>
          </cell>
          <cell r="C130">
            <v>0.93640551858187504</v>
          </cell>
          <cell r="D130">
            <v>0.46266057162974022</v>
          </cell>
          <cell r="E130">
            <v>0.46266057162974022</v>
          </cell>
          <cell r="F130">
            <v>0.88480083438048951</v>
          </cell>
        </row>
        <row r="131">
          <cell r="B131" t="str">
            <v>Dishwasher</v>
          </cell>
          <cell r="C131">
            <v>0.87764489634961651</v>
          </cell>
          <cell r="D131">
            <v>0.78113749066870952</v>
          </cell>
          <cell r="E131">
            <v>0.78113749066870952</v>
          </cell>
          <cell r="F131">
            <v>0.76196535734220561</v>
          </cell>
        </row>
        <row r="132">
          <cell r="B132" t="str">
            <v>Microwave</v>
          </cell>
          <cell r="C132">
            <v>0.95</v>
          </cell>
          <cell r="D132">
            <v>0.95</v>
          </cell>
          <cell r="E132">
            <v>0.95</v>
          </cell>
          <cell r="F132">
            <v>0.95</v>
          </cell>
        </row>
        <row r="133">
          <cell r="B133" t="str">
            <v>Electric Oven</v>
          </cell>
          <cell r="C133">
            <v>0.86895503473004965</v>
          </cell>
          <cell r="D133">
            <v>0.96585088459989477</v>
          </cell>
          <cell r="E133">
            <v>0.96585088459989477</v>
          </cell>
          <cell r="F133">
            <v>0.89920410170315002</v>
          </cell>
        </row>
        <row r="134">
          <cell r="B134" t="str">
            <v>TV</v>
          </cell>
          <cell r="C134">
            <v>2.6054137843968896</v>
          </cell>
          <cell r="D134">
            <v>1.5145007606068333</v>
          </cell>
          <cell r="E134">
            <v>1.5145007606068333</v>
          </cell>
          <cell r="F134">
            <v>2.0454162110233622</v>
          </cell>
        </row>
        <row r="135">
          <cell r="B135" t="str">
            <v>Set top box</v>
          </cell>
          <cell r="C135">
            <v>1.0654190989347723</v>
          </cell>
          <cell r="D135">
            <v>1.038434724492763</v>
          </cell>
          <cell r="E135">
            <v>1.038434724492763</v>
          </cell>
          <cell r="F135">
            <v>1.3170555258448295</v>
          </cell>
        </row>
        <row r="136">
          <cell r="B136" t="str">
            <v>Computer</v>
          </cell>
          <cell r="C136">
            <v>1.6074234662188889</v>
          </cell>
          <cell r="D136">
            <v>0.71239882016544165</v>
          </cell>
          <cell r="E136">
            <v>0.71239882016544165</v>
          </cell>
          <cell r="F136">
            <v>1.1331497454290105</v>
          </cell>
        </row>
        <row r="137">
          <cell r="B137" t="str">
            <v>Monitor</v>
          </cell>
          <cell r="C137">
            <v>1.0109839382712824</v>
          </cell>
          <cell r="D137">
            <v>0.45062457275939666</v>
          </cell>
          <cell r="E137">
            <v>0.45062457275939666</v>
          </cell>
          <cell r="F137">
            <v>0.72198913200149617</v>
          </cell>
        </row>
        <row r="138">
          <cell r="B138" t="str">
            <v>EISA nx</v>
          </cell>
          <cell r="C138">
            <v>0.73183262488926393</v>
          </cell>
          <cell r="D138">
            <v>0.41826483853544827</v>
          </cell>
          <cell r="E138">
            <v>0.41826483853544827</v>
          </cell>
          <cell r="F138">
            <v>0.81140182193357802</v>
          </cell>
        </row>
        <row r="139">
          <cell r="B139" t="str">
            <v>EISA x</v>
          </cell>
          <cell r="C139">
            <v>0.26816737511073607</v>
          </cell>
          <cell r="D139">
            <v>0.58148897029728519</v>
          </cell>
          <cell r="E139">
            <v>0.58148897029728519</v>
          </cell>
          <cell r="F139">
            <v>0.18859817806642193</v>
          </cell>
        </row>
        <row r="140">
          <cell r="B140" t="str">
            <v>WallSqft</v>
          </cell>
          <cell r="C140">
            <v>583.40896061568401</v>
          </cell>
        </row>
        <row r="141">
          <cell r="B141" t="str">
            <v>AtticSqft</v>
          </cell>
          <cell r="C141">
            <v>1177.7370772549227</v>
          </cell>
        </row>
        <row r="142">
          <cell r="B142" t="str">
            <v>FloorSqft</v>
          </cell>
          <cell r="C142">
            <v>1177.7370772549227</v>
          </cell>
        </row>
        <row r="143">
          <cell r="B143" t="str">
            <v>WindowSqft</v>
          </cell>
          <cell r="C143">
            <v>147.21713465686534</v>
          </cell>
        </row>
        <row r="144">
          <cell r="B144" t="str">
            <v>HomeSqft</v>
          </cell>
          <cell r="C144">
            <v>2355.4741545098454</v>
          </cell>
        </row>
        <row r="145">
          <cell r="B145" t="str">
            <v>Lighting</v>
          </cell>
          <cell r="C145">
            <v>77</v>
          </cell>
          <cell r="D145">
            <v>23</v>
          </cell>
          <cell r="E145">
            <v>23</v>
          </cell>
          <cell r="F145">
            <v>34.5</v>
          </cell>
        </row>
      </sheetData>
      <sheetData sheetId="12">
        <row r="8">
          <cell r="B8" t="str">
            <v>Multifamily - Low Rise</v>
          </cell>
        </row>
        <row r="9">
          <cell r="B9" t="str">
            <v>Multifamily - High Rise</v>
          </cell>
        </row>
        <row r="10">
          <cell r="B10" t="str">
            <v>Manufactured</v>
          </cell>
        </row>
        <row r="12">
          <cell r="C12">
            <v>0</v>
          </cell>
          <cell r="D12">
            <v>0</v>
          </cell>
          <cell r="E12">
            <v>0</v>
          </cell>
          <cell r="F12">
            <v>0</v>
          </cell>
        </row>
      </sheetData>
      <sheetData sheetId="13">
        <row r="8">
          <cell r="B8" t="str">
            <v>forced air furnace saturation in heating zone 2&amp;3 cooling zone 1</v>
          </cell>
          <cell r="C8">
            <v>3</v>
          </cell>
        </row>
        <row r="9">
          <cell r="B9" t="str">
            <v>forced air furnace saturation in heating zone 2&amp;3 cooling zone 2&amp;3</v>
          </cell>
          <cell r="C9">
            <v>4</v>
          </cell>
        </row>
        <row r="10">
          <cell r="B10" t="str">
            <v>forced air furnace saturation in heating zone 1</v>
          </cell>
          <cell r="C10">
            <v>5</v>
          </cell>
        </row>
        <row r="11">
          <cell r="B11" t="str">
            <v>forced air furnace saturation in heating zone 2&amp;3</v>
          </cell>
          <cell r="C11">
            <v>6</v>
          </cell>
        </row>
        <row r="12">
          <cell r="B12" t="str">
            <v>forced air furnace saturation across region</v>
          </cell>
        </row>
        <row r="13">
          <cell r="B13" t="str">
            <v>forced air furnace saturation w/CAC in heating zone 1 cooling zone 1</v>
          </cell>
          <cell r="C13">
            <v>8</v>
          </cell>
        </row>
        <row r="14">
          <cell r="B14" t="str">
            <v>forced air furnace saturation w/CAC in heating zone 1 cooling zone 2&amp;3</v>
          </cell>
          <cell r="C14">
            <v>9</v>
          </cell>
        </row>
        <row r="15">
          <cell r="B15" t="str">
            <v>forced air furnace saturation w/CAC in heating zone 2&amp;3 cooling zone 1</v>
          </cell>
          <cell r="C15">
            <v>10</v>
          </cell>
        </row>
        <row r="16">
          <cell r="B16" t="str">
            <v>forced air furnace saturation w/CAC in heating zone 2&amp;3 cooling zone 2&amp;3</v>
          </cell>
          <cell r="C16">
            <v>11</v>
          </cell>
        </row>
        <row r="17">
          <cell r="B17" t="str">
            <v>air source heat pump saturation in heating zone 1 cooling zone 1</v>
          </cell>
          <cell r="C17">
            <v>12</v>
          </cell>
        </row>
        <row r="18">
          <cell r="B18" t="str">
            <v>air source heat pump saturation in heating zone 1 cooling zone 2&amp;3</v>
          </cell>
          <cell r="C18">
            <v>13</v>
          </cell>
        </row>
        <row r="19">
          <cell r="B19" t="str">
            <v>air source heat pump saturation in heating zone 2&amp;3 cooling zone 1</v>
          </cell>
          <cell r="C19">
            <v>14</v>
          </cell>
        </row>
        <row r="20">
          <cell r="B20" t="str">
            <v>air source heat pump saturation in heating zone 2&amp;3 cooling zone 2&amp;3</v>
          </cell>
          <cell r="C20">
            <v>15</v>
          </cell>
        </row>
        <row r="21">
          <cell r="B21" t="str">
            <v>air source heat pump saturation in heating zone 1</v>
          </cell>
        </row>
        <row r="22">
          <cell r="B22" t="str">
            <v>air source heat pump saturation in heating zone 2&amp;3</v>
          </cell>
        </row>
        <row r="23">
          <cell r="B23" t="str">
            <v>air source heat pump saturation across region</v>
          </cell>
        </row>
        <row r="24">
          <cell r="B24" t="str">
            <v>forced air furnace saturation in heating zone 1 cooling zone 1</v>
          </cell>
          <cell r="C24">
            <v>19</v>
          </cell>
        </row>
        <row r="25">
          <cell r="B25" t="str">
            <v>forced air furnace saturation in heating zone 1 cooling zone 2&amp;3</v>
          </cell>
          <cell r="C25">
            <v>20</v>
          </cell>
        </row>
        <row r="26">
          <cell r="B26" t="str">
            <v>forced air furnace saturation in heating zone 2&amp;3 cooling zone 1</v>
          </cell>
          <cell r="C26">
            <v>21</v>
          </cell>
        </row>
        <row r="27">
          <cell r="B27" t="str">
            <v>forced air furnace saturation in heating zone 2&amp;3 cooling zone 2&amp;3</v>
          </cell>
          <cell r="C27">
            <v>22</v>
          </cell>
        </row>
        <row r="28">
          <cell r="B28" t="str">
            <v>forced air furnace saturation in heating zone 1</v>
          </cell>
          <cell r="C28">
            <v>23</v>
          </cell>
        </row>
        <row r="29">
          <cell r="B29" t="str">
            <v>forced air furnace saturation in heating zone 2&amp;3</v>
          </cell>
          <cell r="C29">
            <v>24</v>
          </cell>
        </row>
        <row r="30">
          <cell r="B30" t="str">
            <v>forced air furnace saturation across region</v>
          </cell>
        </row>
        <row r="31">
          <cell r="B31" t="str">
            <v>ductless heat pump saturation in heating zone 1 cooling zone 1</v>
          </cell>
          <cell r="C31">
            <v>26</v>
          </cell>
        </row>
        <row r="32">
          <cell r="B32" t="str">
            <v>ductless heat pump saturation in heating zone 1 cooling zone 2&amp;3</v>
          </cell>
          <cell r="C32">
            <v>27</v>
          </cell>
        </row>
        <row r="33">
          <cell r="B33" t="str">
            <v>ductless heat pump saturation in heating zone 2&amp;3 cooling zone 1</v>
          </cell>
          <cell r="C33">
            <v>28</v>
          </cell>
        </row>
        <row r="34">
          <cell r="B34" t="str">
            <v>ductless heat pump saturation in heating zone 2&amp;3 cooling zone 2&amp;3</v>
          </cell>
          <cell r="C34">
            <v>29</v>
          </cell>
        </row>
        <row r="35">
          <cell r="B35" t="str">
            <v>ductless heat pump saturation in heating zone 1</v>
          </cell>
          <cell r="C35">
            <v>30</v>
          </cell>
        </row>
        <row r="36">
          <cell r="B36" t="str">
            <v>ductless heat pump saturation in heating zone 2&amp;3</v>
          </cell>
          <cell r="C36">
            <v>31</v>
          </cell>
        </row>
        <row r="37">
          <cell r="B37" t="str">
            <v>ductless heat pump saturation across region</v>
          </cell>
        </row>
        <row r="38">
          <cell r="B38" t="str">
            <v>central air conditioner saturation in cooling zone 1</v>
          </cell>
          <cell r="C38">
            <v>33</v>
          </cell>
        </row>
        <row r="39">
          <cell r="B39" t="str">
            <v>central air conditioner saturation in cooling zone 2&amp;3</v>
          </cell>
          <cell r="C39">
            <v>34</v>
          </cell>
        </row>
        <row r="40">
          <cell r="B40" t="str">
            <v>room air conditioner saturation in cooling zone 1</v>
          </cell>
          <cell r="C40">
            <v>35</v>
          </cell>
        </row>
        <row r="41">
          <cell r="B41" t="str">
            <v>room air conditioner saturation in cooling zone 2&amp;3</v>
          </cell>
          <cell r="C41">
            <v>36</v>
          </cell>
        </row>
        <row r="42">
          <cell r="B42" t="str">
            <v>Electric water heater saturation in region</v>
          </cell>
        </row>
        <row r="43">
          <cell r="B43" t="str">
            <v>Electric water heater &lt; 55 gal inside conditioned space</v>
          </cell>
          <cell r="C43">
            <v>38</v>
          </cell>
        </row>
        <row r="44">
          <cell r="B44" t="str">
            <v>Electric water heater &lt; 55 gal in buffered space</v>
          </cell>
          <cell r="C44">
            <v>39</v>
          </cell>
        </row>
        <row r="45">
          <cell r="B45" t="str">
            <v>Electric water heater &lt; 55 gal in unbuffered space</v>
          </cell>
        </row>
        <row r="46">
          <cell r="B46" t="str">
            <v>Electric water heater &gt;= 55 gal inside conditioned space</v>
          </cell>
          <cell r="C46">
            <v>41</v>
          </cell>
        </row>
        <row r="47">
          <cell r="B47" t="str">
            <v>Electric water heater &gt;= 55 gal in buffered space</v>
          </cell>
          <cell r="C47">
            <v>42</v>
          </cell>
        </row>
        <row r="48">
          <cell r="B48" t="str">
            <v>Electric water heater &gt;= 55 gal in unbuffered space</v>
          </cell>
        </row>
        <row r="49">
          <cell r="B49" t="str">
            <v>Saturation of Refrigerator in homes</v>
          </cell>
          <cell r="C49">
            <v>44</v>
          </cell>
        </row>
        <row r="50">
          <cell r="B50" t="str">
            <v>Saturation of Freezer in homes</v>
          </cell>
          <cell r="C50">
            <v>45</v>
          </cell>
        </row>
        <row r="51">
          <cell r="B51" t="str">
            <v>Saturation of Clothes Washer in homes</v>
          </cell>
          <cell r="C51">
            <v>46</v>
          </cell>
        </row>
        <row r="52">
          <cell r="B52" t="str">
            <v>Saturation of Clothes Dryer in homes</v>
          </cell>
          <cell r="C52">
            <v>47</v>
          </cell>
        </row>
        <row r="53">
          <cell r="B53" t="str">
            <v>Saturation of Dishwasher in homes</v>
          </cell>
          <cell r="C53">
            <v>48</v>
          </cell>
        </row>
        <row r="54">
          <cell r="B54" t="str">
            <v>Saturation of Microwave in homes</v>
          </cell>
          <cell r="C54">
            <v>49</v>
          </cell>
        </row>
        <row r="55">
          <cell r="B55" t="str">
            <v>Saturation of Electric Oven in homes</v>
          </cell>
          <cell r="C55">
            <v>50</v>
          </cell>
        </row>
        <row r="56">
          <cell r="B56" t="str">
            <v>Saturation of TV in homes</v>
          </cell>
          <cell r="C56">
            <v>51</v>
          </cell>
        </row>
        <row r="57">
          <cell r="B57" t="str">
            <v>Saturation of Set top box in homes</v>
          </cell>
          <cell r="C57">
            <v>52</v>
          </cell>
        </row>
        <row r="58">
          <cell r="B58" t="str">
            <v>Saturation of Computer in homes</v>
          </cell>
          <cell r="C58">
            <v>53</v>
          </cell>
        </row>
        <row r="59">
          <cell r="B59" t="str">
            <v>Saturation of Monitor in homes</v>
          </cell>
          <cell r="C59">
            <v>54</v>
          </cell>
        </row>
        <row r="60">
          <cell r="B60" t="str">
            <v>Saturation of EISA-nonexempt bulbs in homes</v>
          </cell>
          <cell r="C60">
            <v>55</v>
          </cell>
        </row>
        <row r="61">
          <cell r="B61" t="str">
            <v>Saturation of EISA-exempt bulbs in homes</v>
          </cell>
          <cell r="C61">
            <v>56</v>
          </cell>
        </row>
        <row r="62">
          <cell r="B62" t="str">
            <v>Average square feet of walls</v>
          </cell>
        </row>
        <row r="63">
          <cell r="B63" t="str">
            <v>Average square feet of attic</v>
          </cell>
        </row>
        <row r="64">
          <cell r="B64" t="str">
            <v>Average square feet of floors</v>
          </cell>
        </row>
        <row r="65">
          <cell r="B65" t="str">
            <v>Average square feet of windows</v>
          </cell>
        </row>
        <row r="66">
          <cell r="B66" t="str">
            <v>Averagetotal square feet of homes</v>
          </cell>
        </row>
        <row r="67">
          <cell r="B67" t="str">
            <v>Number of bulbs per house</v>
          </cell>
        </row>
      </sheetData>
      <sheetData sheetId="14">
        <row r="8">
          <cell r="B8" t="str">
            <v>Workshop</v>
          </cell>
          <cell r="C8" t="str">
            <v>Other</v>
          </cell>
          <cell r="D8" t="str">
            <v>Other</v>
          </cell>
          <cell r="E8" t="str">
            <v>Other</v>
          </cell>
        </row>
        <row r="9">
          <cell r="B9" t="str">
            <v>Skilled Nursing</v>
          </cell>
        </row>
        <row r="10">
          <cell r="B10" t="str">
            <v>Warehouse</v>
          </cell>
        </row>
        <row r="11">
          <cell r="B11" t="str">
            <v>Other</v>
          </cell>
        </row>
        <row r="13">
          <cell r="D13" t="str">
            <v>Characteristics</v>
          </cell>
        </row>
        <row r="14">
          <cell r="C14" t="str">
            <v>NPPC BUILDTYPE</v>
          </cell>
          <cell r="D14" t="str">
            <v>Primary Activity</v>
          </cell>
          <cell r="E14" t="str">
            <v>Gross Floor Area</v>
          </cell>
          <cell r="F14" t="str">
            <v>Number of Stories</v>
          </cell>
        </row>
        <row r="15">
          <cell r="C15" t="str">
            <v>Large Off</v>
          </cell>
          <cell r="D15" t="str">
            <v>Office</v>
          </cell>
          <cell r="E15" t="str">
            <v>&gt; 100,000</v>
          </cell>
          <cell r="F15" t="str">
            <v>Any</v>
          </cell>
        </row>
        <row r="16">
          <cell r="C16" t="str">
            <v>Medium Off</v>
          </cell>
          <cell r="D16" t="str">
            <v>Office</v>
          </cell>
          <cell r="E16" t="str">
            <v>20,000 to 100,000</v>
          </cell>
          <cell r="F16" t="str">
            <v>Any</v>
          </cell>
        </row>
        <row r="17">
          <cell r="C17" t="str">
            <v>Small Off</v>
          </cell>
          <cell r="D17" t="str">
            <v>Office</v>
          </cell>
          <cell r="E17" t="str">
            <v>&lt; 20,000</v>
          </cell>
          <cell r="F17" t="str">
            <v>Any</v>
          </cell>
        </row>
        <row r="18">
          <cell r="C18" t="str">
            <v>Big Box</v>
          </cell>
          <cell r="D18" t="str">
            <v>Retail</v>
          </cell>
          <cell r="E18" t="str">
            <v>&gt; 50,000</v>
          </cell>
          <cell r="F18">
            <v>1</v>
          </cell>
        </row>
        <row r="19">
          <cell r="C19" t="str">
            <v>Small Box</v>
          </cell>
          <cell r="D19" t="str">
            <v>Retail</v>
          </cell>
          <cell r="E19" t="str">
            <v>&lt;50,000</v>
          </cell>
          <cell r="F19">
            <v>1</v>
          </cell>
        </row>
        <row r="20">
          <cell r="C20" t="str">
            <v>High End</v>
          </cell>
          <cell r="D20" t="str">
            <v>Retail</v>
          </cell>
          <cell r="E20" t="str">
            <v>&lt; 20,000</v>
          </cell>
          <cell r="F20">
            <v>1</v>
          </cell>
        </row>
        <row r="21">
          <cell r="C21" t="str">
            <v>Anchor</v>
          </cell>
          <cell r="D21" t="str">
            <v>Retail</v>
          </cell>
          <cell r="E21" t="str">
            <v>&gt; 50,000</v>
          </cell>
          <cell r="F21" t="str">
            <v>&gt;1</v>
          </cell>
        </row>
        <row r="22">
          <cell r="C22" t="str">
            <v>K-12</v>
          </cell>
          <cell r="D22" t="str">
            <v>School</v>
          </cell>
          <cell r="E22" t="str">
            <v>Any</v>
          </cell>
          <cell r="F22" t="str">
            <v>Any</v>
          </cell>
        </row>
        <row r="23">
          <cell r="C23" t="str">
            <v>University</v>
          </cell>
          <cell r="D23" t="str">
            <v>School</v>
          </cell>
          <cell r="E23" t="str">
            <v>Any</v>
          </cell>
          <cell r="F23" t="str">
            <v>Any</v>
          </cell>
        </row>
        <row r="24">
          <cell r="C24" t="str">
            <v>Warehouse</v>
          </cell>
          <cell r="D24" t="str">
            <v>Warehouse</v>
          </cell>
          <cell r="E24" t="str">
            <v>Any</v>
          </cell>
          <cell r="F24" t="str">
            <v>Any</v>
          </cell>
        </row>
        <row r="25">
          <cell r="C25" t="str">
            <v>Supermarket</v>
          </cell>
          <cell r="D25" t="str">
            <v>Retail Food</v>
          </cell>
          <cell r="E25" t="str">
            <v>&gt; 5000</v>
          </cell>
          <cell r="F25" t="str">
            <v>Any</v>
          </cell>
        </row>
        <row r="26">
          <cell r="C26" t="str">
            <v>MIniMart</v>
          </cell>
          <cell r="D26" t="str">
            <v>Retail Food</v>
          </cell>
          <cell r="E26" t="str">
            <v>&lt;= 5000</v>
          </cell>
          <cell r="F26" t="str">
            <v>Any</v>
          </cell>
        </row>
        <row r="27">
          <cell r="C27" t="str">
            <v>Restaurant</v>
          </cell>
          <cell r="D27" t="str">
            <v>Retail Food</v>
          </cell>
          <cell r="E27" t="str">
            <v>Any</v>
          </cell>
          <cell r="F27" t="str">
            <v>Any</v>
          </cell>
        </row>
        <row r="28">
          <cell r="C28" t="str">
            <v>Lodging</v>
          </cell>
          <cell r="D28" t="str">
            <v>Lodging</v>
          </cell>
          <cell r="E28" t="str">
            <v>Any</v>
          </cell>
          <cell r="F28" t="str">
            <v>Any</v>
          </cell>
        </row>
        <row r="29">
          <cell r="C29" t="str">
            <v>Hospital</v>
          </cell>
          <cell r="D29" t="str">
            <v>Health Care</v>
          </cell>
          <cell r="E29" t="str">
            <v>Any</v>
          </cell>
          <cell r="F29" t="str">
            <v>Any</v>
          </cell>
        </row>
        <row r="30">
          <cell r="C30" t="str">
            <v>OtherHealth</v>
          </cell>
          <cell r="D30" t="str">
            <v>Health Care</v>
          </cell>
          <cell r="E30" t="str">
            <v>Any</v>
          </cell>
          <cell r="F30" t="str">
            <v>Any</v>
          </cell>
        </row>
        <row r="31">
          <cell r="C31" t="str">
            <v>Other</v>
          </cell>
          <cell r="D31" t="str">
            <v>Other</v>
          </cell>
          <cell r="E31" t="str">
            <v>Any</v>
          </cell>
          <cell r="F31" t="str">
            <v>Any</v>
          </cell>
        </row>
      </sheetData>
      <sheetData sheetId="15">
        <row r="8">
          <cell r="C8" t="str">
            <v>OR new homes</v>
          </cell>
        </row>
        <row r="9">
          <cell r="C9" t="str">
            <v>OR existing homes</v>
          </cell>
        </row>
        <row r="10">
          <cell r="C10" t="str">
            <v>WA new homes</v>
          </cell>
        </row>
        <row r="11">
          <cell r="C11" t="str">
            <v>WA existing homes</v>
          </cell>
        </row>
        <row r="12">
          <cell r="C12" t="str">
            <v>Region new homes</v>
          </cell>
        </row>
        <row r="13">
          <cell r="C13" t="str">
            <v>Region existing homes</v>
          </cell>
        </row>
      </sheetData>
      <sheetData sheetId="16">
        <row r="8">
          <cell r="B8" t="str">
            <v>Electric FAF - HZ1</v>
          </cell>
        </row>
        <row r="9">
          <cell r="B9" t="str">
            <v>Electric FAF - HZ23</v>
          </cell>
        </row>
        <row r="10">
          <cell r="B10" t="str">
            <v>Electric FAF - Region</v>
          </cell>
        </row>
        <row r="11">
          <cell r="B11" t="str">
            <v>Electric FAF w/ CAC - HZ1CZ1</v>
          </cell>
        </row>
        <row r="12">
          <cell r="B12" t="str">
            <v>Electric FAF w/ CAC - HZ1CZ23</v>
          </cell>
        </row>
        <row r="13">
          <cell r="B13" t="str">
            <v>Electric FAF w/ CAC - HZ23CZ1</v>
          </cell>
        </row>
        <row r="14">
          <cell r="B14" t="str">
            <v>Electric FAF w/ CAC - HZ23CZ23</v>
          </cell>
        </row>
        <row r="15">
          <cell r="B15" t="str">
            <v>Heat Pump - HZ1CZ1</v>
          </cell>
        </row>
        <row r="16">
          <cell r="B16" t="str">
            <v>Heat Pump - HZ1CZ23</v>
          </cell>
        </row>
        <row r="17">
          <cell r="B17" t="str">
            <v>Heat Pump - HZ23CZ1</v>
          </cell>
        </row>
        <row r="18">
          <cell r="B18" t="str">
            <v>Heat Pump - HZ23CZ23</v>
          </cell>
        </row>
        <row r="19">
          <cell r="B19" t="str">
            <v>Heat Pump - HZ1</v>
          </cell>
        </row>
        <row r="20">
          <cell r="B20" t="str">
            <v>Heat Pump - HZ23</v>
          </cell>
        </row>
        <row r="21">
          <cell r="B21" t="str">
            <v>Heat Pump - Region</v>
          </cell>
        </row>
        <row r="22">
          <cell r="B22" t="str">
            <v>Electric Zonal - HZ1CZ1</v>
          </cell>
        </row>
        <row r="23">
          <cell r="B23" t="str">
            <v>Electric Zonal - HZ1CZ23</v>
          </cell>
        </row>
        <row r="24">
          <cell r="B24" t="str">
            <v>Electric Zonal - HZ23CZ1</v>
          </cell>
        </row>
        <row r="25">
          <cell r="B25" t="str">
            <v>Electric Zonal - HZ23CZ23</v>
          </cell>
        </row>
        <row r="26">
          <cell r="B26" t="str">
            <v>Electric Zonal - HZ1</v>
          </cell>
        </row>
        <row r="27">
          <cell r="B27" t="str">
            <v>Electric Zonal - HZ23</v>
          </cell>
        </row>
        <row r="28">
          <cell r="B28" t="str">
            <v>Electric Zonal - Region</v>
          </cell>
        </row>
        <row r="29">
          <cell r="B29" t="str">
            <v>DHP - HZ1CZ1</v>
          </cell>
        </row>
        <row r="30">
          <cell r="B30" t="str">
            <v>DHP - HZ1CZ23</v>
          </cell>
        </row>
        <row r="31">
          <cell r="B31" t="str">
            <v>DHP - HZ23CZ1</v>
          </cell>
        </row>
        <row r="32">
          <cell r="B32" t="str">
            <v>DHP - HZ23CZ23</v>
          </cell>
        </row>
        <row r="33">
          <cell r="B33" t="str">
            <v>DHP - HZ1</v>
          </cell>
        </row>
        <row r="34">
          <cell r="B34" t="str">
            <v>DHP - HZ23</v>
          </cell>
        </row>
        <row r="35">
          <cell r="B35" t="str">
            <v>DHP - Region</v>
          </cell>
        </row>
        <row r="36">
          <cell r="B36" t="str">
            <v>Central AC - CZ1</v>
          </cell>
        </row>
        <row r="37">
          <cell r="B37" t="str">
            <v>Central AC - CZ23</v>
          </cell>
        </row>
        <row r="38">
          <cell r="B38" t="str">
            <v>Room A/C - CZ1</v>
          </cell>
        </row>
        <row r="39">
          <cell r="B39" t="str">
            <v>Room A/C - CZ23</v>
          </cell>
        </row>
        <row r="40">
          <cell r="B40" t="str">
            <v>DWH &lt;55 inside</v>
          </cell>
        </row>
        <row r="41">
          <cell r="B41" t="str">
            <v>DHW &lt;55 outside buffer</v>
          </cell>
        </row>
        <row r="42">
          <cell r="B42" t="str">
            <v>DHW &lt; 55 outside unbuffer</v>
          </cell>
        </row>
        <row r="43">
          <cell r="B43" t="str">
            <v>DHW &gt;55 inside</v>
          </cell>
        </row>
        <row r="44">
          <cell r="B44" t="str">
            <v>DHW &gt;55 outside buffer</v>
          </cell>
        </row>
        <row r="45">
          <cell r="B45" t="str">
            <v>DHW &gt;55 outside unbuffer</v>
          </cell>
        </row>
        <row r="46">
          <cell r="B46" t="str">
            <v>Refrigerator</v>
          </cell>
        </row>
        <row r="47">
          <cell r="B47" t="str">
            <v>Freezer</v>
          </cell>
        </row>
        <row r="48">
          <cell r="B48" t="str">
            <v>Clothes Washer</v>
          </cell>
        </row>
        <row r="49">
          <cell r="B49" t="str">
            <v>Clothes Dryer</v>
          </cell>
        </row>
        <row r="50">
          <cell r="B50" t="str">
            <v>Dishwasher</v>
          </cell>
        </row>
        <row r="51">
          <cell r="B51" t="str">
            <v>Microwave</v>
          </cell>
        </row>
        <row r="52">
          <cell r="B52" t="str">
            <v>Electric Oven</v>
          </cell>
        </row>
        <row r="53">
          <cell r="B53" t="str">
            <v>Computer</v>
          </cell>
        </row>
        <row r="54">
          <cell r="B54" t="str">
            <v>Monitor</v>
          </cell>
        </row>
        <row r="55">
          <cell r="B55" t="str">
            <v>EISA nx</v>
          </cell>
        </row>
        <row r="56">
          <cell r="B56" t="str">
            <v>EISA x</v>
          </cell>
        </row>
        <row r="57">
          <cell r="B57" t="str">
            <v>WallSqft</v>
          </cell>
        </row>
        <row r="58">
          <cell r="B58" t="str">
            <v>AtticSqft</v>
          </cell>
        </row>
        <row r="59">
          <cell r="B59" t="str">
            <v>FloorSqft</v>
          </cell>
        </row>
        <row r="60">
          <cell r="B60" t="str">
            <v>WindowSqft</v>
          </cell>
        </row>
        <row r="61">
          <cell r="B61" t="str">
            <v>HomeSqft</v>
          </cell>
        </row>
        <row r="62">
          <cell r="B62" t="str">
            <v>Lighting</v>
          </cell>
        </row>
        <row r="63">
          <cell r="B63">
            <v>0</v>
          </cell>
        </row>
        <row r="64">
          <cell r="B64">
            <v>0</v>
          </cell>
        </row>
        <row r="65">
          <cell r="B65">
            <v>0</v>
          </cell>
        </row>
        <row r="66">
          <cell r="B66">
            <v>0</v>
          </cell>
        </row>
        <row r="67">
          <cell r="B67">
            <v>0</v>
          </cell>
        </row>
        <row r="68">
          <cell r="B68">
            <v>0</v>
          </cell>
        </row>
      </sheetData>
      <sheetData sheetId="17">
        <row r="8">
          <cell r="B8" t="str">
            <v>HVAC</v>
          </cell>
          <cell r="C8" t="str">
            <v>Envelope</v>
          </cell>
          <cell r="D8" t="str">
            <v>Insulation</v>
          </cell>
          <cell r="E8" t="str">
            <v>Attic Insulation</v>
          </cell>
          <cell r="F8" t="str">
            <v>Low/No insulation</v>
          </cell>
        </row>
        <row r="9">
          <cell r="B9" t="str">
            <v>HVAC</v>
          </cell>
          <cell r="C9" t="str">
            <v>Envelope</v>
          </cell>
          <cell r="D9" t="str">
            <v>Insulation</v>
          </cell>
          <cell r="E9" t="str">
            <v>Wall Insulation</v>
          </cell>
          <cell r="F9" t="str">
            <v>Low/No insulation</v>
          </cell>
        </row>
        <row r="10">
          <cell r="B10" t="str">
            <v>HVAC</v>
          </cell>
          <cell r="C10" t="str">
            <v>Envelope</v>
          </cell>
          <cell r="D10" t="str">
            <v>Insulation</v>
          </cell>
          <cell r="E10" t="str">
            <v xml:space="preserve">Floor Insulation </v>
          </cell>
          <cell r="F10" t="str">
            <v>Low/No insulation</v>
          </cell>
        </row>
        <row r="11">
          <cell r="B11" t="str">
            <v>HVAC</v>
          </cell>
          <cell r="C11" t="str">
            <v>Envelope</v>
          </cell>
          <cell r="D11" t="str">
            <v>Insulation</v>
          </cell>
          <cell r="E11" t="str">
            <v>Windows</v>
          </cell>
          <cell r="F11" t="str">
            <v>Single/Double Pane</v>
          </cell>
        </row>
        <row r="12">
          <cell r="B12" t="str">
            <v>HVAC</v>
          </cell>
          <cell r="C12" t="str">
            <v>Envelope</v>
          </cell>
          <cell r="D12" t="str">
            <v>Insulation</v>
          </cell>
          <cell r="E12" t="str">
            <v>Infiltration</v>
          </cell>
          <cell r="F12" t="str">
            <v>High leakage</v>
          </cell>
        </row>
        <row r="13">
          <cell r="B13" t="str">
            <v>HVAC</v>
          </cell>
          <cell r="C13" t="str">
            <v>Envelope</v>
          </cell>
          <cell r="D13" t="str">
            <v>Insulation</v>
          </cell>
          <cell r="E13" t="str">
            <v>Attic Insulation</v>
          </cell>
          <cell r="F13" t="str">
            <v>Code-avg</v>
          </cell>
        </row>
        <row r="14">
          <cell r="B14" t="str">
            <v>HVAC</v>
          </cell>
          <cell r="C14" t="str">
            <v>Envelope</v>
          </cell>
          <cell r="D14" t="str">
            <v>Insulation</v>
          </cell>
          <cell r="E14" t="str">
            <v>Wall Insulation</v>
          </cell>
          <cell r="F14" t="str">
            <v>Code-avg</v>
          </cell>
        </row>
        <row r="15">
          <cell r="B15" t="str">
            <v>HVAC</v>
          </cell>
          <cell r="C15" t="str">
            <v>Envelope</v>
          </cell>
          <cell r="D15" t="str">
            <v>Insulation</v>
          </cell>
          <cell r="E15" t="str">
            <v xml:space="preserve">Floor Insulation </v>
          </cell>
          <cell r="F15" t="str">
            <v>Code-avg</v>
          </cell>
        </row>
        <row r="16">
          <cell r="B16" t="str">
            <v>HVAC</v>
          </cell>
          <cell r="C16" t="str">
            <v>Envelope</v>
          </cell>
          <cell r="D16" t="str">
            <v>Insulation</v>
          </cell>
          <cell r="E16" t="str">
            <v>Windows</v>
          </cell>
          <cell r="F16" t="str">
            <v>Code-avg</v>
          </cell>
        </row>
        <row r="17">
          <cell r="B17" t="str">
            <v>HVAC</v>
          </cell>
          <cell r="C17" t="str">
            <v>Envelope</v>
          </cell>
          <cell r="D17" t="str">
            <v>Insulation</v>
          </cell>
          <cell r="E17" t="str">
            <v>Infiltration</v>
          </cell>
          <cell r="F17" t="str">
            <v>Code-avg</v>
          </cell>
        </row>
        <row r="18">
          <cell r="B18" t="str">
            <v>HVAC</v>
          </cell>
          <cell r="C18" t="str">
            <v>Heat Recovery</v>
          </cell>
          <cell r="D18" t="str">
            <v>Heat Recovery Improvements</v>
          </cell>
          <cell r="E18" t="str">
            <v>HRV</v>
          </cell>
          <cell r="F18" t="str">
            <v>Natural Ventilation</v>
          </cell>
        </row>
        <row r="19">
          <cell r="B19" t="str">
            <v>HVAC</v>
          </cell>
          <cell r="C19" t="str">
            <v>HVAC System</v>
          </cell>
          <cell r="D19" t="str">
            <v>Variable Speed Heat Pumps</v>
          </cell>
          <cell r="E19" t="str">
            <v>VS ASHP 12.0 HSPF/18 SEER + PTCS</v>
          </cell>
          <cell r="F19" t="str">
            <v>8.5HSPF/14SEER</v>
          </cell>
        </row>
        <row r="20">
          <cell r="B20" t="str">
            <v>HVAC</v>
          </cell>
          <cell r="C20" t="str">
            <v>HVAC System</v>
          </cell>
          <cell r="D20" t="str">
            <v>Air Source Heat Pump</v>
          </cell>
          <cell r="E20" t="str">
            <v>ASHP 9.0 HSPF/14 SEER</v>
          </cell>
          <cell r="F20" t="str">
            <v>8.5HSPF/14SEER</v>
          </cell>
        </row>
        <row r="21">
          <cell r="B21" t="str">
            <v>HVAC</v>
          </cell>
          <cell r="C21" t="str">
            <v>HVAC System</v>
          </cell>
          <cell r="D21" t="str">
            <v>Air Source Heat Pump</v>
          </cell>
          <cell r="E21" t="str">
            <v>ASHP 8.5 HSPF/14 SEER</v>
          </cell>
          <cell r="F21" t="str">
            <v>Electric FAF</v>
          </cell>
        </row>
        <row r="22">
          <cell r="B22" t="str">
            <v>HVAC</v>
          </cell>
          <cell r="C22" t="str">
            <v>HVAC System</v>
          </cell>
          <cell r="D22" t="str">
            <v>Ductless Heat Pump</v>
          </cell>
          <cell r="E22" t="str">
            <v>DHP 9.5 HSPF</v>
          </cell>
          <cell r="F22" t="str">
            <v>Zonal</v>
          </cell>
        </row>
        <row r="23">
          <cell r="B23" t="str">
            <v>HVAC</v>
          </cell>
          <cell r="C23" t="str">
            <v>HVAC System</v>
          </cell>
          <cell r="D23" t="str">
            <v>Ductless Heat Pump</v>
          </cell>
          <cell r="E23" t="str">
            <v>DHP 9.5 HSPF</v>
          </cell>
          <cell r="F23" t="str">
            <v>Electric FAF</v>
          </cell>
        </row>
        <row r="24">
          <cell r="B24" t="str">
            <v>HVAC</v>
          </cell>
          <cell r="C24" t="str">
            <v>HVAC System</v>
          </cell>
          <cell r="D24" t="str">
            <v>Duct Sealing</v>
          </cell>
          <cell r="E24" t="str">
            <v>PTCS-level sealing</v>
          </cell>
          <cell r="F24" t="str">
            <v>Leaky ducts</v>
          </cell>
        </row>
        <row r="25">
          <cell r="B25" t="str">
            <v>HVAC</v>
          </cell>
          <cell r="C25" t="str">
            <v>HVAC System</v>
          </cell>
          <cell r="D25" t="str">
            <v>Furnace Fan</v>
          </cell>
          <cell r="E25" t="str">
            <v>BPM motor</v>
          </cell>
          <cell r="F25" t="str">
            <v>PSC motor</v>
          </cell>
        </row>
        <row r="26">
          <cell r="B26" t="str">
            <v>HVAC</v>
          </cell>
          <cell r="C26" t="str">
            <v>HVAC System</v>
          </cell>
          <cell r="D26" t="str">
            <v>Whole House Fan</v>
          </cell>
          <cell r="E26" t="str">
            <v>Whole House Fan</v>
          </cell>
          <cell r="F26" t="str">
            <v>No Fan</v>
          </cell>
        </row>
        <row r="27">
          <cell r="B27" t="str">
            <v>HVAC</v>
          </cell>
          <cell r="C27" t="str">
            <v>HVAC System Controls</v>
          </cell>
          <cell r="D27" t="str">
            <v>Thermostats</v>
          </cell>
          <cell r="E27" t="str">
            <v>WIFI enabled tstats</v>
          </cell>
          <cell r="F27" t="str">
            <v>Manual thermostat</v>
          </cell>
        </row>
        <row r="28">
          <cell r="B28" t="str">
            <v>HVAC/Water Heating</v>
          </cell>
          <cell r="C28" t="str">
            <v>HVAC System/Water Heaters</v>
          </cell>
          <cell r="D28" t="str">
            <v>Combo DHP/HPWH units</v>
          </cell>
          <cell r="E28" t="str">
            <v>DHP + HPWH</v>
          </cell>
          <cell r="F28" t="str">
            <v>ER space heat/0.95 EF WH</v>
          </cell>
        </row>
        <row r="29">
          <cell r="B29" t="str">
            <v>Lighting</v>
          </cell>
          <cell r="C29" t="str">
            <v>Lamps/Fixtures</v>
          </cell>
          <cell r="D29" t="str">
            <v>Lamps</v>
          </cell>
          <cell r="E29" t="str">
            <v>LED/CFL Standard</v>
          </cell>
          <cell r="F29" t="str">
            <v>EISA 2014 &amp; 2020</v>
          </cell>
        </row>
        <row r="30">
          <cell r="B30" t="str">
            <v>Lighting</v>
          </cell>
          <cell r="C30" t="str">
            <v>Lamps/Fixtures</v>
          </cell>
          <cell r="D30" t="str">
            <v>Lamps</v>
          </cell>
          <cell r="E30" t="str">
            <v>LED/CFL Specialty</v>
          </cell>
          <cell r="F30" t="str">
            <v>Incandescent</v>
          </cell>
        </row>
        <row r="31">
          <cell r="B31" t="str">
            <v>Lighting</v>
          </cell>
          <cell r="C31" t="str">
            <v>Lighting Controls</v>
          </cell>
          <cell r="D31" t="str">
            <v>Lighting Controls</v>
          </cell>
          <cell r="E31" t="str">
            <v>Daylighting/Occ Sensors</v>
          </cell>
          <cell r="F31" t="str">
            <v>No Controls</v>
          </cell>
        </row>
        <row r="32">
          <cell r="B32" t="str">
            <v>Motors/Drives</v>
          </cell>
          <cell r="C32" t="str">
            <v>Motors/Drives Controls</v>
          </cell>
          <cell r="D32" t="str">
            <v>Motors/Drives Control Improvements (VFD)</v>
          </cell>
          <cell r="E32" t="str">
            <v>VSD Pump for well water</v>
          </cell>
          <cell r="F32" t="str">
            <v>Single-Speed Motor</v>
          </cell>
        </row>
        <row r="33">
          <cell r="B33" t="str">
            <v>Refrigeration</v>
          </cell>
          <cell r="C33" t="str">
            <v>Freezers</v>
          </cell>
          <cell r="D33" t="str">
            <v>Freezers</v>
          </cell>
          <cell r="E33" t="str">
            <v>ENERGY STAR freezer</v>
          </cell>
          <cell r="F33" t="str">
            <v>Fed Std 2014</v>
          </cell>
        </row>
        <row r="34">
          <cell r="B34" t="str">
            <v>Refrigeration</v>
          </cell>
          <cell r="C34" t="str">
            <v>Refrigerators</v>
          </cell>
          <cell r="D34" t="str">
            <v>Refrigerators</v>
          </cell>
          <cell r="E34" t="str">
            <v>ENERGY STAR fridge</v>
          </cell>
          <cell r="F34" t="str">
            <v>Fed Std 2014</v>
          </cell>
        </row>
        <row r="35">
          <cell r="B35" t="str">
            <v>Water Heating</v>
          </cell>
          <cell r="C35" t="str">
            <v>Pipe Insulation</v>
          </cell>
          <cell r="D35" t="str">
            <v>Pipe Insulation</v>
          </cell>
          <cell r="E35" t="str">
            <v>R4 insulation</v>
          </cell>
          <cell r="F35" t="str">
            <v>No Insulation</v>
          </cell>
        </row>
        <row r="36">
          <cell r="B36" t="str">
            <v>Water Heating</v>
          </cell>
          <cell r="C36" t="str">
            <v>Water Heaters</v>
          </cell>
          <cell r="D36" t="str">
            <v>Drain Water Heat Recovery</v>
          </cell>
          <cell r="E36" t="str">
            <v>Heat recovery unit</v>
          </cell>
          <cell r="F36" t="str">
            <v>No Heat Recovery</v>
          </cell>
        </row>
        <row r="37">
          <cell r="B37" t="str">
            <v>Water Heating</v>
          </cell>
          <cell r="C37" t="str">
            <v>Water Heaters</v>
          </cell>
          <cell r="D37" t="str">
            <v>Heat Pump Water Heaters</v>
          </cell>
          <cell r="E37" t="str">
            <v>HPWH Tier 1+</v>
          </cell>
          <cell r="F37" t="str">
            <v>0.95 EF WH</v>
          </cell>
        </row>
        <row r="38">
          <cell r="B38" t="str">
            <v>Water Heating</v>
          </cell>
          <cell r="C38" t="str">
            <v>Water Heaters</v>
          </cell>
          <cell r="D38" t="str">
            <v>Solar Water Heaters</v>
          </cell>
          <cell r="E38" t="str">
            <v>SRCC certified SWH</v>
          </cell>
          <cell r="F38" t="str">
            <v>Standard WH</v>
          </cell>
        </row>
        <row r="39">
          <cell r="B39" t="str">
            <v>Water Heating</v>
          </cell>
          <cell r="C39" t="str">
            <v>Water Using Devices</v>
          </cell>
          <cell r="D39" t="str">
            <v>Dishwashers</v>
          </cell>
          <cell r="E39" t="str">
            <v>ENERGY STAR Dishwasher</v>
          </cell>
          <cell r="F39" t="str">
            <v>Fed Std 2013</v>
          </cell>
        </row>
        <row r="40">
          <cell r="B40" t="str">
            <v>Water Heating</v>
          </cell>
          <cell r="C40" t="str">
            <v>Water Using Devices</v>
          </cell>
          <cell r="D40" t="str">
            <v>Clothes Washers</v>
          </cell>
          <cell r="E40" t="str">
            <v>ENERGY STAR Clothes Washer</v>
          </cell>
          <cell r="F40" t="str">
            <v>Fed Std 2015</v>
          </cell>
        </row>
        <row r="41">
          <cell r="B41" t="str">
            <v>Water Heating</v>
          </cell>
          <cell r="C41" t="str">
            <v>Water Using Devices</v>
          </cell>
          <cell r="D41" t="str">
            <v>Showerheads</v>
          </cell>
          <cell r="E41" t="str">
            <v>1.5 GPM</v>
          </cell>
          <cell r="F41" t="str">
            <v>2.5 GPM</v>
          </cell>
        </row>
        <row r="42">
          <cell r="B42" t="str">
            <v>Water Heating</v>
          </cell>
          <cell r="C42" t="str">
            <v>Water Using Devices</v>
          </cell>
          <cell r="D42" t="str">
            <v>Aerators</v>
          </cell>
          <cell r="E42" t="str">
            <v>1.0 GPM</v>
          </cell>
          <cell r="F42" t="str">
            <v>2.5 GPM</v>
          </cell>
        </row>
        <row r="43">
          <cell r="B43" t="str">
            <v>Whole Bldg/Meter Level</v>
          </cell>
          <cell r="C43" t="str">
            <v>Whole Bldg/Meter Level System Improvements</v>
          </cell>
          <cell r="D43" t="str">
            <v>Photovoltaics</v>
          </cell>
          <cell r="E43" t="str">
            <v>PV system</v>
          </cell>
          <cell r="F43" t="str">
            <v>No PV system</v>
          </cell>
        </row>
        <row r="44">
          <cell r="B44" t="str">
            <v>Whole Bldg/Meter Level</v>
          </cell>
          <cell r="C44" t="str">
            <v>Whole Bldg/Meter Level System Improvements</v>
          </cell>
          <cell r="D44" t="str">
            <v>Behavioral</v>
          </cell>
          <cell r="E44" t="str">
            <v>Home Energy Reports</v>
          </cell>
          <cell r="F44" t="str">
            <v>No Report</v>
          </cell>
        </row>
        <row r="45">
          <cell r="B45" t="str">
            <v>Whole Bldg/Meter Level</v>
          </cell>
          <cell r="C45" t="str">
            <v>Whole Bldg/Meter Level System Improvements</v>
          </cell>
          <cell r="D45" t="str">
            <v>Automation</v>
          </cell>
          <cell r="E45" t="str">
            <v>Smart Devices</v>
          </cell>
          <cell r="F45" t="str">
            <v>Standard Home</v>
          </cell>
        </row>
        <row r="46">
          <cell r="B46" t="str">
            <v>Electronics</v>
          </cell>
          <cell r="C46" t="str">
            <v>Plug Load</v>
          </cell>
          <cell r="D46" t="str">
            <v>Electric Vehicle Supply Equipment</v>
          </cell>
          <cell r="E46" t="str">
            <v>Efficient EVSE</v>
          </cell>
          <cell r="F46" t="str">
            <v>Standard EVSE</v>
          </cell>
        </row>
        <row r="47">
          <cell r="B47" t="str">
            <v>HVAC</v>
          </cell>
          <cell r="C47" t="str">
            <v>HVAC System</v>
          </cell>
          <cell r="D47" t="str">
            <v>Geothermal Heat Pump</v>
          </cell>
          <cell r="E47" t="str">
            <v>ENERGY STAR qualified</v>
          </cell>
          <cell r="F47" t="str">
            <v>ASHP</v>
          </cell>
        </row>
        <row r="48">
          <cell r="B48" t="str">
            <v>HVAC</v>
          </cell>
          <cell r="C48" t="str">
            <v>HVAC System</v>
          </cell>
          <cell r="D48" t="str">
            <v>Commissioning Controls Sizing</v>
          </cell>
          <cell r="E48" t="str">
            <v>Controls Commissioning &amp; Sizing</v>
          </cell>
          <cell r="F48" t="str">
            <v>Standard installation</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www.regulations.gov/"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www.regulations.gov/" TargetMode="External"/></Relationships>
</file>

<file path=xl/worksheets/_rels/sheet19.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hyperlink" Target="http://www.regulations.gov/" TargetMode="External"/><Relationship Id="rId4" Type="http://schemas.openxmlformats.org/officeDocument/2006/relationships/comments" Target="../comments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sheetPr codeName="Sheet11"/>
  <dimension ref="C1:F13"/>
  <sheetViews>
    <sheetView workbookViewId="0">
      <selection activeCell="D14" sqref="D14"/>
    </sheetView>
  </sheetViews>
  <sheetFormatPr defaultRowHeight="15"/>
  <cols>
    <col min="1" max="1" width="4" style="416" customWidth="1"/>
    <col min="2" max="2" width="4.28515625" style="416" customWidth="1"/>
    <col min="3" max="3" width="28.140625" style="416" customWidth="1"/>
    <col min="4" max="4" width="73.140625" style="416" customWidth="1"/>
    <col min="5" max="5" width="65" style="416" customWidth="1"/>
    <col min="6" max="6" width="61.42578125" style="416" customWidth="1"/>
    <col min="7" max="16384" width="9.140625" style="416"/>
  </cols>
  <sheetData>
    <row r="1" spans="3:6" ht="15.75" thickBot="1"/>
    <row r="2" spans="3:6" ht="19.5" thickBot="1">
      <c r="C2" s="417" t="s">
        <v>4697</v>
      </c>
      <c r="D2" s="418" t="s">
        <v>4701</v>
      </c>
      <c r="E2" s="418"/>
      <c r="F2" s="419"/>
    </row>
    <row r="3" spans="3:6">
      <c r="C3" s="420" t="s">
        <v>4672</v>
      </c>
      <c r="D3" s="420" t="s">
        <v>4673</v>
      </c>
      <c r="E3" s="420" t="s">
        <v>4674</v>
      </c>
      <c r="F3" s="420" t="s">
        <v>4698</v>
      </c>
    </row>
    <row r="4" spans="3:6">
      <c r="C4" s="421" t="s">
        <v>4675</v>
      </c>
      <c r="D4" s="422" t="s">
        <v>4702</v>
      </c>
      <c r="E4" s="423" t="s">
        <v>4703</v>
      </c>
      <c r="F4" s="424" t="s">
        <v>4704</v>
      </c>
    </row>
    <row r="5" spans="3:6" ht="30">
      <c r="C5" s="421" t="s">
        <v>4676</v>
      </c>
      <c r="D5" s="425" t="s">
        <v>4944</v>
      </c>
      <c r="E5" s="426" t="s">
        <v>4945</v>
      </c>
      <c r="F5" s="424" t="s">
        <v>4704</v>
      </c>
    </row>
    <row r="6" spans="3:6">
      <c r="C6" s="421" t="s">
        <v>4677</v>
      </c>
      <c r="D6" s="425" t="s">
        <v>4708</v>
      </c>
      <c r="E6" s="425"/>
      <c r="F6" s="424"/>
    </row>
    <row r="7" spans="3:6">
      <c r="C7" s="421" t="s">
        <v>4678</v>
      </c>
      <c r="D7" s="425" t="s">
        <v>4706</v>
      </c>
      <c r="E7" s="425"/>
      <c r="F7" s="424"/>
    </row>
    <row r="8" spans="3:6" ht="30">
      <c r="C8" s="421" t="s">
        <v>4699</v>
      </c>
      <c r="D8" s="425" t="s">
        <v>4946</v>
      </c>
      <c r="E8" s="427"/>
      <c r="F8" s="424" t="s">
        <v>4947</v>
      </c>
    </row>
    <row r="9" spans="3:6" ht="30">
      <c r="C9" s="421" t="s">
        <v>4679</v>
      </c>
      <c r="D9" s="425" t="s">
        <v>4707</v>
      </c>
      <c r="E9" s="427" t="s">
        <v>4710</v>
      </c>
      <c r="F9" s="424"/>
    </row>
    <row r="10" spans="3:6">
      <c r="C10" s="421" t="s">
        <v>4680</v>
      </c>
      <c r="D10" s="425" t="s">
        <v>4705</v>
      </c>
      <c r="E10" s="425" t="s">
        <v>4711</v>
      </c>
      <c r="F10" s="424"/>
    </row>
    <row r="11" spans="3:6">
      <c r="C11" s="421" t="s">
        <v>4681</v>
      </c>
      <c r="D11" s="428" t="s">
        <v>4705</v>
      </c>
      <c r="E11" s="427"/>
      <c r="F11" s="424"/>
    </row>
    <row r="12" spans="3:6">
      <c r="C12" s="421" t="s">
        <v>4682</v>
      </c>
      <c r="D12" s="428" t="s">
        <v>4712</v>
      </c>
      <c r="E12" s="429"/>
      <c r="F12" s="424"/>
    </row>
    <row r="13" spans="3:6" ht="30">
      <c r="C13" s="421" t="s">
        <v>4700</v>
      </c>
      <c r="D13" s="428" t="s">
        <v>4978</v>
      </c>
      <c r="E13" s="427" t="s">
        <v>4906</v>
      </c>
      <c r="F13" s="42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12"/>
  <dimension ref="A1:BD34"/>
  <sheetViews>
    <sheetView workbookViewId="0">
      <selection activeCell="C18" sqref="C18"/>
    </sheetView>
  </sheetViews>
  <sheetFormatPr defaultRowHeight="12.75"/>
  <cols>
    <col min="1" max="2" width="21.85546875" customWidth="1"/>
    <col min="3" max="3" width="40.28515625" bestFit="1" customWidth="1"/>
    <col min="4" max="4" width="12.28515625" bestFit="1" customWidth="1"/>
    <col min="5" max="5" width="30.5703125" bestFit="1" customWidth="1"/>
  </cols>
  <sheetData>
    <row r="1" spans="1:56" ht="15.75" thickBot="1">
      <c r="A1" s="68" t="s">
        <v>4969</v>
      </c>
      <c r="B1" s="68" t="s">
        <v>4970</v>
      </c>
      <c r="C1" s="68" t="s">
        <v>4971</v>
      </c>
      <c r="D1" s="68" t="s">
        <v>4972</v>
      </c>
      <c r="E1" s="68" t="s">
        <v>4973</v>
      </c>
      <c r="F1" s="68" t="s">
        <v>4974</v>
      </c>
      <c r="G1" s="68" t="s">
        <v>4975</v>
      </c>
      <c r="H1" s="68" t="s">
        <v>4976</v>
      </c>
      <c r="I1" s="68" t="s">
        <v>68</v>
      </c>
      <c r="J1" s="68" t="s">
        <v>69</v>
      </c>
      <c r="K1" s="79">
        <v>2016</v>
      </c>
      <c r="L1" s="73">
        <v>2017</v>
      </c>
      <c r="M1" s="73">
        <v>2018</v>
      </c>
      <c r="N1" s="73">
        <v>2019</v>
      </c>
      <c r="O1" s="73">
        <v>2020</v>
      </c>
      <c r="P1" s="73">
        <v>2021</v>
      </c>
      <c r="Q1" s="73">
        <v>2022</v>
      </c>
      <c r="R1" s="73">
        <v>2023</v>
      </c>
      <c r="S1" s="73">
        <v>2024</v>
      </c>
      <c r="T1" s="73">
        <v>2025</v>
      </c>
      <c r="U1" s="73">
        <v>2026</v>
      </c>
      <c r="V1" s="73">
        <v>2027</v>
      </c>
      <c r="W1" s="73">
        <v>2028</v>
      </c>
      <c r="X1" s="73">
        <v>2029</v>
      </c>
      <c r="Y1" s="73">
        <v>2030</v>
      </c>
      <c r="Z1" s="73">
        <v>2031</v>
      </c>
      <c r="AA1" s="73">
        <v>2032</v>
      </c>
      <c r="AB1" s="73">
        <v>2033</v>
      </c>
      <c r="AC1" s="73">
        <v>2034</v>
      </c>
      <c r="AD1" s="73">
        <v>2035</v>
      </c>
      <c r="AE1" s="74" t="s">
        <v>151</v>
      </c>
      <c r="AF1" s="48" t="s">
        <v>4941</v>
      </c>
      <c r="AG1" s="49"/>
      <c r="AH1" s="49"/>
      <c r="AI1" s="49"/>
      <c r="AJ1" s="49"/>
      <c r="AK1" s="49"/>
      <c r="AL1" s="49"/>
      <c r="AM1" s="49"/>
      <c r="AN1" s="49"/>
      <c r="AO1" s="49"/>
      <c r="AP1" s="49"/>
      <c r="AQ1" s="43"/>
      <c r="AR1" s="47"/>
      <c r="AS1" s="48" t="s">
        <v>4942</v>
      </c>
      <c r="AT1" s="49"/>
      <c r="AU1" s="49"/>
      <c r="AV1" s="49"/>
      <c r="AW1" s="49"/>
      <c r="AX1" s="49"/>
      <c r="AY1" s="49"/>
      <c r="AZ1" s="49"/>
      <c r="BA1" s="49"/>
      <c r="BB1" s="49"/>
      <c r="BC1" s="49"/>
      <c r="BD1" s="43"/>
    </row>
    <row r="2" spans="1:56" ht="15">
      <c r="A2" s="68"/>
      <c r="B2" s="68"/>
      <c r="C2" s="68"/>
      <c r="D2" s="68"/>
      <c r="E2" s="68"/>
      <c r="F2" s="68" t="s">
        <v>4943</v>
      </c>
      <c r="G2" s="68" t="s">
        <v>46</v>
      </c>
      <c r="H2" s="68" t="s">
        <v>67</v>
      </c>
      <c r="I2" s="68">
        <v>1</v>
      </c>
      <c r="J2" s="68"/>
      <c r="K2" s="80" t="str">
        <f t="shared" ref="K2:AD2" si="0">CONCATENATE("aMW_",K$1)</f>
        <v>aMW_2016</v>
      </c>
      <c r="L2" s="75" t="str">
        <f t="shared" si="0"/>
        <v>aMW_2017</v>
      </c>
      <c r="M2" s="75" t="str">
        <f t="shared" si="0"/>
        <v>aMW_2018</v>
      </c>
      <c r="N2" s="75" t="str">
        <f t="shared" si="0"/>
        <v>aMW_2019</v>
      </c>
      <c r="O2" s="75" t="str">
        <f t="shared" si="0"/>
        <v>aMW_2020</v>
      </c>
      <c r="P2" s="75" t="str">
        <f t="shared" si="0"/>
        <v>aMW_2021</v>
      </c>
      <c r="Q2" s="75" t="str">
        <f t="shared" si="0"/>
        <v>aMW_2022</v>
      </c>
      <c r="R2" s="75" t="str">
        <f t="shared" si="0"/>
        <v>aMW_2023</v>
      </c>
      <c r="S2" s="75" t="str">
        <f t="shared" si="0"/>
        <v>aMW_2024</v>
      </c>
      <c r="T2" s="75" t="str">
        <f t="shared" si="0"/>
        <v>aMW_2025</v>
      </c>
      <c r="U2" s="75" t="str">
        <f t="shared" si="0"/>
        <v>aMW_2026</v>
      </c>
      <c r="V2" s="75" t="str">
        <f t="shared" si="0"/>
        <v>aMW_2027</v>
      </c>
      <c r="W2" s="75" t="str">
        <f t="shared" si="0"/>
        <v>aMW_2028</v>
      </c>
      <c r="X2" s="75" t="str">
        <f t="shared" si="0"/>
        <v>aMW_2029</v>
      </c>
      <c r="Y2" s="75" t="str">
        <f t="shared" si="0"/>
        <v>aMW_2030</v>
      </c>
      <c r="Z2" s="75" t="str">
        <f t="shared" si="0"/>
        <v>aMW_2031</v>
      </c>
      <c r="AA2" s="75" t="str">
        <f t="shared" si="0"/>
        <v>aMW_2032</v>
      </c>
      <c r="AB2" s="75" t="str">
        <f t="shared" si="0"/>
        <v>aMW_2033</v>
      </c>
      <c r="AC2" s="75" t="str">
        <f t="shared" si="0"/>
        <v>aMW_2034</v>
      </c>
      <c r="AD2" s="75" t="str">
        <f t="shared" si="0"/>
        <v>aMW_2035</v>
      </c>
      <c r="AE2" s="76" t="s">
        <v>151</v>
      </c>
      <c r="AF2" s="41" t="s">
        <v>33</v>
      </c>
      <c r="AG2" s="41" t="s">
        <v>34</v>
      </c>
      <c r="AH2" s="41" t="s">
        <v>35</v>
      </c>
      <c r="AI2" s="41" t="s">
        <v>36</v>
      </c>
      <c r="AJ2" s="41" t="s">
        <v>37</v>
      </c>
      <c r="AK2" s="41" t="s">
        <v>38</v>
      </c>
      <c r="AL2" s="41" t="s">
        <v>39</v>
      </c>
      <c r="AM2" s="41" t="s">
        <v>40</v>
      </c>
      <c r="AN2" s="41" t="s">
        <v>41</v>
      </c>
      <c r="AO2" s="41" t="s">
        <v>42</v>
      </c>
      <c r="AP2" s="41" t="s">
        <v>43</v>
      </c>
      <c r="AQ2" s="41" t="s">
        <v>44</v>
      </c>
      <c r="AR2" s="41"/>
      <c r="AS2" s="41" t="s">
        <v>33</v>
      </c>
      <c r="AT2" s="41" t="s">
        <v>34</v>
      </c>
      <c r="AU2" s="41" t="s">
        <v>35</v>
      </c>
      <c r="AV2" s="41" t="s">
        <v>36</v>
      </c>
      <c r="AW2" s="41" t="s">
        <v>37</v>
      </c>
      <c r="AX2" s="41" t="s">
        <v>38</v>
      </c>
      <c r="AY2" s="41" t="s">
        <v>39</v>
      </c>
      <c r="AZ2" s="41" t="s">
        <v>40</v>
      </c>
      <c r="BA2" s="41" t="s">
        <v>41</v>
      </c>
      <c r="BB2" s="41" t="s">
        <v>42</v>
      </c>
      <c r="BC2" s="41" t="s">
        <v>43</v>
      </c>
      <c r="BD2" s="41" t="s">
        <v>44</v>
      </c>
    </row>
    <row r="3" spans="1:56" ht="15">
      <c r="A3" s="86" t="str">
        <f>VLOOKUP(CONCATENATE($C3," - ",$B3),[2]ACHIEV!$B$12:$C$78,2,FALSE)</f>
        <v>LO1Slow</v>
      </c>
      <c r="B3" s="86" t="str">
        <f>'SC-New'!$C$7</f>
        <v>New</v>
      </c>
      <c r="C3" s="86" t="str">
        <f>'SC-New'!$C$8</f>
        <v>Refrigerator</v>
      </c>
      <c r="D3" s="86" t="s">
        <v>4977</v>
      </c>
      <c r="E3" s="86" t="str">
        <f>'SC-New'!$A$9</f>
        <v>Refrigeration</v>
      </c>
      <c r="F3" s="485">
        <f t="shared" ref="F3:F34" si="1">VLOOKUP($J3,MeasureOutput,14,FALSE)</f>
        <v>1.1478662730279006E-3</v>
      </c>
      <c r="G3" s="77">
        <f>'SC-New'!A44</f>
        <v>10.2023264489233</v>
      </c>
      <c r="H3" s="77">
        <f>'SC-New'!B44</f>
        <v>311.29143633214102</v>
      </c>
      <c r="I3" s="9" t="str">
        <f>'SC-New'!C44</f>
        <v>Single Family</v>
      </c>
      <c r="J3" s="9" t="str">
        <f>'SC-New'!D44</f>
        <v>Std Size Refrig and Refrig-Freezer - CEE Tier 1</v>
      </c>
      <c r="K3" s="38">
        <f ca="1">'SC-New'!E44</f>
        <v>2.0419366206581035E-4</v>
      </c>
      <c r="L3" s="38">
        <f ca="1">'SC-New'!F44</f>
        <v>5.8575345683274682E-4</v>
      </c>
      <c r="M3" s="38">
        <f ca="1">'SC-New'!G44</f>
        <v>1.2122694862962708E-3</v>
      </c>
      <c r="N3" s="38">
        <f ca="1">'SC-New'!H44</f>
        <v>2.2068807100342359E-3</v>
      </c>
      <c r="O3" s="38">
        <f ca="1">'SC-New'!I44</f>
        <v>3.6749282152338646E-3</v>
      </c>
      <c r="P3" s="38">
        <f ca="1">'SC-New'!J44</f>
        <v>5.5857373608314284E-3</v>
      </c>
      <c r="Q3" s="38">
        <f ca="1">'SC-New'!K44</f>
        <v>8.1862894117969345E-3</v>
      </c>
      <c r="R3" s="38">
        <f ca="1">'SC-New'!L44</f>
        <v>1.1703017281872613E-2</v>
      </c>
      <c r="S3" s="38">
        <f ca="1">'SC-New'!M44</f>
        <v>1.5934980380378803E-2</v>
      </c>
      <c r="T3" s="38">
        <f ca="1">'SC-New'!N44</f>
        <v>2.1442200309604281E-2</v>
      </c>
      <c r="U3" s="38">
        <f ca="1">'SC-New'!O44</f>
        <v>2.7493870778572228E-2</v>
      </c>
      <c r="V3" s="38">
        <f ca="1">'SC-New'!P44</f>
        <v>3.3338818211212963E-2</v>
      </c>
      <c r="W3" s="38">
        <f ca="1">'SC-New'!Q44</f>
        <v>3.8514532479767667E-2</v>
      </c>
      <c r="X3" s="38">
        <f ca="1">'SC-New'!R44</f>
        <v>4.4271836914747044E-2</v>
      </c>
      <c r="Y3" s="38">
        <f ca="1">'SC-New'!S44</f>
        <v>4.9873952540140702E-2</v>
      </c>
      <c r="Z3" s="38">
        <f ca="1">'SC-New'!T44</f>
        <v>5.3783316558225477E-2</v>
      </c>
      <c r="AA3" s="38">
        <f ca="1">'SC-New'!U44</f>
        <v>5.4983264637532232E-2</v>
      </c>
      <c r="AB3" s="38">
        <f ca="1">'SC-New'!V44</f>
        <v>5.691181499737779E-2</v>
      </c>
      <c r="AC3" s="38">
        <f ca="1">'SC-New'!W44</f>
        <v>5.8298708654199637E-2</v>
      </c>
      <c r="AD3" s="38">
        <f ca="1">'SC-New'!X44</f>
        <v>5.9294507019779015E-2</v>
      </c>
      <c r="AE3" s="38">
        <f ca="1">'SC-New'!Y44</f>
        <v>0.54750087306650175</v>
      </c>
      <c r="AF3" s="486">
        <f t="shared" ref="AF3:AF34" si="2">VLOOKUP($J3,MeasureOutput,15,FALSE)</f>
        <v>0.41374850207081521</v>
      </c>
      <c r="AG3" s="486">
        <f t="shared" ref="AG3:AG34" si="3">VLOOKUP($J3,MeasureOutput,16,FALSE)</f>
        <v>0.38954602942462024</v>
      </c>
      <c r="AH3" s="486">
        <f t="shared" ref="AH3:AH34" si="4">VLOOKUP($J3,MeasureOutput,17,FALSE)</f>
        <v>0.46279186720841126</v>
      </c>
      <c r="AI3" s="486">
        <f t="shared" ref="AI3:AI34" si="5">VLOOKUP($J3,MeasureOutput,18,FALSE)</f>
        <v>0.46230535600870837</v>
      </c>
      <c r="AJ3" s="486">
        <f t="shared" ref="AJ3:AJ34" si="6">VLOOKUP($J3,MeasureOutput,19,FALSE)</f>
        <v>0.49276082724034098</v>
      </c>
      <c r="AK3" s="486">
        <f t="shared" ref="AK3:AK34" si="7">VLOOKUP($J3,MeasureOutput,20,FALSE)</f>
        <v>0.51680828850176741</v>
      </c>
      <c r="AL3" s="486">
        <f t="shared" ref="AL3:AL34" si="8">VLOOKUP($J3,MeasureOutput,21,FALSE)</f>
        <v>0.54882428508015002</v>
      </c>
      <c r="AM3" s="486">
        <f t="shared" ref="AM3:AM34" si="9">VLOOKUP($J3,MeasureOutput,22,FALSE)</f>
        <v>0.61734116756788282</v>
      </c>
      <c r="AN3" s="486">
        <f t="shared" ref="AN3:AN34" si="10">VLOOKUP($J3,MeasureOutput,23,FALSE)</f>
        <v>0.51476056635910517</v>
      </c>
      <c r="AO3" s="486">
        <f t="shared" ref="AO3:AO34" si="11">VLOOKUP($J3,MeasureOutput,24,FALSE)</f>
        <v>0.50948594218025789</v>
      </c>
      <c r="AP3" s="486">
        <f t="shared" ref="AP3:AP34" si="12">VLOOKUP($J3,MeasureOutput,25,FALSE)</f>
        <v>0.4456404854628952</v>
      </c>
      <c r="AQ3" s="486">
        <f t="shared" ref="AQ3:AQ34" si="13">VLOOKUP($J3,MeasureOutput,26,FALSE)</f>
        <v>0.44363108245762878</v>
      </c>
      <c r="AR3" s="486"/>
      <c r="AS3" s="486">
        <f t="shared" ref="AS3:AS34" si="14">VLOOKUP($J3,MeasureOutput,28,FALSE)</f>
        <v>0.32462428911756569</v>
      </c>
      <c r="AT3" s="486">
        <f t="shared" ref="AT3:AT34" si="15">VLOOKUP($J3,MeasureOutput,29,FALSE)</f>
        <v>0.29666026922520894</v>
      </c>
      <c r="AU3" s="486">
        <f t="shared" ref="AU3:AU34" si="16">VLOOKUP($J3,MeasureOutput,30,FALSE)</f>
        <v>0.30579493912129063</v>
      </c>
      <c r="AV3" s="486">
        <f t="shared" ref="AV3:AV34" si="17">VLOOKUP($J3,MeasureOutput,31,FALSE)</f>
        <v>0.35499441298810486</v>
      </c>
      <c r="AW3" s="486">
        <f t="shared" ref="AW3:AW34" si="18">VLOOKUP($J3,MeasureOutput,32,FALSE)</f>
        <v>0.3726045348772965</v>
      </c>
      <c r="AX3" s="486">
        <f t="shared" ref="AX3:AX34" si="19">VLOOKUP($J3,MeasureOutput,33,FALSE)</f>
        <v>0.36608368617163956</v>
      </c>
      <c r="AY3" s="486">
        <f t="shared" ref="AY3:AY34" si="20">VLOOKUP($J3,MeasureOutput,34,FALSE)</f>
        <v>0.45524163284668179</v>
      </c>
      <c r="AZ3" s="486">
        <f t="shared" ref="AZ3:AZ34" si="21">VLOOKUP($J3,MeasureOutput,35,FALSE)</f>
        <v>0.42232558811404985</v>
      </c>
      <c r="BA3" s="486">
        <f t="shared" ref="BA3:BA34" si="22">VLOOKUP($J3,MeasureOutput,36,FALSE)</f>
        <v>0.42928784149261434</v>
      </c>
      <c r="BB3" s="486">
        <f t="shared" ref="BB3:BB34" si="23">VLOOKUP($J3,MeasureOutput,37,FALSE)</f>
        <v>0.34215057204544069</v>
      </c>
      <c r="BC3" s="486">
        <f t="shared" ref="BC3:BC34" si="24">VLOOKUP($J3,MeasureOutput,38,FALSE)</f>
        <v>0.36312851049642225</v>
      </c>
      <c r="BD3" s="486">
        <f t="shared" ref="BD3:BD34" si="25">VLOOKUP($J3,MeasureOutput,39,FALSE)</f>
        <v>0.35178577286439949</v>
      </c>
    </row>
    <row r="4" spans="1:56" ht="15">
      <c r="A4" s="86" t="str">
        <f>VLOOKUP(CONCATENATE($C4," - ",$B4),[2]ACHIEV!$B$12:$C$78,2,FALSE)</f>
        <v>LO1Slow</v>
      </c>
      <c r="B4" s="86" t="str">
        <f>'SC-New'!$C$7</f>
        <v>New</v>
      </c>
      <c r="C4" s="86" t="str">
        <f>'SC-New'!$C$8</f>
        <v>Refrigerator</v>
      </c>
      <c r="D4" s="86" t="s">
        <v>4977</v>
      </c>
      <c r="E4" s="86" t="str">
        <f>'SC-New'!$A$9</f>
        <v>Refrigeration</v>
      </c>
      <c r="F4" s="485">
        <f t="shared" si="1"/>
        <v>3.9195397110403747E-3</v>
      </c>
      <c r="G4" s="77">
        <f>'SC-New'!A45</f>
        <v>34.837179731806977</v>
      </c>
      <c r="H4" s="77">
        <f>'SC-New'!B45</f>
        <v>315.46947603880625</v>
      </c>
      <c r="I4" s="9" t="str">
        <f>'SC-New'!C45</f>
        <v>Single Family</v>
      </c>
      <c r="J4" s="9" t="str">
        <f>'SC-New'!D45</f>
        <v>Std Size Refrig and Refrig-Freezer - CEE Tier 2</v>
      </c>
      <c r="K4" s="38">
        <f ca="1">'SC-New'!E45</f>
        <v>6.9724599983106959E-4</v>
      </c>
      <c r="L4" s="38">
        <f ca="1">'SC-New'!F45</f>
        <v>2.0001318872092341E-3</v>
      </c>
      <c r="M4" s="38">
        <f ca="1">'SC-New'!G45</f>
        <v>4.139452916834028E-3</v>
      </c>
      <c r="N4" s="38">
        <f ca="1">'SC-New'!H45</f>
        <v>7.5356831921638947E-3</v>
      </c>
      <c r="O4" s="38">
        <f ca="1">'SC-New'!I45</f>
        <v>1.2548523650613217E-2</v>
      </c>
      <c r="P4" s="38">
        <f ca="1">'SC-New'!J45</f>
        <v>1.9073231713193202E-2</v>
      </c>
      <c r="Q4" s="38">
        <f ca="1">'SC-New'!K45</f>
        <v>2.7953157253212128E-2</v>
      </c>
      <c r="R4" s="38">
        <f ca="1">'SC-New'!L45</f>
        <v>3.9961485107748732E-2</v>
      </c>
      <c r="S4" s="38">
        <f ca="1">'SC-New'!M45</f>
        <v>5.4412077315234286E-2</v>
      </c>
      <c r="T4" s="38">
        <f ca="1">'SC-New'!N45</f>
        <v>7.3217200975756333E-2</v>
      </c>
      <c r="U4" s="38">
        <f ca="1">'SC-New'!O45</f>
        <v>9.3881422304152862E-2</v>
      </c>
      <c r="V4" s="38">
        <f ca="1">'SC-New'!P45</f>
        <v>0.11383976075306204</v>
      </c>
      <c r="W4" s="38">
        <f ca="1">'SC-New'!Q45</f>
        <v>0.13151291492204545</v>
      </c>
      <c r="X4" s="38">
        <f ca="1">'SC-New'!R45</f>
        <v>0.15117198487792521</v>
      </c>
      <c r="Y4" s="38">
        <f ca="1">'SC-New'!S45</f>
        <v>0.17030114232032403</v>
      </c>
      <c r="Z4" s="38">
        <f ca="1">'SC-New'!T45</f>
        <v>0.18365017772091652</v>
      </c>
      <c r="AA4" s="38">
        <f ca="1">'SC-New'!U45</f>
        <v>0.18774755758000322</v>
      </c>
      <c r="AB4" s="38">
        <f ca="1">'SC-New'!V45</f>
        <v>0.19433284534197945</v>
      </c>
      <c r="AC4" s="38">
        <f ca="1">'SC-New'!W45</f>
        <v>0.19906857535743142</v>
      </c>
      <c r="AD4" s="38">
        <f ca="1">'SC-New'!X45</f>
        <v>0.20246885928404398</v>
      </c>
      <c r="AE4" s="38">
        <f ca="1">'SC-New'!Y45</f>
        <v>1.8695134304736802</v>
      </c>
      <c r="AF4" s="486">
        <f t="shared" si="2"/>
        <v>1.4127984438223951</v>
      </c>
      <c r="AG4" s="486">
        <f t="shared" si="3"/>
        <v>1.3301559314747708</v>
      </c>
      <c r="AH4" s="486">
        <f t="shared" si="4"/>
        <v>1.5802634366850163</v>
      </c>
      <c r="AI4" s="486">
        <f t="shared" si="5"/>
        <v>1.5786021804813026</v>
      </c>
      <c r="AJ4" s="486">
        <f t="shared" si="6"/>
        <v>1.6825963753764515</v>
      </c>
      <c r="AK4" s="486">
        <f t="shared" si="7"/>
        <v>1.7647095810508684</v>
      </c>
      <c r="AL4" s="486">
        <f t="shared" si="8"/>
        <v>1.8740323941051138</v>
      </c>
      <c r="AM4" s="486">
        <f t="shared" si="9"/>
        <v>2.1079922621644376</v>
      </c>
      <c r="AN4" s="486">
        <f t="shared" si="10"/>
        <v>1.757717365630016</v>
      </c>
      <c r="AO4" s="486">
        <f t="shared" si="11"/>
        <v>1.7397064706193364</v>
      </c>
      <c r="AP4" s="486">
        <f t="shared" si="12"/>
        <v>1.5216977976115444</v>
      </c>
      <c r="AQ4" s="486">
        <f t="shared" si="13"/>
        <v>1.5148364279035123</v>
      </c>
      <c r="AR4" s="486"/>
      <c r="AS4" s="486">
        <f t="shared" si="14"/>
        <v>1.1084721472024843</v>
      </c>
      <c r="AT4" s="486">
        <f t="shared" si="15"/>
        <v>1.0129853391797252</v>
      </c>
      <c r="AU4" s="486">
        <f t="shared" si="16"/>
        <v>1.0441768657941386</v>
      </c>
      <c r="AV4" s="486">
        <f t="shared" si="17"/>
        <v>1.2121749123562962</v>
      </c>
      <c r="AW4" s="486">
        <f t="shared" si="18"/>
        <v>1.2723069797258459</v>
      </c>
      <c r="AX4" s="486">
        <f t="shared" si="19"/>
        <v>1.2500406878658297</v>
      </c>
      <c r="AY4" s="486">
        <f t="shared" si="20"/>
        <v>1.5544821726964881</v>
      </c>
      <c r="AZ4" s="486">
        <f t="shared" si="21"/>
        <v>1.4420860273514318</v>
      </c>
      <c r="BA4" s="486">
        <f t="shared" si="22"/>
        <v>1.4658595532723777</v>
      </c>
      <c r="BB4" s="486">
        <f t="shared" si="23"/>
        <v>1.1683179354592714</v>
      </c>
      <c r="BC4" s="486">
        <f t="shared" si="24"/>
        <v>1.2399498535201521</v>
      </c>
      <c r="BD4" s="486">
        <f t="shared" si="25"/>
        <v>1.2012185904581658</v>
      </c>
    </row>
    <row r="5" spans="1:56" ht="15">
      <c r="A5" s="86" t="str">
        <f>VLOOKUP(CONCATENATE($C5," - ",$B5),[2]ACHIEV!$B$12:$C$78,2,FALSE)</f>
        <v>LO1Slow</v>
      </c>
      <c r="B5" s="86" t="str">
        <f>'SC-New'!$C$7</f>
        <v>New</v>
      </c>
      <c r="C5" s="86" t="str">
        <f>'SC-New'!$C$8</f>
        <v>Refrigerator</v>
      </c>
      <c r="D5" s="86" t="s">
        <v>4977</v>
      </c>
      <c r="E5" s="86" t="str">
        <f>'SC-New'!$A$9</f>
        <v>Refrigeration</v>
      </c>
      <c r="F5" s="485">
        <f t="shared" si="1"/>
        <v>6.8344643711315128E-3</v>
      </c>
      <c r="G5" s="77">
        <f>'SC-New'!A46</f>
        <v>60.745261234907062</v>
      </c>
      <c r="H5" s="77">
        <f>'SC-New'!B46</f>
        <v>170.87222615492539</v>
      </c>
      <c r="I5" s="9" t="str">
        <f>'SC-New'!C46</f>
        <v>Single Family</v>
      </c>
      <c r="J5" s="9" t="str">
        <f>'SC-New'!D46</f>
        <v>Std Size Refrig and Refrig-Freezer - CEE Tier 3</v>
      </c>
      <c r="K5" s="38">
        <f ca="1">'SC-New'!E46</f>
        <v>1.2157812638909447E-3</v>
      </c>
      <c r="L5" s="38">
        <f ca="1">'SC-New'!F46</f>
        <v>3.4876110789721086E-3</v>
      </c>
      <c r="M5" s="38">
        <f ca="1">'SC-New'!G46</f>
        <v>7.2179249508277695E-3</v>
      </c>
      <c r="N5" s="38">
        <f ca="1">'SC-New'!H46</f>
        <v>1.3139899601963292E-2</v>
      </c>
      <c r="O5" s="38">
        <f ca="1">'SC-New'!I46</f>
        <v>2.1880742159301411E-2</v>
      </c>
      <c r="P5" s="38">
        <f ca="1">'SC-New'!J46</f>
        <v>3.3257813977232042E-2</v>
      </c>
      <c r="Q5" s="38">
        <f ca="1">'SC-New'!K46</f>
        <v>4.8741656263767037E-2</v>
      </c>
      <c r="R5" s="38">
        <f ca="1">'SC-New'!L46</f>
        <v>6.9680464116006494E-2</v>
      </c>
      <c r="S5" s="38">
        <f ca="1">'SC-New'!M46</f>
        <v>9.4877825251453704E-2</v>
      </c>
      <c r="T5" s="38">
        <f ca="1">'SC-New'!N46</f>
        <v>0.12766814174972588</v>
      </c>
      <c r="U5" s="38">
        <f ca="1">'SC-New'!O46</f>
        <v>0.16370014929089075</v>
      </c>
      <c r="V5" s="38">
        <f ca="1">'SC-New'!P46</f>
        <v>0.1985013155226899</v>
      </c>
      <c r="W5" s="38">
        <f ca="1">'SC-New'!Q46</f>
        <v>0.22931782751087193</v>
      </c>
      <c r="X5" s="38">
        <f ca="1">'SC-New'!R46</f>
        <v>0.26359716209819239</v>
      </c>
      <c r="Y5" s="38">
        <f ca="1">'SC-New'!S46</f>
        <v>0.2969524932411795</v>
      </c>
      <c r="Z5" s="38">
        <f ca="1">'SC-New'!T46</f>
        <v>0.32022908017748242</v>
      </c>
      <c r="AA5" s="38">
        <f ca="1">'SC-New'!U46</f>
        <v>0.32737364273492797</v>
      </c>
      <c r="AB5" s="38">
        <f ca="1">'SC-New'!V46</f>
        <v>0.33885634680247489</v>
      </c>
      <c r="AC5" s="38">
        <f ca="1">'SC-New'!W46</f>
        <v>0.34711399449787572</v>
      </c>
      <c r="AD5" s="38">
        <f ca="1">'SC-New'!X46</f>
        <v>0.35304303746246307</v>
      </c>
      <c r="AE5" s="38">
        <f ca="1">'SC-New'!Y46</f>
        <v>3.2598529097521896</v>
      </c>
      <c r="AF5" s="486">
        <f t="shared" si="2"/>
        <v>2.4634833015459514</v>
      </c>
      <c r="AG5" s="486">
        <f t="shared" si="3"/>
        <v>2.3193803333862761</v>
      </c>
      <c r="AH5" s="486">
        <f t="shared" si="4"/>
        <v>2.7554904277673056</v>
      </c>
      <c r="AI5" s="486">
        <f t="shared" si="5"/>
        <v>2.7525937110167087</v>
      </c>
      <c r="AJ5" s="486">
        <f t="shared" si="6"/>
        <v>2.9339274063517524</v>
      </c>
      <c r="AK5" s="486">
        <f t="shared" si="7"/>
        <v>3.0771074274650565</v>
      </c>
      <c r="AL5" s="486">
        <f t="shared" si="8"/>
        <v>3.2677325839512994</v>
      </c>
      <c r="AM5" s="486">
        <f t="shared" si="9"/>
        <v>3.6756861959588818</v>
      </c>
      <c r="AN5" s="486">
        <f t="shared" si="10"/>
        <v>3.0649151674824666</v>
      </c>
      <c r="AO5" s="486">
        <f t="shared" si="11"/>
        <v>3.0335097399788356</v>
      </c>
      <c r="AP5" s="486">
        <f t="shared" si="12"/>
        <v>2.6533700761115377</v>
      </c>
      <c r="AQ5" s="486">
        <f t="shared" si="13"/>
        <v>2.6414059705624551</v>
      </c>
      <c r="AR5" s="486"/>
      <c r="AS5" s="486">
        <f t="shared" si="14"/>
        <v>1.9328324127212773</v>
      </c>
      <c r="AT5" s="486">
        <f t="shared" si="15"/>
        <v>1.7663329675169321</v>
      </c>
      <c r="AU5" s="486">
        <f t="shared" si="16"/>
        <v>1.8207213378469842</v>
      </c>
      <c r="AV5" s="486">
        <f t="shared" si="17"/>
        <v>2.1136579447691255</v>
      </c>
      <c r="AW5" s="486">
        <f t="shared" si="18"/>
        <v>2.218509662648668</v>
      </c>
      <c r="AX5" s="486">
        <f t="shared" si="19"/>
        <v>2.1796841398542823</v>
      </c>
      <c r="AY5" s="486">
        <f t="shared" si="20"/>
        <v>2.7105358812739979</v>
      </c>
      <c r="AZ5" s="486">
        <f t="shared" si="21"/>
        <v>2.5145517843022107</v>
      </c>
      <c r="BA5" s="486">
        <f t="shared" si="22"/>
        <v>2.5560054568916764</v>
      </c>
      <c r="BB5" s="486">
        <f t="shared" si="23"/>
        <v>2.0371849484160176</v>
      </c>
      <c r="BC5" s="486">
        <f t="shared" si="24"/>
        <v>2.162088847321268</v>
      </c>
      <c r="BD5" s="486">
        <f t="shared" si="25"/>
        <v>2.0945535097660821</v>
      </c>
    </row>
    <row r="6" spans="1:56" ht="15">
      <c r="A6" s="86" t="str">
        <f>VLOOKUP(CONCATENATE($C6," - ",$B6),[2]ACHIEV!$B$12:$C$78,2,FALSE)</f>
        <v>LO1Slow</v>
      </c>
      <c r="B6" s="86" t="str">
        <f>'SC-New'!$C$7</f>
        <v>New</v>
      </c>
      <c r="C6" s="86" t="str">
        <f>'SC-New'!$C$8</f>
        <v>Refrigerator</v>
      </c>
      <c r="D6" s="86" t="s">
        <v>4977</v>
      </c>
      <c r="E6" s="86" t="str">
        <f>'SC-New'!$A$9</f>
        <v>Refrigeration</v>
      </c>
      <c r="F6" s="485">
        <f t="shared" si="1"/>
        <v>1.1478662730279006E-3</v>
      </c>
      <c r="G6" s="77">
        <f>'SC-New'!A47</f>
        <v>10.2023264489233</v>
      </c>
      <c r="H6" s="77">
        <f>'SC-New'!B47</f>
        <v>311.29143633214102</v>
      </c>
      <c r="I6" s="9" t="str">
        <f>'SC-New'!C47</f>
        <v>Multifamily - Low Rise</v>
      </c>
      <c r="J6" s="9" t="str">
        <f>'SC-New'!D47</f>
        <v>Std Size Refrig and Refrig-Freezer - CEE Tier 1</v>
      </c>
      <c r="K6" s="38">
        <f ca="1">'SC-New'!E47</f>
        <v>6.0496130108310496E-5</v>
      </c>
      <c r="L6" s="38">
        <f ca="1">'SC-New'!F47</f>
        <v>1.7937491843582939E-4</v>
      </c>
      <c r="M6" s="38">
        <f ca="1">'SC-New'!G47</f>
        <v>3.8816068243619091E-4</v>
      </c>
      <c r="N6" s="38">
        <f ca="1">'SC-New'!H47</f>
        <v>7.071528595474385E-4</v>
      </c>
      <c r="O6" s="38">
        <f ca="1">'SC-New'!I47</f>
        <v>1.1406046586928344E-3</v>
      </c>
      <c r="P6" s="38">
        <f ca="1">'SC-New'!J47</f>
        <v>1.7542092929569402E-3</v>
      </c>
      <c r="Q6" s="38">
        <f ca="1">'SC-New'!K47</f>
        <v>2.6205555606928135E-3</v>
      </c>
      <c r="R6" s="38">
        <f ca="1">'SC-New'!L47</f>
        <v>3.8343115819705624E-3</v>
      </c>
      <c r="S6" s="38">
        <f ca="1">'SC-New'!M47</f>
        <v>5.403584737822373E-3</v>
      </c>
      <c r="T6" s="38">
        <f ca="1">'SC-New'!N47</f>
        <v>7.338307063214874E-3</v>
      </c>
      <c r="U6" s="38">
        <f ca="1">'SC-New'!O47</f>
        <v>9.3831666179487322E-3</v>
      </c>
      <c r="V6" s="38">
        <f ca="1">'SC-New'!P47</f>
        <v>1.1529083667357234E-2</v>
      </c>
      <c r="W6" s="38">
        <f ca="1">'SC-New'!Q47</f>
        <v>1.3703252323166507E-2</v>
      </c>
      <c r="X6" s="38">
        <f ca="1">'SC-New'!R47</f>
        <v>1.5564061356905556E-2</v>
      </c>
      <c r="Y6" s="38">
        <f ca="1">'SC-New'!S47</f>
        <v>1.7122388229877217E-2</v>
      </c>
      <c r="Z6" s="38">
        <f ca="1">'SC-New'!T47</f>
        <v>1.8164212211051731E-2</v>
      </c>
      <c r="AA6" s="38">
        <f ca="1">'SC-New'!U47</f>
        <v>1.8877365075010654E-2</v>
      </c>
      <c r="AB6" s="38">
        <f ca="1">'SC-New'!V47</f>
        <v>1.9324844668419491E-2</v>
      </c>
      <c r="AC6" s="38">
        <f ca="1">'SC-New'!W47</f>
        <v>1.9365451688298157E-2</v>
      </c>
      <c r="AD6" s="38">
        <f ca="1">'SC-New'!X47</f>
        <v>1.9489408773057111E-2</v>
      </c>
      <c r="AE6" s="38">
        <f ca="1">'SC-New'!Y47</f>
        <v>0.18594999209697052</v>
      </c>
      <c r="AF6" s="486">
        <f t="shared" si="2"/>
        <v>0.41374850207081521</v>
      </c>
      <c r="AG6" s="486">
        <f t="shared" si="3"/>
        <v>0.38954602942462024</v>
      </c>
      <c r="AH6" s="486">
        <f t="shared" si="4"/>
        <v>0.46279186720841126</v>
      </c>
      <c r="AI6" s="486">
        <f t="shared" si="5"/>
        <v>0.46230535600870837</v>
      </c>
      <c r="AJ6" s="486">
        <f t="shared" si="6"/>
        <v>0.49276082724034098</v>
      </c>
      <c r="AK6" s="486">
        <f t="shared" si="7"/>
        <v>0.51680828850176741</v>
      </c>
      <c r="AL6" s="486">
        <f t="shared" si="8"/>
        <v>0.54882428508015002</v>
      </c>
      <c r="AM6" s="486">
        <f t="shared" si="9"/>
        <v>0.61734116756788282</v>
      </c>
      <c r="AN6" s="486">
        <f t="shared" si="10"/>
        <v>0.51476056635910517</v>
      </c>
      <c r="AO6" s="486">
        <f t="shared" si="11"/>
        <v>0.50948594218025789</v>
      </c>
      <c r="AP6" s="486">
        <f t="shared" si="12"/>
        <v>0.4456404854628952</v>
      </c>
      <c r="AQ6" s="486">
        <f t="shared" si="13"/>
        <v>0.44363108245762878</v>
      </c>
      <c r="AR6" s="486"/>
      <c r="AS6" s="486">
        <f t="shared" si="14"/>
        <v>0.32462428911756569</v>
      </c>
      <c r="AT6" s="486">
        <f t="shared" si="15"/>
        <v>0.29666026922520894</v>
      </c>
      <c r="AU6" s="486">
        <f t="shared" si="16"/>
        <v>0.30579493912129063</v>
      </c>
      <c r="AV6" s="486">
        <f t="shared" si="17"/>
        <v>0.35499441298810486</v>
      </c>
      <c r="AW6" s="486">
        <f t="shared" si="18"/>
        <v>0.3726045348772965</v>
      </c>
      <c r="AX6" s="486">
        <f t="shared" si="19"/>
        <v>0.36608368617163956</v>
      </c>
      <c r="AY6" s="486">
        <f t="shared" si="20"/>
        <v>0.45524163284668179</v>
      </c>
      <c r="AZ6" s="486">
        <f t="shared" si="21"/>
        <v>0.42232558811404985</v>
      </c>
      <c r="BA6" s="486">
        <f t="shared" si="22"/>
        <v>0.42928784149261434</v>
      </c>
      <c r="BB6" s="486">
        <f t="shared" si="23"/>
        <v>0.34215057204544069</v>
      </c>
      <c r="BC6" s="486">
        <f t="shared" si="24"/>
        <v>0.36312851049642225</v>
      </c>
      <c r="BD6" s="486">
        <f t="shared" si="25"/>
        <v>0.35178577286439949</v>
      </c>
    </row>
    <row r="7" spans="1:56" ht="15">
      <c r="A7" s="86" t="str">
        <f>VLOOKUP(CONCATENATE($C7," - ",$B7),[2]ACHIEV!$B$12:$C$78,2,FALSE)</f>
        <v>LO1Slow</v>
      </c>
      <c r="B7" s="86" t="str">
        <f>'SC-New'!$C$7</f>
        <v>New</v>
      </c>
      <c r="C7" s="86" t="str">
        <f>'SC-New'!$C$8</f>
        <v>Refrigerator</v>
      </c>
      <c r="D7" s="86" t="s">
        <v>4977</v>
      </c>
      <c r="E7" s="86" t="str">
        <f>'SC-New'!$A$9</f>
        <v>Refrigeration</v>
      </c>
      <c r="F7" s="485">
        <f t="shared" si="1"/>
        <v>3.9195397110403747E-3</v>
      </c>
      <c r="G7" s="77">
        <f>'SC-New'!A48</f>
        <v>34.837179731806977</v>
      </c>
      <c r="H7" s="77">
        <f>'SC-New'!B48</f>
        <v>315.46947603880625</v>
      </c>
      <c r="I7" s="9" t="str">
        <f>'SC-New'!C48</f>
        <v>Multifamily - Low Rise</v>
      </c>
      <c r="J7" s="9" t="str">
        <f>'SC-New'!D48</f>
        <v>Std Size Refrig and Refrig-Freezer - CEE Tier 2</v>
      </c>
      <c r="K7" s="38">
        <f ca="1">'SC-New'!E48</f>
        <v>2.0657195868148368E-4</v>
      </c>
      <c r="L7" s="38">
        <f ca="1">'SC-New'!F48</f>
        <v>6.1249914950395291E-4</v>
      </c>
      <c r="M7" s="38">
        <f ca="1">'SC-New'!G48</f>
        <v>1.3254254827610931E-3</v>
      </c>
      <c r="N7" s="38">
        <f ca="1">'SC-New'!H48</f>
        <v>2.414666045950259E-3</v>
      </c>
      <c r="O7" s="38">
        <f ca="1">'SC-New'!I48</f>
        <v>3.8947439779298664E-3</v>
      </c>
      <c r="P7" s="38">
        <f ca="1">'SC-New'!J48</f>
        <v>5.9899773578012067E-3</v>
      </c>
      <c r="Q7" s="38">
        <f ca="1">'SC-New'!K48</f>
        <v>8.9482301435939941E-3</v>
      </c>
      <c r="R7" s="38">
        <f ca="1">'SC-New'!L48</f>
        <v>1.3092759028795302E-2</v>
      </c>
      <c r="S7" s="38">
        <f ca="1">'SC-New'!M48</f>
        <v>1.8451247727662504E-2</v>
      </c>
      <c r="T7" s="38">
        <f ca="1">'SC-New'!N48</f>
        <v>2.50576104742644E-2</v>
      </c>
      <c r="U7" s="38">
        <f ca="1">'SC-New'!O48</f>
        <v>3.2040051213757123E-2</v>
      </c>
      <c r="V7" s="38">
        <f ca="1">'SC-New'!P48</f>
        <v>3.9367566003061127E-2</v>
      </c>
      <c r="W7" s="38">
        <f ca="1">'SC-New'!Q48</f>
        <v>4.6791549602182507E-2</v>
      </c>
      <c r="X7" s="38">
        <f ca="1">'SC-New'!R48</f>
        <v>5.3145525734928055E-2</v>
      </c>
      <c r="Y7" s="38">
        <f ca="1">'SC-New'!S48</f>
        <v>5.8466636917402295E-2</v>
      </c>
      <c r="Z7" s="38">
        <f ca="1">'SC-New'!T48</f>
        <v>6.2024081335867613E-2</v>
      </c>
      <c r="AA7" s="38">
        <f ca="1">'SC-New'!U48</f>
        <v>6.4459235182626931E-2</v>
      </c>
      <c r="AB7" s="38">
        <f ca="1">'SC-New'!V48</f>
        <v>6.5987212855165026E-2</v>
      </c>
      <c r="AC7" s="38">
        <f ca="1">'SC-New'!W48</f>
        <v>6.6125870842337689E-2</v>
      </c>
      <c r="AD7" s="38">
        <f ca="1">'SC-New'!X48</f>
        <v>6.6549138541366681E-2</v>
      </c>
      <c r="AE7" s="38">
        <f ca="1">'SC-New'!Y48</f>
        <v>0.63495059957563904</v>
      </c>
      <c r="AF7" s="486">
        <f t="shared" si="2"/>
        <v>1.4127984438223951</v>
      </c>
      <c r="AG7" s="486">
        <f t="shared" si="3"/>
        <v>1.3301559314747708</v>
      </c>
      <c r="AH7" s="486">
        <f t="shared" si="4"/>
        <v>1.5802634366850163</v>
      </c>
      <c r="AI7" s="486">
        <f t="shared" si="5"/>
        <v>1.5786021804813026</v>
      </c>
      <c r="AJ7" s="486">
        <f t="shared" si="6"/>
        <v>1.6825963753764515</v>
      </c>
      <c r="AK7" s="486">
        <f t="shared" si="7"/>
        <v>1.7647095810508684</v>
      </c>
      <c r="AL7" s="486">
        <f t="shared" si="8"/>
        <v>1.8740323941051138</v>
      </c>
      <c r="AM7" s="486">
        <f t="shared" si="9"/>
        <v>2.1079922621644376</v>
      </c>
      <c r="AN7" s="486">
        <f t="shared" si="10"/>
        <v>1.757717365630016</v>
      </c>
      <c r="AO7" s="486">
        <f t="shared" si="11"/>
        <v>1.7397064706193364</v>
      </c>
      <c r="AP7" s="486">
        <f t="shared" si="12"/>
        <v>1.5216977976115444</v>
      </c>
      <c r="AQ7" s="486">
        <f t="shared" si="13"/>
        <v>1.5148364279035123</v>
      </c>
      <c r="AR7" s="486"/>
      <c r="AS7" s="486">
        <f t="shared" si="14"/>
        <v>1.1084721472024843</v>
      </c>
      <c r="AT7" s="486">
        <f t="shared" si="15"/>
        <v>1.0129853391797252</v>
      </c>
      <c r="AU7" s="486">
        <f t="shared" si="16"/>
        <v>1.0441768657941386</v>
      </c>
      <c r="AV7" s="486">
        <f t="shared" si="17"/>
        <v>1.2121749123562962</v>
      </c>
      <c r="AW7" s="486">
        <f t="shared" si="18"/>
        <v>1.2723069797258459</v>
      </c>
      <c r="AX7" s="486">
        <f t="shared" si="19"/>
        <v>1.2500406878658297</v>
      </c>
      <c r="AY7" s="486">
        <f t="shared" si="20"/>
        <v>1.5544821726964881</v>
      </c>
      <c r="AZ7" s="486">
        <f t="shared" si="21"/>
        <v>1.4420860273514318</v>
      </c>
      <c r="BA7" s="486">
        <f t="shared" si="22"/>
        <v>1.4658595532723777</v>
      </c>
      <c r="BB7" s="486">
        <f t="shared" si="23"/>
        <v>1.1683179354592714</v>
      </c>
      <c r="BC7" s="486">
        <f t="shared" si="24"/>
        <v>1.2399498535201521</v>
      </c>
      <c r="BD7" s="486">
        <f t="shared" si="25"/>
        <v>1.2012185904581658</v>
      </c>
    </row>
    <row r="8" spans="1:56" ht="15">
      <c r="A8" s="86" t="str">
        <f>VLOOKUP(CONCATENATE($C8," - ",$B8),[2]ACHIEV!$B$12:$C$78,2,FALSE)</f>
        <v>LO1Slow</v>
      </c>
      <c r="B8" s="86" t="str">
        <f>'SC-New'!$C$7</f>
        <v>New</v>
      </c>
      <c r="C8" s="86" t="str">
        <f>'SC-New'!$C$8</f>
        <v>Refrigerator</v>
      </c>
      <c r="D8" s="86" t="s">
        <v>4977</v>
      </c>
      <c r="E8" s="86" t="str">
        <f>'SC-New'!$A$9</f>
        <v>Refrigeration</v>
      </c>
      <c r="F8" s="485">
        <f t="shared" si="1"/>
        <v>6.8344643711315128E-3</v>
      </c>
      <c r="G8" s="77">
        <f>'SC-New'!A49</f>
        <v>60.745261234907062</v>
      </c>
      <c r="H8" s="77">
        <f>'SC-New'!B49</f>
        <v>170.87222615492539</v>
      </c>
      <c r="I8" s="9" t="str">
        <f>'SC-New'!C49</f>
        <v>Multifamily - Low Rise</v>
      </c>
      <c r="J8" s="9" t="str">
        <f>'SC-New'!D49</f>
        <v>Std Size Refrig and Refrig-Freezer - CEE Tier 3</v>
      </c>
      <c r="K8" s="38">
        <f ca="1">'SC-New'!E49</f>
        <v>3.6019757312490933E-4</v>
      </c>
      <c r="L8" s="38">
        <f ca="1">'SC-New'!F49</f>
        <v>1.0680089814734883E-3</v>
      </c>
      <c r="M8" s="38">
        <f ca="1">'SC-New'!G49</f>
        <v>2.3111318946468931E-3</v>
      </c>
      <c r="N8" s="38">
        <f ca="1">'SC-New'!H49</f>
        <v>4.2104303759809671E-3</v>
      </c>
      <c r="O8" s="38">
        <f ca="1">'SC-New'!I49</f>
        <v>6.7912282855211283E-3</v>
      </c>
      <c r="P8" s="38">
        <f ca="1">'SC-New'!J49</f>
        <v>1.0444666938942804E-2</v>
      </c>
      <c r="Q8" s="38">
        <f ca="1">'SC-New'!K49</f>
        <v>1.5602944378600334E-2</v>
      </c>
      <c r="R8" s="38">
        <f ca="1">'SC-New'!L49</f>
        <v>2.2829720247523774E-2</v>
      </c>
      <c r="S8" s="38">
        <f ca="1">'SC-New'!M49</f>
        <v>3.2173266376770156E-2</v>
      </c>
      <c r="T8" s="38">
        <f ca="1">'SC-New'!N49</f>
        <v>4.36927186959397E-2</v>
      </c>
      <c r="U8" s="38">
        <f ca="1">'SC-New'!O49</f>
        <v>5.5867934658972621E-2</v>
      </c>
      <c r="V8" s="38">
        <f ca="1">'SC-New'!P49</f>
        <v>6.8644852983176741E-2</v>
      </c>
      <c r="W8" s="38">
        <f ca="1">'SC-New'!Q49</f>
        <v>8.1589983059838722E-2</v>
      </c>
      <c r="X8" s="38">
        <f ca="1">'SC-New'!R49</f>
        <v>9.2669351224408933E-2</v>
      </c>
      <c r="Y8" s="38">
        <f ca="1">'SC-New'!S49</f>
        <v>0.10194772253137974</v>
      </c>
      <c r="Z8" s="38">
        <f ca="1">'SC-New'!T49</f>
        <v>0.10815080476111134</v>
      </c>
      <c r="AA8" s="38">
        <f ca="1">'SC-New'!U49</f>
        <v>0.11239695952184033</v>
      </c>
      <c r="AB8" s="38">
        <f ca="1">'SC-New'!V49</f>
        <v>0.11506127975654314</v>
      </c>
      <c r="AC8" s="38">
        <f ca="1">'SC-New'!W49</f>
        <v>0.11530305637904681</v>
      </c>
      <c r="AD8" s="38">
        <f ca="1">'SC-New'!X49</f>
        <v>0.11604110426776093</v>
      </c>
      <c r="AE8" s="38">
        <f ca="1">'SC-New'!Y49</f>
        <v>1.1071573628926035</v>
      </c>
      <c r="AF8" s="486">
        <f t="shared" si="2"/>
        <v>2.4634833015459514</v>
      </c>
      <c r="AG8" s="486">
        <f t="shared" si="3"/>
        <v>2.3193803333862761</v>
      </c>
      <c r="AH8" s="486">
        <f t="shared" si="4"/>
        <v>2.7554904277673056</v>
      </c>
      <c r="AI8" s="486">
        <f t="shared" si="5"/>
        <v>2.7525937110167087</v>
      </c>
      <c r="AJ8" s="486">
        <f t="shared" si="6"/>
        <v>2.9339274063517524</v>
      </c>
      <c r="AK8" s="486">
        <f t="shared" si="7"/>
        <v>3.0771074274650565</v>
      </c>
      <c r="AL8" s="486">
        <f t="shared" si="8"/>
        <v>3.2677325839512994</v>
      </c>
      <c r="AM8" s="486">
        <f t="shared" si="9"/>
        <v>3.6756861959588818</v>
      </c>
      <c r="AN8" s="486">
        <f t="shared" si="10"/>
        <v>3.0649151674824666</v>
      </c>
      <c r="AO8" s="486">
        <f t="shared" si="11"/>
        <v>3.0335097399788356</v>
      </c>
      <c r="AP8" s="486">
        <f t="shared" si="12"/>
        <v>2.6533700761115377</v>
      </c>
      <c r="AQ8" s="486">
        <f t="shared" si="13"/>
        <v>2.6414059705624551</v>
      </c>
      <c r="AR8" s="486"/>
      <c r="AS8" s="486">
        <f t="shared" si="14"/>
        <v>1.9328324127212773</v>
      </c>
      <c r="AT8" s="486">
        <f t="shared" si="15"/>
        <v>1.7663329675169321</v>
      </c>
      <c r="AU8" s="486">
        <f t="shared" si="16"/>
        <v>1.8207213378469842</v>
      </c>
      <c r="AV8" s="486">
        <f t="shared" si="17"/>
        <v>2.1136579447691255</v>
      </c>
      <c r="AW8" s="486">
        <f t="shared" si="18"/>
        <v>2.218509662648668</v>
      </c>
      <c r="AX8" s="486">
        <f t="shared" si="19"/>
        <v>2.1796841398542823</v>
      </c>
      <c r="AY8" s="486">
        <f t="shared" si="20"/>
        <v>2.7105358812739979</v>
      </c>
      <c r="AZ8" s="486">
        <f t="shared" si="21"/>
        <v>2.5145517843022107</v>
      </c>
      <c r="BA8" s="486">
        <f t="shared" si="22"/>
        <v>2.5560054568916764</v>
      </c>
      <c r="BB8" s="486">
        <f t="shared" si="23"/>
        <v>2.0371849484160176</v>
      </c>
      <c r="BC8" s="486">
        <f t="shared" si="24"/>
        <v>2.162088847321268</v>
      </c>
      <c r="BD8" s="486">
        <f t="shared" si="25"/>
        <v>2.0945535097660821</v>
      </c>
    </row>
    <row r="9" spans="1:56" ht="15">
      <c r="A9" s="86" t="str">
        <f>VLOOKUP(CONCATENATE($C9," - ",$B9),[2]ACHIEV!$B$12:$C$78,2,FALSE)</f>
        <v>LO1Slow</v>
      </c>
      <c r="B9" s="86" t="str">
        <f>'SC-New'!$C$7</f>
        <v>New</v>
      </c>
      <c r="C9" s="86" t="str">
        <f>'SC-New'!$C$8</f>
        <v>Refrigerator</v>
      </c>
      <c r="D9" s="86" t="s">
        <v>4977</v>
      </c>
      <c r="E9" s="86" t="str">
        <f>'SC-New'!$A$9</f>
        <v>Refrigeration</v>
      </c>
      <c r="F9" s="485">
        <f t="shared" si="1"/>
        <v>1.1478662730279006E-3</v>
      </c>
      <c r="G9" s="77">
        <f>'SC-New'!A50</f>
        <v>10.2023264489233</v>
      </c>
      <c r="H9" s="77">
        <f>'SC-New'!B50</f>
        <v>311.29143633214102</v>
      </c>
      <c r="I9" s="9" t="str">
        <f>'SC-New'!C50</f>
        <v>Multifamily - High Rise</v>
      </c>
      <c r="J9" s="9" t="str">
        <f>'SC-New'!D50</f>
        <v>Std Size Refrig and Refrig-Freezer - CEE Tier 1</v>
      </c>
      <c r="K9" s="38">
        <f ca="1">'SC-New'!E50</f>
        <v>1.358086361391878E-5</v>
      </c>
      <c r="L9" s="38">
        <f ca="1">'SC-New'!F50</f>
        <v>4.0834995503827243E-5</v>
      </c>
      <c r="M9" s="38">
        <f ca="1">'SC-New'!G50</f>
        <v>8.9695400994974504E-5</v>
      </c>
      <c r="N9" s="38">
        <f ca="1">'SC-New'!H50</f>
        <v>1.596393716012921E-4</v>
      </c>
      <c r="O9" s="38">
        <f ca="1">'SC-New'!I50</f>
        <v>2.5250348186750537E-4</v>
      </c>
      <c r="P9" s="38">
        <f ca="1">'SC-New'!J50</f>
        <v>3.9415735320757225E-4</v>
      </c>
      <c r="Q9" s="38">
        <f ca="1">'SC-New'!K50</f>
        <v>5.9054714623462236E-4</v>
      </c>
      <c r="R9" s="38">
        <f ca="1">'SC-New'!L50</f>
        <v>8.7481023888657649E-4</v>
      </c>
      <c r="S9" s="38">
        <f ca="1">'SC-New'!M50</f>
        <v>1.2241775436221134E-3</v>
      </c>
      <c r="T9" s="38">
        <f ca="1">'SC-New'!N50</f>
        <v>1.6623133093815357E-3</v>
      </c>
      <c r="U9" s="38">
        <f ca="1">'SC-New'!O50</f>
        <v>2.0999392975670746E-3</v>
      </c>
      <c r="V9" s="38">
        <f ca="1">'SC-New'!P50</f>
        <v>2.5752007712526986E-3</v>
      </c>
      <c r="W9" s="38">
        <f ca="1">'SC-New'!Q50</f>
        <v>3.0344313073067887E-3</v>
      </c>
      <c r="X9" s="38">
        <f ca="1">'SC-New'!R50</f>
        <v>3.4734878244178733E-3</v>
      </c>
      <c r="Y9" s="38">
        <f ca="1">'SC-New'!S50</f>
        <v>3.8394690217134005E-3</v>
      </c>
      <c r="Z9" s="38">
        <f ca="1">'SC-New'!T50</f>
        <v>4.0701996290341746E-3</v>
      </c>
      <c r="AA9" s="38">
        <f ca="1">'SC-New'!U50</f>
        <v>4.235076729999533E-3</v>
      </c>
      <c r="AB9" s="38">
        <f ca="1">'SC-New'!V50</f>
        <v>4.2900003936096349E-3</v>
      </c>
      <c r="AC9" s="38">
        <f ca="1">'SC-New'!W50</f>
        <v>4.3666819607094546E-3</v>
      </c>
      <c r="AD9" s="38">
        <f ca="1">'SC-New'!X50</f>
        <v>4.3912245674552824E-3</v>
      </c>
      <c r="AE9" s="38">
        <f ca="1">'SC-New'!Y50</f>
        <v>4.1677971207979857E-2</v>
      </c>
      <c r="AF9" s="486">
        <f t="shared" si="2"/>
        <v>0.41374850207081521</v>
      </c>
      <c r="AG9" s="486">
        <f t="shared" si="3"/>
        <v>0.38954602942462024</v>
      </c>
      <c r="AH9" s="486">
        <f t="shared" si="4"/>
        <v>0.46279186720841126</v>
      </c>
      <c r="AI9" s="486">
        <f t="shared" si="5"/>
        <v>0.46230535600870837</v>
      </c>
      <c r="AJ9" s="486">
        <f t="shared" si="6"/>
        <v>0.49276082724034098</v>
      </c>
      <c r="AK9" s="486">
        <f t="shared" si="7"/>
        <v>0.51680828850176741</v>
      </c>
      <c r="AL9" s="486">
        <f t="shared" si="8"/>
        <v>0.54882428508015002</v>
      </c>
      <c r="AM9" s="486">
        <f t="shared" si="9"/>
        <v>0.61734116756788282</v>
      </c>
      <c r="AN9" s="486">
        <f t="shared" si="10"/>
        <v>0.51476056635910517</v>
      </c>
      <c r="AO9" s="486">
        <f t="shared" si="11"/>
        <v>0.50948594218025789</v>
      </c>
      <c r="AP9" s="486">
        <f t="shared" si="12"/>
        <v>0.4456404854628952</v>
      </c>
      <c r="AQ9" s="486">
        <f t="shared" si="13"/>
        <v>0.44363108245762878</v>
      </c>
      <c r="AR9" s="486"/>
      <c r="AS9" s="486">
        <f t="shared" si="14"/>
        <v>0.32462428911756569</v>
      </c>
      <c r="AT9" s="486">
        <f t="shared" si="15"/>
        <v>0.29666026922520894</v>
      </c>
      <c r="AU9" s="486">
        <f t="shared" si="16"/>
        <v>0.30579493912129063</v>
      </c>
      <c r="AV9" s="486">
        <f t="shared" si="17"/>
        <v>0.35499441298810486</v>
      </c>
      <c r="AW9" s="486">
        <f t="shared" si="18"/>
        <v>0.3726045348772965</v>
      </c>
      <c r="AX9" s="486">
        <f t="shared" si="19"/>
        <v>0.36608368617163956</v>
      </c>
      <c r="AY9" s="486">
        <f t="shared" si="20"/>
        <v>0.45524163284668179</v>
      </c>
      <c r="AZ9" s="486">
        <f t="shared" si="21"/>
        <v>0.42232558811404985</v>
      </c>
      <c r="BA9" s="486">
        <f t="shared" si="22"/>
        <v>0.42928784149261434</v>
      </c>
      <c r="BB9" s="486">
        <f t="shared" si="23"/>
        <v>0.34215057204544069</v>
      </c>
      <c r="BC9" s="486">
        <f t="shared" si="24"/>
        <v>0.36312851049642225</v>
      </c>
      <c r="BD9" s="486">
        <f t="shared" si="25"/>
        <v>0.35178577286439949</v>
      </c>
    </row>
    <row r="10" spans="1:56" ht="15">
      <c r="A10" s="86" t="str">
        <f>VLOOKUP(CONCATENATE($C10," - ",$B10),[2]ACHIEV!$B$12:$C$78,2,FALSE)</f>
        <v>LO1Slow</v>
      </c>
      <c r="B10" s="86" t="str">
        <f>'SC-New'!$C$7</f>
        <v>New</v>
      </c>
      <c r="C10" s="86" t="str">
        <f>'SC-New'!$C$8</f>
        <v>Refrigerator</v>
      </c>
      <c r="D10" s="86" t="s">
        <v>4977</v>
      </c>
      <c r="E10" s="86" t="str">
        <f>'SC-New'!$A$9</f>
        <v>Refrigeration</v>
      </c>
      <c r="F10" s="485">
        <f t="shared" si="1"/>
        <v>3.9195397110403747E-3</v>
      </c>
      <c r="G10" s="77">
        <f>'SC-New'!A51</f>
        <v>34.837179731806977</v>
      </c>
      <c r="H10" s="77">
        <f>'SC-New'!B51</f>
        <v>315.46947603880625</v>
      </c>
      <c r="I10" s="9" t="str">
        <f>'SC-New'!C51</f>
        <v>Multifamily - High Rise</v>
      </c>
      <c r="J10" s="9" t="str">
        <f>'SC-New'!D51</f>
        <v>Std Size Refrig and Refrig-Freezer - CEE Tier 2</v>
      </c>
      <c r="K10" s="38">
        <f ca="1">'SC-New'!E51</f>
        <v>4.6373637326727253E-5</v>
      </c>
      <c r="L10" s="38">
        <f ca="1">'SC-New'!F51</f>
        <v>1.3943643979991355E-4</v>
      </c>
      <c r="M10" s="38">
        <f ca="1">'SC-New'!G51</f>
        <v>3.0627669298978304E-4</v>
      </c>
      <c r="N10" s="38">
        <f ca="1">'SC-New'!H51</f>
        <v>5.4510954031801798E-4</v>
      </c>
      <c r="O10" s="38">
        <f ca="1">'SC-New'!I51</f>
        <v>8.6220620608093608E-4</v>
      </c>
      <c r="P10" s="38">
        <f ca="1">'SC-New'!J51</f>
        <v>1.3459019004194532E-3</v>
      </c>
      <c r="Q10" s="38">
        <f ca="1">'SC-New'!K51</f>
        <v>2.01650056744189E-3</v>
      </c>
      <c r="R10" s="38">
        <f ca="1">'SC-New'!L51</f>
        <v>2.9871541237080222E-3</v>
      </c>
      <c r="S10" s="38">
        <f ca="1">'SC-New'!M51</f>
        <v>4.1801145380234595E-3</v>
      </c>
      <c r="T10" s="38">
        <f ca="1">'SC-New'!N51</f>
        <v>5.6761864874075819E-3</v>
      </c>
      <c r="U10" s="38">
        <f ca="1">'SC-New'!O51</f>
        <v>7.1705177345064422E-3</v>
      </c>
      <c r="V10" s="38">
        <f ca="1">'SC-New'!P51</f>
        <v>8.7933602754973611E-3</v>
      </c>
      <c r="W10" s="38">
        <f ca="1">'SC-New'!Q51</f>
        <v>1.0361463080572647E-2</v>
      </c>
      <c r="X10" s="38">
        <f ca="1">'SC-New'!R51</f>
        <v>1.1860679056026386E-2</v>
      </c>
      <c r="Y10" s="38">
        <f ca="1">'SC-New'!S51</f>
        <v>1.3110369782203037E-2</v>
      </c>
      <c r="Z10" s="38">
        <f ca="1">'SC-New'!T51</f>
        <v>1.3898229656821248E-2</v>
      </c>
      <c r="AA10" s="38">
        <f ca="1">'SC-New'!U51</f>
        <v>1.446122410997322E-2</v>
      </c>
      <c r="AB10" s="38">
        <f ca="1">'SC-New'!V51</f>
        <v>1.4648768152039854E-2</v>
      </c>
      <c r="AC10" s="38">
        <f ca="1">'SC-New'!W51</f>
        <v>1.4910607404934472E-2</v>
      </c>
      <c r="AD10" s="38">
        <f ca="1">'SC-New'!X51</f>
        <v>1.4994411349708428E-2</v>
      </c>
      <c r="AE10" s="38">
        <f ca="1">'SC-New'!Y51</f>
        <v>0.14231489073579889</v>
      </c>
      <c r="AF10" s="486">
        <f t="shared" si="2"/>
        <v>1.4127984438223951</v>
      </c>
      <c r="AG10" s="486">
        <f t="shared" si="3"/>
        <v>1.3301559314747708</v>
      </c>
      <c r="AH10" s="486">
        <f t="shared" si="4"/>
        <v>1.5802634366850163</v>
      </c>
      <c r="AI10" s="486">
        <f t="shared" si="5"/>
        <v>1.5786021804813026</v>
      </c>
      <c r="AJ10" s="486">
        <f t="shared" si="6"/>
        <v>1.6825963753764515</v>
      </c>
      <c r="AK10" s="486">
        <f t="shared" si="7"/>
        <v>1.7647095810508684</v>
      </c>
      <c r="AL10" s="486">
        <f t="shared" si="8"/>
        <v>1.8740323941051138</v>
      </c>
      <c r="AM10" s="486">
        <f t="shared" si="9"/>
        <v>2.1079922621644376</v>
      </c>
      <c r="AN10" s="486">
        <f t="shared" si="10"/>
        <v>1.757717365630016</v>
      </c>
      <c r="AO10" s="486">
        <f t="shared" si="11"/>
        <v>1.7397064706193364</v>
      </c>
      <c r="AP10" s="486">
        <f t="shared" si="12"/>
        <v>1.5216977976115444</v>
      </c>
      <c r="AQ10" s="486">
        <f t="shared" si="13"/>
        <v>1.5148364279035123</v>
      </c>
      <c r="AR10" s="486"/>
      <c r="AS10" s="486">
        <f t="shared" si="14"/>
        <v>1.1084721472024843</v>
      </c>
      <c r="AT10" s="486">
        <f t="shared" si="15"/>
        <v>1.0129853391797252</v>
      </c>
      <c r="AU10" s="486">
        <f t="shared" si="16"/>
        <v>1.0441768657941386</v>
      </c>
      <c r="AV10" s="486">
        <f t="shared" si="17"/>
        <v>1.2121749123562962</v>
      </c>
      <c r="AW10" s="486">
        <f t="shared" si="18"/>
        <v>1.2723069797258459</v>
      </c>
      <c r="AX10" s="486">
        <f t="shared" si="19"/>
        <v>1.2500406878658297</v>
      </c>
      <c r="AY10" s="486">
        <f t="shared" si="20"/>
        <v>1.5544821726964881</v>
      </c>
      <c r="AZ10" s="486">
        <f t="shared" si="21"/>
        <v>1.4420860273514318</v>
      </c>
      <c r="BA10" s="486">
        <f t="shared" si="22"/>
        <v>1.4658595532723777</v>
      </c>
      <c r="BB10" s="486">
        <f t="shared" si="23"/>
        <v>1.1683179354592714</v>
      </c>
      <c r="BC10" s="486">
        <f t="shared" si="24"/>
        <v>1.2399498535201521</v>
      </c>
      <c r="BD10" s="486">
        <f t="shared" si="25"/>
        <v>1.2012185904581658</v>
      </c>
    </row>
    <row r="11" spans="1:56" ht="15">
      <c r="A11" s="86" t="str">
        <f>VLOOKUP(CONCATENATE($C11," - ",$B11),[2]ACHIEV!$B$12:$C$78,2,FALSE)</f>
        <v>LO1Slow</v>
      </c>
      <c r="B11" s="86" t="str">
        <f>'SC-New'!$C$7</f>
        <v>New</v>
      </c>
      <c r="C11" s="86" t="str">
        <f>'SC-New'!$C$8</f>
        <v>Refrigerator</v>
      </c>
      <c r="D11" s="86" t="s">
        <v>4977</v>
      </c>
      <c r="E11" s="86" t="str">
        <f>'SC-New'!$A$9</f>
        <v>Refrigeration</v>
      </c>
      <c r="F11" s="485">
        <f t="shared" si="1"/>
        <v>6.8344643711315128E-3</v>
      </c>
      <c r="G11" s="77">
        <f>'SC-New'!A52</f>
        <v>60.745261234907062</v>
      </c>
      <c r="H11" s="77">
        <f>'SC-New'!B52</f>
        <v>170.87222615492539</v>
      </c>
      <c r="I11" s="9" t="str">
        <f>'SC-New'!C52</f>
        <v>Multifamily - High Rise</v>
      </c>
      <c r="J11" s="9" t="str">
        <f>'SC-New'!D52</f>
        <v>Std Size Refrig and Refrig-Freezer - CEE Tier 3</v>
      </c>
      <c r="K11" s="38">
        <f ca="1">'SC-New'!E52</f>
        <v>8.0861273372624123E-5</v>
      </c>
      <c r="L11" s="38">
        <f ca="1">'SC-New'!F52</f>
        <v>2.4313400299674044E-4</v>
      </c>
      <c r="M11" s="38">
        <f ca="1">'SC-New'!G52</f>
        <v>5.3405177655185517E-4</v>
      </c>
      <c r="N11" s="38">
        <f ca="1">'SC-New'!H52</f>
        <v>9.5050235648167284E-4</v>
      </c>
      <c r="O11" s="38">
        <f ca="1">'SC-New'!I52</f>
        <v>1.5034208173552381E-3</v>
      </c>
      <c r="P11" s="38">
        <f ca="1">'SC-New'!J52</f>
        <v>2.3468364307025627E-3</v>
      </c>
      <c r="Q11" s="38">
        <f ca="1">'SC-New'!K52</f>
        <v>3.5161529920792571E-3</v>
      </c>
      <c r="R11" s="38">
        <f ca="1">'SC-New'!L52</f>
        <v>5.208672429585383E-3</v>
      </c>
      <c r="S11" s="38">
        <f ca="1">'SC-New'!M52</f>
        <v>7.2888262356160935E-3</v>
      </c>
      <c r="T11" s="38">
        <f ca="1">'SC-New'!N52</f>
        <v>9.8975127622289438E-3</v>
      </c>
      <c r="U11" s="38">
        <f ca="1">'SC-New'!O52</f>
        <v>1.2503164042709233E-2</v>
      </c>
      <c r="V11" s="38">
        <f ca="1">'SC-New'!P52</f>
        <v>1.5332899252462978E-2</v>
      </c>
      <c r="W11" s="38">
        <f ca="1">'SC-New'!Q52</f>
        <v>1.8067185301758736E-2</v>
      </c>
      <c r="X11" s="38">
        <f ca="1">'SC-New'!R52</f>
        <v>2.0681354036931481E-2</v>
      </c>
      <c r="Y11" s="38">
        <f ca="1">'SC-New'!S52</f>
        <v>2.2860427951893993E-2</v>
      </c>
      <c r="Z11" s="38">
        <f ca="1">'SC-New'!T52</f>
        <v>2.4234211773334867E-2</v>
      </c>
      <c r="AA11" s="38">
        <f ca="1">'SC-New'!U52</f>
        <v>2.5215899883388612E-2</v>
      </c>
      <c r="AB11" s="38">
        <f ca="1">'SC-New'!V52</f>
        <v>2.5542918658045234E-2</v>
      </c>
      <c r="AC11" s="38">
        <f ca="1">'SC-New'!W52</f>
        <v>2.5999485290048294E-2</v>
      </c>
      <c r="AD11" s="38">
        <f ca="1">'SC-New'!X52</f>
        <v>2.6145613436959161E-2</v>
      </c>
      <c r="AE11" s="38">
        <f ca="1">'SC-New'!Y52</f>
        <v>0.2481531307045029</v>
      </c>
      <c r="AF11" s="486">
        <f t="shared" si="2"/>
        <v>2.4634833015459514</v>
      </c>
      <c r="AG11" s="486">
        <f t="shared" si="3"/>
        <v>2.3193803333862761</v>
      </c>
      <c r="AH11" s="486">
        <f t="shared" si="4"/>
        <v>2.7554904277673056</v>
      </c>
      <c r="AI11" s="486">
        <f t="shared" si="5"/>
        <v>2.7525937110167087</v>
      </c>
      <c r="AJ11" s="486">
        <f t="shared" si="6"/>
        <v>2.9339274063517524</v>
      </c>
      <c r="AK11" s="486">
        <f t="shared" si="7"/>
        <v>3.0771074274650565</v>
      </c>
      <c r="AL11" s="486">
        <f t="shared" si="8"/>
        <v>3.2677325839512994</v>
      </c>
      <c r="AM11" s="486">
        <f t="shared" si="9"/>
        <v>3.6756861959588818</v>
      </c>
      <c r="AN11" s="486">
        <f t="shared" si="10"/>
        <v>3.0649151674824666</v>
      </c>
      <c r="AO11" s="486">
        <f t="shared" si="11"/>
        <v>3.0335097399788356</v>
      </c>
      <c r="AP11" s="486">
        <f t="shared" si="12"/>
        <v>2.6533700761115377</v>
      </c>
      <c r="AQ11" s="486">
        <f t="shared" si="13"/>
        <v>2.6414059705624551</v>
      </c>
      <c r="AR11" s="486"/>
      <c r="AS11" s="486">
        <f t="shared" si="14"/>
        <v>1.9328324127212773</v>
      </c>
      <c r="AT11" s="486">
        <f t="shared" si="15"/>
        <v>1.7663329675169321</v>
      </c>
      <c r="AU11" s="486">
        <f t="shared" si="16"/>
        <v>1.8207213378469842</v>
      </c>
      <c r="AV11" s="486">
        <f t="shared" si="17"/>
        <v>2.1136579447691255</v>
      </c>
      <c r="AW11" s="486">
        <f t="shared" si="18"/>
        <v>2.218509662648668</v>
      </c>
      <c r="AX11" s="486">
        <f t="shared" si="19"/>
        <v>2.1796841398542823</v>
      </c>
      <c r="AY11" s="486">
        <f t="shared" si="20"/>
        <v>2.7105358812739979</v>
      </c>
      <c r="AZ11" s="486">
        <f t="shared" si="21"/>
        <v>2.5145517843022107</v>
      </c>
      <c r="BA11" s="486">
        <f t="shared" si="22"/>
        <v>2.5560054568916764</v>
      </c>
      <c r="BB11" s="486">
        <f t="shared" si="23"/>
        <v>2.0371849484160176</v>
      </c>
      <c r="BC11" s="486">
        <f t="shared" si="24"/>
        <v>2.162088847321268</v>
      </c>
      <c r="BD11" s="486">
        <f t="shared" si="25"/>
        <v>2.0945535097660821</v>
      </c>
    </row>
    <row r="12" spans="1:56" ht="15">
      <c r="A12" s="86" t="str">
        <f>VLOOKUP(CONCATENATE($C12," - ",$B12),[2]ACHIEV!$B$12:$C$78,2,FALSE)</f>
        <v>LO1Slow</v>
      </c>
      <c r="B12" s="86" t="str">
        <f>'SC-New'!$C$7</f>
        <v>New</v>
      </c>
      <c r="C12" s="86" t="str">
        <f>'SC-New'!$C$8</f>
        <v>Refrigerator</v>
      </c>
      <c r="D12" s="86" t="s">
        <v>4977</v>
      </c>
      <c r="E12" s="86" t="str">
        <f>'SC-New'!$A$9</f>
        <v>Refrigeration</v>
      </c>
      <c r="F12" s="485">
        <f t="shared" si="1"/>
        <v>1.1478662730279006E-3</v>
      </c>
      <c r="G12" s="77">
        <f>'SC-New'!A53</f>
        <v>10.2023264489233</v>
      </c>
      <c r="H12" s="77">
        <f>'SC-New'!B53</f>
        <v>311.29143633214102</v>
      </c>
      <c r="I12" s="9" t="str">
        <f>'SC-New'!C53</f>
        <v>Manufactured</v>
      </c>
      <c r="J12" s="9" t="str">
        <f>'SC-New'!D53</f>
        <v>Std Size Refrig and Refrig-Freezer - CEE Tier 1</v>
      </c>
      <c r="K12" s="38">
        <f ca="1">'SC-New'!E53</f>
        <v>5.6781787123632958E-6</v>
      </c>
      <c r="L12" s="38">
        <f ca="1">'SC-New'!F53</f>
        <v>1.7139796047957898E-5</v>
      </c>
      <c r="M12" s="38">
        <f ca="1">'SC-New'!G53</f>
        <v>3.8763703533734004E-5</v>
      </c>
      <c r="N12" s="38">
        <f ca="1">'SC-New'!H53</f>
        <v>7.5637003338594966E-5</v>
      </c>
      <c r="O12" s="38">
        <f ca="1">'SC-New'!I53</f>
        <v>1.2547977991992954E-4</v>
      </c>
      <c r="P12" s="38">
        <f ca="1">'SC-New'!J53</f>
        <v>1.9701204303554419E-4</v>
      </c>
      <c r="Q12" s="38">
        <f ca="1">'SC-New'!K53</f>
        <v>2.9799349841781627E-4</v>
      </c>
      <c r="R12" s="38">
        <f ca="1">'SC-New'!L53</f>
        <v>4.3046692471478571E-4</v>
      </c>
      <c r="S12" s="38">
        <f ca="1">'SC-New'!M53</f>
        <v>5.9548770307837895E-4</v>
      </c>
      <c r="T12" s="38">
        <f ca="1">'SC-New'!N53</f>
        <v>7.8779757069958527E-4</v>
      </c>
      <c r="U12" s="38">
        <f ca="1">'SC-New'!O53</f>
        <v>9.9771916496130221E-4</v>
      </c>
      <c r="V12" s="38">
        <f ca="1">'SC-New'!P53</f>
        <v>1.2242705877082251E-3</v>
      </c>
      <c r="W12" s="38">
        <f ca="1">'SC-New'!Q53</f>
        <v>1.4548863531093461E-3</v>
      </c>
      <c r="X12" s="38">
        <f ca="1">'SC-New'!R53</f>
        <v>1.6724927999380102E-3</v>
      </c>
      <c r="Y12" s="38">
        <f ca="1">'SC-New'!S53</f>
        <v>1.8630705069814903E-3</v>
      </c>
      <c r="Z12" s="38">
        <f ca="1">'SC-New'!T53</f>
        <v>2.0167208515112704E-3</v>
      </c>
      <c r="AA12" s="38">
        <f ca="1">'SC-New'!U53</f>
        <v>2.1308022362934533E-3</v>
      </c>
      <c r="AB12" s="38">
        <f ca="1">'SC-New'!V53</f>
        <v>2.2095644942450097E-3</v>
      </c>
      <c r="AC12" s="38">
        <f ca="1">'SC-New'!W53</f>
        <v>2.2583619469171336E-3</v>
      </c>
      <c r="AD12" s="38">
        <f ca="1">'SC-New'!X53</f>
        <v>2.2817177535330384E-3</v>
      </c>
      <c r="AE12" s="38">
        <f ca="1">'SC-New'!Y53</f>
        <v>2.0681062896696967E-2</v>
      </c>
      <c r="AF12" s="486">
        <f t="shared" si="2"/>
        <v>0.41374850207081521</v>
      </c>
      <c r="AG12" s="486">
        <f t="shared" si="3"/>
        <v>0.38954602942462024</v>
      </c>
      <c r="AH12" s="486">
        <f t="shared" si="4"/>
        <v>0.46279186720841126</v>
      </c>
      <c r="AI12" s="486">
        <f t="shared" si="5"/>
        <v>0.46230535600870837</v>
      </c>
      <c r="AJ12" s="486">
        <f t="shared" si="6"/>
        <v>0.49276082724034098</v>
      </c>
      <c r="AK12" s="486">
        <f t="shared" si="7"/>
        <v>0.51680828850176741</v>
      </c>
      <c r="AL12" s="486">
        <f t="shared" si="8"/>
        <v>0.54882428508015002</v>
      </c>
      <c r="AM12" s="486">
        <f t="shared" si="9"/>
        <v>0.61734116756788282</v>
      </c>
      <c r="AN12" s="486">
        <f t="shared" si="10"/>
        <v>0.51476056635910517</v>
      </c>
      <c r="AO12" s="486">
        <f t="shared" si="11"/>
        <v>0.50948594218025789</v>
      </c>
      <c r="AP12" s="486">
        <f t="shared" si="12"/>
        <v>0.4456404854628952</v>
      </c>
      <c r="AQ12" s="486">
        <f t="shared" si="13"/>
        <v>0.44363108245762878</v>
      </c>
      <c r="AR12" s="486"/>
      <c r="AS12" s="486">
        <f t="shared" si="14"/>
        <v>0.32462428911756569</v>
      </c>
      <c r="AT12" s="486">
        <f t="shared" si="15"/>
        <v>0.29666026922520894</v>
      </c>
      <c r="AU12" s="486">
        <f t="shared" si="16"/>
        <v>0.30579493912129063</v>
      </c>
      <c r="AV12" s="486">
        <f t="shared" si="17"/>
        <v>0.35499441298810486</v>
      </c>
      <c r="AW12" s="486">
        <f t="shared" si="18"/>
        <v>0.3726045348772965</v>
      </c>
      <c r="AX12" s="486">
        <f t="shared" si="19"/>
        <v>0.36608368617163956</v>
      </c>
      <c r="AY12" s="486">
        <f t="shared" si="20"/>
        <v>0.45524163284668179</v>
      </c>
      <c r="AZ12" s="486">
        <f t="shared" si="21"/>
        <v>0.42232558811404985</v>
      </c>
      <c r="BA12" s="486">
        <f t="shared" si="22"/>
        <v>0.42928784149261434</v>
      </c>
      <c r="BB12" s="486">
        <f t="shared" si="23"/>
        <v>0.34215057204544069</v>
      </c>
      <c r="BC12" s="486">
        <f t="shared" si="24"/>
        <v>0.36312851049642225</v>
      </c>
      <c r="BD12" s="486">
        <f t="shared" si="25"/>
        <v>0.35178577286439949</v>
      </c>
    </row>
    <row r="13" spans="1:56" ht="15">
      <c r="A13" s="86" t="str">
        <f>VLOOKUP(CONCATENATE($C13," - ",$B13),[2]ACHIEV!$B$12:$C$78,2,FALSE)</f>
        <v>LO1Slow</v>
      </c>
      <c r="B13" s="86" t="str">
        <f>'SC-New'!$C$7</f>
        <v>New</v>
      </c>
      <c r="C13" s="86" t="str">
        <f>'SC-New'!$C$8</f>
        <v>Refrigerator</v>
      </c>
      <c r="D13" s="86" t="s">
        <v>4977</v>
      </c>
      <c r="E13" s="86" t="str">
        <f>'SC-New'!$A$9</f>
        <v>Refrigeration</v>
      </c>
      <c r="F13" s="485">
        <f t="shared" si="1"/>
        <v>3.9195397110403747E-3</v>
      </c>
      <c r="G13" s="77">
        <f>'SC-New'!A54</f>
        <v>34.837179731806977</v>
      </c>
      <c r="H13" s="77">
        <f>'SC-New'!B54</f>
        <v>315.46947603880625</v>
      </c>
      <c r="I13" s="9" t="str">
        <f>'SC-New'!C54</f>
        <v>Manufactured</v>
      </c>
      <c r="J13" s="9" t="str">
        <f>'SC-New'!D54</f>
        <v>Std Size Refrig and Refrig-Freezer - CEE Tier 2</v>
      </c>
      <c r="K13" s="38">
        <f ca="1">'SC-New'!E54</f>
        <v>1.9388884813894236E-5</v>
      </c>
      <c r="L13" s="38">
        <f ca="1">'SC-New'!F54</f>
        <v>5.8526078191924474E-5</v>
      </c>
      <c r="M13" s="38">
        <f ca="1">'SC-New'!G54</f>
        <v>1.3236374211665118E-4</v>
      </c>
      <c r="N13" s="38">
        <f ca="1">'SC-New'!H54</f>
        <v>2.5827245313837213E-4</v>
      </c>
      <c r="O13" s="38">
        <f ca="1">'SC-New'!I54</f>
        <v>4.2846714106462448E-4</v>
      </c>
      <c r="P13" s="38">
        <f ca="1">'SC-New'!J54</f>
        <v>6.7272342116479387E-4</v>
      </c>
      <c r="Q13" s="38">
        <f ca="1">'SC-New'!K54</f>
        <v>1.0175378248543485E-3</v>
      </c>
      <c r="R13" s="38">
        <f ca="1">'SC-New'!L54</f>
        <v>1.4698856873443641E-3</v>
      </c>
      <c r="S13" s="38">
        <f ca="1">'SC-New'!M54</f>
        <v>2.0333707457882537E-3</v>
      </c>
      <c r="T13" s="38">
        <f ca="1">'SC-New'!N54</f>
        <v>2.6900379732152885E-3</v>
      </c>
      <c r="U13" s="38">
        <f ca="1">'SC-New'!O54</f>
        <v>3.4068427476454067E-3</v>
      </c>
      <c r="V13" s="38">
        <f ca="1">'SC-New'!P54</f>
        <v>4.1804322492403172E-3</v>
      </c>
      <c r="W13" s="38">
        <f ca="1">'SC-New'!Q54</f>
        <v>4.9678999810844537E-3</v>
      </c>
      <c r="X13" s="38">
        <f ca="1">'SC-New'!R54</f>
        <v>5.7109456909940903E-3</v>
      </c>
      <c r="Y13" s="38">
        <f ca="1">'SC-New'!S54</f>
        <v>6.3616982292889254E-3</v>
      </c>
      <c r="Z13" s="38">
        <f ca="1">'SC-New'!T54</f>
        <v>6.8863574523627871E-3</v>
      </c>
      <c r="AA13" s="38">
        <f ca="1">'SC-New'!U54</f>
        <v>7.27590328052336E-3</v>
      </c>
      <c r="AB13" s="38">
        <f ca="1">'SC-New'!V54</f>
        <v>7.5448473248134629E-3</v>
      </c>
      <c r="AC13" s="38">
        <f ca="1">'SC-New'!W54</f>
        <v>7.7114726173586274E-3</v>
      </c>
      <c r="AD13" s="38">
        <f ca="1">'SC-New'!X54</f>
        <v>7.7912240776684934E-3</v>
      </c>
      <c r="AE13" s="38">
        <f ca="1">'SC-New'!Y54</f>
        <v>7.0618197602672447E-2</v>
      </c>
      <c r="AF13" s="486">
        <f t="shared" si="2"/>
        <v>1.4127984438223951</v>
      </c>
      <c r="AG13" s="486">
        <f t="shared" si="3"/>
        <v>1.3301559314747708</v>
      </c>
      <c r="AH13" s="486">
        <f t="shared" si="4"/>
        <v>1.5802634366850163</v>
      </c>
      <c r="AI13" s="486">
        <f t="shared" si="5"/>
        <v>1.5786021804813026</v>
      </c>
      <c r="AJ13" s="486">
        <f t="shared" si="6"/>
        <v>1.6825963753764515</v>
      </c>
      <c r="AK13" s="486">
        <f t="shared" si="7"/>
        <v>1.7647095810508684</v>
      </c>
      <c r="AL13" s="486">
        <f t="shared" si="8"/>
        <v>1.8740323941051138</v>
      </c>
      <c r="AM13" s="486">
        <f t="shared" si="9"/>
        <v>2.1079922621644376</v>
      </c>
      <c r="AN13" s="486">
        <f t="shared" si="10"/>
        <v>1.757717365630016</v>
      </c>
      <c r="AO13" s="486">
        <f t="shared" si="11"/>
        <v>1.7397064706193364</v>
      </c>
      <c r="AP13" s="486">
        <f t="shared" si="12"/>
        <v>1.5216977976115444</v>
      </c>
      <c r="AQ13" s="486">
        <f t="shared" si="13"/>
        <v>1.5148364279035123</v>
      </c>
      <c r="AR13" s="486"/>
      <c r="AS13" s="486">
        <f t="shared" si="14"/>
        <v>1.1084721472024843</v>
      </c>
      <c r="AT13" s="486">
        <f t="shared" si="15"/>
        <v>1.0129853391797252</v>
      </c>
      <c r="AU13" s="486">
        <f t="shared" si="16"/>
        <v>1.0441768657941386</v>
      </c>
      <c r="AV13" s="486">
        <f t="shared" si="17"/>
        <v>1.2121749123562962</v>
      </c>
      <c r="AW13" s="486">
        <f t="shared" si="18"/>
        <v>1.2723069797258459</v>
      </c>
      <c r="AX13" s="486">
        <f t="shared" si="19"/>
        <v>1.2500406878658297</v>
      </c>
      <c r="AY13" s="486">
        <f t="shared" si="20"/>
        <v>1.5544821726964881</v>
      </c>
      <c r="AZ13" s="486">
        <f t="shared" si="21"/>
        <v>1.4420860273514318</v>
      </c>
      <c r="BA13" s="486">
        <f t="shared" si="22"/>
        <v>1.4658595532723777</v>
      </c>
      <c r="BB13" s="486">
        <f t="shared" si="23"/>
        <v>1.1683179354592714</v>
      </c>
      <c r="BC13" s="486">
        <f t="shared" si="24"/>
        <v>1.2399498535201521</v>
      </c>
      <c r="BD13" s="486">
        <f t="shared" si="25"/>
        <v>1.2012185904581658</v>
      </c>
    </row>
    <row r="14" spans="1:56" ht="15">
      <c r="A14" s="86" t="str">
        <f>VLOOKUP(CONCATENATE($C14," - ",$B14),[2]ACHIEV!$B$12:$C$78,2,FALSE)</f>
        <v>LO1Slow</v>
      </c>
      <c r="B14" s="86" t="str">
        <f>'SC-New'!$C$7</f>
        <v>New</v>
      </c>
      <c r="C14" s="86" t="str">
        <f>'SC-New'!$C$8</f>
        <v>Refrigerator</v>
      </c>
      <c r="D14" s="86" t="s">
        <v>4977</v>
      </c>
      <c r="E14" s="86" t="str">
        <f>'SC-New'!$A$9</f>
        <v>Refrigeration</v>
      </c>
      <c r="F14" s="485">
        <f t="shared" si="1"/>
        <v>6.8344643711315128E-3</v>
      </c>
      <c r="G14" s="77">
        <f>'SC-New'!A55</f>
        <v>60.745261234907062</v>
      </c>
      <c r="H14" s="77">
        <f>'SC-New'!B55</f>
        <v>170.87222615492539</v>
      </c>
      <c r="I14" s="9" t="str">
        <f>'SC-New'!C55</f>
        <v>Manufactured</v>
      </c>
      <c r="J14" s="9" t="str">
        <f>'SC-New'!D55</f>
        <v>Std Size Refrig and Refrig-Freezer - CEE Tier 3</v>
      </c>
      <c r="K14" s="38">
        <f ca="1">'SC-New'!E55</f>
        <v>3.3808215307342761E-5</v>
      </c>
      <c r="L14" s="38">
        <f ca="1">'SC-New'!F55</f>
        <v>1.0205136972029639E-4</v>
      </c>
      <c r="M14" s="38">
        <f ca="1">'SC-New'!G55</f>
        <v>2.3080140685340119E-4</v>
      </c>
      <c r="N14" s="38">
        <f ca="1">'SC-New'!H55</f>
        <v>4.5034723695921118E-4</v>
      </c>
      <c r="O14" s="38">
        <f ca="1">'SC-New'!I55</f>
        <v>7.4711410667899019E-4</v>
      </c>
      <c r="P14" s="38">
        <f ca="1">'SC-New'!J55</f>
        <v>1.1730214751048157E-3</v>
      </c>
      <c r="Q14" s="38">
        <f ca="1">'SC-New'!K55</f>
        <v>1.7742710937861108E-3</v>
      </c>
      <c r="R14" s="38">
        <f ca="1">'SC-New'!L55</f>
        <v>2.5630257888431254E-3</v>
      </c>
      <c r="S14" s="38">
        <f ca="1">'SC-New'!M55</f>
        <v>3.5455693627102483E-3</v>
      </c>
      <c r="T14" s="38">
        <f ca="1">'SC-New'!N55</f>
        <v>4.6905938044573972E-3</v>
      </c>
      <c r="U14" s="38">
        <f ca="1">'SC-New'!O55</f>
        <v>5.940479518869321E-3</v>
      </c>
      <c r="V14" s="38">
        <f ca="1">'SC-New'!P55</f>
        <v>7.2893802256639049E-3</v>
      </c>
      <c r="W14" s="38">
        <f ca="1">'SC-New'!Q55</f>
        <v>8.6624802714537104E-3</v>
      </c>
      <c r="X14" s="38">
        <f ca="1">'SC-New'!R55</f>
        <v>9.9581220571958347E-3</v>
      </c>
      <c r="Y14" s="38">
        <f ca="1">'SC-New'!S55</f>
        <v>1.109283311137187E-2</v>
      </c>
      <c r="Z14" s="38">
        <f ca="1">'SC-New'!T55</f>
        <v>1.200767644284358E-2</v>
      </c>
      <c r="AA14" s="38">
        <f ca="1">'SC-New'!U55</f>
        <v>1.2686923823852942E-2</v>
      </c>
      <c r="AB14" s="38">
        <f ca="1">'SC-New'!V55</f>
        <v>1.3155879013502196E-2</v>
      </c>
      <c r="AC14" s="38">
        <f ca="1">'SC-New'!W55</f>
        <v>1.3446421962211606E-2</v>
      </c>
      <c r="AD14" s="38">
        <f ca="1">'SC-New'!X55</f>
        <v>1.358548383024121E-2</v>
      </c>
      <c r="AE14" s="38">
        <f ca="1">'SC-New'!Y55</f>
        <v>0.1231362841176271</v>
      </c>
      <c r="AF14" s="486">
        <f t="shared" si="2"/>
        <v>2.4634833015459514</v>
      </c>
      <c r="AG14" s="486">
        <f t="shared" si="3"/>
        <v>2.3193803333862761</v>
      </c>
      <c r="AH14" s="486">
        <f t="shared" si="4"/>
        <v>2.7554904277673056</v>
      </c>
      <c r="AI14" s="486">
        <f t="shared" si="5"/>
        <v>2.7525937110167087</v>
      </c>
      <c r="AJ14" s="486">
        <f t="shared" si="6"/>
        <v>2.9339274063517524</v>
      </c>
      <c r="AK14" s="486">
        <f t="shared" si="7"/>
        <v>3.0771074274650565</v>
      </c>
      <c r="AL14" s="486">
        <f t="shared" si="8"/>
        <v>3.2677325839512994</v>
      </c>
      <c r="AM14" s="486">
        <f t="shared" si="9"/>
        <v>3.6756861959588818</v>
      </c>
      <c r="AN14" s="486">
        <f t="shared" si="10"/>
        <v>3.0649151674824666</v>
      </c>
      <c r="AO14" s="486">
        <f t="shared" si="11"/>
        <v>3.0335097399788356</v>
      </c>
      <c r="AP14" s="486">
        <f t="shared" si="12"/>
        <v>2.6533700761115377</v>
      </c>
      <c r="AQ14" s="486">
        <f t="shared" si="13"/>
        <v>2.6414059705624551</v>
      </c>
      <c r="AR14" s="486"/>
      <c r="AS14" s="486">
        <f t="shared" si="14"/>
        <v>1.9328324127212773</v>
      </c>
      <c r="AT14" s="486">
        <f t="shared" si="15"/>
        <v>1.7663329675169321</v>
      </c>
      <c r="AU14" s="486">
        <f t="shared" si="16"/>
        <v>1.8207213378469842</v>
      </c>
      <c r="AV14" s="486">
        <f t="shared" si="17"/>
        <v>2.1136579447691255</v>
      </c>
      <c r="AW14" s="486">
        <f t="shared" si="18"/>
        <v>2.218509662648668</v>
      </c>
      <c r="AX14" s="486">
        <f t="shared" si="19"/>
        <v>2.1796841398542823</v>
      </c>
      <c r="AY14" s="486">
        <f t="shared" si="20"/>
        <v>2.7105358812739979</v>
      </c>
      <c r="AZ14" s="486">
        <f t="shared" si="21"/>
        <v>2.5145517843022107</v>
      </c>
      <c r="BA14" s="486">
        <f t="shared" si="22"/>
        <v>2.5560054568916764</v>
      </c>
      <c r="BB14" s="486">
        <f t="shared" si="23"/>
        <v>2.0371849484160176</v>
      </c>
      <c r="BC14" s="486">
        <f t="shared" si="24"/>
        <v>2.162088847321268</v>
      </c>
      <c r="BD14" s="486">
        <f t="shared" si="25"/>
        <v>2.0945535097660821</v>
      </c>
    </row>
    <row r="15" spans="1:56" ht="15">
      <c r="A15" s="86" t="str">
        <f>VLOOKUP(CONCATENATE($C15," - ",$B15),[2]ACHIEV!$B$12:$C$78,2,FALSE)</f>
        <v>LO1Slow</v>
      </c>
      <c r="B15" s="86" t="str">
        <f>'SC-New (2)'!$C$7</f>
        <v>New</v>
      </c>
      <c r="C15" s="86" t="str">
        <f>'SC-New (2)'!$C$8</f>
        <v>Freezer</v>
      </c>
      <c r="D15" s="86" t="s">
        <v>4977</v>
      </c>
      <c r="E15" s="86" t="str">
        <f>'SC-New (2)'!$A$9</f>
        <v>Refrigeration</v>
      </c>
      <c r="F15" s="485">
        <f t="shared" si="1"/>
        <v>2.2927876625621151E-3</v>
      </c>
      <c r="G15" s="77">
        <f>'SC-New (2)'!A44</f>
        <v>24.935350493035692</v>
      </c>
      <c r="H15" s="77">
        <f>'SC-New (2)'!B44</f>
        <v>152.54724887599428</v>
      </c>
      <c r="I15" s="9" t="str">
        <f>'SC-New (2)'!C44</f>
        <v>Single Family</v>
      </c>
      <c r="J15" s="9" t="str">
        <f>'SC-New (2)'!D44</f>
        <v>Std Size Freezer - ENERGY STAR</v>
      </c>
      <c r="K15" s="38">
        <f ca="1">'SC-New (2)'!E44</f>
        <v>2.0522982262815621E-4</v>
      </c>
      <c r="L15" s="38">
        <f ca="1">'SC-New (2)'!F44</f>
        <v>5.8872580487277695E-4</v>
      </c>
      <c r="M15" s="38">
        <f ca="1">'SC-New (2)'!G44</f>
        <v>1.2184210280235094E-3</v>
      </c>
      <c r="N15" s="38">
        <f ca="1">'SC-New (2)'!H44</f>
        <v>2.2180793081415669E-3</v>
      </c>
      <c r="O15" s="38">
        <f ca="1">'SC-New (2)'!I44</f>
        <v>3.6935762753526461E-3</v>
      </c>
      <c r="P15" s="38">
        <f ca="1">'SC-New (2)'!J44</f>
        <v>5.6140816331578143E-3</v>
      </c>
      <c r="Q15" s="38">
        <f ca="1">'SC-New (2)'!K44</f>
        <v>8.2278299285526383E-3</v>
      </c>
      <c r="R15" s="38">
        <f ca="1">'SC-New (2)'!L44</f>
        <v>1.1762403086726932E-2</v>
      </c>
      <c r="S15" s="38">
        <f ca="1">'SC-New (2)'!M44</f>
        <v>1.6015840863827999E-2</v>
      </c>
      <c r="T15" s="38">
        <f ca="1">'SC-New (2)'!N44</f>
        <v>2.1551006636431266E-2</v>
      </c>
      <c r="U15" s="38">
        <f ca="1">'SC-New (2)'!O44</f>
        <v>2.7633385709245284E-2</v>
      </c>
      <c r="V15" s="38">
        <f ca="1">'SC-New (2)'!P44</f>
        <v>3.3507992750109968E-2</v>
      </c>
      <c r="W15" s="38">
        <f ca="1">'SC-New (2)'!Q44</f>
        <v>3.8709970669322552E-2</v>
      </c>
      <c r="X15" s="38">
        <f ca="1">'SC-New (2)'!R44</f>
        <v>4.4496489976794E-2</v>
      </c>
      <c r="Y15" s="38">
        <f ca="1">'SC-New (2)'!S44</f>
        <v>5.0127032984399286E-2</v>
      </c>
      <c r="Z15" s="38">
        <f ca="1">'SC-New (2)'!T44</f>
        <v>5.4056234683920457E-2</v>
      </c>
      <c r="AA15" s="38">
        <f ca="1">'SC-New (2)'!U44</f>
        <v>5.526227178119212E-2</v>
      </c>
      <c r="AB15" s="38">
        <f ca="1">'SC-New (2)'!V44</f>
        <v>5.7200608379284035E-2</v>
      </c>
      <c r="AC15" s="38">
        <f ca="1">'SC-New (2)'!W44</f>
        <v>5.8594539690932312E-2</v>
      </c>
      <c r="AD15" s="38">
        <f ca="1">'SC-New (2)'!X44</f>
        <v>5.959539113692576E-2</v>
      </c>
      <c r="AE15" s="38">
        <f ca="1">'SC-New (2)'!Y44</f>
        <v>0.55027911214984115</v>
      </c>
      <c r="AF15" s="486">
        <f t="shared" si="2"/>
        <v>0.85183678551173725</v>
      </c>
      <c r="AG15" s="486">
        <f t="shared" si="3"/>
        <v>0.85332991336115749</v>
      </c>
      <c r="AH15" s="486">
        <f t="shared" si="4"/>
        <v>1.0475992456571872</v>
      </c>
      <c r="AI15" s="486">
        <f t="shared" si="5"/>
        <v>1.1187308258671338</v>
      </c>
      <c r="AJ15" s="486">
        <f t="shared" si="6"/>
        <v>1.2901737643457478</v>
      </c>
      <c r="AK15" s="486">
        <f t="shared" si="7"/>
        <v>1.4178785669397072</v>
      </c>
      <c r="AL15" s="486">
        <f t="shared" si="8"/>
        <v>1.5338909785681261</v>
      </c>
      <c r="AM15" s="486">
        <f t="shared" si="9"/>
        <v>1.5188308992759827</v>
      </c>
      <c r="AN15" s="486">
        <f t="shared" si="10"/>
        <v>1.1707585518031132</v>
      </c>
      <c r="AO15" s="486">
        <f t="shared" si="11"/>
        <v>1.2969588848992453</v>
      </c>
      <c r="AP15" s="486">
        <f t="shared" si="12"/>
        <v>0.9989864318871774</v>
      </c>
      <c r="AQ15" s="486">
        <f t="shared" si="13"/>
        <v>0.91849435707603422</v>
      </c>
      <c r="AR15" s="486"/>
      <c r="AS15" s="486">
        <f t="shared" si="14"/>
        <v>0.70597838233062515</v>
      </c>
      <c r="AT15" s="486">
        <f t="shared" si="15"/>
        <v>0.68760663479450812</v>
      </c>
      <c r="AU15" s="486">
        <f t="shared" si="16"/>
        <v>0.72973821833632213</v>
      </c>
      <c r="AV15" s="486">
        <f t="shared" si="17"/>
        <v>0.86945990026681952</v>
      </c>
      <c r="AW15" s="486">
        <f t="shared" si="18"/>
        <v>0.99777492433924475</v>
      </c>
      <c r="AX15" s="486">
        <f t="shared" si="19"/>
        <v>1.0219217944753605</v>
      </c>
      <c r="AY15" s="486">
        <f t="shared" si="20"/>
        <v>1.2921132900212011</v>
      </c>
      <c r="AZ15" s="486">
        <f t="shared" si="21"/>
        <v>1.0665173249329549</v>
      </c>
      <c r="BA15" s="486">
        <f t="shared" si="22"/>
        <v>0.99617451926750844</v>
      </c>
      <c r="BB15" s="486">
        <f t="shared" si="23"/>
        <v>0.91238667401528828</v>
      </c>
      <c r="BC15" s="486">
        <f t="shared" si="24"/>
        <v>0.86625978244752222</v>
      </c>
      <c r="BD15" s="486">
        <f t="shared" si="25"/>
        <v>0.77194984261599053</v>
      </c>
    </row>
    <row r="16" spans="1:56" ht="15">
      <c r="A16" s="86" t="str">
        <f>VLOOKUP(CONCATENATE($C16," - ",$B16),[2]ACHIEV!$B$12:$C$78,2,FALSE)</f>
        <v>LO1Slow</v>
      </c>
      <c r="B16" s="86" t="str">
        <f>'SC-New (2)'!$C$7</f>
        <v>New</v>
      </c>
      <c r="C16" s="86" t="str">
        <f>'SC-New (2)'!$C$8</f>
        <v>Freezer</v>
      </c>
      <c r="D16" s="86" t="s">
        <v>4977</v>
      </c>
      <c r="E16" s="86" t="str">
        <f>'SC-New (2)'!$A$9</f>
        <v>Refrigeration</v>
      </c>
      <c r="F16" s="485">
        <f t="shared" si="1"/>
        <v>2.2927876625621151E-3</v>
      </c>
      <c r="G16" s="77">
        <f>'SC-New (2)'!A45</f>
        <v>24.935350493035692</v>
      </c>
      <c r="H16" s="77">
        <f>'SC-New (2)'!B45</f>
        <v>152.54724887599428</v>
      </c>
      <c r="I16" s="9" t="str">
        <f>'SC-New (2)'!C45</f>
        <v>Multifamily - Low Rise</v>
      </c>
      <c r="J16" s="9" t="str">
        <f>'SC-New (2)'!D45</f>
        <v>Std Size Freezer - ENERGY STAR</v>
      </c>
      <c r="K16" s="38">
        <f ca="1">'SC-New (2)'!E45</f>
        <v>6.8012535360396899E-6</v>
      </c>
      <c r="L16" s="38">
        <f ca="1">'SC-New (2)'!F45</f>
        <v>2.0166154365648014E-5</v>
      </c>
      <c r="M16" s="38">
        <f ca="1">'SC-New (2)'!G45</f>
        <v>4.3638811428833235E-5</v>
      </c>
      <c r="N16" s="38">
        <f ca="1">'SC-New (2)'!H45</f>
        <v>7.9501380962827877E-5</v>
      </c>
      <c r="O16" s="38">
        <f ca="1">'SC-New (2)'!I45</f>
        <v>1.2823202830113454E-4</v>
      </c>
      <c r="P16" s="38">
        <f ca="1">'SC-New (2)'!J45</f>
        <v>1.9721628698094381E-4</v>
      </c>
      <c r="Q16" s="38">
        <f ca="1">'SC-New (2)'!K45</f>
        <v>2.946149239900235E-4</v>
      </c>
      <c r="R16" s="38">
        <f ca="1">'SC-New (2)'!L45</f>
        <v>4.3107096534052218E-4</v>
      </c>
      <c r="S16" s="38">
        <f ca="1">'SC-New (2)'!M45</f>
        <v>6.0749588014318186E-4</v>
      </c>
      <c r="T16" s="38">
        <f ca="1">'SC-New (2)'!N45</f>
        <v>8.2500627350672463E-4</v>
      </c>
      <c r="U16" s="38">
        <f ca="1">'SC-New (2)'!O45</f>
        <v>1.0548988013831099E-3</v>
      </c>
      <c r="V16" s="38">
        <f ca="1">'SC-New (2)'!P45</f>
        <v>1.2961526781882394E-3</v>
      </c>
      <c r="W16" s="38">
        <f ca="1">'SC-New (2)'!Q45</f>
        <v>1.5405827306857322E-3</v>
      </c>
      <c r="X16" s="38">
        <f ca="1">'SC-New (2)'!R45</f>
        <v>1.7497834514252843E-3</v>
      </c>
      <c r="Y16" s="38">
        <f ca="1">'SC-New (2)'!S45</f>
        <v>1.924977734698096E-3</v>
      </c>
      <c r="Z16" s="38">
        <f ca="1">'SC-New (2)'!T45</f>
        <v>2.0421043843401152E-3</v>
      </c>
      <c r="AA16" s="38">
        <f ca="1">'SC-New (2)'!U45</f>
        <v>2.1222803134293574E-3</v>
      </c>
      <c r="AB16" s="38">
        <f ca="1">'SC-New (2)'!V45</f>
        <v>2.1725880299978159E-3</v>
      </c>
      <c r="AC16" s="38">
        <f ca="1">'SC-New (2)'!W45</f>
        <v>2.1771532581709796E-3</v>
      </c>
      <c r="AD16" s="38">
        <f ca="1">'SC-New (2)'!X45</f>
        <v>2.1910890844713494E-3</v>
      </c>
      <c r="AE16" s="38">
        <f ca="1">'SC-New (2)'!Y45</f>
        <v>2.0905354425345957E-2</v>
      </c>
      <c r="AF16" s="486">
        <f t="shared" si="2"/>
        <v>0.85183678551173725</v>
      </c>
      <c r="AG16" s="486">
        <f t="shared" si="3"/>
        <v>0.85332991336115749</v>
      </c>
      <c r="AH16" s="486">
        <f t="shared" si="4"/>
        <v>1.0475992456571872</v>
      </c>
      <c r="AI16" s="486">
        <f t="shared" si="5"/>
        <v>1.1187308258671338</v>
      </c>
      <c r="AJ16" s="486">
        <f t="shared" si="6"/>
        <v>1.2901737643457478</v>
      </c>
      <c r="AK16" s="486">
        <f t="shared" si="7"/>
        <v>1.4178785669397072</v>
      </c>
      <c r="AL16" s="486">
        <f t="shared" si="8"/>
        <v>1.5338909785681261</v>
      </c>
      <c r="AM16" s="486">
        <f t="shared" si="9"/>
        <v>1.5188308992759827</v>
      </c>
      <c r="AN16" s="486">
        <f t="shared" si="10"/>
        <v>1.1707585518031132</v>
      </c>
      <c r="AO16" s="486">
        <f t="shared" si="11"/>
        <v>1.2969588848992453</v>
      </c>
      <c r="AP16" s="486">
        <f t="shared" si="12"/>
        <v>0.9989864318871774</v>
      </c>
      <c r="AQ16" s="486">
        <f t="shared" si="13"/>
        <v>0.91849435707603422</v>
      </c>
      <c r="AR16" s="486"/>
      <c r="AS16" s="486">
        <f t="shared" si="14"/>
        <v>0.70597838233062515</v>
      </c>
      <c r="AT16" s="486">
        <f t="shared" si="15"/>
        <v>0.68760663479450812</v>
      </c>
      <c r="AU16" s="486">
        <f t="shared" si="16"/>
        <v>0.72973821833632213</v>
      </c>
      <c r="AV16" s="486">
        <f t="shared" si="17"/>
        <v>0.86945990026681952</v>
      </c>
      <c r="AW16" s="486">
        <f t="shared" si="18"/>
        <v>0.99777492433924475</v>
      </c>
      <c r="AX16" s="486">
        <f t="shared" si="19"/>
        <v>1.0219217944753605</v>
      </c>
      <c r="AY16" s="486">
        <f t="shared" si="20"/>
        <v>1.2921132900212011</v>
      </c>
      <c r="AZ16" s="486">
        <f t="shared" si="21"/>
        <v>1.0665173249329549</v>
      </c>
      <c r="BA16" s="486">
        <f t="shared" si="22"/>
        <v>0.99617451926750844</v>
      </c>
      <c r="BB16" s="486">
        <f t="shared" si="23"/>
        <v>0.91238667401528828</v>
      </c>
      <c r="BC16" s="486">
        <f t="shared" si="24"/>
        <v>0.86625978244752222</v>
      </c>
      <c r="BD16" s="486">
        <f t="shared" si="25"/>
        <v>0.77194984261599053</v>
      </c>
    </row>
    <row r="17" spans="1:56" ht="15">
      <c r="A17" s="86" t="str">
        <f>VLOOKUP(CONCATENATE($C17," - ",$B17),[2]ACHIEV!$B$12:$C$78,2,FALSE)</f>
        <v>LO1Slow</v>
      </c>
      <c r="B17" s="86" t="str">
        <f>'SC-New (2)'!$C$7</f>
        <v>New</v>
      </c>
      <c r="C17" s="86" t="str">
        <f>'SC-New (2)'!$C$8</f>
        <v>Freezer</v>
      </c>
      <c r="D17" s="86" t="s">
        <v>4977</v>
      </c>
      <c r="E17" s="86" t="str">
        <f>'SC-New (2)'!$A$9</f>
        <v>Refrigeration</v>
      </c>
      <c r="F17" s="485">
        <f t="shared" si="1"/>
        <v>2.2927876625621151E-3</v>
      </c>
      <c r="G17" s="77">
        <f>'SC-New (2)'!A46</f>
        <v>24.935350493035692</v>
      </c>
      <c r="H17" s="77">
        <f>'SC-New (2)'!B46</f>
        <v>152.54724887599428</v>
      </c>
      <c r="I17" s="9" t="str">
        <f>'SC-New (2)'!C46</f>
        <v>Multifamily - High Rise</v>
      </c>
      <c r="J17" s="9" t="str">
        <f>'SC-New (2)'!D46</f>
        <v>Std Size Freezer - ENERGY STAR</v>
      </c>
      <c r="K17" s="38">
        <f ca="1">'SC-New (2)'!E46</f>
        <v>1.526823228382823E-6</v>
      </c>
      <c r="L17" s="38">
        <f ca="1">'SC-New (2)'!F46</f>
        <v>4.5908582427889505E-6</v>
      </c>
      <c r="M17" s="38">
        <f ca="1">'SC-New (2)'!G46</f>
        <v>1.0083970033973555E-5</v>
      </c>
      <c r="N17" s="38">
        <f ca="1">'SC-New (2)'!H46</f>
        <v>1.7947393306820637E-5</v>
      </c>
      <c r="O17" s="38">
        <f ca="1">'SC-New (2)'!I46</f>
        <v>2.8387604229213163E-5</v>
      </c>
      <c r="P17" s="38">
        <f ca="1">'SC-New (2)'!J46</f>
        <v>4.4312984772075258E-5</v>
      </c>
      <c r="Q17" s="38">
        <f ca="1">'SC-New (2)'!K46</f>
        <v>6.6392029694055155E-5</v>
      </c>
      <c r="R17" s="38">
        <f ca="1">'SC-New (2)'!L46</f>
        <v>9.8350195623070387E-5</v>
      </c>
      <c r="S17" s="38">
        <f ca="1">'SC-New (2)'!M46</f>
        <v>1.3762767688435212E-4</v>
      </c>
      <c r="T17" s="38">
        <f ca="1">'SC-New (2)'!N46</f>
        <v>1.8688491731942873E-4</v>
      </c>
      <c r="U17" s="38">
        <f ca="1">'SC-New (2)'!O46</f>
        <v>2.3608484621208509E-4</v>
      </c>
      <c r="V17" s="38">
        <f ca="1">'SC-New (2)'!P46</f>
        <v>2.8951592969892365E-4</v>
      </c>
      <c r="W17" s="38">
        <f ca="1">'SC-New (2)'!Q46</f>
        <v>3.4114474135354256E-4</v>
      </c>
      <c r="X17" s="38">
        <f ca="1">'SC-New (2)'!R46</f>
        <v>3.9050549689570273E-4</v>
      </c>
      <c r="Y17" s="38">
        <f ca="1">'SC-New (2)'!S46</f>
        <v>4.3165078846681295E-4</v>
      </c>
      <c r="Z17" s="38">
        <f ca="1">'SC-New (2)'!T46</f>
        <v>4.5759058587374526E-4</v>
      </c>
      <c r="AA17" s="38">
        <f ca="1">'SC-New (2)'!U46</f>
        <v>4.7612682883581482E-4</v>
      </c>
      <c r="AB17" s="38">
        <f ca="1">'SC-New (2)'!V46</f>
        <v>4.8230160002649542E-4</v>
      </c>
      <c r="AC17" s="38">
        <f ca="1">'SC-New (2)'!W46</f>
        <v>4.9092249492428447E-4</v>
      </c>
      <c r="AD17" s="38">
        <f ca="1">'SC-New (2)'!X46</f>
        <v>4.9368168779521417E-4</v>
      </c>
      <c r="AE17" s="38">
        <f ca="1">'SC-New (2)'!Y46</f>
        <v>4.6856294534167826E-3</v>
      </c>
      <c r="AF17" s="486">
        <f t="shared" si="2"/>
        <v>0.85183678551173725</v>
      </c>
      <c r="AG17" s="486">
        <f t="shared" si="3"/>
        <v>0.85332991336115749</v>
      </c>
      <c r="AH17" s="486">
        <f t="shared" si="4"/>
        <v>1.0475992456571872</v>
      </c>
      <c r="AI17" s="486">
        <f t="shared" si="5"/>
        <v>1.1187308258671338</v>
      </c>
      <c r="AJ17" s="486">
        <f t="shared" si="6"/>
        <v>1.2901737643457478</v>
      </c>
      <c r="AK17" s="486">
        <f t="shared" si="7"/>
        <v>1.4178785669397072</v>
      </c>
      <c r="AL17" s="486">
        <f t="shared" si="8"/>
        <v>1.5338909785681261</v>
      </c>
      <c r="AM17" s="486">
        <f t="shared" si="9"/>
        <v>1.5188308992759827</v>
      </c>
      <c r="AN17" s="486">
        <f t="shared" si="10"/>
        <v>1.1707585518031132</v>
      </c>
      <c r="AO17" s="486">
        <f t="shared" si="11"/>
        <v>1.2969588848992453</v>
      </c>
      <c r="AP17" s="486">
        <f t="shared" si="12"/>
        <v>0.9989864318871774</v>
      </c>
      <c r="AQ17" s="486">
        <f t="shared" si="13"/>
        <v>0.91849435707603422</v>
      </c>
      <c r="AR17" s="486"/>
      <c r="AS17" s="486">
        <f t="shared" si="14"/>
        <v>0.70597838233062515</v>
      </c>
      <c r="AT17" s="486">
        <f t="shared" si="15"/>
        <v>0.68760663479450812</v>
      </c>
      <c r="AU17" s="486">
        <f t="shared" si="16"/>
        <v>0.72973821833632213</v>
      </c>
      <c r="AV17" s="486">
        <f t="shared" si="17"/>
        <v>0.86945990026681952</v>
      </c>
      <c r="AW17" s="486">
        <f t="shared" si="18"/>
        <v>0.99777492433924475</v>
      </c>
      <c r="AX17" s="486">
        <f t="shared" si="19"/>
        <v>1.0219217944753605</v>
      </c>
      <c r="AY17" s="486">
        <f t="shared" si="20"/>
        <v>1.2921132900212011</v>
      </c>
      <c r="AZ17" s="486">
        <f t="shared" si="21"/>
        <v>1.0665173249329549</v>
      </c>
      <c r="BA17" s="486">
        <f t="shared" si="22"/>
        <v>0.99617451926750844</v>
      </c>
      <c r="BB17" s="486">
        <f t="shared" si="23"/>
        <v>0.91238667401528828</v>
      </c>
      <c r="BC17" s="486">
        <f t="shared" si="24"/>
        <v>0.86625978244752222</v>
      </c>
      <c r="BD17" s="486">
        <f t="shared" si="25"/>
        <v>0.77194984261599053</v>
      </c>
    </row>
    <row r="18" spans="1:56" ht="15">
      <c r="A18" s="86" t="str">
        <f>VLOOKUP(CONCATENATE($C18," - ",$B18),[2]ACHIEV!$B$12:$C$78,2,FALSE)</f>
        <v>LO1Slow</v>
      </c>
      <c r="B18" s="86" t="str">
        <f>'SC-New (2)'!$C$7</f>
        <v>New</v>
      </c>
      <c r="C18" s="86" t="str">
        <f>'SC-New (2)'!$C$8</f>
        <v>Freezer</v>
      </c>
      <c r="D18" s="86" t="s">
        <v>4977</v>
      </c>
      <c r="E18" s="86" t="str">
        <f>'SC-New (2)'!$A$9</f>
        <v>Refrigeration</v>
      </c>
      <c r="F18" s="485">
        <f t="shared" si="1"/>
        <v>2.2927876625621151E-3</v>
      </c>
      <c r="G18" s="77">
        <f>'SC-New (2)'!A47</f>
        <v>24.935350493035692</v>
      </c>
      <c r="H18" s="77">
        <f>'SC-New (2)'!B47</f>
        <v>152.54724887599428</v>
      </c>
      <c r="I18" s="9" t="str">
        <f>'SC-New (2)'!C47</f>
        <v>Manufactured</v>
      </c>
      <c r="J18" s="9" t="str">
        <f>'SC-New (2)'!D47</f>
        <v>Std Size Freezer - ENERGY STAR</v>
      </c>
      <c r="K18" s="38">
        <f ca="1">'SC-New (2)'!E47</f>
        <v>5.1211253938878304E-6</v>
      </c>
      <c r="L18" s="38">
        <f ca="1">'SC-New (2)'!F47</f>
        <v>1.5458309650617335E-5</v>
      </c>
      <c r="M18" s="38">
        <f ca="1">'SC-New (2)'!G47</f>
        <v>3.4960820464405899E-5</v>
      </c>
      <c r="N18" s="38">
        <f ca="1">'SC-New (2)'!H47</f>
        <v>6.8216693791527577E-5</v>
      </c>
      <c r="O18" s="38">
        <f ca="1">'SC-New (2)'!I47</f>
        <v>1.1316968343533414E-4</v>
      </c>
      <c r="P18" s="38">
        <f ca="1">'SC-New (2)'!J47</f>
        <v>1.776843293597441E-4</v>
      </c>
      <c r="Q18" s="38">
        <f ca="1">'SC-New (2)'!K47</f>
        <v>2.6875907738483181E-4</v>
      </c>
      <c r="R18" s="38">
        <f ca="1">'SC-New (2)'!L47</f>
        <v>3.8823630094378842E-4</v>
      </c>
      <c r="S18" s="38">
        <f ca="1">'SC-New (2)'!M47</f>
        <v>5.3706784383920393E-4</v>
      </c>
      <c r="T18" s="38">
        <f ca="1">'SC-New (2)'!N47</f>
        <v>7.1051130105653901E-4</v>
      </c>
      <c r="U18" s="38">
        <f ca="1">'SC-New (2)'!O47</f>
        <v>8.9983870013230014E-4</v>
      </c>
      <c r="V18" s="38">
        <f ca="1">'SC-New (2)'!P47</f>
        <v>1.1041644712681301E-3</v>
      </c>
      <c r="W18" s="38">
        <f ca="1">'SC-New (2)'!Q47</f>
        <v>1.3121558558744477E-3</v>
      </c>
      <c r="X18" s="38">
        <f ca="1">'SC-New (2)'!R47</f>
        <v>1.5084141910165897E-3</v>
      </c>
      <c r="Y18" s="38">
        <f ca="1">'SC-New (2)'!S47</f>
        <v>1.6802954199261809E-3</v>
      </c>
      <c r="Z18" s="38">
        <f ca="1">'SC-New (2)'!T47</f>
        <v>1.8188720165799293E-3</v>
      </c>
      <c r="AA18" s="38">
        <f ca="1">'SC-New (2)'!U47</f>
        <v>1.9217615355916981E-3</v>
      </c>
      <c r="AB18" s="38">
        <f ca="1">'SC-New (2)'!V47</f>
        <v>1.9927968833163886E-3</v>
      </c>
      <c r="AC18" s="38">
        <f ca="1">'SC-New (2)'!W47</f>
        <v>2.0368070997423249E-3</v>
      </c>
      <c r="AD18" s="38">
        <f ca="1">'SC-New (2)'!X47</f>
        <v>2.0578716030653743E-3</v>
      </c>
      <c r="AE18" s="38">
        <f ca="1">'SC-New (2)'!Y47</f>
        <v>1.8652163261833245E-2</v>
      </c>
      <c r="AF18" s="486">
        <f t="shared" si="2"/>
        <v>0.85183678551173725</v>
      </c>
      <c r="AG18" s="486">
        <f t="shared" si="3"/>
        <v>0.85332991336115749</v>
      </c>
      <c r="AH18" s="486">
        <f t="shared" si="4"/>
        <v>1.0475992456571872</v>
      </c>
      <c r="AI18" s="486">
        <f t="shared" si="5"/>
        <v>1.1187308258671338</v>
      </c>
      <c r="AJ18" s="486">
        <f t="shared" si="6"/>
        <v>1.2901737643457478</v>
      </c>
      <c r="AK18" s="486">
        <f t="shared" si="7"/>
        <v>1.4178785669397072</v>
      </c>
      <c r="AL18" s="486">
        <f t="shared" si="8"/>
        <v>1.5338909785681261</v>
      </c>
      <c r="AM18" s="486">
        <f t="shared" si="9"/>
        <v>1.5188308992759827</v>
      </c>
      <c r="AN18" s="486">
        <f t="shared" si="10"/>
        <v>1.1707585518031132</v>
      </c>
      <c r="AO18" s="486">
        <f t="shared" si="11"/>
        <v>1.2969588848992453</v>
      </c>
      <c r="AP18" s="486">
        <f t="shared" si="12"/>
        <v>0.9989864318871774</v>
      </c>
      <c r="AQ18" s="486">
        <f t="shared" si="13"/>
        <v>0.91849435707603422</v>
      </c>
      <c r="AR18" s="486"/>
      <c r="AS18" s="486">
        <f t="shared" si="14"/>
        <v>0.70597838233062515</v>
      </c>
      <c r="AT18" s="486">
        <f t="shared" si="15"/>
        <v>0.68760663479450812</v>
      </c>
      <c r="AU18" s="486">
        <f t="shared" si="16"/>
        <v>0.72973821833632213</v>
      </c>
      <c r="AV18" s="486">
        <f t="shared" si="17"/>
        <v>0.86945990026681952</v>
      </c>
      <c r="AW18" s="486">
        <f t="shared" si="18"/>
        <v>0.99777492433924475</v>
      </c>
      <c r="AX18" s="486">
        <f t="shared" si="19"/>
        <v>1.0219217944753605</v>
      </c>
      <c r="AY18" s="486">
        <f t="shared" si="20"/>
        <v>1.2921132900212011</v>
      </c>
      <c r="AZ18" s="486">
        <f t="shared" si="21"/>
        <v>1.0665173249329549</v>
      </c>
      <c r="BA18" s="486">
        <f t="shared" si="22"/>
        <v>0.99617451926750844</v>
      </c>
      <c r="BB18" s="486">
        <f t="shared" si="23"/>
        <v>0.91238667401528828</v>
      </c>
      <c r="BC18" s="486">
        <f t="shared" si="24"/>
        <v>0.86625978244752222</v>
      </c>
      <c r="BD18" s="486">
        <f t="shared" si="25"/>
        <v>0.77194984261599053</v>
      </c>
    </row>
    <row r="19" spans="1:56" ht="15">
      <c r="A19" s="86" t="str">
        <f>VLOOKUP(CONCATENATE($C19," - ",$B19),[2]ACHIEV!$B$12:$C$78,2,FALSE)</f>
        <v>LO1Slow</v>
      </c>
      <c r="B19" s="86" t="str">
        <f>'SC-NR'!$C$7</f>
        <v>NR</v>
      </c>
      <c r="C19" s="86" t="str">
        <f>'SC-NR'!$C$8</f>
        <v>Refrigerator</v>
      </c>
      <c r="D19" s="86" t="s">
        <v>4977</v>
      </c>
      <c r="E19" s="86" t="str">
        <f>'SC-NR'!$A$9</f>
        <v>Refrigeration</v>
      </c>
      <c r="F19" s="485">
        <f t="shared" si="1"/>
        <v>1.1478662730279006E-3</v>
      </c>
      <c r="G19" s="77">
        <f>'SC-NR'!A81</f>
        <v>10.2023264489233</v>
      </c>
      <c r="H19" s="77">
        <f>'SC-NR'!B81</f>
        <v>311.29143633214102</v>
      </c>
      <c r="I19" s="9" t="str">
        <f>'SC-NR'!C81</f>
        <v>Single Family</v>
      </c>
      <c r="J19" s="9" t="str">
        <f>'SC-NR'!D81</f>
        <v>Std Size Refrig and Refrig-Freezer - CEE Tier 1</v>
      </c>
      <c r="K19" s="38">
        <f ca="1">'SC-NR'!E81</f>
        <v>9.0083189416112648E-4</v>
      </c>
      <c r="L19" s="38">
        <f ca="1">'SC-NR'!F81</f>
        <v>2.695401166421947E-3</v>
      </c>
      <c r="M19" s="38">
        <f ca="1">'SC-NR'!G81</f>
        <v>5.8720078236745733E-3</v>
      </c>
      <c r="N19" s="38">
        <f ca="1">'SC-NR'!H81</f>
        <v>1.102405984089893E-2</v>
      </c>
      <c r="O19" s="38">
        <f ca="1">'SC-NR'!I81</f>
        <v>1.8821557508849947E-2</v>
      </c>
      <c r="P19" s="38">
        <f ca="1">'SC-NR'!J81</f>
        <v>2.9956912833006975E-2</v>
      </c>
      <c r="Q19" s="38">
        <f ca="1">'SC-NR'!K81</f>
        <v>4.5059638272849194E-2</v>
      </c>
      <c r="R19" s="38">
        <f ca="1">'SC-NR'!L81</f>
        <v>6.457943138222251E-2</v>
      </c>
      <c r="S19" s="38">
        <f ca="1">'SC-NR'!M81</f>
        <v>8.8646848439315432E-2</v>
      </c>
      <c r="T19" s="38">
        <f ca="1">'SC-NR'!N81</f>
        <v>0.11693484279730014</v>
      </c>
      <c r="U19" s="38">
        <f ca="1">'SC-NR'!O81</f>
        <v>0.14855986218457648</v>
      </c>
      <c r="V19" s="38">
        <f ca="1">'SC-NR'!P81</f>
        <v>0.18207102166716671</v>
      </c>
      <c r="W19" s="38">
        <f ca="1">'SC-NR'!Q81</f>
        <v>0.2155702142308431</v>
      </c>
      <c r="X19" s="38">
        <f ca="1">'SC-NR'!R81</f>
        <v>0.2469764869352305</v>
      </c>
      <c r="Y19" s="38">
        <f ca="1">'SC-NR'!S81</f>
        <v>0.27439550579317296</v>
      </c>
      <c r="Z19" s="38">
        <f ca="1">'SC-NR'!T81</f>
        <v>0.36588421852155517</v>
      </c>
      <c r="AA19" s="38">
        <f ca="1">'SC-NR'!U81</f>
        <v>0.3826383970852999</v>
      </c>
      <c r="AB19" s="38">
        <f ca="1">'SC-NR'!V81</f>
        <v>0.39168854524915081</v>
      </c>
      <c r="AC19" s="38">
        <f ca="1">'SC-NR'!W81</f>
        <v>0.39634225622616609</v>
      </c>
      <c r="AD19" s="38">
        <f ca="1">'SC-NR'!X81</f>
        <v>0.396549172523603</v>
      </c>
      <c r="AE19" s="38">
        <f ca="1">'SC-NR'!Y81</f>
        <v>5.4728904836639947</v>
      </c>
      <c r="AF19" s="486">
        <f t="shared" si="2"/>
        <v>0.41374850207081521</v>
      </c>
      <c r="AG19" s="486">
        <f t="shared" si="3"/>
        <v>0.38954602942462024</v>
      </c>
      <c r="AH19" s="486">
        <f t="shared" si="4"/>
        <v>0.46279186720841126</v>
      </c>
      <c r="AI19" s="486">
        <f t="shared" si="5"/>
        <v>0.46230535600870837</v>
      </c>
      <c r="AJ19" s="486">
        <f t="shared" si="6"/>
        <v>0.49276082724034098</v>
      </c>
      <c r="AK19" s="486">
        <f t="shared" si="7"/>
        <v>0.51680828850176741</v>
      </c>
      <c r="AL19" s="486">
        <f t="shared" si="8"/>
        <v>0.54882428508015002</v>
      </c>
      <c r="AM19" s="486">
        <f t="shared" si="9"/>
        <v>0.61734116756788282</v>
      </c>
      <c r="AN19" s="486">
        <f t="shared" si="10"/>
        <v>0.51476056635910517</v>
      </c>
      <c r="AO19" s="486">
        <f t="shared" si="11"/>
        <v>0.50948594218025789</v>
      </c>
      <c r="AP19" s="486">
        <f t="shared" si="12"/>
        <v>0.4456404854628952</v>
      </c>
      <c r="AQ19" s="486">
        <f t="shared" si="13"/>
        <v>0.44363108245762878</v>
      </c>
      <c r="AR19" s="486"/>
      <c r="AS19" s="486">
        <f t="shared" si="14"/>
        <v>0.32462428911756569</v>
      </c>
      <c r="AT19" s="486">
        <f t="shared" si="15"/>
        <v>0.29666026922520894</v>
      </c>
      <c r="AU19" s="486">
        <f t="shared" si="16"/>
        <v>0.30579493912129063</v>
      </c>
      <c r="AV19" s="486">
        <f t="shared" si="17"/>
        <v>0.35499441298810486</v>
      </c>
      <c r="AW19" s="486">
        <f t="shared" si="18"/>
        <v>0.3726045348772965</v>
      </c>
      <c r="AX19" s="486">
        <f t="shared" si="19"/>
        <v>0.36608368617163956</v>
      </c>
      <c r="AY19" s="486">
        <f t="shared" si="20"/>
        <v>0.45524163284668179</v>
      </c>
      <c r="AZ19" s="486">
        <f t="shared" si="21"/>
        <v>0.42232558811404985</v>
      </c>
      <c r="BA19" s="486">
        <f t="shared" si="22"/>
        <v>0.42928784149261434</v>
      </c>
      <c r="BB19" s="486">
        <f t="shared" si="23"/>
        <v>0.34215057204544069</v>
      </c>
      <c r="BC19" s="486">
        <f t="shared" si="24"/>
        <v>0.36312851049642225</v>
      </c>
      <c r="BD19" s="486">
        <f t="shared" si="25"/>
        <v>0.35178577286439949</v>
      </c>
    </row>
    <row r="20" spans="1:56" ht="15">
      <c r="A20" s="86" t="str">
        <f>VLOOKUP(CONCATENATE($C20," - ",$B20),[2]ACHIEV!$B$12:$C$78,2,FALSE)</f>
        <v>LO1Slow</v>
      </c>
      <c r="B20" s="86" t="str">
        <f>'SC-NR'!$C$7</f>
        <v>NR</v>
      </c>
      <c r="C20" s="86" t="str">
        <f>'SC-NR'!$C$8</f>
        <v>Refrigerator</v>
      </c>
      <c r="D20" s="86" t="s">
        <v>4977</v>
      </c>
      <c r="E20" s="86" t="str">
        <f>'SC-NR'!$A$9</f>
        <v>Refrigeration</v>
      </c>
      <c r="F20" s="485">
        <f t="shared" si="1"/>
        <v>3.9195397110403747E-3</v>
      </c>
      <c r="G20" s="77">
        <f>'SC-NR'!A82</f>
        <v>34.837179731806977</v>
      </c>
      <c r="H20" s="77">
        <f>'SC-NR'!B82</f>
        <v>315.46947603880625</v>
      </c>
      <c r="I20" s="9" t="str">
        <f>'SC-NR'!C82</f>
        <v>Single Family</v>
      </c>
      <c r="J20" s="9" t="str">
        <f>'SC-NR'!D82</f>
        <v>Std Size Refrig and Refrig-Freezer - CEE Tier 2</v>
      </c>
      <c r="K20" s="38">
        <f ca="1">'SC-NR'!E82</f>
        <v>3.0760084733759152E-3</v>
      </c>
      <c r="L20" s="38">
        <f ca="1">'SC-NR'!F82</f>
        <v>9.2038002659553461E-3</v>
      </c>
      <c r="M20" s="38">
        <f ca="1">'SC-NR'!G82</f>
        <v>2.0050739697857489E-2</v>
      </c>
      <c r="N20" s="38">
        <f ca="1">'SC-NR'!H82</f>
        <v>3.7643096010922278E-2</v>
      </c>
      <c r="O20" s="38">
        <f ca="1">'SC-NR'!I82</f>
        <v>6.4268672939547522E-2</v>
      </c>
      <c r="P20" s="38">
        <f ca="1">'SC-NR'!J82</f>
        <v>0.10229180195304145</v>
      </c>
      <c r="Q20" s="38">
        <f ca="1">'SC-NR'!K82</f>
        <v>0.15386203578372254</v>
      </c>
      <c r="R20" s="38">
        <f ca="1">'SC-NR'!L82</f>
        <v>0.22051492562050001</v>
      </c>
      <c r="S20" s="38">
        <f ca="1">'SC-NR'!M82</f>
        <v>0.30269627297258239</v>
      </c>
      <c r="T20" s="38">
        <f ca="1">'SC-NR'!N82</f>
        <v>0.39928933423513951</v>
      </c>
      <c r="U20" s="38">
        <f ca="1">'SC-NR'!O82</f>
        <v>0.50727710446892726</v>
      </c>
      <c r="V20" s="38">
        <f ca="1">'SC-NR'!P82</f>
        <v>0.62170534706250258</v>
      </c>
      <c r="W20" s="38">
        <f ca="1">'SC-NR'!Q82</f>
        <v>0.73609272704428774</v>
      </c>
      <c r="X20" s="38">
        <f ca="1">'SC-NR'!R82</f>
        <v>0.84333355808281563</v>
      </c>
      <c r="Y20" s="38">
        <f ca="1">'SC-NR'!S82</f>
        <v>0.93695938870155171</v>
      </c>
      <c r="Z20" s="38">
        <f ca="1">'SC-NR'!T82</f>
        <v>1.2493595794528163</v>
      </c>
      <c r="AA20" s="38">
        <f ca="1">'SC-NR'!U82</f>
        <v>1.3065689162453629</v>
      </c>
      <c r="AB20" s="38">
        <f ca="1">'SC-NR'!V82</f>
        <v>1.3374718323363131</v>
      </c>
      <c r="AC20" s="38">
        <f ca="1">'SC-NR'!W82</f>
        <v>1.3533625379060485</v>
      </c>
      <c r="AD20" s="38">
        <f ca="1">'SC-NR'!X82</f>
        <v>1.3540690807009039</v>
      </c>
      <c r="AE20" s="38">
        <f ca="1">'SC-NR'!Y82</f>
        <v>18.687901272951315</v>
      </c>
      <c r="AF20" s="486">
        <f t="shared" si="2"/>
        <v>1.4127984438223951</v>
      </c>
      <c r="AG20" s="486">
        <f t="shared" si="3"/>
        <v>1.3301559314747708</v>
      </c>
      <c r="AH20" s="486">
        <f t="shared" si="4"/>
        <v>1.5802634366850163</v>
      </c>
      <c r="AI20" s="486">
        <f t="shared" si="5"/>
        <v>1.5786021804813026</v>
      </c>
      <c r="AJ20" s="486">
        <f t="shared" si="6"/>
        <v>1.6825963753764515</v>
      </c>
      <c r="AK20" s="486">
        <f t="shared" si="7"/>
        <v>1.7647095810508684</v>
      </c>
      <c r="AL20" s="486">
        <f t="shared" si="8"/>
        <v>1.8740323941051138</v>
      </c>
      <c r="AM20" s="486">
        <f t="shared" si="9"/>
        <v>2.1079922621644376</v>
      </c>
      <c r="AN20" s="486">
        <f t="shared" si="10"/>
        <v>1.757717365630016</v>
      </c>
      <c r="AO20" s="486">
        <f t="shared" si="11"/>
        <v>1.7397064706193364</v>
      </c>
      <c r="AP20" s="486">
        <f t="shared" si="12"/>
        <v>1.5216977976115444</v>
      </c>
      <c r="AQ20" s="486">
        <f t="shared" si="13"/>
        <v>1.5148364279035123</v>
      </c>
      <c r="AR20" s="486"/>
      <c r="AS20" s="486">
        <f t="shared" si="14"/>
        <v>1.1084721472024843</v>
      </c>
      <c r="AT20" s="486">
        <f t="shared" si="15"/>
        <v>1.0129853391797252</v>
      </c>
      <c r="AU20" s="486">
        <f t="shared" si="16"/>
        <v>1.0441768657941386</v>
      </c>
      <c r="AV20" s="486">
        <f t="shared" si="17"/>
        <v>1.2121749123562962</v>
      </c>
      <c r="AW20" s="486">
        <f t="shared" si="18"/>
        <v>1.2723069797258459</v>
      </c>
      <c r="AX20" s="486">
        <f t="shared" si="19"/>
        <v>1.2500406878658297</v>
      </c>
      <c r="AY20" s="486">
        <f t="shared" si="20"/>
        <v>1.5544821726964881</v>
      </c>
      <c r="AZ20" s="486">
        <f t="shared" si="21"/>
        <v>1.4420860273514318</v>
      </c>
      <c r="BA20" s="486">
        <f t="shared" si="22"/>
        <v>1.4658595532723777</v>
      </c>
      <c r="BB20" s="486">
        <f t="shared" si="23"/>
        <v>1.1683179354592714</v>
      </c>
      <c r="BC20" s="486">
        <f t="shared" si="24"/>
        <v>1.2399498535201521</v>
      </c>
      <c r="BD20" s="486">
        <f t="shared" si="25"/>
        <v>1.2012185904581658</v>
      </c>
    </row>
    <row r="21" spans="1:56" ht="15">
      <c r="A21" s="86" t="str">
        <f>VLOOKUP(CONCATENATE($C21," - ",$B21),[2]ACHIEV!$B$12:$C$78,2,FALSE)</f>
        <v>LO1Slow</v>
      </c>
      <c r="B21" s="86" t="str">
        <f>'SC-NR'!$C$7</f>
        <v>NR</v>
      </c>
      <c r="C21" s="86" t="str">
        <f>'SC-NR'!$C$8</f>
        <v>Refrigerator</v>
      </c>
      <c r="D21" s="86" t="s">
        <v>4977</v>
      </c>
      <c r="E21" s="86" t="str">
        <f>'SC-NR'!$A$9</f>
        <v>Refrigeration</v>
      </c>
      <c r="F21" s="485">
        <f t="shared" si="1"/>
        <v>6.8344643711315128E-3</v>
      </c>
      <c r="G21" s="77">
        <f>'SC-NR'!A83</f>
        <v>60.745261234907062</v>
      </c>
      <c r="H21" s="77">
        <f>'SC-NR'!B83</f>
        <v>170.87222615492539</v>
      </c>
      <c r="I21" s="9" t="str">
        <f>'SC-NR'!C83</f>
        <v>Single Family</v>
      </c>
      <c r="J21" s="9" t="str">
        <f>'SC-NR'!D83</f>
        <v>Std Size Refrig and Refrig-Freezer - CEE Tier 3</v>
      </c>
      <c r="K21" s="38">
        <f ca="1">'SC-NR'!E83</f>
        <v>5.3636069198049214E-3</v>
      </c>
      <c r="L21" s="38">
        <f ca="1">'SC-NR'!F83</f>
        <v>1.6048579586909206E-2</v>
      </c>
      <c r="M21" s="38">
        <f ca="1">'SC-NR'!G83</f>
        <v>3.4962285416790785E-2</v>
      </c>
      <c r="N21" s="38">
        <f ca="1">'SC-NR'!H83</f>
        <v>6.5637910946804282E-2</v>
      </c>
      <c r="O21" s="38">
        <f ca="1">'SC-NR'!I83</f>
        <v>0.11206467793858693</v>
      </c>
      <c r="P21" s="38">
        <f ca="1">'SC-NR'!J83</f>
        <v>0.178365248842277</v>
      </c>
      <c r="Q21" s="38">
        <f ca="1">'SC-NR'!K83</f>
        <v>0.268287778453071</v>
      </c>
      <c r="R21" s="38">
        <f ca="1">'SC-NR'!L83</f>
        <v>0.38450979287463044</v>
      </c>
      <c r="S21" s="38">
        <f ca="1">'SC-NR'!M83</f>
        <v>0.52780863198763073</v>
      </c>
      <c r="T21" s="38">
        <f ca="1">'SC-NR'!N83</f>
        <v>0.69623704051681534</v>
      </c>
      <c r="U21" s="38">
        <f ca="1">'SC-NR'!O83</f>
        <v>0.88453429544751216</v>
      </c>
      <c r="V21" s="38">
        <f ca="1">'SC-NR'!P83</f>
        <v>1.0840617411968498</v>
      </c>
      <c r="W21" s="38">
        <f ca="1">'SC-NR'!Q83</f>
        <v>1.2835179351959876</v>
      </c>
      <c r="X21" s="38">
        <f ca="1">'SC-NR'!R83</f>
        <v>1.4705127593073137</v>
      </c>
      <c r="Y21" s="38">
        <f ca="1">'SC-NR'!S83</f>
        <v>1.6337672357905997</v>
      </c>
      <c r="Z21" s="38">
        <f ca="1">'SC-NR'!T83</f>
        <v>2.1784964975480938</v>
      </c>
      <c r="AA21" s="38">
        <f ca="1">'SC-NR'!U83</f>
        <v>2.2782518777279117</v>
      </c>
      <c r="AB21" s="38">
        <f ca="1">'SC-NR'!V83</f>
        <v>2.3321370006143449</v>
      </c>
      <c r="AC21" s="38">
        <f ca="1">'SC-NR'!W83</f>
        <v>2.3598454738165895</v>
      </c>
      <c r="AD21" s="38">
        <f ca="1">'SC-NR'!X83</f>
        <v>2.3610774658141489</v>
      </c>
      <c r="AE21" s="38">
        <f ca="1">'SC-NR'!Y83</f>
        <v>32.58591692831898</v>
      </c>
      <c r="AF21" s="486">
        <f t="shared" si="2"/>
        <v>2.4634833015459514</v>
      </c>
      <c r="AG21" s="486">
        <f t="shared" si="3"/>
        <v>2.3193803333862761</v>
      </c>
      <c r="AH21" s="486">
        <f t="shared" si="4"/>
        <v>2.7554904277673056</v>
      </c>
      <c r="AI21" s="486">
        <f t="shared" si="5"/>
        <v>2.7525937110167087</v>
      </c>
      <c r="AJ21" s="486">
        <f t="shared" si="6"/>
        <v>2.9339274063517524</v>
      </c>
      <c r="AK21" s="486">
        <f t="shared" si="7"/>
        <v>3.0771074274650565</v>
      </c>
      <c r="AL21" s="486">
        <f t="shared" si="8"/>
        <v>3.2677325839512994</v>
      </c>
      <c r="AM21" s="486">
        <f t="shared" si="9"/>
        <v>3.6756861959588818</v>
      </c>
      <c r="AN21" s="486">
        <f t="shared" si="10"/>
        <v>3.0649151674824666</v>
      </c>
      <c r="AO21" s="486">
        <f t="shared" si="11"/>
        <v>3.0335097399788356</v>
      </c>
      <c r="AP21" s="486">
        <f t="shared" si="12"/>
        <v>2.6533700761115377</v>
      </c>
      <c r="AQ21" s="486">
        <f t="shared" si="13"/>
        <v>2.6414059705624551</v>
      </c>
      <c r="AR21" s="486"/>
      <c r="AS21" s="486">
        <f t="shared" si="14"/>
        <v>1.9328324127212773</v>
      </c>
      <c r="AT21" s="486">
        <f t="shared" si="15"/>
        <v>1.7663329675169321</v>
      </c>
      <c r="AU21" s="486">
        <f t="shared" si="16"/>
        <v>1.8207213378469842</v>
      </c>
      <c r="AV21" s="486">
        <f t="shared" si="17"/>
        <v>2.1136579447691255</v>
      </c>
      <c r="AW21" s="486">
        <f t="shared" si="18"/>
        <v>2.218509662648668</v>
      </c>
      <c r="AX21" s="486">
        <f t="shared" si="19"/>
        <v>2.1796841398542823</v>
      </c>
      <c r="AY21" s="486">
        <f t="shared" si="20"/>
        <v>2.7105358812739979</v>
      </c>
      <c r="AZ21" s="486">
        <f t="shared" si="21"/>
        <v>2.5145517843022107</v>
      </c>
      <c r="BA21" s="486">
        <f t="shared" si="22"/>
        <v>2.5560054568916764</v>
      </c>
      <c r="BB21" s="486">
        <f t="shared" si="23"/>
        <v>2.0371849484160176</v>
      </c>
      <c r="BC21" s="486">
        <f t="shared" si="24"/>
        <v>2.162088847321268</v>
      </c>
      <c r="BD21" s="486">
        <f t="shared" si="25"/>
        <v>2.0945535097660821</v>
      </c>
    </row>
    <row r="22" spans="1:56" ht="15">
      <c r="A22" s="86" t="str">
        <f>VLOOKUP(CONCATENATE($C22," - ",$B22),[2]ACHIEV!$B$12:$C$78,2,FALSE)</f>
        <v>LO1Slow</v>
      </c>
      <c r="B22" s="86" t="str">
        <f>'SC-NR'!$C$7</f>
        <v>NR</v>
      </c>
      <c r="C22" s="86" t="str">
        <f>'SC-NR'!$C$8</f>
        <v>Refrigerator</v>
      </c>
      <c r="D22" s="86" t="s">
        <v>4977</v>
      </c>
      <c r="E22" s="86" t="str">
        <f>'SC-NR'!$A$9</f>
        <v>Refrigeration</v>
      </c>
      <c r="F22" s="485">
        <f t="shared" si="1"/>
        <v>1.1478662730279006E-3</v>
      </c>
      <c r="G22" s="77">
        <f>'SC-NR'!A84</f>
        <v>10.2023264489233</v>
      </c>
      <c r="H22" s="77">
        <f>'SC-NR'!B84</f>
        <v>311.29143633214102</v>
      </c>
      <c r="I22" s="9" t="str">
        <f>'SC-NR'!C84</f>
        <v>Multifamily - Low Rise</v>
      </c>
      <c r="J22" s="9" t="str">
        <f>'SC-NR'!D84</f>
        <v>Std Size Refrig and Refrig-Freezer - CEE Tier 1</v>
      </c>
      <c r="K22" s="38">
        <f ca="1">'SC-NR'!E84</f>
        <v>1.5835056374751555E-4</v>
      </c>
      <c r="L22" s="38">
        <f ca="1">'SC-NR'!F84</f>
        <v>4.7380458149510481E-4</v>
      </c>
      <c r="M22" s="38">
        <f ca="1">'SC-NR'!G84</f>
        <v>1.0321966697519262E-3</v>
      </c>
      <c r="N22" s="38">
        <f ca="1">'SC-NR'!H84</f>
        <v>1.937837581323222E-3</v>
      </c>
      <c r="O22" s="38">
        <f ca="1">'SC-NR'!I84</f>
        <v>3.3085016474369965E-3</v>
      </c>
      <c r="P22" s="38">
        <f ca="1">'SC-NR'!J84</f>
        <v>5.2659027706285352E-3</v>
      </c>
      <c r="Q22" s="38">
        <f ca="1">'SC-NR'!K84</f>
        <v>7.9206981929232662E-3</v>
      </c>
      <c r="R22" s="38">
        <f ca="1">'SC-NR'!L84</f>
        <v>1.1351936818366017E-2</v>
      </c>
      <c r="S22" s="38">
        <f ca="1">'SC-NR'!M84</f>
        <v>1.5582568075758713E-2</v>
      </c>
      <c r="T22" s="38">
        <f ca="1">'SC-NR'!N84</f>
        <v>2.0555102789563462E-2</v>
      </c>
      <c r="U22" s="38">
        <f ca="1">'SC-NR'!O84</f>
        <v>2.6114227828234207E-2</v>
      </c>
      <c r="V22" s="38">
        <f ca="1">'SC-NR'!P84</f>
        <v>3.2004902918165511E-2</v>
      </c>
      <c r="W22" s="38">
        <f ca="1">'SC-NR'!Q84</f>
        <v>3.7893474001912147E-2</v>
      </c>
      <c r="X22" s="38">
        <f ca="1">'SC-NR'!R84</f>
        <v>4.3414145955637452E-2</v>
      </c>
      <c r="Y22" s="38">
        <f ca="1">'SC-NR'!S84</f>
        <v>4.8233928055229344E-2</v>
      </c>
      <c r="Z22" s="38">
        <f ca="1">'SC-NR'!T84</f>
        <v>7.2676242512913478E-2</v>
      </c>
      <c r="AA22" s="38">
        <f ca="1">'SC-NR'!U84</f>
        <v>7.6375195520588024E-2</v>
      </c>
      <c r="AB22" s="38">
        <f ca="1">'SC-NR'!V84</f>
        <v>7.8690573126627833E-2</v>
      </c>
      <c r="AC22" s="38">
        <f ca="1">'SC-NR'!W84</f>
        <v>7.9287451029145958E-2</v>
      </c>
      <c r="AD22" s="38">
        <f ca="1">'SC-NR'!X84</f>
        <v>7.8331046265903606E-2</v>
      </c>
      <c r="AE22" s="38">
        <f ca="1">'SC-NR'!Y84</f>
        <v>1.0103176308240449</v>
      </c>
      <c r="AF22" s="486">
        <f t="shared" si="2"/>
        <v>0.41374850207081521</v>
      </c>
      <c r="AG22" s="486">
        <f t="shared" si="3"/>
        <v>0.38954602942462024</v>
      </c>
      <c r="AH22" s="486">
        <f t="shared" si="4"/>
        <v>0.46279186720841126</v>
      </c>
      <c r="AI22" s="486">
        <f t="shared" si="5"/>
        <v>0.46230535600870837</v>
      </c>
      <c r="AJ22" s="486">
        <f t="shared" si="6"/>
        <v>0.49276082724034098</v>
      </c>
      <c r="AK22" s="486">
        <f t="shared" si="7"/>
        <v>0.51680828850176741</v>
      </c>
      <c r="AL22" s="486">
        <f t="shared" si="8"/>
        <v>0.54882428508015002</v>
      </c>
      <c r="AM22" s="486">
        <f t="shared" si="9"/>
        <v>0.61734116756788282</v>
      </c>
      <c r="AN22" s="486">
        <f t="shared" si="10"/>
        <v>0.51476056635910517</v>
      </c>
      <c r="AO22" s="486">
        <f t="shared" si="11"/>
        <v>0.50948594218025789</v>
      </c>
      <c r="AP22" s="486">
        <f t="shared" si="12"/>
        <v>0.4456404854628952</v>
      </c>
      <c r="AQ22" s="486">
        <f t="shared" si="13"/>
        <v>0.44363108245762878</v>
      </c>
      <c r="AR22" s="486"/>
      <c r="AS22" s="486">
        <f t="shared" si="14"/>
        <v>0.32462428911756569</v>
      </c>
      <c r="AT22" s="486">
        <f t="shared" si="15"/>
        <v>0.29666026922520894</v>
      </c>
      <c r="AU22" s="486">
        <f t="shared" si="16"/>
        <v>0.30579493912129063</v>
      </c>
      <c r="AV22" s="486">
        <f t="shared" si="17"/>
        <v>0.35499441298810486</v>
      </c>
      <c r="AW22" s="486">
        <f t="shared" si="18"/>
        <v>0.3726045348772965</v>
      </c>
      <c r="AX22" s="486">
        <f t="shared" si="19"/>
        <v>0.36608368617163956</v>
      </c>
      <c r="AY22" s="486">
        <f t="shared" si="20"/>
        <v>0.45524163284668179</v>
      </c>
      <c r="AZ22" s="486">
        <f t="shared" si="21"/>
        <v>0.42232558811404985</v>
      </c>
      <c r="BA22" s="486">
        <f t="shared" si="22"/>
        <v>0.42928784149261434</v>
      </c>
      <c r="BB22" s="486">
        <f t="shared" si="23"/>
        <v>0.34215057204544069</v>
      </c>
      <c r="BC22" s="486">
        <f t="shared" si="24"/>
        <v>0.36312851049642225</v>
      </c>
      <c r="BD22" s="486">
        <f t="shared" si="25"/>
        <v>0.35178577286439949</v>
      </c>
    </row>
    <row r="23" spans="1:56" ht="15">
      <c r="A23" s="86" t="str">
        <f>VLOOKUP(CONCATENATE($C23," - ",$B23),[2]ACHIEV!$B$12:$C$78,2,FALSE)</f>
        <v>LO1Slow</v>
      </c>
      <c r="B23" s="86" t="str">
        <f>'SC-NR'!$C$7</f>
        <v>NR</v>
      </c>
      <c r="C23" s="86" t="str">
        <f>'SC-NR'!$C$8</f>
        <v>Refrigerator</v>
      </c>
      <c r="D23" s="86" t="s">
        <v>4977</v>
      </c>
      <c r="E23" s="86" t="str">
        <f>'SC-NR'!$A$9</f>
        <v>Refrigeration</v>
      </c>
      <c r="F23" s="485">
        <f t="shared" si="1"/>
        <v>3.9195397110403747E-3</v>
      </c>
      <c r="G23" s="77">
        <f>'SC-NR'!A85</f>
        <v>34.837179731806977</v>
      </c>
      <c r="H23" s="77">
        <f>'SC-NR'!B85</f>
        <v>315.46947603880625</v>
      </c>
      <c r="I23" s="9" t="str">
        <f>'SC-NR'!C85</f>
        <v>Multifamily - Low Rise</v>
      </c>
      <c r="J23" s="9" t="str">
        <f>'SC-NR'!D85</f>
        <v>Std Size Refrig and Refrig-Freezer - CEE Tier 2</v>
      </c>
      <c r="K23" s="38">
        <f ca="1">'SC-NR'!E85</f>
        <v>5.4070873712214326E-4</v>
      </c>
      <c r="L23" s="38">
        <f ca="1">'SC-NR'!F85</f>
        <v>1.617867791815318E-3</v>
      </c>
      <c r="M23" s="38">
        <f ca="1">'SC-NR'!G85</f>
        <v>3.5245707028435038E-3</v>
      </c>
      <c r="N23" s="38">
        <f ca="1">'SC-NR'!H85</f>
        <v>6.6170001959437149E-3</v>
      </c>
      <c r="O23" s="38">
        <f ca="1">'SC-NR'!I85</f>
        <v>1.1297312148535098E-2</v>
      </c>
      <c r="P23" s="38">
        <f ca="1">'SC-NR'!J85</f>
        <v>1.7981114620182231E-2</v>
      </c>
      <c r="Q23" s="38">
        <f ca="1">'SC-NR'!K85</f>
        <v>2.7046261255185305E-2</v>
      </c>
      <c r="R23" s="38">
        <f ca="1">'SC-NR'!L85</f>
        <v>3.8762674888458387E-2</v>
      </c>
      <c r="S23" s="38">
        <f ca="1">'SC-NR'!M85</f>
        <v>5.3208719350047236E-2</v>
      </c>
      <c r="T23" s="38">
        <f ca="1">'SC-NR'!N85</f>
        <v>7.0188090321434568E-2</v>
      </c>
      <c r="U23" s="38">
        <f ca="1">'SC-NR'!O85</f>
        <v>8.9170450775524851E-2</v>
      </c>
      <c r="V23" s="38">
        <f ca="1">'SC-NR'!P85</f>
        <v>0.10928493229863594</v>
      </c>
      <c r="W23" s="38">
        <f ca="1">'SC-NR'!Q85</f>
        <v>0.12939222941709388</v>
      </c>
      <c r="X23" s="38">
        <f ca="1">'SC-NR'!R85</f>
        <v>0.14824328677691515</v>
      </c>
      <c r="Y23" s="38">
        <f ca="1">'SC-NR'!S85</f>
        <v>0.1647010639429603</v>
      </c>
      <c r="Z23" s="38">
        <f ca="1">'SC-NR'!T85</f>
        <v>0.24816254756501685</v>
      </c>
      <c r="AA23" s="38">
        <f ca="1">'SC-NR'!U85</f>
        <v>0.26079310701564745</v>
      </c>
      <c r="AB23" s="38">
        <f ca="1">'SC-NR'!V85</f>
        <v>0.26869926706771302</v>
      </c>
      <c r="AC23" s="38">
        <f ca="1">'SC-NR'!W85</f>
        <v>0.27073738483154552</v>
      </c>
      <c r="AD23" s="38">
        <f ca="1">'SC-NR'!X85</f>
        <v>0.26747161551900339</v>
      </c>
      <c r="AE23" s="38">
        <f ca="1">'SC-NR'!Y85</f>
        <v>3.4498618591983132</v>
      </c>
      <c r="AF23" s="486">
        <f t="shared" si="2"/>
        <v>1.4127984438223951</v>
      </c>
      <c r="AG23" s="486">
        <f t="shared" si="3"/>
        <v>1.3301559314747708</v>
      </c>
      <c r="AH23" s="486">
        <f t="shared" si="4"/>
        <v>1.5802634366850163</v>
      </c>
      <c r="AI23" s="486">
        <f t="shared" si="5"/>
        <v>1.5786021804813026</v>
      </c>
      <c r="AJ23" s="486">
        <f t="shared" si="6"/>
        <v>1.6825963753764515</v>
      </c>
      <c r="AK23" s="486">
        <f t="shared" si="7"/>
        <v>1.7647095810508684</v>
      </c>
      <c r="AL23" s="486">
        <f t="shared" si="8"/>
        <v>1.8740323941051138</v>
      </c>
      <c r="AM23" s="486">
        <f t="shared" si="9"/>
        <v>2.1079922621644376</v>
      </c>
      <c r="AN23" s="486">
        <f t="shared" si="10"/>
        <v>1.757717365630016</v>
      </c>
      <c r="AO23" s="486">
        <f t="shared" si="11"/>
        <v>1.7397064706193364</v>
      </c>
      <c r="AP23" s="486">
        <f t="shared" si="12"/>
        <v>1.5216977976115444</v>
      </c>
      <c r="AQ23" s="486">
        <f t="shared" si="13"/>
        <v>1.5148364279035123</v>
      </c>
      <c r="AR23" s="486"/>
      <c r="AS23" s="486">
        <f t="shared" si="14"/>
        <v>1.1084721472024843</v>
      </c>
      <c r="AT23" s="486">
        <f t="shared" si="15"/>
        <v>1.0129853391797252</v>
      </c>
      <c r="AU23" s="486">
        <f t="shared" si="16"/>
        <v>1.0441768657941386</v>
      </c>
      <c r="AV23" s="486">
        <f t="shared" si="17"/>
        <v>1.2121749123562962</v>
      </c>
      <c r="AW23" s="486">
        <f t="shared" si="18"/>
        <v>1.2723069797258459</v>
      </c>
      <c r="AX23" s="486">
        <f t="shared" si="19"/>
        <v>1.2500406878658297</v>
      </c>
      <c r="AY23" s="486">
        <f t="shared" si="20"/>
        <v>1.5544821726964881</v>
      </c>
      <c r="AZ23" s="486">
        <f t="shared" si="21"/>
        <v>1.4420860273514318</v>
      </c>
      <c r="BA23" s="486">
        <f t="shared" si="22"/>
        <v>1.4658595532723777</v>
      </c>
      <c r="BB23" s="486">
        <f t="shared" si="23"/>
        <v>1.1683179354592714</v>
      </c>
      <c r="BC23" s="486">
        <f t="shared" si="24"/>
        <v>1.2399498535201521</v>
      </c>
      <c r="BD23" s="486">
        <f t="shared" si="25"/>
        <v>1.2012185904581658</v>
      </c>
    </row>
    <row r="24" spans="1:56" ht="15">
      <c r="A24" s="86" t="str">
        <f>VLOOKUP(CONCATENATE($C24," - ",$B24),[2]ACHIEV!$B$12:$C$78,2,FALSE)</f>
        <v>LO1Slow</v>
      </c>
      <c r="B24" s="86" t="str">
        <f>'SC-NR'!$C$7</f>
        <v>NR</v>
      </c>
      <c r="C24" s="86" t="str">
        <f>'SC-NR'!$C$8</f>
        <v>Refrigerator</v>
      </c>
      <c r="D24" s="86" t="s">
        <v>4977</v>
      </c>
      <c r="E24" s="86" t="str">
        <f>'SC-NR'!$A$9</f>
        <v>Refrigeration</v>
      </c>
      <c r="F24" s="485">
        <f t="shared" si="1"/>
        <v>6.8344643711315128E-3</v>
      </c>
      <c r="G24" s="77">
        <f>'SC-NR'!A86</f>
        <v>60.745261234907062</v>
      </c>
      <c r="H24" s="77">
        <f>'SC-NR'!B86</f>
        <v>170.87222615492539</v>
      </c>
      <c r="I24" s="9" t="str">
        <f>'SC-NR'!C86</f>
        <v>Multifamily - Low Rise</v>
      </c>
      <c r="J24" s="9" t="str">
        <f>'SC-NR'!D86</f>
        <v>Std Size Refrig and Refrig-Freezer - CEE Tier 3</v>
      </c>
      <c r="K24" s="38">
        <f ca="1">'SC-NR'!E86</f>
        <v>9.4282871751793249E-4</v>
      </c>
      <c r="L24" s="38">
        <f ca="1">'SC-NR'!F86</f>
        <v>2.8210607866065089E-3</v>
      </c>
      <c r="M24" s="38">
        <f ca="1">'SC-NR'!G86</f>
        <v>6.1457606423188892E-3</v>
      </c>
      <c r="N24" s="38">
        <f ca="1">'SC-NR'!H86</f>
        <v>1.1538000739108144E-2</v>
      </c>
      <c r="O24" s="38">
        <f ca="1">'SC-NR'!I86</f>
        <v>1.9699016481764382E-2</v>
      </c>
      <c r="P24" s="38">
        <f ca="1">'SC-NR'!J86</f>
        <v>3.1353499718018686E-2</v>
      </c>
      <c r="Q24" s="38">
        <f ca="1">'SC-NR'!K86</f>
        <v>4.7160310278324569E-2</v>
      </c>
      <c r="R24" s="38">
        <f ca="1">'SC-NR'!L86</f>
        <v>6.7590110060296846E-2</v>
      </c>
      <c r="S24" s="38">
        <f ca="1">'SC-NR'!M86</f>
        <v>9.2779541334180871E-2</v>
      </c>
      <c r="T24" s="38">
        <f ca="1">'SC-NR'!N86</f>
        <v>0.12238631011402039</v>
      </c>
      <c r="U24" s="38">
        <f ca="1">'SC-NR'!O86</f>
        <v>0.15548567273510228</v>
      </c>
      <c r="V24" s="38">
        <f ca="1">'SC-NR'!P86</f>
        <v>0.19055910417049812</v>
      </c>
      <c r="W24" s="38">
        <f ca="1">'SC-NR'!Q86</f>
        <v>0.22562000822736245</v>
      </c>
      <c r="X24" s="38">
        <f ca="1">'SC-NR'!R86</f>
        <v>0.25849041888322422</v>
      </c>
      <c r="Y24" s="38">
        <f ca="1">'SC-NR'!S86</f>
        <v>0.28718768947153556</v>
      </c>
      <c r="Z24" s="38">
        <f ca="1">'SC-NR'!T86</f>
        <v>0.43271869010663699</v>
      </c>
      <c r="AA24" s="38">
        <f ca="1">'SC-NR'!U86</f>
        <v>0.45474247731553868</v>
      </c>
      <c r="AB24" s="38">
        <f ca="1">'SC-NR'!V86</f>
        <v>0.46852837391867913</v>
      </c>
      <c r="AC24" s="38">
        <f ca="1">'SC-NR'!W86</f>
        <v>0.47208222061191385</v>
      </c>
      <c r="AD24" s="38">
        <f ca="1">'SC-NR'!X86</f>
        <v>0.46638772950928908</v>
      </c>
      <c r="AE24" s="38">
        <f ca="1">'SC-NR'!Y86</f>
        <v>6.0154915373361613</v>
      </c>
      <c r="AF24" s="486">
        <f t="shared" si="2"/>
        <v>2.4634833015459514</v>
      </c>
      <c r="AG24" s="486">
        <f t="shared" si="3"/>
        <v>2.3193803333862761</v>
      </c>
      <c r="AH24" s="486">
        <f t="shared" si="4"/>
        <v>2.7554904277673056</v>
      </c>
      <c r="AI24" s="486">
        <f t="shared" si="5"/>
        <v>2.7525937110167087</v>
      </c>
      <c r="AJ24" s="486">
        <f t="shared" si="6"/>
        <v>2.9339274063517524</v>
      </c>
      <c r="AK24" s="486">
        <f t="shared" si="7"/>
        <v>3.0771074274650565</v>
      </c>
      <c r="AL24" s="486">
        <f t="shared" si="8"/>
        <v>3.2677325839512994</v>
      </c>
      <c r="AM24" s="486">
        <f t="shared" si="9"/>
        <v>3.6756861959588818</v>
      </c>
      <c r="AN24" s="486">
        <f t="shared" si="10"/>
        <v>3.0649151674824666</v>
      </c>
      <c r="AO24" s="486">
        <f t="shared" si="11"/>
        <v>3.0335097399788356</v>
      </c>
      <c r="AP24" s="486">
        <f t="shared" si="12"/>
        <v>2.6533700761115377</v>
      </c>
      <c r="AQ24" s="486">
        <f t="shared" si="13"/>
        <v>2.6414059705624551</v>
      </c>
      <c r="AR24" s="486"/>
      <c r="AS24" s="486">
        <f t="shared" si="14"/>
        <v>1.9328324127212773</v>
      </c>
      <c r="AT24" s="486">
        <f t="shared" si="15"/>
        <v>1.7663329675169321</v>
      </c>
      <c r="AU24" s="486">
        <f t="shared" si="16"/>
        <v>1.8207213378469842</v>
      </c>
      <c r="AV24" s="486">
        <f t="shared" si="17"/>
        <v>2.1136579447691255</v>
      </c>
      <c r="AW24" s="486">
        <f t="shared" si="18"/>
        <v>2.218509662648668</v>
      </c>
      <c r="AX24" s="486">
        <f t="shared" si="19"/>
        <v>2.1796841398542823</v>
      </c>
      <c r="AY24" s="486">
        <f t="shared" si="20"/>
        <v>2.7105358812739979</v>
      </c>
      <c r="AZ24" s="486">
        <f t="shared" si="21"/>
        <v>2.5145517843022107</v>
      </c>
      <c r="BA24" s="486">
        <f t="shared" si="22"/>
        <v>2.5560054568916764</v>
      </c>
      <c r="BB24" s="486">
        <f t="shared" si="23"/>
        <v>2.0371849484160176</v>
      </c>
      <c r="BC24" s="486">
        <f t="shared" si="24"/>
        <v>2.162088847321268</v>
      </c>
      <c r="BD24" s="486">
        <f t="shared" si="25"/>
        <v>2.0945535097660821</v>
      </c>
    </row>
    <row r="25" spans="1:56" ht="15">
      <c r="A25" s="86" t="str">
        <f>VLOOKUP(CONCATENATE($C25," - ",$B25),[2]ACHIEV!$B$12:$C$78,2,FALSE)</f>
        <v>LO1Slow</v>
      </c>
      <c r="B25" s="86" t="str">
        <f>'SC-NR'!$C$7</f>
        <v>NR</v>
      </c>
      <c r="C25" s="86" t="str">
        <f>'SC-NR'!$C$8</f>
        <v>Refrigerator</v>
      </c>
      <c r="D25" s="86" t="s">
        <v>4977</v>
      </c>
      <c r="E25" s="86" t="str">
        <f>'SC-NR'!$A$9</f>
        <v>Refrigeration</v>
      </c>
      <c r="F25" s="485">
        <f t="shared" si="1"/>
        <v>1.1478662730279006E-3</v>
      </c>
      <c r="G25" s="77">
        <f>'SC-NR'!A87</f>
        <v>10.2023264489233</v>
      </c>
      <c r="H25" s="77">
        <f>'SC-NR'!B87</f>
        <v>311.29143633214102</v>
      </c>
      <c r="I25" s="9" t="str">
        <f>'SC-NR'!C87</f>
        <v>Multifamily - High Rise</v>
      </c>
      <c r="J25" s="9" t="str">
        <f>'SC-NR'!D87</f>
        <v>Std Size Refrig and Refrig-Freezer - CEE Tier 1</v>
      </c>
      <c r="K25" s="38">
        <f ca="1">'SC-NR'!E87</f>
        <v>3.6103350256554415E-5</v>
      </c>
      <c r="L25" s="38">
        <f ca="1">'SC-NR'!F87</f>
        <v>1.0802571430154655E-4</v>
      </c>
      <c r="M25" s="38">
        <f ca="1">'SC-NR'!G87</f>
        <v>2.3533707124100784E-4</v>
      </c>
      <c r="N25" s="38">
        <f ca="1">'SC-NR'!H87</f>
        <v>4.4181989178377159E-4</v>
      </c>
      <c r="O25" s="38">
        <f ca="1">'SC-NR'!I87</f>
        <v>7.5432629335163513E-4</v>
      </c>
      <c r="P25" s="38">
        <f ca="1">'SC-NR'!J87</f>
        <v>1.2006066012375987E-3</v>
      </c>
      <c r="Q25" s="38">
        <f ca="1">'SC-NR'!K87</f>
        <v>1.8058902625160554E-3</v>
      </c>
      <c r="R25" s="38">
        <f ca="1">'SC-NR'!L87</f>
        <v>2.588200138631805E-3</v>
      </c>
      <c r="S25" s="38">
        <f ca="1">'SC-NR'!M87</f>
        <v>3.5527686155430345E-3</v>
      </c>
      <c r="T25" s="38">
        <f ca="1">'SC-NR'!N87</f>
        <v>4.6864883711709038E-3</v>
      </c>
      <c r="U25" s="38">
        <f ca="1">'SC-NR'!O87</f>
        <v>5.9539485787084359E-3</v>
      </c>
      <c r="V25" s="38">
        <f ca="1">'SC-NR'!P87</f>
        <v>7.2970009871510706E-3</v>
      </c>
      <c r="W25" s="38">
        <f ca="1">'SC-NR'!Q87</f>
        <v>8.6395736898671905E-3</v>
      </c>
      <c r="X25" s="38">
        <f ca="1">'SC-NR'!R87</f>
        <v>9.8982667344633679E-3</v>
      </c>
      <c r="Y25" s="38">
        <f ca="1">'SC-NR'!S87</f>
        <v>1.0997159451885518E-2</v>
      </c>
      <c r="Z25" s="38">
        <f ca="1">'SC-NR'!T87</f>
        <v>1.649786656164285E-2</v>
      </c>
      <c r="AA25" s="38">
        <f ca="1">'SC-NR'!U87</f>
        <v>1.7405890551102046E-2</v>
      </c>
      <c r="AB25" s="38">
        <f ca="1">'SC-NR'!V87</f>
        <v>1.8008388367252895E-2</v>
      </c>
      <c r="AC25" s="38">
        <f ca="1">'SC-NR'!W87</f>
        <v>1.8029379412766919E-2</v>
      </c>
      <c r="AD25" s="38">
        <f ca="1">'SC-NR'!X87</f>
        <v>1.7727539051131343E-2</v>
      </c>
      <c r="AE25" s="38">
        <f ca="1">'SC-NR'!Y87</f>
        <v>0.23014629893784119</v>
      </c>
      <c r="AF25" s="486">
        <f t="shared" si="2"/>
        <v>0.41374850207081521</v>
      </c>
      <c r="AG25" s="486">
        <f t="shared" si="3"/>
        <v>0.38954602942462024</v>
      </c>
      <c r="AH25" s="486">
        <f t="shared" si="4"/>
        <v>0.46279186720841126</v>
      </c>
      <c r="AI25" s="486">
        <f t="shared" si="5"/>
        <v>0.46230535600870837</v>
      </c>
      <c r="AJ25" s="486">
        <f t="shared" si="6"/>
        <v>0.49276082724034098</v>
      </c>
      <c r="AK25" s="486">
        <f t="shared" si="7"/>
        <v>0.51680828850176741</v>
      </c>
      <c r="AL25" s="486">
        <f t="shared" si="8"/>
        <v>0.54882428508015002</v>
      </c>
      <c r="AM25" s="486">
        <f t="shared" si="9"/>
        <v>0.61734116756788282</v>
      </c>
      <c r="AN25" s="486">
        <f t="shared" si="10"/>
        <v>0.51476056635910517</v>
      </c>
      <c r="AO25" s="486">
        <f t="shared" si="11"/>
        <v>0.50948594218025789</v>
      </c>
      <c r="AP25" s="486">
        <f t="shared" si="12"/>
        <v>0.4456404854628952</v>
      </c>
      <c r="AQ25" s="486">
        <f t="shared" si="13"/>
        <v>0.44363108245762878</v>
      </c>
      <c r="AR25" s="486"/>
      <c r="AS25" s="486">
        <f t="shared" si="14"/>
        <v>0.32462428911756569</v>
      </c>
      <c r="AT25" s="486">
        <f t="shared" si="15"/>
        <v>0.29666026922520894</v>
      </c>
      <c r="AU25" s="486">
        <f t="shared" si="16"/>
        <v>0.30579493912129063</v>
      </c>
      <c r="AV25" s="486">
        <f t="shared" si="17"/>
        <v>0.35499441298810486</v>
      </c>
      <c r="AW25" s="486">
        <f t="shared" si="18"/>
        <v>0.3726045348772965</v>
      </c>
      <c r="AX25" s="486">
        <f t="shared" si="19"/>
        <v>0.36608368617163956</v>
      </c>
      <c r="AY25" s="486">
        <f t="shared" si="20"/>
        <v>0.45524163284668179</v>
      </c>
      <c r="AZ25" s="486">
        <f t="shared" si="21"/>
        <v>0.42232558811404985</v>
      </c>
      <c r="BA25" s="486">
        <f t="shared" si="22"/>
        <v>0.42928784149261434</v>
      </c>
      <c r="BB25" s="486">
        <f t="shared" si="23"/>
        <v>0.34215057204544069</v>
      </c>
      <c r="BC25" s="486">
        <f t="shared" si="24"/>
        <v>0.36312851049642225</v>
      </c>
      <c r="BD25" s="486">
        <f t="shared" si="25"/>
        <v>0.35178577286439949</v>
      </c>
    </row>
    <row r="26" spans="1:56" ht="15">
      <c r="A26" s="86" t="str">
        <f>VLOOKUP(CONCATENATE($C26," - ",$B26),[2]ACHIEV!$B$12:$C$78,2,FALSE)</f>
        <v>LO1Slow</v>
      </c>
      <c r="B26" s="86" t="str">
        <f>'SC-NR'!$C$7</f>
        <v>NR</v>
      </c>
      <c r="C26" s="86" t="str">
        <f>'SC-NR'!$C$8</f>
        <v>Refrigerator</v>
      </c>
      <c r="D26" s="86" t="s">
        <v>4977</v>
      </c>
      <c r="E26" s="86" t="str">
        <f>'SC-NR'!$A$9</f>
        <v>Refrigeration</v>
      </c>
      <c r="F26" s="485">
        <f t="shared" si="1"/>
        <v>3.9195397110403747E-3</v>
      </c>
      <c r="G26" s="77">
        <f>'SC-NR'!A88</f>
        <v>34.837179731806977</v>
      </c>
      <c r="H26" s="77">
        <f>'SC-NR'!B88</f>
        <v>315.46947603880625</v>
      </c>
      <c r="I26" s="9" t="str">
        <f>'SC-NR'!C88</f>
        <v>Multifamily - High Rise</v>
      </c>
      <c r="J26" s="9" t="str">
        <f>'SC-NR'!D88</f>
        <v>Std Size Refrig and Refrig-Freezer - CEE Tier 2</v>
      </c>
      <c r="K26" s="38">
        <f ca="1">'SC-NR'!E88</f>
        <v>1.2327961745830051E-4</v>
      </c>
      <c r="L26" s="38">
        <f ca="1">'SC-NR'!F88</f>
        <v>3.6886794826850191E-4</v>
      </c>
      <c r="M26" s="38">
        <f ca="1">'SC-NR'!G88</f>
        <v>8.0358924892520733E-4</v>
      </c>
      <c r="N26" s="38">
        <f ca="1">'SC-NR'!H88</f>
        <v>1.5086518801584834E-3</v>
      </c>
      <c r="O26" s="38">
        <f ca="1">'SC-NR'!I88</f>
        <v>2.5757459133933097E-3</v>
      </c>
      <c r="P26" s="38">
        <f ca="1">'SC-NR'!J88</f>
        <v>4.0996284684580156E-3</v>
      </c>
      <c r="Q26" s="38">
        <f ca="1">'SC-NR'!K88</f>
        <v>6.1664487963753924E-3</v>
      </c>
      <c r="R26" s="38">
        <f ca="1">'SC-NR'!L88</f>
        <v>8.8377483177789831E-3</v>
      </c>
      <c r="S26" s="38">
        <f ca="1">'SC-NR'!M88</f>
        <v>1.2131393699743613E-2</v>
      </c>
      <c r="T26" s="38">
        <f ca="1">'SC-NR'!N88</f>
        <v>1.6002628274527926E-2</v>
      </c>
      <c r="U26" s="38">
        <f ca="1">'SC-NR'!O88</f>
        <v>2.0330537136683403E-2</v>
      </c>
      <c r="V26" s="38">
        <f ca="1">'SC-NR'!P88</f>
        <v>2.4916565468200876E-2</v>
      </c>
      <c r="W26" s="38">
        <f ca="1">'SC-NR'!Q88</f>
        <v>2.9500955781694066E-2</v>
      </c>
      <c r="X26" s="38">
        <f ca="1">'SC-NR'!R88</f>
        <v>3.3798928017859872E-2</v>
      </c>
      <c r="Y26" s="38">
        <f ca="1">'SC-NR'!S88</f>
        <v>3.7551241109826196E-2</v>
      </c>
      <c r="Z26" s="38">
        <f ca="1">'SC-NR'!T88</f>
        <v>5.6334125895371186E-2</v>
      </c>
      <c r="AA26" s="38">
        <f ca="1">'SC-NR'!U88</f>
        <v>5.9434692720001743E-2</v>
      </c>
      <c r="AB26" s="38">
        <f ca="1">'SC-NR'!V88</f>
        <v>6.149200041490336E-2</v>
      </c>
      <c r="AC26" s="38">
        <f ca="1">'SC-NR'!W88</f>
        <v>6.1563677088747479E-2</v>
      </c>
      <c r="AD26" s="38">
        <f ca="1">'SC-NR'!X88</f>
        <v>6.053300364566018E-2</v>
      </c>
      <c r="AE26" s="38">
        <f ca="1">'SC-NR'!Y88</f>
        <v>0.78586467712507768</v>
      </c>
      <c r="AF26" s="486">
        <f t="shared" si="2"/>
        <v>1.4127984438223951</v>
      </c>
      <c r="AG26" s="486">
        <f t="shared" si="3"/>
        <v>1.3301559314747708</v>
      </c>
      <c r="AH26" s="486">
        <f t="shared" si="4"/>
        <v>1.5802634366850163</v>
      </c>
      <c r="AI26" s="486">
        <f t="shared" si="5"/>
        <v>1.5786021804813026</v>
      </c>
      <c r="AJ26" s="486">
        <f t="shared" si="6"/>
        <v>1.6825963753764515</v>
      </c>
      <c r="AK26" s="486">
        <f t="shared" si="7"/>
        <v>1.7647095810508684</v>
      </c>
      <c r="AL26" s="486">
        <f t="shared" si="8"/>
        <v>1.8740323941051138</v>
      </c>
      <c r="AM26" s="486">
        <f t="shared" si="9"/>
        <v>2.1079922621644376</v>
      </c>
      <c r="AN26" s="486">
        <f t="shared" si="10"/>
        <v>1.757717365630016</v>
      </c>
      <c r="AO26" s="486">
        <f t="shared" si="11"/>
        <v>1.7397064706193364</v>
      </c>
      <c r="AP26" s="486">
        <f t="shared" si="12"/>
        <v>1.5216977976115444</v>
      </c>
      <c r="AQ26" s="486">
        <f t="shared" si="13"/>
        <v>1.5148364279035123</v>
      </c>
      <c r="AR26" s="486"/>
      <c r="AS26" s="486">
        <f t="shared" si="14"/>
        <v>1.1084721472024843</v>
      </c>
      <c r="AT26" s="486">
        <f t="shared" si="15"/>
        <v>1.0129853391797252</v>
      </c>
      <c r="AU26" s="486">
        <f t="shared" si="16"/>
        <v>1.0441768657941386</v>
      </c>
      <c r="AV26" s="486">
        <f t="shared" si="17"/>
        <v>1.2121749123562962</v>
      </c>
      <c r="AW26" s="486">
        <f t="shared" si="18"/>
        <v>1.2723069797258459</v>
      </c>
      <c r="AX26" s="486">
        <f t="shared" si="19"/>
        <v>1.2500406878658297</v>
      </c>
      <c r="AY26" s="486">
        <f t="shared" si="20"/>
        <v>1.5544821726964881</v>
      </c>
      <c r="AZ26" s="486">
        <f t="shared" si="21"/>
        <v>1.4420860273514318</v>
      </c>
      <c r="BA26" s="486">
        <f t="shared" si="22"/>
        <v>1.4658595532723777</v>
      </c>
      <c r="BB26" s="486">
        <f t="shared" si="23"/>
        <v>1.1683179354592714</v>
      </c>
      <c r="BC26" s="486">
        <f t="shared" si="24"/>
        <v>1.2399498535201521</v>
      </c>
      <c r="BD26" s="486">
        <f t="shared" si="25"/>
        <v>1.2012185904581658</v>
      </c>
    </row>
    <row r="27" spans="1:56" ht="15">
      <c r="A27" s="86" t="str">
        <f>VLOOKUP(CONCATENATE($C27," - ",$B27),[2]ACHIEV!$B$12:$C$78,2,FALSE)</f>
        <v>LO1Slow</v>
      </c>
      <c r="B27" s="86" t="str">
        <f>'SC-NR'!$C$7</f>
        <v>NR</v>
      </c>
      <c r="C27" s="86" t="str">
        <f>'SC-NR'!$C$8</f>
        <v>Refrigerator</v>
      </c>
      <c r="D27" s="86" t="s">
        <v>4977</v>
      </c>
      <c r="E27" s="86" t="str">
        <f>'SC-NR'!$A$9</f>
        <v>Refrigeration</v>
      </c>
      <c r="F27" s="485">
        <f t="shared" si="1"/>
        <v>6.8344643711315128E-3</v>
      </c>
      <c r="G27" s="77">
        <f>'SC-NR'!A89</f>
        <v>60.745261234907062</v>
      </c>
      <c r="H27" s="77">
        <f>'SC-NR'!B89</f>
        <v>170.87222615492539</v>
      </c>
      <c r="I27" s="9" t="str">
        <f>'SC-NR'!C89</f>
        <v>Multifamily - High Rise</v>
      </c>
      <c r="J27" s="9" t="str">
        <f>'SC-NR'!D89</f>
        <v>Std Size Refrig and Refrig-Freezer - CEE Tier 3</v>
      </c>
      <c r="K27" s="38">
        <f ca="1">'SC-NR'!E89</f>
        <v>2.1496150449304587E-4</v>
      </c>
      <c r="L27" s="38">
        <f ca="1">'SC-NR'!F89</f>
        <v>6.4319155715973056E-4</v>
      </c>
      <c r="M27" s="38">
        <f ca="1">'SC-NR'!G89</f>
        <v>1.4012109828441762E-3</v>
      </c>
      <c r="N27" s="38">
        <f ca="1">'SC-NR'!H89</f>
        <v>2.6306220330771682E-3</v>
      </c>
      <c r="O27" s="38">
        <f ca="1">'SC-NR'!I89</f>
        <v>4.491303819320544E-3</v>
      </c>
      <c r="P27" s="38">
        <f ca="1">'SC-NR'!J89</f>
        <v>7.1484834363664757E-3</v>
      </c>
      <c r="Q27" s="38">
        <f ca="1">'SC-NR'!K89</f>
        <v>1.0752378519478738E-2</v>
      </c>
      <c r="R27" s="38">
        <f ca="1">'SC-NR'!L89</f>
        <v>1.5410298262510894E-2</v>
      </c>
      <c r="S27" s="38">
        <f ca="1">'SC-NR'!M89</f>
        <v>2.1153396604077165E-2</v>
      </c>
      <c r="T27" s="38">
        <f ca="1">'SC-NR'!N89</f>
        <v>2.7903631765397435E-2</v>
      </c>
      <c r="U27" s="38">
        <f ca="1">'SC-NR'!O89</f>
        <v>3.5450165567973639E-2</v>
      </c>
      <c r="V27" s="38">
        <f ca="1">'SC-NR'!P89</f>
        <v>4.3446779851143223E-2</v>
      </c>
      <c r="W27" s="38">
        <f ca="1">'SC-NR'!Q89</f>
        <v>5.1440537937756201E-2</v>
      </c>
      <c r="X27" s="38">
        <f ca="1">'SC-NR'!R89</f>
        <v>5.893487152836821E-2</v>
      </c>
      <c r="Y27" s="38">
        <f ca="1">'SC-NR'!S89</f>
        <v>6.5477744423401887E-2</v>
      </c>
      <c r="Z27" s="38">
        <f ca="1">'SC-NR'!T89</f>
        <v>9.8229283205439527E-2</v>
      </c>
      <c r="AA27" s="38">
        <f ca="1">'SC-NR'!U89</f>
        <v>0.10363571229035501</v>
      </c>
      <c r="AB27" s="38">
        <f ca="1">'SC-NR'!V89</f>
        <v>0.10722302028513168</v>
      </c>
      <c r="AC27" s="38">
        <f ca="1">'SC-NR'!W89</f>
        <v>0.10734800222427343</v>
      </c>
      <c r="AD27" s="38">
        <f ca="1">'SC-NR'!X89</f>
        <v>0.10555082667705035</v>
      </c>
      <c r="AE27" s="38">
        <f ca="1">'SC-NR'!Y89</f>
        <v>1.3703048144182433</v>
      </c>
      <c r="AF27" s="486">
        <f t="shared" si="2"/>
        <v>2.4634833015459514</v>
      </c>
      <c r="AG27" s="486">
        <f t="shared" si="3"/>
        <v>2.3193803333862761</v>
      </c>
      <c r="AH27" s="486">
        <f t="shared" si="4"/>
        <v>2.7554904277673056</v>
      </c>
      <c r="AI27" s="486">
        <f t="shared" si="5"/>
        <v>2.7525937110167087</v>
      </c>
      <c r="AJ27" s="486">
        <f t="shared" si="6"/>
        <v>2.9339274063517524</v>
      </c>
      <c r="AK27" s="486">
        <f t="shared" si="7"/>
        <v>3.0771074274650565</v>
      </c>
      <c r="AL27" s="486">
        <f t="shared" si="8"/>
        <v>3.2677325839512994</v>
      </c>
      <c r="AM27" s="486">
        <f t="shared" si="9"/>
        <v>3.6756861959588818</v>
      </c>
      <c r="AN27" s="486">
        <f t="shared" si="10"/>
        <v>3.0649151674824666</v>
      </c>
      <c r="AO27" s="486">
        <f t="shared" si="11"/>
        <v>3.0335097399788356</v>
      </c>
      <c r="AP27" s="486">
        <f t="shared" si="12"/>
        <v>2.6533700761115377</v>
      </c>
      <c r="AQ27" s="486">
        <f t="shared" si="13"/>
        <v>2.6414059705624551</v>
      </c>
      <c r="AR27" s="486"/>
      <c r="AS27" s="486">
        <f t="shared" si="14"/>
        <v>1.9328324127212773</v>
      </c>
      <c r="AT27" s="486">
        <f t="shared" si="15"/>
        <v>1.7663329675169321</v>
      </c>
      <c r="AU27" s="486">
        <f t="shared" si="16"/>
        <v>1.8207213378469842</v>
      </c>
      <c r="AV27" s="486">
        <f t="shared" si="17"/>
        <v>2.1136579447691255</v>
      </c>
      <c r="AW27" s="486">
        <f t="shared" si="18"/>
        <v>2.218509662648668</v>
      </c>
      <c r="AX27" s="486">
        <f t="shared" si="19"/>
        <v>2.1796841398542823</v>
      </c>
      <c r="AY27" s="486">
        <f t="shared" si="20"/>
        <v>2.7105358812739979</v>
      </c>
      <c r="AZ27" s="486">
        <f t="shared" si="21"/>
        <v>2.5145517843022107</v>
      </c>
      <c r="BA27" s="486">
        <f t="shared" si="22"/>
        <v>2.5560054568916764</v>
      </c>
      <c r="BB27" s="486">
        <f t="shared" si="23"/>
        <v>2.0371849484160176</v>
      </c>
      <c r="BC27" s="486">
        <f t="shared" si="24"/>
        <v>2.162088847321268</v>
      </c>
      <c r="BD27" s="486">
        <f t="shared" si="25"/>
        <v>2.0945535097660821</v>
      </c>
    </row>
    <row r="28" spans="1:56" ht="15">
      <c r="A28" s="86" t="str">
        <f>VLOOKUP(CONCATENATE($C28," - ",$B28),[2]ACHIEV!$B$12:$C$78,2,FALSE)</f>
        <v>LO1Slow</v>
      </c>
      <c r="B28" s="86" t="str">
        <f>'SC-NR'!$C$7</f>
        <v>NR</v>
      </c>
      <c r="C28" s="86" t="str">
        <f>'SC-NR'!$C$8</f>
        <v>Refrigerator</v>
      </c>
      <c r="D28" s="86" t="s">
        <v>4977</v>
      </c>
      <c r="E28" s="86" t="str">
        <f>'SC-NR'!$A$9</f>
        <v>Refrigeration</v>
      </c>
      <c r="F28" s="485">
        <f t="shared" si="1"/>
        <v>1.1478662730279006E-3</v>
      </c>
      <c r="G28" s="77">
        <f>'SC-NR'!A90</f>
        <v>10.2023264489233</v>
      </c>
      <c r="H28" s="77">
        <f>'SC-NR'!B90</f>
        <v>311.29143633214102</v>
      </c>
      <c r="I28" s="9" t="str">
        <f>'SC-NR'!C90</f>
        <v>Manufactured</v>
      </c>
      <c r="J28" s="9" t="str">
        <f>'SC-NR'!D90</f>
        <v>Std Size Refrig and Refrig-Freezer - CEE Tier 1</v>
      </c>
      <c r="K28" s="38">
        <f ca="1">'SC-NR'!E90</f>
        <v>1.1429396950963888E-4</v>
      </c>
      <c r="L28" s="38">
        <f ca="1">'SC-NR'!F90</f>
        <v>3.3909704505757286E-4</v>
      </c>
      <c r="M28" s="38">
        <f ca="1">'SC-NR'!G90</f>
        <v>7.3250104724175086E-4</v>
      </c>
      <c r="N28" s="38">
        <f ca="1">'SC-NR'!H90</f>
        <v>1.3635912867480814E-3</v>
      </c>
      <c r="O28" s="38">
        <f ca="1">'SC-NR'!I90</f>
        <v>2.3084434788930058E-3</v>
      </c>
      <c r="P28" s="38">
        <f ca="1">'SC-NR'!J90</f>
        <v>3.6431895982111189E-3</v>
      </c>
      <c r="Q28" s="38">
        <f ca="1">'SC-NR'!K90</f>
        <v>5.4336723835594018E-3</v>
      </c>
      <c r="R28" s="38">
        <f ca="1">'SC-NR'!L90</f>
        <v>7.7218435179215936E-3</v>
      </c>
      <c r="S28" s="38">
        <f ca="1">'SC-NR'!M90</f>
        <v>1.0510203161560061E-2</v>
      </c>
      <c r="T28" s="38">
        <f ca="1">'SC-NR'!N90</f>
        <v>1.3747153372110009E-2</v>
      </c>
      <c r="U28" s="38">
        <f ca="1">'SC-NR'!O90</f>
        <v>1.7317745808357151E-2</v>
      </c>
      <c r="V28" s="38">
        <f ca="1">'SC-NR'!P90</f>
        <v>2.1045135831323142E-2</v>
      </c>
      <c r="W28" s="38">
        <f ca="1">'SC-NR'!Q90</f>
        <v>2.4707038292918468E-2</v>
      </c>
      <c r="X28" s="38">
        <f ca="1">'SC-NR'!R90</f>
        <v>2.8067813030758282E-2</v>
      </c>
      <c r="Y28" s="38">
        <f ca="1">'SC-NR'!S90</f>
        <v>3.0920819181606898E-2</v>
      </c>
      <c r="Z28" s="38">
        <f ca="1">'SC-NR'!T90</f>
        <v>3.5059027018576772E-2</v>
      </c>
      <c r="AA28" s="38">
        <f ca="1">'SC-NR'!U90</f>
        <v>3.6697482262828152E-2</v>
      </c>
      <c r="AB28" s="38">
        <f ca="1">'SC-NR'!V90</f>
        <v>3.772453980844416E-2</v>
      </c>
      <c r="AC28" s="38">
        <f ca="1">'SC-NR'!W90</f>
        <v>3.8210641978969548E-2</v>
      </c>
      <c r="AD28" s="38">
        <f ca="1">'SC-NR'!X90</f>
        <v>3.8099259510027558E-2</v>
      </c>
      <c r="AE28" s="38">
        <f ca="1">'SC-NR'!Y90</f>
        <v>0.56360282451578203</v>
      </c>
      <c r="AF28" s="486">
        <f t="shared" si="2"/>
        <v>0.41374850207081521</v>
      </c>
      <c r="AG28" s="486">
        <f t="shared" si="3"/>
        <v>0.38954602942462024</v>
      </c>
      <c r="AH28" s="486">
        <f t="shared" si="4"/>
        <v>0.46279186720841126</v>
      </c>
      <c r="AI28" s="486">
        <f t="shared" si="5"/>
        <v>0.46230535600870837</v>
      </c>
      <c r="AJ28" s="486">
        <f t="shared" si="6"/>
        <v>0.49276082724034098</v>
      </c>
      <c r="AK28" s="486">
        <f t="shared" si="7"/>
        <v>0.51680828850176741</v>
      </c>
      <c r="AL28" s="486">
        <f t="shared" si="8"/>
        <v>0.54882428508015002</v>
      </c>
      <c r="AM28" s="486">
        <f t="shared" si="9"/>
        <v>0.61734116756788282</v>
      </c>
      <c r="AN28" s="486">
        <f t="shared" si="10"/>
        <v>0.51476056635910517</v>
      </c>
      <c r="AO28" s="486">
        <f t="shared" si="11"/>
        <v>0.50948594218025789</v>
      </c>
      <c r="AP28" s="486">
        <f t="shared" si="12"/>
        <v>0.4456404854628952</v>
      </c>
      <c r="AQ28" s="486">
        <f t="shared" si="13"/>
        <v>0.44363108245762878</v>
      </c>
      <c r="AR28" s="486"/>
      <c r="AS28" s="486">
        <f t="shared" si="14"/>
        <v>0.32462428911756569</v>
      </c>
      <c r="AT28" s="486">
        <f t="shared" si="15"/>
        <v>0.29666026922520894</v>
      </c>
      <c r="AU28" s="486">
        <f t="shared" si="16"/>
        <v>0.30579493912129063</v>
      </c>
      <c r="AV28" s="486">
        <f t="shared" si="17"/>
        <v>0.35499441298810486</v>
      </c>
      <c r="AW28" s="486">
        <f t="shared" si="18"/>
        <v>0.3726045348772965</v>
      </c>
      <c r="AX28" s="486">
        <f t="shared" si="19"/>
        <v>0.36608368617163956</v>
      </c>
      <c r="AY28" s="486">
        <f t="shared" si="20"/>
        <v>0.45524163284668179</v>
      </c>
      <c r="AZ28" s="486">
        <f t="shared" si="21"/>
        <v>0.42232558811404985</v>
      </c>
      <c r="BA28" s="486">
        <f t="shared" si="22"/>
        <v>0.42928784149261434</v>
      </c>
      <c r="BB28" s="486">
        <f t="shared" si="23"/>
        <v>0.34215057204544069</v>
      </c>
      <c r="BC28" s="486">
        <f t="shared" si="24"/>
        <v>0.36312851049642225</v>
      </c>
      <c r="BD28" s="486">
        <f t="shared" si="25"/>
        <v>0.35178577286439949</v>
      </c>
    </row>
    <row r="29" spans="1:56" ht="15">
      <c r="A29" s="86" t="str">
        <f>VLOOKUP(CONCATENATE($C29," - ",$B29),[2]ACHIEV!$B$12:$C$78,2,FALSE)</f>
        <v>LO1Slow</v>
      </c>
      <c r="B29" s="86" t="str">
        <f>'SC-NR'!$C$7</f>
        <v>NR</v>
      </c>
      <c r="C29" s="86" t="str">
        <f>'SC-NR'!$C$8</f>
        <v>Refrigerator</v>
      </c>
      <c r="D29" s="86" t="s">
        <v>4977</v>
      </c>
      <c r="E29" s="86" t="str">
        <f>'SC-NR'!$A$9</f>
        <v>Refrigeration</v>
      </c>
      <c r="F29" s="485">
        <f t="shared" si="1"/>
        <v>3.9195397110403747E-3</v>
      </c>
      <c r="G29" s="77">
        <f>'SC-NR'!A91</f>
        <v>34.837179731806977</v>
      </c>
      <c r="H29" s="77">
        <f>'SC-NR'!B91</f>
        <v>315.46947603880625</v>
      </c>
      <c r="I29" s="9" t="str">
        <f>'SC-NR'!C91</f>
        <v>Manufactured</v>
      </c>
      <c r="J29" s="9" t="str">
        <f>'SC-NR'!D91</f>
        <v>Std Size Refrig and Refrig-Freezer - CEE Tier 2</v>
      </c>
      <c r="K29" s="38">
        <f ca="1">'SC-NR'!E91</f>
        <v>3.9027172655205146E-4</v>
      </c>
      <c r="L29" s="38">
        <f ca="1">'SC-NR'!F91</f>
        <v>1.157891267676699E-3</v>
      </c>
      <c r="M29" s="38">
        <f ca="1">'SC-NR'!G91</f>
        <v>2.5012207523697474E-3</v>
      </c>
      <c r="N29" s="38">
        <f ca="1">'SC-NR'!H91</f>
        <v>4.6561610212131708E-3</v>
      </c>
      <c r="O29" s="38">
        <f ca="1">'SC-NR'!I91</f>
        <v>7.882482566846356E-3</v>
      </c>
      <c r="P29" s="38">
        <f ca="1">'SC-NR'!J91</f>
        <v>1.2440147986376646E-2</v>
      </c>
      <c r="Q29" s="38">
        <f ca="1">'SC-NR'!K91</f>
        <v>1.8553985934236794E-2</v>
      </c>
      <c r="R29" s="38">
        <f ca="1">'SC-NR'!L91</f>
        <v>2.6367245925865548E-2</v>
      </c>
      <c r="S29" s="38">
        <f ca="1">'SC-NR'!M91</f>
        <v>3.5888465085893703E-2</v>
      </c>
      <c r="T29" s="38">
        <f ca="1">'SC-NR'!N91</f>
        <v>4.6941455482975125E-2</v>
      </c>
      <c r="U29" s="38">
        <f ca="1">'SC-NR'!O91</f>
        <v>5.913371095267729E-2</v>
      </c>
      <c r="V29" s="38">
        <f ca="1">'SC-NR'!P91</f>
        <v>7.1861372316063113E-2</v>
      </c>
      <c r="W29" s="38">
        <f ca="1">'SC-NR'!Q91</f>
        <v>8.4365417825056396E-2</v>
      </c>
      <c r="X29" s="38">
        <f ca="1">'SC-NR'!R91</f>
        <v>9.5841223286329214E-2</v>
      </c>
      <c r="Y29" s="38">
        <f ca="1">'SC-NR'!S91</f>
        <v>0.10558318641117641</v>
      </c>
      <c r="Z29" s="38">
        <f ca="1">'SC-NR'!T91</f>
        <v>0.11971363900018425</v>
      </c>
      <c r="AA29" s="38">
        <f ca="1">'SC-NR'!U91</f>
        <v>0.12530835899981052</v>
      </c>
      <c r="AB29" s="38">
        <f ca="1">'SC-NR'!V91</f>
        <v>0.12881538149028468</v>
      </c>
      <c r="AC29" s="38">
        <f ca="1">'SC-NR'!W91</f>
        <v>0.13047524101030639</v>
      </c>
      <c r="AD29" s="38">
        <f ca="1">'SC-NR'!X91</f>
        <v>0.13009491098372566</v>
      </c>
      <c r="AE29" s="38">
        <f ca="1">'SC-NR'!Y91</f>
        <v>1.9244956523698056</v>
      </c>
      <c r="AF29" s="486">
        <f t="shared" si="2"/>
        <v>1.4127984438223951</v>
      </c>
      <c r="AG29" s="486">
        <f t="shared" si="3"/>
        <v>1.3301559314747708</v>
      </c>
      <c r="AH29" s="486">
        <f t="shared" si="4"/>
        <v>1.5802634366850163</v>
      </c>
      <c r="AI29" s="486">
        <f t="shared" si="5"/>
        <v>1.5786021804813026</v>
      </c>
      <c r="AJ29" s="486">
        <f t="shared" si="6"/>
        <v>1.6825963753764515</v>
      </c>
      <c r="AK29" s="486">
        <f t="shared" si="7"/>
        <v>1.7647095810508684</v>
      </c>
      <c r="AL29" s="486">
        <f t="shared" si="8"/>
        <v>1.8740323941051138</v>
      </c>
      <c r="AM29" s="486">
        <f t="shared" si="9"/>
        <v>2.1079922621644376</v>
      </c>
      <c r="AN29" s="486">
        <f t="shared" si="10"/>
        <v>1.757717365630016</v>
      </c>
      <c r="AO29" s="486">
        <f t="shared" si="11"/>
        <v>1.7397064706193364</v>
      </c>
      <c r="AP29" s="486">
        <f t="shared" si="12"/>
        <v>1.5216977976115444</v>
      </c>
      <c r="AQ29" s="486">
        <f t="shared" si="13"/>
        <v>1.5148364279035123</v>
      </c>
      <c r="AR29" s="486"/>
      <c r="AS29" s="486">
        <f t="shared" si="14"/>
        <v>1.1084721472024843</v>
      </c>
      <c r="AT29" s="486">
        <f t="shared" si="15"/>
        <v>1.0129853391797252</v>
      </c>
      <c r="AU29" s="486">
        <f t="shared" si="16"/>
        <v>1.0441768657941386</v>
      </c>
      <c r="AV29" s="486">
        <f t="shared" si="17"/>
        <v>1.2121749123562962</v>
      </c>
      <c r="AW29" s="486">
        <f t="shared" si="18"/>
        <v>1.2723069797258459</v>
      </c>
      <c r="AX29" s="486">
        <f t="shared" si="19"/>
        <v>1.2500406878658297</v>
      </c>
      <c r="AY29" s="486">
        <f t="shared" si="20"/>
        <v>1.5544821726964881</v>
      </c>
      <c r="AZ29" s="486">
        <f t="shared" si="21"/>
        <v>1.4420860273514318</v>
      </c>
      <c r="BA29" s="486">
        <f t="shared" si="22"/>
        <v>1.4658595532723777</v>
      </c>
      <c r="BB29" s="486">
        <f t="shared" si="23"/>
        <v>1.1683179354592714</v>
      </c>
      <c r="BC29" s="486">
        <f t="shared" si="24"/>
        <v>1.2399498535201521</v>
      </c>
      <c r="BD29" s="486">
        <f t="shared" si="25"/>
        <v>1.2012185904581658</v>
      </c>
    </row>
    <row r="30" spans="1:56" ht="15">
      <c r="A30" s="86" t="str">
        <f>VLOOKUP(CONCATENATE($C30," - ",$B30),[2]ACHIEV!$B$12:$C$78,2,FALSE)</f>
        <v>LO1Slow</v>
      </c>
      <c r="B30" s="86" t="str">
        <f>'SC-NR'!$C$7</f>
        <v>NR</v>
      </c>
      <c r="C30" s="86" t="str">
        <f>'SC-NR'!$C$8</f>
        <v>Refrigerator</v>
      </c>
      <c r="D30" s="86" t="s">
        <v>4977</v>
      </c>
      <c r="E30" s="86" t="str">
        <f>'SC-NR'!$A$9</f>
        <v>Refrigeration</v>
      </c>
      <c r="F30" s="485">
        <f t="shared" si="1"/>
        <v>6.8344643711315128E-3</v>
      </c>
      <c r="G30" s="77">
        <f>'SC-NR'!A92</f>
        <v>60.745261234907062</v>
      </c>
      <c r="H30" s="77">
        <f>'SC-NR'!B92</f>
        <v>170.87222615492539</v>
      </c>
      <c r="I30" s="9" t="str">
        <f>'SC-NR'!C92</f>
        <v>Manufactured</v>
      </c>
      <c r="J30" s="9" t="str">
        <f>'SC-NR'!D92</f>
        <v>Std Size Refrig and Refrig-Freezer - CEE Tier 3</v>
      </c>
      <c r="K30" s="38">
        <f ca="1">'SC-NR'!E92</f>
        <v>6.8051312317792239E-4</v>
      </c>
      <c r="L30" s="38">
        <f ca="1">'SC-NR'!F92</f>
        <v>2.0190040662912902E-3</v>
      </c>
      <c r="M30" s="38">
        <f ca="1">'SC-NR'!G92</f>
        <v>4.3613549999901276E-3</v>
      </c>
      <c r="N30" s="38">
        <f ca="1">'SC-NR'!H92</f>
        <v>8.1189039917358152E-3</v>
      </c>
      <c r="O30" s="38">
        <f ca="1">'SC-NR'!I92</f>
        <v>1.3744610395815371E-2</v>
      </c>
      <c r="P30" s="38">
        <f ca="1">'SC-NR'!J92</f>
        <v>2.1691768537262009E-2</v>
      </c>
      <c r="Q30" s="38">
        <f ca="1">'SC-NR'!K92</f>
        <v>3.2352410017133869E-2</v>
      </c>
      <c r="R30" s="38">
        <f ca="1">'SC-NR'!L92</f>
        <v>4.5976317662401761E-2</v>
      </c>
      <c r="S30" s="38">
        <f ca="1">'SC-NR'!M92</f>
        <v>6.2578377576644806E-2</v>
      </c>
      <c r="T30" s="38">
        <f ca="1">'SC-NR'!N92</f>
        <v>8.1851372528202668E-2</v>
      </c>
      <c r="U30" s="38">
        <f ca="1">'SC-NR'!O92</f>
        <v>0.10311089322567125</v>
      </c>
      <c r="V30" s="38">
        <f ca="1">'SC-NR'!P92</f>
        <v>0.12530399612264337</v>
      </c>
      <c r="W30" s="38">
        <f ca="1">'SC-NR'!Q92</f>
        <v>0.14710718216653174</v>
      </c>
      <c r="X30" s="38">
        <f ca="1">'SC-NR'!R92</f>
        <v>0.16711743575171287</v>
      </c>
      <c r="Y30" s="38">
        <f ca="1">'SC-NR'!S92</f>
        <v>0.18410440483231758</v>
      </c>
      <c r="Z30" s="38">
        <f ca="1">'SC-NR'!T92</f>
        <v>0.20874354153898542</v>
      </c>
      <c r="AA30" s="38">
        <f ca="1">'SC-NR'!U92</f>
        <v>0.21849900195598251</v>
      </c>
      <c r="AB30" s="38">
        <f ca="1">'SC-NR'!V92</f>
        <v>0.22461416394614911</v>
      </c>
      <c r="AC30" s="38">
        <f ca="1">'SC-NR'!W92</f>
        <v>0.22750844531258552</v>
      </c>
      <c r="AD30" s="38">
        <f ca="1">'SC-NR'!X92</f>
        <v>0.22684526743774072</v>
      </c>
      <c r="AE30" s="38">
        <f ca="1">'SC-NR'!Y92</f>
        <v>3.3557248907238968</v>
      </c>
      <c r="AF30" s="486">
        <f t="shared" si="2"/>
        <v>2.4634833015459514</v>
      </c>
      <c r="AG30" s="486">
        <f t="shared" si="3"/>
        <v>2.3193803333862761</v>
      </c>
      <c r="AH30" s="486">
        <f t="shared" si="4"/>
        <v>2.7554904277673056</v>
      </c>
      <c r="AI30" s="486">
        <f t="shared" si="5"/>
        <v>2.7525937110167087</v>
      </c>
      <c r="AJ30" s="486">
        <f t="shared" si="6"/>
        <v>2.9339274063517524</v>
      </c>
      <c r="AK30" s="486">
        <f t="shared" si="7"/>
        <v>3.0771074274650565</v>
      </c>
      <c r="AL30" s="486">
        <f t="shared" si="8"/>
        <v>3.2677325839512994</v>
      </c>
      <c r="AM30" s="486">
        <f t="shared" si="9"/>
        <v>3.6756861959588818</v>
      </c>
      <c r="AN30" s="486">
        <f t="shared" si="10"/>
        <v>3.0649151674824666</v>
      </c>
      <c r="AO30" s="486">
        <f t="shared" si="11"/>
        <v>3.0335097399788356</v>
      </c>
      <c r="AP30" s="486">
        <f t="shared" si="12"/>
        <v>2.6533700761115377</v>
      </c>
      <c r="AQ30" s="486">
        <f t="shared" si="13"/>
        <v>2.6414059705624551</v>
      </c>
      <c r="AR30" s="486"/>
      <c r="AS30" s="486">
        <f t="shared" si="14"/>
        <v>1.9328324127212773</v>
      </c>
      <c r="AT30" s="486">
        <f t="shared" si="15"/>
        <v>1.7663329675169321</v>
      </c>
      <c r="AU30" s="486">
        <f t="shared" si="16"/>
        <v>1.8207213378469842</v>
      </c>
      <c r="AV30" s="486">
        <f t="shared" si="17"/>
        <v>2.1136579447691255</v>
      </c>
      <c r="AW30" s="486">
        <f t="shared" si="18"/>
        <v>2.218509662648668</v>
      </c>
      <c r="AX30" s="486">
        <f t="shared" si="19"/>
        <v>2.1796841398542823</v>
      </c>
      <c r="AY30" s="486">
        <f t="shared" si="20"/>
        <v>2.7105358812739979</v>
      </c>
      <c r="AZ30" s="486">
        <f t="shared" si="21"/>
        <v>2.5145517843022107</v>
      </c>
      <c r="BA30" s="486">
        <f t="shared" si="22"/>
        <v>2.5560054568916764</v>
      </c>
      <c r="BB30" s="486">
        <f t="shared" si="23"/>
        <v>2.0371849484160176</v>
      </c>
      <c r="BC30" s="486">
        <f t="shared" si="24"/>
        <v>2.162088847321268</v>
      </c>
      <c r="BD30" s="486">
        <f t="shared" si="25"/>
        <v>2.0945535097660821</v>
      </c>
    </row>
    <row r="31" spans="1:56" ht="15">
      <c r="A31" s="86" t="str">
        <f>VLOOKUP(CONCATENATE($C31," - ",$B31),[2]ACHIEV!$B$12:$C$78,2,FALSE)</f>
        <v>LO1Slow</v>
      </c>
      <c r="B31" s="86" t="str">
        <f>'SC-NR (2)'!$C$7</f>
        <v>NR</v>
      </c>
      <c r="C31" s="86" t="str">
        <f>'SC-NR (2)'!$C$8</f>
        <v>Freezer</v>
      </c>
      <c r="D31" s="86" t="s">
        <v>4977</v>
      </c>
      <c r="E31" s="86" t="str">
        <f>'SC-NR (2)'!$A$9</f>
        <v>Refrigeration</v>
      </c>
      <c r="F31" s="485">
        <f t="shared" si="1"/>
        <v>2.2927876625621151E-3</v>
      </c>
      <c r="G31" s="77">
        <f>'SC-NR (2)'!A73</f>
        <v>24.935350493035692</v>
      </c>
      <c r="H31" s="77">
        <f>'SC-NR (2)'!B73</f>
        <v>152.54724887599428</v>
      </c>
      <c r="I31" s="9" t="str">
        <f>'SC-NR (2)'!C73</f>
        <v>Single Family</v>
      </c>
      <c r="J31" s="9" t="str">
        <f>'SC-NR (2)'!D73</f>
        <v>Std Size Freezer - ENERGY STAR</v>
      </c>
      <c r="K31" s="38">
        <f ca="1">'SC-NR (2)'!E73</f>
        <v>6.3419939006037864E-4</v>
      </c>
      <c r="L31" s="38">
        <f ca="1">'SC-NR (2)'!F73</f>
        <v>1.8976035226913022E-3</v>
      </c>
      <c r="M31" s="38">
        <f ca="1">'SC-NR (2)'!G73</f>
        <v>4.133983048715293E-3</v>
      </c>
      <c r="N31" s="38">
        <f ca="1">'SC-NR (2)'!H73</f>
        <v>7.7611062312550605E-3</v>
      </c>
      <c r="O31" s="38">
        <f ca="1">'SC-NR (2)'!I73</f>
        <v>1.3250663491676891E-2</v>
      </c>
      <c r="P31" s="38">
        <f ca="1">'SC-NR (2)'!J73</f>
        <v>2.1090123440263963E-2</v>
      </c>
      <c r="Q31" s="38">
        <f ca="1">'SC-NR (2)'!K73</f>
        <v>3.172267244777513E-2</v>
      </c>
      <c r="R31" s="38">
        <f ca="1">'SC-NR (2)'!L73</f>
        <v>4.5464904449448805E-2</v>
      </c>
      <c r="S31" s="38">
        <f ca="1">'SC-NR (2)'!M73</f>
        <v>6.2408733055951245E-2</v>
      </c>
      <c r="T31" s="38">
        <f ca="1">'SC-NR (2)'!N73</f>
        <v>8.232391244085932E-2</v>
      </c>
      <c r="U31" s="38">
        <f ca="1">'SC-NR (2)'!O73</f>
        <v>0.10458840833188834</v>
      </c>
      <c r="V31" s="38">
        <f ca="1">'SC-NR (2)'!P73</f>
        <v>0.12818077561131933</v>
      </c>
      <c r="W31" s="38">
        <f ca="1">'SC-NR (2)'!Q73</f>
        <v>0.1517647179973543</v>
      </c>
      <c r="X31" s="38">
        <f ca="1">'SC-NR (2)'!R73</f>
        <v>0.17387521288801347</v>
      </c>
      <c r="Y31" s="38">
        <f ca="1">'SC-NR (2)'!S73</f>
        <v>0.19317862027009139</v>
      </c>
      <c r="Z31" s="38">
        <f ca="1">'SC-NR (2)'!T73</f>
        <v>0.20873829203795677</v>
      </c>
      <c r="AA31" s="38">
        <f ca="1">'SC-NR (2)'!U73</f>
        <v>0.22019511396632652</v>
      </c>
      <c r="AB31" s="38">
        <f ca="1">'SC-NR (2)'!V73</f>
        <v>0.22779076728787326</v>
      </c>
      <c r="AC31" s="38">
        <f ca="1">'SC-NR (2)'!W73</f>
        <v>0.2322222250594701</v>
      </c>
      <c r="AD31" s="38">
        <f ca="1">'SC-NR (2)'!X73</f>
        <v>0.2340634443465569</v>
      </c>
      <c r="AE31" s="38">
        <f ca="1">'SC-NR (2)'!Y73</f>
        <v>5.1397430267426847</v>
      </c>
      <c r="AF31" s="486">
        <f t="shared" si="2"/>
        <v>0.85183678551173725</v>
      </c>
      <c r="AG31" s="486">
        <f t="shared" si="3"/>
        <v>0.85332991336115749</v>
      </c>
      <c r="AH31" s="486">
        <f t="shared" si="4"/>
        <v>1.0475992456571872</v>
      </c>
      <c r="AI31" s="486">
        <f t="shared" si="5"/>
        <v>1.1187308258671338</v>
      </c>
      <c r="AJ31" s="486">
        <f t="shared" si="6"/>
        <v>1.2901737643457478</v>
      </c>
      <c r="AK31" s="486">
        <f t="shared" si="7"/>
        <v>1.4178785669397072</v>
      </c>
      <c r="AL31" s="486">
        <f t="shared" si="8"/>
        <v>1.5338909785681261</v>
      </c>
      <c r="AM31" s="486">
        <f t="shared" si="9"/>
        <v>1.5188308992759827</v>
      </c>
      <c r="AN31" s="486">
        <f t="shared" si="10"/>
        <v>1.1707585518031132</v>
      </c>
      <c r="AO31" s="486">
        <f t="shared" si="11"/>
        <v>1.2969588848992453</v>
      </c>
      <c r="AP31" s="486">
        <f t="shared" si="12"/>
        <v>0.9989864318871774</v>
      </c>
      <c r="AQ31" s="486">
        <f t="shared" si="13"/>
        <v>0.91849435707603422</v>
      </c>
      <c r="AR31" s="486"/>
      <c r="AS31" s="486">
        <f t="shared" si="14"/>
        <v>0.70597838233062515</v>
      </c>
      <c r="AT31" s="486">
        <f t="shared" si="15"/>
        <v>0.68760663479450812</v>
      </c>
      <c r="AU31" s="486">
        <f t="shared" si="16"/>
        <v>0.72973821833632213</v>
      </c>
      <c r="AV31" s="486">
        <f t="shared" si="17"/>
        <v>0.86945990026681952</v>
      </c>
      <c r="AW31" s="486">
        <f t="shared" si="18"/>
        <v>0.99777492433924475</v>
      </c>
      <c r="AX31" s="486">
        <f t="shared" si="19"/>
        <v>1.0219217944753605</v>
      </c>
      <c r="AY31" s="486">
        <f t="shared" si="20"/>
        <v>1.2921132900212011</v>
      </c>
      <c r="AZ31" s="486">
        <f t="shared" si="21"/>
        <v>1.0665173249329549</v>
      </c>
      <c r="BA31" s="486">
        <f t="shared" si="22"/>
        <v>0.99617451926750844</v>
      </c>
      <c r="BB31" s="486">
        <f t="shared" si="23"/>
        <v>0.91238667401528828</v>
      </c>
      <c r="BC31" s="486">
        <f t="shared" si="24"/>
        <v>0.86625978244752222</v>
      </c>
      <c r="BD31" s="486">
        <f t="shared" si="25"/>
        <v>0.77194984261599053</v>
      </c>
    </row>
    <row r="32" spans="1:56" ht="15">
      <c r="A32" s="86" t="str">
        <f>VLOOKUP(CONCATENATE($C32," - ",$B32),[2]ACHIEV!$B$12:$C$78,2,FALSE)</f>
        <v>LO1Slow</v>
      </c>
      <c r="B32" s="86" t="str">
        <f>'SC-NR (2)'!$C$7</f>
        <v>NR</v>
      </c>
      <c r="C32" s="86" t="str">
        <f>'SC-NR (2)'!$C$8</f>
        <v>Freezer</v>
      </c>
      <c r="D32" s="86" t="s">
        <v>4977</v>
      </c>
      <c r="E32" s="86" t="str">
        <f>'SC-NR (2)'!$A$9</f>
        <v>Refrigeration</v>
      </c>
      <c r="F32" s="485">
        <f t="shared" si="1"/>
        <v>2.2927876625621151E-3</v>
      </c>
      <c r="G32" s="77">
        <f>'SC-NR (2)'!A74</f>
        <v>24.935350493035692</v>
      </c>
      <c r="H32" s="77">
        <f>'SC-NR (2)'!B74</f>
        <v>152.54724887599428</v>
      </c>
      <c r="I32" s="9" t="str">
        <f>'SC-NR (2)'!C74</f>
        <v>Multifamily - Low Rise</v>
      </c>
      <c r="J32" s="9" t="str">
        <f>'SC-NR (2)'!D74</f>
        <v>Std Size Freezer - ENERGY STAR</v>
      </c>
      <c r="K32" s="38">
        <f ca="1">'SC-NR (2)'!E74</f>
        <v>1.2469953631851936E-5</v>
      </c>
      <c r="L32" s="38">
        <f ca="1">'SC-NR (2)'!F74</f>
        <v>3.7311652209988845E-5</v>
      </c>
      <c r="M32" s="38">
        <f ca="1">'SC-NR (2)'!G74</f>
        <v>8.1284488707483054E-5</v>
      </c>
      <c r="N32" s="38">
        <f ca="1">'SC-NR (2)'!H74</f>
        <v>1.5260283394816657E-4</v>
      </c>
      <c r="O32" s="38">
        <f ca="1">'SC-NR (2)'!I74</f>
        <v>2.6054130252562736E-4</v>
      </c>
      <c r="P32" s="38">
        <f ca="1">'SC-NR (2)'!J74</f>
        <v>4.1468474646089626E-4</v>
      </c>
      <c r="Q32" s="38">
        <f ca="1">'SC-NR (2)'!K74</f>
        <v>6.2374731646129816E-4</v>
      </c>
      <c r="R32" s="38">
        <f ca="1">'SC-NR (2)'!L74</f>
        <v>8.9395403721104845E-4</v>
      </c>
      <c r="S32" s="38">
        <f ca="1">'SC-NR (2)'!M74</f>
        <v>1.2271121540161618E-3</v>
      </c>
      <c r="T32" s="38">
        <f ca="1">'SC-NR (2)'!N74</f>
        <v>1.6186944499452618E-3</v>
      </c>
      <c r="U32" s="38">
        <f ca="1">'SC-NR (2)'!O74</f>
        <v>2.0564701662125102E-3</v>
      </c>
      <c r="V32" s="38">
        <f ca="1">'SC-NR (2)'!P74</f>
        <v>2.5203551281181235E-3</v>
      </c>
      <c r="W32" s="38">
        <f ca="1">'SC-NR (2)'!Q74</f>
        <v>2.9840744015731048E-3</v>
      </c>
      <c r="X32" s="38">
        <f ca="1">'SC-NR (2)'!R74</f>
        <v>3.4188219746186105E-3</v>
      </c>
      <c r="Y32" s="38">
        <f ca="1">'SC-NR (2)'!S74</f>
        <v>3.7983751500236061E-3</v>
      </c>
      <c r="Z32" s="38">
        <f ca="1">'SC-NR (2)'!T74</f>
        <v>4.1043170885793285E-3</v>
      </c>
      <c r="AA32" s="38">
        <f ca="1">'SC-NR (2)'!U74</f>
        <v>4.3295867144453404E-3</v>
      </c>
      <c r="AB32" s="38">
        <f ca="1">'SC-NR (2)'!V74</f>
        <v>4.4789360938550819E-3</v>
      </c>
      <c r="AC32" s="38">
        <f ca="1">'SC-NR (2)'!W74</f>
        <v>4.5660694677761493E-3</v>
      </c>
      <c r="AD32" s="38">
        <f ca="1">'SC-NR (2)'!X74</f>
        <v>4.6022722733444167E-3</v>
      </c>
      <c r="AE32" s="38">
        <f ca="1">'SC-NR (2)'!Y74</f>
        <v>0.1010601928469875</v>
      </c>
      <c r="AF32" s="486">
        <f t="shared" si="2"/>
        <v>0.85183678551173725</v>
      </c>
      <c r="AG32" s="486">
        <f t="shared" si="3"/>
        <v>0.85332991336115749</v>
      </c>
      <c r="AH32" s="486">
        <f t="shared" si="4"/>
        <v>1.0475992456571872</v>
      </c>
      <c r="AI32" s="486">
        <f t="shared" si="5"/>
        <v>1.1187308258671338</v>
      </c>
      <c r="AJ32" s="486">
        <f t="shared" si="6"/>
        <v>1.2901737643457478</v>
      </c>
      <c r="AK32" s="486">
        <f t="shared" si="7"/>
        <v>1.4178785669397072</v>
      </c>
      <c r="AL32" s="486">
        <f t="shared" si="8"/>
        <v>1.5338909785681261</v>
      </c>
      <c r="AM32" s="486">
        <f t="shared" si="9"/>
        <v>1.5188308992759827</v>
      </c>
      <c r="AN32" s="486">
        <f t="shared" si="10"/>
        <v>1.1707585518031132</v>
      </c>
      <c r="AO32" s="486">
        <f t="shared" si="11"/>
        <v>1.2969588848992453</v>
      </c>
      <c r="AP32" s="486">
        <f t="shared" si="12"/>
        <v>0.9989864318871774</v>
      </c>
      <c r="AQ32" s="486">
        <f t="shared" si="13"/>
        <v>0.91849435707603422</v>
      </c>
      <c r="AR32" s="486"/>
      <c r="AS32" s="486">
        <f t="shared" si="14"/>
        <v>0.70597838233062515</v>
      </c>
      <c r="AT32" s="486">
        <f t="shared" si="15"/>
        <v>0.68760663479450812</v>
      </c>
      <c r="AU32" s="486">
        <f t="shared" si="16"/>
        <v>0.72973821833632213</v>
      </c>
      <c r="AV32" s="486">
        <f t="shared" si="17"/>
        <v>0.86945990026681952</v>
      </c>
      <c r="AW32" s="486">
        <f t="shared" si="18"/>
        <v>0.99777492433924475</v>
      </c>
      <c r="AX32" s="486">
        <f t="shared" si="19"/>
        <v>1.0219217944753605</v>
      </c>
      <c r="AY32" s="486">
        <f t="shared" si="20"/>
        <v>1.2921132900212011</v>
      </c>
      <c r="AZ32" s="486">
        <f t="shared" si="21"/>
        <v>1.0665173249329549</v>
      </c>
      <c r="BA32" s="486">
        <f t="shared" si="22"/>
        <v>0.99617451926750844</v>
      </c>
      <c r="BB32" s="486">
        <f t="shared" si="23"/>
        <v>0.91238667401528828</v>
      </c>
      <c r="BC32" s="486">
        <f t="shared" si="24"/>
        <v>0.86625978244752222</v>
      </c>
      <c r="BD32" s="486">
        <f t="shared" si="25"/>
        <v>0.77194984261599053</v>
      </c>
    </row>
    <row r="33" spans="1:56" ht="15">
      <c r="A33" s="86" t="str">
        <f>VLOOKUP(CONCATENATE($C33," - ",$B33),[2]ACHIEV!$B$12:$C$78,2,FALSE)</f>
        <v>LO1Slow</v>
      </c>
      <c r="B33" s="86" t="str">
        <f>'SC-NR (2)'!$C$7</f>
        <v>NR</v>
      </c>
      <c r="C33" s="86" t="str">
        <f>'SC-NR (2)'!$C$8</f>
        <v>Freezer</v>
      </c>
      <c r="D33" s="86" t="s">
        <v>4977</v>
      </c>
      <c r="E33" s="86" t="str">
        <f>'SC-NR (2)'!$A$9</f>
        <v>Refrigeration</v>
      </c>
      <c r="F33" s="485">
        <f t="shared" si="1"/>
        <v>2.2927876625621151E-3</v>
      </c>
      <c r="G33" s="77">
        <f>'SC-NR (2)'!A75</f>
        <v>24.935350493035692</v>
      </c>
      <c r="H33" s="77">
        <f>'SC-NR (2)'!B75</f>
        <v>152.54724887599428</v>
      </c>
      <c r="I33" s="9" t="str">
        <f>'SC-NR (2)'!C75</f>
        <v>Multifamily - High Rise</v>
      </c>
      <c r="J33" s="9" t="str">
        <f>'SC-NR (2)'!D75</f>
        <v>Std Size Freezer - ENERGY STAR</v>
      </c>
      <c r="K33" s="38">
        <f ca="1">'SC-NR (2)'!E75</f>
        <v>2.843103889238959E-6</v>
      </c>
      <c r="L33" s="38">
        <f ca="1">'SC-NR (2)'!F75</f>
        <v>8.5069204460543326E-6</v>
      </c>
      <c r="M33" s="38">
        <f ca="1">'SC-NR (2)'!G75</f>
        <v>1.8532566583788033E-5</v>
      </c>
      <c r="N33" s="38">
        <f ca="1">'SC-NR (2)'!H75</f>
        <v>3.4792888852344946E-5</v>
      </c>
      <c r="O33" s="38">
        <f ca="1">'SC-NR (2)'!I75</f>
        <v>5.9402465509247135E-5</v>
      </c>
      <c r="P33" s="38">
        <f ca="1">'SC-NR (2)'!J75</f>
        <v>9.4546607812522548E-5</v>
      </c>
      <c r="Q33" s="38">
        <f ca="1">'SC-NR (2)'!K75</f>
        <v>1.4221211030037432E-4</v>
      </c>
      <c r="R33" s="38">
        <f ca="1">'SC-NR (2)'!L75</f>
        <v>2.0381825586773599E-4</v>
      </c>
      <c r="S33" s="38">
        <f ca="1">'SC-NR (2)'!M75</f>
        <v>2.7977708984452878E-4</v>
      </c>
      <c r="T33" s="38">
        <f ca="1">'SC-NR (2)'!N75</f>
        <v>3.6905642330326954E-4</v>
      </c>
      <c r="U33" s="38">
        <f ca="1">'SC-NR (2)'!O75</f>
        <v>4.6886768790609887E-4</v>
      </c>
      <c r="V33" s="38">
        <f ca="1">'SC-NR (2)'!P75</f>
        <v>5.7463176516654051E-4</v>
      </c>
      <c r="W33" s="38">
        <f ca="1">'SC-NR (2)'!Q75</f>
        <v>6.8035806606531342E-4</v>
      </c>
      <c r="X33" s="38">
        <f ca="1">'SC-NR (2)'!R75</f>
        <v>7.7947892507201281E-4</v>
      </c>
      <c r="Y33" s="38">
        <f ca="1">'SC-NR (2)'!S75</f>
        <v>8.6601566298020983E-4</v>
      </c>
      <c r="Z33" s="38">
        <f ca="1">'SC-NR (2)'!T75</f>
        <v>9.3576930770646537E-4</v>
      </c>
      <c r="AA33" s="38">
        <f ca="1">'SC-NR (2)'!U75</f>
        <v>9.8712995974538928E-4</v>
      </c>
      <c r="AB33" s="38">
        <f ca="1">'SC-NR (2)'!V75</f>
        <v>1.0211810728442115E-3</v>
      </c>
      <c r="AC33" s="38">
        <f ca="1">'SC-NR (2)'!W75</f>
        <v>1.0410471638972467E-3</v>
      </c>
      <c r="AD33" s="38">
        <f ca="1">'SC-NR (2)'!X75</f>
        <v>1.0493012713583677E-3</v>
      </c>
      <c r="AE33" s="38">
        <f ca="1">'SC-NR (2)'!Y75</f>
        <v>2.3041354909018871E-2</v>
      </c>
      <c r="AF33" s="486">
        <f t="shared" si="2"/>
        <v>0.85183678551173725</v>
      </c>
      <c r="AG33" s="486">
        <f t="shared" si="3"/>
        <v>0.85332991336115749</v>
      </c>
      <c r="AH33" s="486">
        <f t="shared" si="4"/>
        <v>1.0475992456571872</v>
      </c>
      <c r="AI33" s="486">
        <f t="shared" si="5"/>
        <v>1.1187308258671338</v>
      </c>
      <c r="AJ33" s="486">
        <f t="shared" si="6"/>
        <v>1.2901737643457478</v>
      </c>
      <c r="AK33" s="486">
        <f t="shared" si="7"/>
        <v>1.4178785669397072</v>
      </c>
      <c r="AL33" s="486">
        <f t="shared" si="8"/>
        <v>1.5338909785681261</v>
      </c>
      <c r="AM33" s="486">
        <f t="shared" si="9"/>
        <v>1.5188308992759827</v>
      </c>
      <c r="AN33" s="486">
        <f t="shared" si="10"/>
        <v>1.1707585518031132</v>
      </c>
      <c r="AO33" s="486">
        <f t="shared" si="11"/>
        <v>1.2969588848992453</v>
      </c>
      <c r="AP33" s="486">
        <f t="shared" si="12"/>
        <v>0.9989864318871774</v>
      </c>
      <c r="AQ33" s="486">
        <f t="shared" si="13"/>
        <v>0.91849435707603422</v>
      </c>
      <c r="AR33" s="486"/>
      <c r="AS33" s="486">
        <f t="shared" si="14"/>
        <v>0.70597838233062515</v>
      </c>
      <c r="AT33" s="486">
        <f t="shared" si="15"/>
        <v>0.68760663479450812</v>
      </c>
      <c r="AU33" s="486">
        <f t="shared" si="16"/>
        <v>0.72973821833632213</v>
      </c>
      <c r="AV33" s="486">
        <f t="shared" si="17"/>
        <v>0.86945990026681952</v>
      </c>
      <c r="AW33" s="486">
        <f t="shared" si="18"/>
        <v>0.99777492433924475</v>
      </c>
      <c r="AX33" s="486">
        <f t="shared" si="19"/>
        <v>1.0219217944753605</v>
      </c>
      <c r="AY33" s="486">
        <f t="shared" si="20"/>
        <v>1.2921132900212011</v>
      </c>
      <c r="AZ33" s="486">
        <f t="shared" si="21"/>
        <v>1.0665173249329549</v>
      </c>
      <c r="BA33" s="486">
        <f t="shared" si="22"/>
        <v>0.99617451926750844</v>
      </c>
      <c r="BB33" s="486">
        <f t="shared" si="23"/>
        <v>0.91238667401528828</v>
      </c>
      <c r="BC33" s="486">
        <f t="shared" si="24"/>
        <v>0.86625978244752222</v>
      </c>
      <c r="BD33" s="486">
        <f t="shared" si="25"/>
        <v>0.77194984261599053</v>
      </c>
    </row>
    <row r="34" spans="1:56" ht="15">
      <c r="A34" s="86" t="str">
        <f>VLOOKUP(CONCATENATE($C34," - ",$B34),[2]ACHIEV!$B$12:$C$78,2,FALSE)</f>
        <v>LO1Slow</v>
      </c>
      <c r="B34" s="86" t="str">
        <f>'SC-NR (2)'!$C$7</f>
        <v>NR</v>
      </c>
      <c r="C34" s="86" t="str">
        <f>'SC-NR (2)'!$C$8</f>
        <v>Freezer</v>
      </c>
      <c r="D34" s="86" t="s">
        <v>4977</v>
      </c>
      <c r="E34" s="86" t="str">
        <f>'SC-NR (2)'!$A$9</f>
        <v>Refrigeration</v>
      </c>
      <c r="F34" s="485">
        <f t="shared" si="1"/>
        <v>2.2927876625621151E-3</v>
      </c>
      <c r="G34" s="77">
        <f>'SC-NR (2)'!A76</f>
        <v>24.935350493035692</v>
      </c>
      <c r="H34" s="77">
        <f>'SC-NR (2)'!B76</f>
        <v>152.54724887599428</v>
      </c>
      <c r="I34" s="9" t="str">
        <f>'SC-NR (2)'!C76</f>
        <v>Manufactured</v>
      </c>
      <c r="J34" s="9" t="str">
        <f>'SC-NR (2)'!D76</f>
        <v>Std Size Freezer - ENERGY STAR</v>
      </c>
      <c r="K34" s="38">
        <f ca="1">'SC-NR (2)'!E76</f>
        <v>7.2204376674987278E-5</v>
      </c>
      <c r="L34" s="38">
        <f ca="1">'SC-NR (2)'!F76</f>
        <v>2.1422207029608208E-4</v>
      </c>
      <c r="M34" s="38">
        <f ca="1">'SC-NR (2)'!G76</f>
        <v>4.6275216231251481E-4</v>
      </c>
      <c r="N34" s="38">
        <f ca="1">'SC-NR (2)'!H76</f>
        <v>8.6143879087851368E-4</v>
      </c>
      <c r="O34" s="38">
        <f ca="1">'SC-NR (2)'!I76</f>
        <v>1.4583422309857896E-3</v>
      </c>
      <c r="P34" s="38">
        <f ca="1">'SC-NR (2)'!J76</f>
        <v>2.3015582989743535E-3</v>
      </c>
      <c r="Q34" s="38">
        <f ca="1">'SC-NR (2)'!K76</f>
        <v>3.4326826620359151E-3</v>
      </c>
      <c r="R34" s="38">
        <f ca="1">'SC-NR (2)'!L76</f>
        <v>4.8782179881004051E-3</v>
      </c>
      <c r="S34" s="38">
        <f ca="1">'SC-NR (2)'!M76</f>
        <v>6.6397437350701602E-3</v>
      </c>
      <c r="T34" s="38">
        <f ca="1">'SC-NR (2)'!N76</f>
        <v>8.6846632814248544E-3</v>
      </c>
      <c r="U34" s="38">
        <f ca="1">'SC-NR (2)'!O76</f>
        <v>1.0940358855966141E-2</v>
      </c>
      <c r="V34" s="38">
        <f ca="1">'SC-NR (2)'!P76</f>
        <v>1.32951101555098E-2</v>
      </c>
      <c r="W34" s="38">
        <f ca="1">'SC-NR (2)'!Q76</f>
        <v>1.5608490168632836E-2</v>
      </c>
      <c r="X34" s="38">
        <f ca="1">'SC-NR (2)'!R76</f>
        <v>1.7731634951615477E-2</v>
      </c>
      <c r="Y34" s="38">
        <f ca="1">'SC-NR (2)'!S76</f>
        <v>1.9534000655210687E-2</v>
      </c>
      <c r="Z34" s="38">
        <f ca="1">'SC-NR (2)'!T76</f>
        <v>2.0929328506546944E-2</v>
      </c>
      <c r="AA34" s="38">
        <f ca="1">'SC-NR (2)'!U76</f>
        <v>2.1891820479051805E-2</v>
      </c>
      <c r="AB34" s="38">
        <f ca="1">'SC-NR (2)'!V76</f>
        <v>2.2455945660497734E-2</v>
      </c>
      <c r="AC34" s="38">
        <f ca="1">'SC-NR (2)'!W76</f>
        <v>2.269969616866517E-2</v>
      </c>
      <c r="AD34" s="38">
        <f ca="1">'SC-NR (2)'!X76</f>
        <v>2.268667684790986E-2</v>
      </c>
      <c r="AE34" s="38">
        <f ca="1">'SC-NR (2)'!Y76</f>
        <v>0.49817129477238964</v>
      </c>
      <c r="AF34" s="486">
        <f t="shared" si="2"/>
        <v>0.85183678551173725</v>
      </c>
      <c r="AG34" s="486">
        <f t="shared" si="3"/>
        <v>0.85332991336115749</v>
      </c>
      <c r="AH34" s="486">
        <f t="shared" si="4"/>
        <v>1.0475992456571872</v>
      </c>
      <c r="AI34" s="486">
        <f t="shared" si="5"/>
        <v>1.1187308258671338</v>
      </c>
      <c r="AJ34" s="486">
        <f t="shared" si="6"/>
        <v>1.2901737643457478</v>
      </c>
      <c r="AK34" s="486">
        <f t="shared" si="7"/>
        <v>1.4178785669397072</v>
      </c>
      <c r="AL34" s="486">
        <f t="shared" si="8"/>
        <v>1.5338909785681261</v>
      </c>
      <c r="AM34" s="486">
        <f t="shared" si="9"/>
        <v>1.5188308992759827</v>
      </c>
      <c r="AN34" s="486">
        <f t="shared" si="10"/>
        <v>1.1707585518031132</v>
      </c>
      <c r="AO34" s="486">
        <f t="shared" si="11"/>
        <v>1.2969588848992453</v>
      </c>
      <c r="AP34" s="486">
        <f t="shared" si="12"/>
        <v>0.9989864318871774</v>
      </c>
      <c r="AQ34" s="486">
        <f t="shared" si="13"/>
        <v>0.91849435707603422</v>
      </c>
      <c r="AR34" s="486"/>
      <c r="AS34" s="486">
        <f t="shared" si="14"/>
        <v>0.70597838233062515</v>
      </c>
      <c r="AT34" s="486">
        <f t="shared" si="15"/>
        <v>0.68760663479450812</v>
      </c>
      <c r="AU34" s="486">
        <f t="shared" si="16"/>
        <v>0.72973821833632213</v>
      </c>
      <c r="AV34" s="486">
        <f t="shared" si="17"/>
        <v>0.86945990026681952</v>
      </c>
      <c r="AW34" s="486">
        <f t="shared" si="18"/>
        <v>0.99777492433924475</v>
      </c>
      <c r="AX34" s="486">
        <f t="shared" si="19"/>
        <v>1.0219217944753605</v>
      </c>
      <c r="AY34" s="486">
        <f t="shared" si="20"/>
        <v>1.2921132900212011</v>
      </c>
      <c r="AZ34" s="486">
        <f t="shared" si="21"/>
        <v>1.0665173249329549</v>
      </c>
      <c r="BA34" s="486">
        <f t="shared" si="22"/>
        <v>0.99617451926750844</v>
      </c>
      <c r="BB34" s="486">
        <f t="shared" si="23"/>
        <v>0.91238667401528828</v>
      </c>
      <c r="BC34" s="486">
        <f t="shared" si="24"/>
        <v>0.86625978244752222</v>
      </c>
      <c r="BD34" s="486">
        <f t="shared" si="25"/>
        <v>0.77194984261599053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1"/>
  <dimension ref="A1:CB149"/>
  <sheetViews>
    <sheetView topLeftCell="C1" workbookViewId="0">
      <selection activeCell="D13" sqref="D13"/>
    </sheetView>
  </sheetViews>
  <sheetFormatPr defaultRowHeight="12.75"/>
  <cols>
    <col min="1" max="1" width="35" style="9" customWidth="1"/>
    <col min="2" max="2" width="29.28515625" style="9" customWidth="1"/>
    <col min="3" max="3" width="19.85546875" style="9" customWidth="1"/>
    <col min="4" max="4" width="49" style="9" customWidth="1"/>
    <col min="5" max="5" width="10.7109375" style="9" customWidth="1"/>
    <col min="6" max="25" width="9.5703125" style="9" bestFit="1" customWidth="1"/>
    <col min="26" max="28" width="9.140625" style="9"/>
    <col min="29" max="29" width="21.7109375" style="9" customWidth="1"/>
    <col min="30" max="30" width="35.85546875" style="9" customWidth="1"/>
    <col min="31" max="31" width="35.28515625" style="9" customWidth="1"/>
    <col min="32" max="32" width="15" style="9" customWidth="1"/>
    <col min="33" max="33" width="17.7109375" style="9" customWidth="1"/>
    <col min="34" max="34" width="15.140625" style="9" customWidth="1"/>
    <col min="35" max="35" width="15.7109375" style="9" customWidth="1"/>
    <col min="36" max="36" width="21.28515625" style="9" customWidth="1"/>
    <col min="37" max="37" width="17.7109375" style="9" bestFit="1" customWidth="1"/>
    <col min="38" max="38" width="15.42578125" style="9" bestFit="1" customWidth="1"/>
    <col min="39" max="39" width="14.28515625" style="9" bestFit="1" customWidth="1"/>
    <col min="40" max="40" width="14.28515625" style="9" customWidth="1"/>
    <col min="41" max="41" width="12.5703125" style="9" customWidth="1"/>
    <col min="42" max="42" width="14" style="9" bestFit="1" customWidth="1"/>
    <col min="43" max="44" width="10.85546875" style="9" bestFit="1" customWidth="1"/>
    <col min="45" max="45" width="13.42578125" style="9" customWidth="1"/>
    <col min="46" max="46" width="11.85546875" style="9" bestFit="1" customWidth="1"/>
    <col min="47" max="47" width="11" style="9" bestFit="1" customWidth="1"/>
    <col min="48" max="48" width="14.28515625" style="9" bestFit="1" customWidth="1"/>
    <col min="49" max="49" width="10.7109375" style="9" customWidth="1"/>
    <col min="50" max="50" width="13.85546875" style="9" bestFit="1" customWidth="1"/>
    <col min="51" max="51" width="11.7109375" style="9" bestFit="1" customWidth="1"/>
    <col min="52" max="52" width="15.28515625" style="9" bestFit="1" customWidth="1"/>
    <col min="53" max="55" width="12.28515625" style="9" bestFit="1" customWidth="1"/>
    <col min="56" max="56" width="12.5703125" style="9" bestFit="1" customWidth="1"/>
    <col min="57" max="59" width="14.28515625" style="9" bestFit="1" customWidth="1"/>
    <col min="60" max="60" width="13.7109375" style="9" bestFit="1" customWidth="1"/>
    <col min="61" max="61" width="14" style="9" bestFit="1" customWidth="1"/>
    <col min="62" max="62" width="12.85546875" style="9" bestFit="1" customWidth="1"/>
    <col min="63" max="63" width="15.28515625" style="9" bestFit="1" customWidth="1"/>
    <col min="64" max="64" width="12.28515625" style="9" bestFit="1" customWidth="1"/>
    <col min="65" max="65" width="10.85546875" style="9" bestFit="1" customWidth="1"/>
    <col min="66" max="66" width="12.28515625" style="9" bestFit="1" customWidth="1"/>
    <col min="67" max="67" width="12.5703125" style="9" bestFit="1" customWidth="1"/>
    <col min="68" max="16384" width="9.140625" style="9"/>
  </cols>
  <sheetData>
    <row r="1" spans="1:69">
      <c r="A1" s="52" t="s">
        <v>55</v>
      </c>
      <c r="B1" s="493" t="s">
        <v>56</v>
      </c>
      <c r="C1" s="493"/>
      <c r="D1" s="493"/>
      <c r="E1" s="493"/>
      <c r="F1" s="493"/>
      <c r="G1" s="493"/>
      <c r="H1" s="493"/>
      <c r="I1" s="493"/>
      <c r="J1" s="493"/>
      <c r="K1" s="493"/>
      <c r="L1" s="493"/>
      <c r="M1" s="493"/>
      <c r="N1" s="493"/>
      <c r="O1" s="493"/>
      <c r="P1" s="493"/>
      <c r="Q1" s="493"/>
      <c r="R1" s="493"/>
      <c r="S1" s="493"/>
      <c r="T1" s="493"/>
    </row>
    <row r="2" spans="1:69">
      <c r="A2" s="53" t="s">
        <v>158</v>
      </c>
      <c r="B2" s="493"/>
      <c r="C2" s="493"/>
      <c r="D2" s="493"/>
      <c r="E2" s="493"/>
      <c r="F2" s="493"/>
      <c r="G2" s="493"/>
      <c r="H2" s="493"/>
      <c r="I2" s="493"/>
      <c r="J2" s="493"/>
      <c r="K2" s="493"/>
      <c r="L2" s="493"/>
      <c r="M2" s="493"/>
      <c r="N2" s="493"/>
      <c r="O2" s="493"/>
      <c r="P2" s="493"/>
      <c r="Q2" s="493"/>
      <c r="R2" s="493"/>
      <c r="S2" s="493"/>
      <c r="T2" s="493"/>
    </row>
    <row r="3" spans="1:69">
      <c r="B3" s="493"/>
      <c r="C3" s="493"/>
      <c r="D3" s="493"/>
      <c r="E3" s="493"/>
      <c r="F3" s="493"/>
      <c r="G3" s="493"/>
      <c r="H3" s="493"/>
      <c r="I3" s="493"/>
      <c r="J3" s="493"/>
      <c r="K3" s="493"/>
      <c r="L3" s="493"/>
      <c r="M3" s="493"/>
      <c r="N3" s="493"/>
      <c r="O3" s="493"/>
      <c r="P3" s="493"/>
      <c r="Q3" s="493"/>
      <c r="R3" s="493"/>
      <c r="S3" s="493"/>
      <c r="T3" s="493"/>
    </row>
    <row r="4" spans="1:69">
      <c r="B4" s="493"/>
      <c r="C4" s="493"/>
      <c r="D4" s="493"/>
      <c r="E4" s="493"/>
      <c r="F4" s="493"/>
      <c r="G4" s="493"/>
      <c r="H4" s="493"/>
      <c r="I4" s="493"/>
      <c r="J4" s="493"/>
      <c r="K4" s="493"/>
      <c r="L4" s="493"/>
      <c r="M4" s="493"/>
      <c r="N4" s="493"/>
      <c r="O4" s="493"/>
      <c r="P4" s="493"/>
      <c r="Q4" s="493"/>
      <c r="R4" s="493"/>
      <c r="S4" s="493"/>
      <c r="T4" s="493"/>
    </row>
    <row r="5" spans="1:69">
      <c r="B5" s="493"/>
      <c r="C5" s="493"/>
      <c r="D5" s="493"/>
      <c r="E5" s="493"/>
      <c r="F5" s="493"/>
      <c r="G5" s="493"/>
      <c r="H5" s="493"/>
      <c r="I5" s="493"/>
      <c r="J5" s="493"/>
      <c r="K5" s="493"/>
      <c r="L5" s="493"/>
      <c r="M5" s="493"/>
      <c r="N5" s="493"/>
      <c r="O5" s="493"/>
      <c r="P5" s="493"/>
      <c r="Q5" s="493"/>
      <c r="R5" s="493"/>
      <c r="S5" s="493"/>
      <c r="T5" s="493"/>
    </row>
    <row r="6" spans="1:69">
      <c r="B6" s="493"/>
      <c r="C6" s="493"/>
      <c r="D6" s="493"/>
      <c r="E6" s="493"/>
      <c r="F6" s="493"/>
      <c r="G6" s="493"/>
      <c r="H6" s="493"/>
      <c r="I6" s="493"/>
      <c r="J6" s="493"/>
      <c r="K6" s="493"/>
      <c r="L6" s="493"/>
      <c r="M6" s="493"/>
      <c r="N6" s="493"/>
      <c r="O6" s="493"/>
      <c r="P6" s="493"/>
      <c r="Q6" s="493"/>
      <c r="R6" s="493"/>
      <c r="S6" s="493"/>
      <c r="T6" s="493"/>
    </row>
    <row r="7" spans="1:69">
      <c r="A7" s="286"/>
      <c r="B7" s="286" t="s">
        <v>50</v>
      </c>
      <c r="C7" s="433" t="s">
        <v>57</v>
      </c>
      <c r="D7" s="433" t="s">
        <v>57</v>
      </c>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row>
    <row r="8" spans="1:69">
      <c r="A8" s="286" t="s">
        <v>4982</v>
      </c>
      <c r="B8" s="286" t="s">
        <v>58</v>
      </c>
      <c r="C8" s="433" t="str">
        <f>[2]MLIST!$B$24</f>
        <v>Refrigerator</v>
      </c>
      <c r="D8" s="433" t="str">
        <f>[1]!switch_ForecastState</f>
        <v>Region</v>
      </c>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row>
    <row r="9" spans="1:69">
      <c r="A9" s="286" t="str">
        <f>INDEX([2]ACHIEV!$A$19:$B$100,MATCH(CONCATENATE($C$8," - ",$C$7),[2]ACHIEV!$B$19:$B$100,0),1)</f>
        <v>Refrigeration</v>
      </c>
      <c r="B9" s="490" t="s">
        <v>59</v>
      </c>
      <c r="C9" s="433">
        <f>[2]FILES!$H$4</f>
        <v>2035</v>
      </c>
      <c r="D9" s="433" t="str">
        <f>[1]!switch_ForecastScenario</f>
        <v>Base</v>
      </c>
      <c r="E9" s="56"/>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row>
    <row r="10" spans="1:69">
      <c r="A10" s="286"/>
      <c r="B10" s="286" t="s">
        <v>4988</v>
      </c>
      <c r="C10" s="491">
        <f ca="1">MIN(SUM(E57:X57),Y57)</f>
        <v>8.2515067051228623</v>
      </c>
      <c r="D10" s="434"/>
      <c r="E10" s="56"/>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row>
    <row r="11" spans="1:69" ht="15">
      <c r="A11" s="67" t="str">
        <f>CONCATENATE("# HOMES AVAILABLE FOR MEASURE -",$C$8)</f>
        <v># HOMES AVAILABLE FOR MEASURE -Refrigerator</v>
      </c>
      <c r="B11" s="67"/>
      <c r="C11" s="9" t="s">
        <v>60</v>
      </c>
      <c r="E11" s="79">
        <v>2016</v>
      </c>
      <c r="F11" s="73">
        <v>2017</v>
      </c>
      <c r="G11" s="73">
        <v>2018</v>
      </c>
      <c r="H11" s="73">
        <v>2019</v>
      </c>
      <c r="I11" s="73">
        <v>2020</v>
      </c>
      <c r="J11" s="73">
        <v>2021</v>
      </c>
      <c r="K11" s="73">
        <v>2022</v>
      </c>
      <c r="L11" s="73">
        <v>2023</v>
      </c>
      <c r="M11" s="73">
        <v>2024</v>
      </c>
      <c r="N11" s="73">
        <v>2025</v>
      </c>
      <c r="O11" s="73">
        <v>2026</v>
      </c>
      <c r="P11" s="73">
        <v>2027</v>
      </c>
      <c r="Q11" s="73">
        <v>2028</v>
      </c>
      <c r="R11" s="73">
        <v>2029</v>
      </c>
      <c r="S11" s="73">
        <v>2030</v>
      </c>
      <c r="T11" s="73">
        <v>2031</v>
      </c>
      <c r="U11" s="73">
        <v>2032</v>
      </c>
      <c r="V11" s="73">
        <v>2033</v>
      </c>
      <c r="W11" s="73">
        <v>2034</v>
      </c>
      <c r="X11" s="73">
        <v>2035</v>
      </c>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row>
    <row r="12" spans="1:69" ht="15">
      <c r="E12" s="80" t="str">
        <f>CONCATENATE("HOMES_",E11)</f>
        <v>HOMES_2016</v>
      </c>
      <c r="F12" s="75" t="str">
        <f t="shared" ref="F12:X12" si="0">CONCATENATE("HOMES_",F11)</f>
        <v>HOMES_2017</v>
      </c>
      <c r="G12" s="75" t="str">
        <f t="shared" si="0"/>
        <v>HOMES_2018</v>
      </c>
      <c r="H12" s="75" t="str">
        <f t="shared" si="0"/>
        <v>HOMES_2019</v>
      </c>
      <c r="I12" s="75" t="str">
        <f t="shared" si="0"/>
        <v>HOMES_2020</v>
      </c>
      <c r="J12" s="75" t="str">
        <f t="shared" si="0"/>
        <v>HOMES_2021</v>
      </c>
      <c r="K12" s="75" t="str">
        <f t="shared" si="0"/>
        <v>HOMES_2022</v>
      </c>
      <c r="L12" s="75" t="str">
        <f t="shared" si="0"/>
        <v>HOMES_2023</v>
      </c>
      <c r="M12" s="75" t="str">
        <f t="shared" si="0"/>
        <v>HOMES_2024</v>
      </c>
      <c r="N12" s="75" t="str">
        <f t="shared" si="0"/>
        <v>HOMES_2025</v>
      </c>
      <c r="O12" s="75" t="str">
        <f t="shared" si="0"/>
        <v>HOMES_2026</v>
      </c>
      <c r="P12" s="75" t="str">
        <f t="shared" si="0"/>
        <v>HOMES_2027</v>
      </c>
      <c r="Q12" s="75" t="str">
        <f t="shared" si="0"/>
        <v>HOMES_2028</v>
      </c>
      <c r="R12" s="75" t="str">
        <f t="shared" si="0"/>
        <v>HOMES_2029</v>
      </c>
      <c r="S12" s="75" t="str">
        <f t="shared" si="0"/>
        <v>HOMES_2030</v>
      </c>
      <c r="T12" s="75" t="str">
        <f t="shared" si="0"/>
        <v>HOMES_2031</v>
      </c>
      <c r="U12" s="75" t="str">
        <f t="shared" si="0"/>
        <v>HOMES_2032</v>
      </c>
      <c r="V12" s="75" t="str">
        <f t="shared" si="0"/>
        <v>HOMES_2033</v>
      </c>
      <c r="W12" s="75" t="str">
        <f t="shared" si="0"/>
        <v>HOMES_2034</v>
      </c>
      <c r="X12" s="75" t="str">
        <f t="shared" si="0"/>
        <v>HOMES_2035</v>
      </c>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row>
    <row r="13" spans="1:69">
      <c r="B13" s="9" t="s">
        <v>57</v>
      </c>
      <c r="C13" s="9" t="s">
        <v>51</v>
      </c>
      <c r="E13" s="44">
        <f ca="1">INDEX([1]!tbl_Forecast,MATCH($D$8&amp;$C13&amp;$D$7,[1]!rng_ForecastRowLookup,0),MATCH(E$11,[1]!rng_ForecastColumnLookup,0))</f>
        <v>62685.758999999998</v>
      </c>
      <c r="F13" s="44">
        <f ca="1">INDEX([1]!tbl_Forecast,MATCH($D$8&amp;$C13&amp;$D$7,[1]!rng_ForecastRowLookup,0),MATCH(F$11,[1]!rng_ForecastColumnLookup,0))</f>
        <v>59961.781000000003</v>
      </c>
      <c r="G13" s="44">
        <f ca="1">INDEX([1]!tbl_Forecast,MATCH($D$8&amp;$C13&amp;$D$7,[1]!rng_ForecastRowLookup,0),MATCH(G$11,[1]!rng_ForecastColumnLookup,0))</f>
        <v>56834.012000000002</v>
      </c>
      <c r="H13" s="44">
        <f ca="1">INDEX([1]!tbl_Forecast,MATCH($D$8&amp;$C13&amp;$D$7,[1]!rng_ForecastRowLookup,0),MATCH(H$11,[1]!rng_ForecastColumnLookup,0))</f>
        <v>54985.192999999999</v>
      </c>
      <c r="I13" s="44">
        <f ca="1">INDEX([1]!tbl_Forecast,MATCH($D$8&amp;$C13&amp;$D$7,[1]!rng_ForecastRowLookup,0),MATCH(I$11,[1]!rng_ForecastColumnLookup,0))</f>
        <v>53507.474000000002</v>
      </c>
      <c r="J13" s="44">
        <f ca="1">INDEX([1]!tbl_Forecast,MATCH($D$8&amp;$C13&amp;$D$7,[1]!rng_ForecastRowLookup,0),MATCH(J$11,[1]!rng_ForecastColumnLookup,0))</f>
        <v>50982.05</v>
      </c>
      <c r="K13" s="44">
        <f ca="1">INDEX([1]!tbl_Forecast,MATCH($D$8&amp;$C13&amp;$D$7,[1]!rng_ForecastRowLookup,0),MATCH(K$11,[1]!rng_ForecastColumnLookup,0))</f>
        <v>49561.669000000002</v>
      </c>
      <c r="L13" s="44">
        <f ca="1">INDEX([1]!tbl_Forecast,MATCH($D$8&amp;$C13&amp;$D$7,[1]!rng_ForecastRowLookup,0),MATCH(L$11,[1]!rng_ForecastColumnLookup,0))</f>
        <v>49324.517999999996</v>
      </c>
      <c r="M13" s="44">
        <f ca="1">INDEX([1]!tbl_Forecast,MATCH($D$8&amp;$C13&amp;$D$7,[1]!rng_ForecastRowLookup,0),MATCH(M$11,[1]!rng_ForecastColumnLookup,0))</f>
        <v>48815.77</v>
      </c>
      <c r="N13" s="44">
        <f ca="1">INDEX([1]!tbl_Forecast,MATCH($D$8&amp;$C13&amp;$D$7,[1]!rng_ForecastRowLookup,0),MATCH(N$11,[1]!rng_ForecastColumnLookup,0))</f>
        <v>49683.252</v>
      </c>
      <c r="O13" s="44">
        <f ca="1">INDEX([1]!tbl_Forecast,MATCH($D$8&amp;$C13&amp;$D$7,[1]!rng_ForecastRowLookup,0),MATCH(O$11,[1]!rng_ForecastColumnLookup,0))</f>
        <v>50030.137000000002</v>
      </c>
      <c r="P13" s="44">
        <f ca="1">INDEX([1]!tbl_Forecast,MATCH($D$8&amp;$C13&amp;$D$7,[1]!rng_ForecastRowLookup,0),MATCH(P$11,[1]!rng_ForecastColumnLookup,0))</f>
        <v>49387.762999999999</v>
      </c>
      <c r="Q13" s="44">
        <f ca="1">INDEX([1]!tbl_Forecast,MATCH($D$8&amp;$C13&amp;$D$7,[1]!rng_ForecastRowLookup,0),MATCH(Q$11,[1]!rng_ForecastColumnLookup,0))</f>
        <v>48079.345999999998</v>
      </c>
      <c r="R13" s="44">
        <f ca="1">INDEX([1]!tbl_Forecast,MATCH($D$8&amp;$C13&amp;$D$7,[1]!rng_ForecastRowLookup,0),MATCH(R$11,[1]!rng_ForecastColumnLookup,0))</f>
        <v>48129.050999999999</v>
      </c>
      <c r="S13" s="44">
        <f ca="1">INDEX([1]!tbl_Forecast,MATCH($D$8&amp;$C13&amp;$D$7,[1]!rng_ForecastRowLookup,0),MATCH(S$11,[1]!rng_ForecastColumnLookup,0))</f>
        <v>48690.569000000003</v>
      </c>
      <c r="T13" s="44">
        <f ca="1">INDEX([1]!tbl_Forecast,MATCH($D$8&amp;$C13&amp;$D$7,[1]!rng_ForecastRowLookup,0),MATCH(T$11,[1]!rng_ForecastColumnLookup,0))</f>
        <v>48482.864000000001</v>
      </c>
      <c r="U13" s="44">
        <f ca="1">INDEX([1]!tbl_Forecast,MATCH($D$8&amp;$C13&amp;$D$7,[1]!rng_ForecastRowLookup,0),MATCH(U$11,[1]!rng_ForecastColumnLookup,0))</f>
        <v>46879.000999999997</v>
      </c>
      <c r="V13" s="44">
        <f ca="1">INDEX([1]!tbl_Forecast,MATCH($D$8&amp;$C13&amp;$D$7,[1]!rng_ForecastRowLookup,0),MATCH(V$11,[1]!rng_ForecastColumnLookup,0))</f>
        <v>46798.777999999998</v>
      </c>
      <c r="W13" s="44">
        <f ca="1">INDEX([1]!tbl_Forecast,MATCH($D$8&amp;$C13&amp;$D$7,[1]!rng_ForecastRowLookup,0),MATCH(W$11,[1]!rng_ForecastColumnLookup,0))</f>
        <v>46917.627</v>
      </c>
      <c r="X13" s="44">
        <f ca="1">INDEX([1]!tbl_Forecast,MATCH($D$8&amp;$C13&amp;$D$7,[1]!rng_ForecastRowLookup,0),MATCH(X$11,[1]!rng_ForecastColumnLookup,0))</f>
        <v>47236.144999999997</v>
      </c>
      <c r="Y13" s="44"/>
      <c r="AA13" s="44">
        <f ca="1">SUM(E13:Y13)</f>
        <v>1016972.7590000002</v>
      </c>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row>
    <row r="14" spans="1:69">
      <c r="B14" s="9" t="s">
        <v>57</v>
      </c>
      <c r="C14" s="9" t="s">
        <v>52</v>
      </c>
      <c r="E14" s="44">
        <f ca="1">INDEX([1]!tbl_Forecast,MATCH($D$8&amp;$C14&amp;$D$7,[1]!rng_ForecastRowLookup,0),MATCH(E$11,[1]!rng_ForecastColumnLookup,0))</f>
        <v>23280.347100904564</v>
      </c>
      <c r="F14" s="44">
        <f ca="1">INDEX([1]!tbl_Forecast,MATCH($D$8&amp;$C14&amp;$D$7,[1]!rng_ForecastRowLookup,0),MATCH(F$11,[1]!rng_ForecastColumnLookup,0))</f>
        <v>23017.418106038647</v>
      </c>
      <c r="G14" s="44">
        <f ca="1">INDEX([1]!tbl_Forecast,MATCH($D$8&amp;$C14&amp;$D$7,[1]!rng_ForecastRowLookup,0),MATCH(G$11,[1]!rng_ForecastColumnLookup,0))</f>
        <v>22811.60852767331</v>
      </c>
      <c r="H14" s="44">
        <f ca="1">INDEX([1]!tbl_Forecast,MATCH($D$8&amp;$C14&amp;$D$7,[1]!rng_ForecastRowLookup,0),MATCH(H$11,[1]!rng_ForecastColumnLookup,0))</f>
        <v>22085.916378202593</v>
      </c>
      <c r="I14" s="44">
        <f ca="1">INDEX([1]!tbl_Forecast,MATCH($D$8&amp;$C14&amp;$D$7,[1]!rng_ForecastRowLookup,0),MATCH(I$11,[1]!rng_ForecastColumnLookup,0))</f>
        <v>20817.853908138593</v>
      </c>
      <c r="J14" s="44">
        <f ca="1">INDEX([1]!tbl_Forecast,MATCH($D$8&amp;$C14&amp;$D$7,[1]!rng_ForecastRowLookup,0),MATCH(J$11,[1]!rng_ForecastColumnLookup,0))</f>
        <v>20070.279329962508</v>
      </c>
      <c r="K14" s="44">
        <f ca="1">INDEX([1]!tbl_Forecast,MATCH($D$8&amp;$C14&amp;$D$7,[1]!rng_ForecastRowLookup,0),MATCH(K$11,[1]!rng_ForecastColumnLookup,0))</f>
        <v>19887.831284331631</v>
      </c>
      <c r="L14" s="44">
        <f ca="1">INDEX([1]!tbl_Forecast,MATCH($D$8&amp;$C14&amp;$D$7,[1]!rng_ForecastRowLookup,0),MATCH(L$11,[1]!rng_ForecastColumnLookup,0))</f>
        <v>20257.583209811291</v>
      </c>
      <c r="M14" s="44">
        <f ca="1">INDEX([1]!tbl_Forecast,MATCH($D$8&amp;$C14&amp;$D$7,[1]!rng_ForecastRowLookup,0),MATCH(M$11,[1]!rng_ForecastColumnLookup,0))</f>
        <v>20750.368029493613</v>
      </c>
      <c r="N14" s="44">
        <f ca="1">INDEX([1]!tbl_Forecast,MATCH($D$8&amp;$C14&amp;$D$7,[1]!rng_ForecastRowLookup,0),MATCH(N$11,[1]!rng_ForecastColumnLookup,0))</f>
        <v>21314.334279744231</v>
      </c>
      <c r="O14" s="44">
        <f ca="1">INDEX([1]!tbl_Forecast,MATCH($D$8&amp;$C14&amp;$D$7,[1]!rng_ForecastRowLookup,0),MATCH(O$11,[1]!rng_ForecastColumnLookup,0))</f>
        <v>21403.286239774712</v>
      </c>
      <c r="P14" s="44">
        <f ca="1">INDEX([1]!tbl_Forecast,MATCH($D$8&amp;$C14&amp;$D$7,[1]!rng_ForecastRowLookup,0),MATCH(P$11,[1]!rng_ForecastColumnLookup,0))</f>
        <v>21409.137516518917</v>
      </c>
      <c r="Q14" s="44">
        <f ca="1">INDEX([1]!tbl_Forecast,MATCH($D$8&amp;$C14&amp;$D$7,[1]!rng_ForecastRowLookup,0),MATCH(Q$11,[1]!rng_ForecastColumnLookup,0))</f>
        <v>21443.358292282628</v>
      </c>
      <c r="R14" s="44">
        <f ca="1">INDEX([1]!tbl_Forecast,MATCH($D$8&amp;$C14&amp;$D$7,[1]!rng_ForecastRowLookup,0),MATCH(R$11,[1]!rng_ForecastColumnLookup,0))</f>
        <v>21209.865626522758</v>
      </c>
      <c r="S14" s="44">
        <f ca="1">INDEX([1]!tbl_Forecast,MATCH($D$8&amp;$C14&amp;$D$7,[1]!rng_ForecastRowLookup,0),MATCH(S$11,[1]!rng_ForecastColumnLookup,0))</f>
        <v>20954.17798283829</v>
      </c>
      <c r="T14" s="44">
        <f ca="1">INDEX([1]!tbl_Forecast,MATCH($D$8&amp;$C14&amp;$D$7,[1]!rng_ForecastRowLookup,0),MATCH(T$11,[1]!rng_ForecastColumnLookup,0))</f>
        <v>20525.44023202754</v>
      </c>
      <c r="U14" s="44">
        <f ca="1">INDEX([1]!tbl_Forecast,MATCH($D$8&amp;$C14&amp;$D$7,[1]!rng_ForecastRowLookup,0),MATCH(U$11,[1]!rng_ForecastColumnLookup,0))</f>
        <v>20175.505597554071</v>
      </c>
      <c r="V14" s="44">
        <f ca="1">INDEX([1]!tbl_Forecast,MATCH($D$8&amp;$C14&amp;$D$7,[1]!rng_ForecastRowLookup,0),MATCH(V$11,[1]!rng_ForecastColumnLookup,0))</f>
        <v>19919.723927484571</v>
      </c>
      <c r="W14" s="44">
        <f ca="1">INDEX([1]!tbl_Forecast,MATCH($D$8&amp;$C14&amp;$D$7,[1]!rng_ForecastRowLookup,0),MATCH(W$11,[1]!rng_ForecastColumnLookup,0))</f>
        <v>19536.194066416414</v>
      </c>
      <c r="X14" s="44">
        <f ca="1">INDEX([1]!tbl_Forecast,MATCH($D$8&amp;$C14&amp;$D$7,[1]!rng_ForecastRowLookup,0),MATCH(X$11,[1]!rng_ForecastColumnLookup,0))</f>
        <v>19462.287131015248</v>
      </c>
      <c r="Y14" s="44"/>
      <c r="AA14" s="44">
        <f t="shared" ref="AA14:AA16" ca="1" si="1">SUM(E14:Y14)</f>
        <v>420332.51676673623</v>
      </c>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row>
    <row r="15" spans="1:69">
      <c r="B15" s="9" t="s">
        <v>57</v>
      </c>
      <c r="C15" s="9" t="s">
        <v>53</v>
      </c>
      <c r="E15" s="44">
        <f ca="1">INDEX([1]!tbl_Forecast,MATCH($D$8&amp;$C15&amp;$D$7,[1]!rng_ForecastRowLookup,0),MATCH(E$11,[1]!rng_ForecastColumnLookup,0))</f>
        <v>5226.2387411561367</v>
      </c>
      <c r="F15" s="44">
        <f ca="1">INDEX([1]!tbl_Forecast,MATCH($D$8&amp;$C15&amp;$D$7,[1]!rng_ForecastRowLookup,0),MATCH(F$11,[1]!rng_ForecastColumnLookup,0))</f>
        <v>5239.95312759432</v>
      </c>
      <c r="G15" s="44">
        <f ca="1">INDEX([1]!tbl_Forecast,MATCH($D$8&amp;$C15&amp;$D$7,[1]!rng_ForecastRowLookup,0),MATCH(G$11,[1]!rng_ForecastColumnLookup,0))</f>
        <v>5271.2612760989568</v>
      </c>
      <c r="H15" s="44">
        <f ca="1">INDEX([1]!tbl_Forecast,MATCH($D$8&amp;$C15&amp;$D$7,[1]!rng_ForecastRowLookup,0),MATCH(H$11,[1]!rng_ForecastColumnLookup,0))</f>
        <v>4985.883552972361</v>
      </c>
      <c r="I15" s="44">
        <f ca="1">INDEX([1]!tbl_Forecast,MATCH($D$8&amp;$C15&amp;$D$7,[1]!rng_ForecastRowLookup,0),MATCH(I$11,[1]!rng_ForecastColumnLookup,0))</f>
        <v>4608.5912035798974</v>
      </c>
      <c r="J15" s="44">
        <f ca="1">INDEX([1]!tbl_Forecast,MATCH($D$8&amp;$C15&amp;$D$7,[1]!rng_ForecastRowLookup,0),MATCH(J$11,[1]!rng_ForecastColumnLookup,0))</f>
        <v>4509.6375960361838</v>
      </c>
      <c r="K15" s="44">
        <f ca="1">INDEX([1]!tbl_Forecast,MATCH($D$8&amp;$C15&amp;$D$7,[1]!rng_ForecastRowLookup,0),MATCH(K$11,[1]!rng_ForecastColumnLookup,0))</f>
        <v>4481.760351096189</v>
      </c>
      <c r="L15" s="44">
        <f ca="1">INDEX([1]!tbl_Forecast,MATCH($D$8&amp;$C15&amp;$D$7,[1]!rng_ForecastRowLookup,0),MATCH(L$11,[1]!rng_ForecastColumnLookup,0))</f>
        <v>4621.8312800578688</v>
      </c>
      <c r="M15" s="44">
        <f ca="1">INDEX([1]!tbl_Forecast,MATCH($D$8&amp;$C15&amp;$D$7,[1]!rng_ForecastRowLookup,0),MATCH(M$11,[1]!rng_ForecastColumnLookup,0))</f>
        <v>4700.9782942419988</v>
      </c>
      <c r="N15" s="44">
        <f ca="1">INDEX([1]!tbl_Forecast,MATCH($D$8&amp;$C15&amp;$D$7,[1]!rng_ForecastRowLookup,0),MATCH(N$11,[1]!rng_ForecastColumnLookup,0))</f>
        <v>4828.2391631488581</v>
      </c>
      <c r="O15" s="44">
        <f ca="1">INDEX([1]!tbl_Forecast,MATCH($D$8&amp;$C15&amp;$D$7,[1]!rng_ForecastRowLookup,0),MATCH(O$11,[1]!rng_ForecastColumnLookup,0))</f>
        <v>4790.0249139778334</v>
      </c>
      <c r="P15" s="44">
        <f ca="1">INDEX([1]!tbl_Forecast,MATCH($D$8&amp;$C15&amp;$D$7,[1]!rng_ForecastRowLookup,0),MATCH(P$11,[1]!rng_ForecastColumnLookup,0))</f>
        <v>4782.0649962402858</v>
      </c>
      <c r="Q15" s="44">
        <f ca="1">INDEX([1]!tbl_Forecast,MATCH($D$8&amp;$C15&amp;$D$7,[1]!rng_ForecastRowLookup,0),MATCH(Q$11,[1]!rng_ForecastColumnLookup,0))</f>
        <v>4748.3908346265653</v>
      </c>
      <c r="R15" s="44">
        <f ca="1">INDEX([1]!tbl_Forecast,MATCH($D$8&amp;$C15&amp;$D$7,[1]!rng_ForecastRowLookup,0),MATCH(R$11,[1]!rng_ForecastColumnLookup,0))</f>
        <v>4733.4823682495089</v>
      </c>
      <c r="S15" s="44">
        <f ca="1">INDEX([1]!tbl_Forecast,MATCH($D$8&amp;$C15&amp;$D$7,[1]!rng_ForecastRowLookup,0),MATCH(S$11,[1]!rng_ForecastColumnLookup,0))</f>
        <v>4698.697177079107</v>
      </c>
      <c r="T15" s="44">
        <f ca="1">INDEX([1]!tbl_Forecast,MATCH($D$8&amp;$C15&amp;$D$7,[1]!rng_ForecastRowLookup,0),MATCH(T$11,[1]!rng_ForecastColumnLookup,0))</f>
        <v>4599.2987885998937</v>
      </c>
      <c r="U15" s="44">
        <f ca="1">INDEX([1]!tbl_Forecast,MATCH($D$8&amp;$C15&amp;$D$7,[1]!rng_ForecastRowLookup,0),MATCH(U$11,[1]!rng_ForecastColumnLookup,0))</f>
        <v>4526.3104216428001</v>
      </c>
      <c r="V15" s="44">
        <f ca="1">INDEX([1]!tbl_Forecast,MATCH($D$8&amp;$C15&amp;$D$7,[1]!rng_ForecastRowLookup,0),MATCH(V$11,[1]!rng_ForecastColumnLookup,0))</f>
        <v>4422.0600452822764</v>
      </c>
      <c r="W15" s="44">
        <f ca="1">INDEX([1]!tbl_Forecast,MATCH($D$8&amp;$C15&amp;$D$7,[1]!rng_ForecastRowLookup,0),MATCH(W$11,[1]!rng_ForecastColumnLookup,0))</f>
        <v>4405.182362066379</v>
      </c>
      <c r="X15" s="44">
        <f ca="1">INDEX([1]!tbl_Forecast,MATCH($D$8&amp;$C15&amp;$D$7,[1]!rng_ForecastRowLookup,0),MATCH(X$11,[1]!rng_ForecastColumnLookup,0))</f>
        <v>4385.1136986120664</v>
      </c>
      <c r="Y15" s="44"/>
      <c r="AA15" s="44">
        <f t="shared" ca="1" si="1"/>
        <v>94565.000192359483</v>
      </c>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row>
    <row r="16" spans="1:69">
      <c r="B16" s="9" t="s">
        <v>57</v>
      </c>
      <c r="C16" s="9" t="s">
        <v>54</v>
      </c>
      <c r="E16" s="44">
        <f ca="1">INDEX([1]!tbl_Forecast,MATCH($D$8&amp;$C16&amp;$D$7,[1]!rng_ForecastRowLookup,0),MATCH(E$11,[1]!rng_ForecastColumnLookup,0))</f>
        <v>1869.5754050925925</v>
      </c>
      <c r="F16" s="44">
        <f ca="1">INDEX([1]!tbl_Forecast,MATCH($D$8&amp;$C16&amp;$D$7,[1]!rng_ForecastRowLookup,0),MATCH(F$11,[1]!rng_ForecastColumnLookup,0))</f>
        <v>1881.796305941358</v>
      </c>
      <c r="G16" s="44">
        <f ca="1">INDEX([1]!tbl_Forecast,MATCH($D$8&amp;$C16&amp;$D$7,[1]!rng_ForecastRowLookup,0),MATCH(G$11,[1]!rng_ForecastColumnLookup,0))</f>
        <v>1949.1340235982509</v>
      </c>
      <c r="H16" s="44">
        <f ca="1">INDEX([1]!tbl_Forecast,MATCH($D$8&amp;$C16&amp;$D$7,[1]!rng_ForecastRowLookup,0),MATCH(H$11,[1]!rng_ForecastColumnLookup,0))</f>
        <v>2021.1963608646258</v>
      </c>
      <c r="I16" s="44">
        <f ca="1">INDEX([1]!tbl_Forecast,MATCH($D$8&amp;$C16&amp;$D$7,[1]!rng_ForecastRowLookup,0),MATCH(I$11,[1]!rng_ForecastColumnLookup,0))</f>
        <v>1959.5061710087307</v>
      </c>
      <c r="J16" s="44">
        <f ca="1">INDEX([1]!tbl_Forecast,MATCH($D$8&amp;$C16&amp;$D$7,[1]!rng_ForecastRowLookup,0),MATCH(J$11,[1]!rng_ForecastColumnLookup,0))</f>
        <v>1928.5764356212967</v>
      </c>
      <c r="K16" s="44">
        <f ca="1">INDEX([1]!tbl_Forecast,MATCH($D$8&amp;$C16&amp;$D$7,[1]!rng_ForecastRowLookup,0),MATCH(K$11,[1]!rng_ForecastColumnLookup,0))</f>
        <v>1934.9641170211423</v>
      </c>
      <c r="L16" s="44">
        <f ca="1">INDEX([1]!tbl_Forecast,MATCH($D$8&amp;$C16&amp;$D$7,[1]!rng_ForecastRowLookup,0),MATCH(L$11,[1]!rng_ForecastColumnLookup,0))</f>
        <v>1945.862235675901</v>
      </c>
      <c r="M16" s="44">
        <f ca="1">INDEX([1]!tbl_Forecast,MATCH($D$8&amp;$C16&amp;$D$7,[1]!rng_ForecastRowLookup,0),MATCH(M$11,[1]!rng_ForecastColumnLookup,0))</f>
        <v>1956.539890631658</v>
      </c>
      <c r="N16" s="44">
        <f ca="1">INDEX([1]!tbl_Forecast,MATCH($D$8&amp;$C16&amp;$D$7,[1]!rng_ForecastRowLookup,0),MATCH(N$11,[1]!rng_ForecastColumnLookup,0))</f>
        <v>1957.7742018038925</v>
      </c>
      <c r="O16" s="44">
        <f ca="1">INDEX([1]!tbl_Forecast,MATCH($D$8&amp;$C16&amp;$D$7,[1]!rng_ForecastRowLookup,0),MATCH(O$11,[1]!rng_ForecastColumnLookup,0))</f>
        <v>1947.2038419604366</v>
      </c>
      <c r="P16" s="44">
        <f ca="1">INDEX([1]!tbl_Forecast,MATCH($D$8&amp;$C16&amp;$D$7,[1]!rng_ForecastRowLookup,0),MATCH(P$11,[1]!rng_ForecastColumnLookup,0))</f>
        <v>1945.153453785721</v>
      </c>
      <c r="Q16" s="44">
        <f ca="1">INDEX([1]!tbl_Forecast,MATCH($D$8&amp;$C16&amp;$D$7,[1]!rng_ForecastRowLookup,0),MATCH(Q$11,[1]!rng_ForecastColumnLookup,0))</f>
        <v>1947.9162901464586</v>
      </c>
      <c r="R16" s="44">
        <f ca="1">INDEX([1]!tbl_Forecast,MATCH($D$8&amp;$C16&amp;$D$7,[1]!rng_ForecastRowLookup,0),MATCH(R$11,[1]!rng_ForecastColumnLookup,0))</f>
        <v>1950.0749856673444</v>
      </c>
      <c r="S16" s="44">
        <f ca="1">INDEX([1]!tbl_Forecast,MATCH($D$8&amp;$C16&amp;$D$7,[1]!rng_ForecastRowLookup,0),MATCH(S$11,[1]!rng_ForecastColumnLookup,0))</f>
        <v>1950.7771106659191</v>
      </c>
      <c r="T16" s="44">
        <f ca="1">INDEX([1]!tbl_Forecast,MATCH($D$8&amp;$C16&amp;$D$7,[1]!rng_ForecastRowLookup,0),MATCH(T$11,[1]!rng_ForecastColumnLookup,0))</f>
        <v>1949.8166473382953</v>
      </c>
      <c r="U16" s="44">
        <f ca="1">INDEX([1]!tbl_Forecast,MATCH($D$8&amp;$C16&amp;$D$7,[1]!rng_ForecastRowLookup,0),MATCH(U$11,[1]!rng_ForecastColumnLookup,0))</f>
        <v>1948.4903882606959</v>
      </c>
      <c r="V16" s="44">
        <f ca="1">INDEX([1]!tbl_Forecast,MATCH($D$8&amp;$C16&amp;$D$7,[1]!rng_ForecastRowLookup,0),MATCH(V$11,[1]!rng_ForecastColumnLookup,0))</f>
        <v>1948.7048126440727</v>
      </c>
      <c r="W16" s="44">
        <f ca="1">INDEX([1]!tbl_Forecast,MATCH($D$8&amp;$C16&amp;$D$7,[1]!rng_ForecastRowLookup,0),MATCH(W$11,[1]!rng_ForecastColumnLookup,0))</f>
        <v>1949.296705787131</v>
      </c>
      <c r="X16" s="44">
        <f ca="1">INDEX([1]!tbl_Forecast,MATCH($D$8&amp;$C16&amp;$D$7,[1]!rng_ForecastRowLookup,0),MATCH(X$11,[1]!rng_ForecastColumnLookup,0))</f>
        <v>1949.5267750605763</v>
      </c>
      <c r="Y16" s="44"/>
      <c r="AA16" s="44">
        <f t="shared" ca="1" si="1"/>
        <v>38891.88615857609</v>
      </c>
    </row>
    <row r="17" spans="1:27">
      <c r="E17" s="44"/>
      <c r="F17" s="44"/>
      <c r="G17" s="44"/>
      <c r="H17" s="44"/>
      <c r="I17" s="44"/>
      <c r="J17" s="44"/>
      <c r="K17" s="44"/>
      <c r="L17" s="44"/>
      <c r="M17" s="44"/>
      <c r="N17" s="44"/>
      <c r="O17" s="44"/>
      <c r="P17" s="44"/>
      <c r="Q17" s="44"/>
      <c r="R17" s="44"/>
      <c r="S17" s="44"/>
      <c r="T17" s="44"/>
      <c r="U17" s="44"/>
      <c r="V17" s="44"/>
      <c r="W17" s="44"/>
      <c r="X17" s="44"/>
      <c r="Y17" s="44"/>
    </row>
    <row r="18" spans="1:27">
      <c r="B18" s="9" t="s">
        <v>61</v>
      </c>
      <c r="C18" s="9" t="s">
        <v>62</v>
      </c>
      <c r="E18" s="44">
        <f t="shared" ref="E18:X18" ca="1" si="2">SUM(E13:E16)</f>
        <v>93061.920247153292</v>
      </c>
      <c r="F18" s="44">
        <f t="shared" ca="1" si="2"/>
        <v>90100.948539574325</v>
      </c>
      <c r="G18" s="44">
        <f t="shared" ca="1" si="2"/>
        <v>86866.015827370516</v>
      </c>
      <c r="H18" s="44">
        <f t="shared" ca="1" si="2"/>
        <v>84078.189292039577</v>
      </c>
      <c r="I18" s="44">
        <f t="shared" ca="1" si="2"/>
        <v>80893.425282727228</v>
      </c>
      <c r="J18" s="44">
        <f t="shared" ca="1" si="2"/>
        <v>77490.543361619988</v>
      </c>
      <c r="K18" s="44">
        <f t="shared" ca="1" si="2"/>
        <v>75866.224752448965</v>
      </c>
      <c r="L18" s="44">
        <f t="shared" ca="1" si="2"/>
        <v>76149.794725545056</v>
      </c>
      <c r="M18" s="44">
        <f t="shared" ca="1" si="2"/>
        <v>76223.656214367264</v>
      </c>
      <c r="N18" s="44">
        <f t="shared" ca="1" si="2"/>
        <v>77783.59964469698</v>
      </c>
      <c r="O18" s="44">
        <f t="shared" ca="1" si="2"/>
        <v>78170.651995712979</v>
      </c>
      <c r="P18" s="44">
        <f t="shared" ca="1" si="2"/>
        <v>77524.11896654492</v>
      </c>
      <c r="Q18" s="44">
        <f t="shared" ca="1" si="2"/>
        <v>76219.011417055648</v>
      </c>
      <c r="R18" s="44">
        <f t="shared" ca="1" si="2"/>
        <v>76022.473980439609</v>
      </c>
      <c r="S18" s="44">
        <f t="shared" ca="1" si="2"/>
        <v>76294.221270583323</v>
      </c>
      <c r="T18" s="44">
        <f t="shared" ca="1" si="2"/>
        <v>75557.419667965733</v>
      </c>
      <c r="U18" s="44">
        <f t="shared" ca="1" si="2"/>
        <v>73529.307407457556</v>
      </c>
      <c r="V18" s="44">
        <f t="shared" ca="1" si="2"/>
        <v>73089.266785410931</v>
      </c>
      <c r="W18" s="44">
        <f t="shared" ca="1" si="2"/>
        <v>72808.300134269928</v>
      </c>
      <c r="X18" s="44">
        <f t="shared" ca="1" si="2"/>
        <v>73033.072604687884</v>
      </c>
      <c r="Y18" s="44"/>
      <c r="AA18" s="44">
        <f ca="1">SUM(E18:Y18)</f>
        <v>1570762.1621176719</v>
      </c>
    </row>
    <row r="19" spans="1:27">
      <c r="E19" s="44"/>
      <c r="F19" s="44"/>
      <c r="G19" s="44"/>
      <c r="H19" s="44"/>
      <c r="I19" s="44"/>
      <c r="J19" s="44"/>
      <c r="K19" s="44"/>
      <c r="L19" s="44"/>
      <c r="M19" s="44"/>
      <c r="N19" s="44"/>
      <c r="O19" s="44"/>
      <c r="P19" s="44"/>
      <c r="Q19" s="44"/>
      <c r="R19" s="44"/>
      <c r="S19" s="44"/>
      <c r="T19" s="44"/>
      <c r="U19" s="44"/>
      <c r="V19" s="44"/>
      <c r="W19" s="44"/>
      <c r="X19" s="44"/>
      <c r="Y19" s="44"/>
    </row>
    <row r="20" spans="1:27">
      <c r="E20" s="44"/>
      <c r="F20" s="44"/>
      <c r="G20" s="44"/>
      <c r="H20" s="44"/>
      <c r="I20" s="44"/>
      <c r="J20" s="44"/>
      <c r="K20" s="44"/>
      <c r="L20" s="44"/>
      <c r="M20" s="44"/>
      <c r="N20" s="44"/>
      <c r="O20" s="44"/>
      <c r="P20" s="44"/>
      <c r="Q20" s="44"/>
      <c r="R20" s="44"/>
      <c r="S20" s="44"/>
      <c r="T20" s="44"/>
      <c r="U20" s="44"/>
      <c r="V20" s="44"/>
      <c r="W20" s="44"/>
      <c r="X20" s="44"/>
      <c r="Y20" s="44"/>
    </row>
    <row r="21" spans="1:27" ht="15">
      <c r="A21" s="67" t="str">
        <f>CONCATENATE("# HOMES APPLICABLE BY YEAR FOR MEASURE - ",C22)</f>
        <v># HOMES APPLICABLE BY YEAR FOR MEASURE - Refrigerator - New</v>
      </c>
      <c r="B21" s="67"/>
      <c r="E21" s="44"/>
      <c r="F21" s="44"/>
      <c r="G21" s="44"/>
      <c r="H21" s="44"/>
      <c r="I21" s="44"/>
      <c r="J21" s="44"/>
      <c r="K21" s="44"/>
      <c r="L21" s="44"/>
      <c r="M21" s="44"/>
      <c r="N21" s="44"/>
      <c r="O21" s="44"/>
      <c r="P21" s="44"/>
      <c r="Q21" s="44"/>
      <c r="R21" s="44"/>
      <c r="S21" s="44"/>
      <c r="T21" s="44"/>
      <c r="U21" s="44"/>
      <c r="V21" s="44"/>
      <c r="W21" s="44"/>
      <c r="X21" s="44"/>
      <c r="Y21" s="44"/>
    </row>
    <row r="22" spans="1:27" ht="15">
      <c r="A22" s="68" t="s">
        <v>63</v>
      </c>
      <c r="B22" s="68" t="s">
        <v>153</v>
      </c>
      <c r="C22" s="68" t="str">
        <f>CONCATENATE(C8," - ",C7)</f>
        <v>Refrigerator - New</v>
      </c>
    </row>
    <row r="23" spans="1:27">
      <c r="A23" s="69">
        <f>INDEX([2]!ResApplic,MATCH($C$22,[2]APPLIC!$B$9:$B$120,0)+1,MATCH($C23,[2]APPLIC!$C$8:$F$8,0)+1)</f>
        <v>1</v>
      </c>
      <c r="B23" s="69">
        <f>VLOOKUP($C$8,[2]!NewSat,MATCH($C23,[2]SATS!$C$10:$F$10,0)+1,FALSE)</f>
        <v>1.2831400506742725</v>
      </c>
      <c r="C23" s="9" t="str">
        <f>C13</f>
        <v>Single Family</v>
      </c>
      <c r="E23" s="44">
        <f ca="1">E13*$A23*$B23</f>
        <v>80434.607979815235</v>
      </c>
      <c r="F23" s="44">
        <f t="shared" ref="F23:X26" ca="1" si="3">F13*$A23*$B23</f>
        <v>76939.362710859627</v>
      </c>
      <c r="G23" s="44">
        <f t="shared" ca="1" si="3"/>
        <v>72925.997037702211</v>
      </c>
      <c r="H23" s="44">
        <f t="shared" ca="1" si="3"/>
        <v>70553.703332354649</v>
      </c>
      <c r="I23" s="44">
        <f t="shared" ca="1" si="3"/>
        <v>68657.582899812318</v>
      </c>
      <c r="J23" s="44">
        <f t="shared" ca="1" si="3"/>
        <v>65417.110220478295</v>
      </c>
      <c r="K23" s="44">
        <f t="shared" ca="1" si="3"/>
        <v>63594.562472161524</v>
      </c>
      <c r="L23" s="44">
        <f t="shared" ca="1" si="3"/>
        <v>63290.264526004059</v>
      </c>
      <c r="M23" s="44">
        <f t="shared" ca="1" si="3"/>
        <v>62637.469591503628</v>
      </c>
      <c r="N23" s="44">
        <f t="shared" ca="1" si="3"/>
        <v>63750.570488942649</v>
      </c>
      <c r="O23" s="44">
        <f t="shared" ca="1" si="3"/>
        <v>64195.6725254208</v>
      </c>
      <c r="P23" s="44">
        <f t="shared" ca="1" si="3"/>
        <v>63371.416718508961</v>
      </c>
      <c r="Q23" s="44">
        <f t="shared" ca="1" si="3"/>
        <v>61692.534462825875</v>
      </c>
      <c r="R23" s="44">
        <f t="shared" ca="1" si="3"/>
        <v>61756.312939044648</v>
      </c>
      <c r="S23" s="44">
        <f t="shared" ca="1" si="3"/>
        <v>62476.819174019169</v>
      </c>
      <c r="T23" s="44">
        <f t="shared" ca="1" si="3"/>
        <v>62210.304569793865</v>
      </c>
      <c r="U23" s="44">
        <f t="shared" ca="1" si="3"/>
        <v>60152.32371869927</v>
      </c>
      <c r="V23" s="44">
        <f t="shared" ca="1" si="3"/>
        <v>60049.386374414025</v>
      </c>
      <c r="W23" s="44">
        <f t="shared" ca="1" si="3"/>
        <v>60201.88628629662</v>
      </c>
      <c r="X23" s="44">
        <f t="shared" ca="1" si="3"/>
        <v>60610.589488957281</v>
      </c>
      <c r="Y23" s="44"/>
      <c r="AA23" s="44">
        <f t="shared" ref="AA23:AA26" ca="1" si="4">SUM(E23:Y23)</f>
        <v>1304918.4775176146</v>
      </c>
    </row>
    <row r="24" spans="1:27">
      <c r="A24" s="69">
        <f>INDEX([2]!ResApplic,MATCH($C$22,[2]APPLIC!$B$9:$B$120,0)+1,MATCH($C24,[2]APPLIC!$C$8:$F$8,0)+1)</f>
        <v>1</v>
      </c>
      <c r="B24" s="69">
        <f>VLOOKUP($C$8,[2]!NewSat,MATCH($C24,[2]SATS!$C$10:$F$10,0)+1,FALSE)</f>
        <v>1.0236201688615751</v>
      </c>
      <c r="C24" s="9" t="str">
        <f>C14</f>
        <v>Multifamily - Low Rise</v>
      </c>
      <c r="E24" s="44">
        <f t="shared" ref="E24:T26" ca="1" si="5">E14*$A24*$B24</f>
        <v>23830.232830584013</v>
      </c>
      <c r="F24" s="44">
        <f t="shared" ca="1" si="5"/>
        <v>23561.093408460758</v>
      </c>
      <c r="G24" s="44">
        <f t="shared" ca="1" si="5"/>
        <v>23350.422573101103</v>
      </c>
      <c r="H24" s="44">
        <f t="shared" ca="1" si="5"/>
        <v>22607.589452518368</v>
      </c>
      <c r="I24" s="44">
        <f t="shared" ca="1" si="5"/>
        <v>21309.57513278443</v>
      </c>
      <c r="J24" s="44">
        <f t="shared" ca="1" si="5"/>
        <v>20544.342716835203</v>
      </c>
      <c r="K24" s="44">
        <f t="shared" ca="1" si="5"/>
        <v>20357.585217558062</v>
      </c>
      <c r="L24" s="44">
        <f t="shared" ca="1" si="5"/>
        <v>20736.070745954443</v>
      </c>
      <c r="M24" s="44">
        <f t="shared" ca="1" si="5"/>
        <v>21240.495226290081</v>
      </c>
      <c r="N24" s="44">
        <f t="shared" ca="1" si="5"/>
        <v>21817.78245460385</v>
      </c>
      <c r="O24" s="44">
        <f t="shared" ca="1" si="5"/>
        <v>21908.835474950818</v>
      </c>
      <c r="P24" s="44">
        <f t="shared" ca="1" si="5"/>
        <v>21914.824959839778</v>
      </c>
      <c r="Q24" s="44">
        <f t="shared" ca="1" si="5"/>
        <v>21949.8540361056</v>
      </c>
      <c r="R24" s="44">
        <f t="shared" ca="1" si="5"/>
        <v>21710.846234152545</v>
      </c>
      <c r="S24" s="44">
        <f t="shared" ca="1" si="5"/>
        <v>21449.119205148429</v>
      </c>
      <c r="T24" s="44">
        <f t="shared" ca="1" si="5"/>
        <v>21010.254596266201</v>
      </c>
      <c r="U24" s="44">
        <f t="shared" ca="1" si="3"/>
        <v>20652.054446635953</v>
      </c>
      <c r="V24" s="44">
        <f t="shared" ca="1" si="3"/>
        <v>20390.231170327716</v>
      </c>
      <c r="W24" s="44">
        <f t="shared" ca="1" si="3"/>
        <v>19997.642269177672</v>
      </c>
      <c r="X24" s="44">
        <f t="shared" ca="1" si="3"/>
        <v>19921.98963948229</v>
      </c>
      <c r="Y24" s="44"/>
      <c r="AA24" s="44">
        <f t="shared" ca="1" si="4"/>
        <v>430260.84179077722</v>
      </c>
    </row>
    <row r="25" spans="1:27">
      <c r="A25" s="69">
        <f>INDEX([2]!ResApplic,MATCH($C$22,[2]APPLIC!$B$9:$B$120,0)+1,MATCH($C25,[2]APPLIC!$C$8:$F$8,0)+1)</f>
        <v>1</v>
      </c>
      <c r="B25" s="69">
        <f>VLOOKUP($C$8,[2]!NewSat,MATCH($C25,[2]SATS!$C$10:$F$10,0)+1,FALSE)</f>
        <v>1.0236201688615751</v>
      </c>
      <c r="C25" s="9" t="str">
        <f>C15</f>
        <v>Multifamily - High Rise</v>
      </c>
      <c r="E25" s="44">
        <f t="shared" ca="1" si="5"/>
        <v>5349.6833827331502</v>
      </c>
      <c r="F25" s="44">
        <f t="shared" ca="1" si="3"/>
        <v>5363.7217052948363</v>
      </c>
      <c r="G25" s="44">
        <f t="shared" ca="1" si="3"/>
        <v>5395.769357553896</v>
      </c>
      <c r="H25" s="44">
        <f t="shared" ca="1" si="3"/>
        <v>5103.6509644177186</v>
      </c>
      <c r="I25" s="44">
        <f t="shared" ca="1" si="3"/>
        <v>4717.4469060224246</v>
      </c>
      <c r="J25" s="44">
        <f t="shared" ca="1" si="3"/>
        <v>4616.1559975590662</v>
      </c>
      <c r="K25" s="44">
        <f t="shared" ca="1" si="3"/>
        <v>4587.620287386193</v>
      </c>
      <c r="L25" s="44">
        <f t="shared" ca="1" si="3"/>
        <v>4730.9997153425456</v>
      </c>
      <c r="M25" s="44">
        <f t="shared" ca="1" si="3"/>
        <v>4812.0161953665947</v>
      </c>
      <c r="N25" s="44">
        <f t="shared" ca="1" si="3"/>
        <v>4942.2829874865047</v>
      </c>
      <c r="O25" s="44">
        <f t="shared" ca="1" si="3"/>
        <v>4903.1661112971415</v>
      </c>
      <c r="P25" s="44">
        <f t="shared" ca="1" si="3"/>
        <v>4895.0181789585095</v>
      </c>
      <c r="Q25" s="44">
        <f t="shared" ca="1" si="3"/>
        <v>4860.5486279612005</v>
      </c>
      <c r="R25" s="44">
        <f t="shared" ca="1" si="3"/>
        <v>4845.2880210908506</v>
      </c>
      <c r="S25" s="44">
        <f t="shared" ca="1" si="3"/>
        <v>4809.6811978311216</v>
      </c>
      <c r="T25" s="44">
        <f t="shared" ca="1" si="3"/>
        <v>4707.9350026314614</v>
      </c>
      <c r="U25" s="44">
        <f t="shared" ca="1" si="3"/>
        <v>4633.2226381219107</v>
      </c>
      <c r="V25" s="44">
        <f t="shared" ca="1" si="3"/>
        <v>4526.5098502678684</v>
      </c>
      <c r="W25" s="44">
        <f t="shared" ca="1" si="3"/>
        <v>4509.2335133244196</v>
      </c>
      <c r="X25" s="44">
        <f t="shared" ca="1" si="3"/>
        <v>4488.69082465049</v>
      </c>
      <c r="Y25" s="44"/>
      <c r="AA25" s="44">
        <f t="shared" ca="1" si="4"/>
        <v>96798.6414652979</v>
      </c>
    </row>
    <row r="26" spans="1:27">
      <c r="A26" s="69">
        <f>INDEX([2]!ResApplic,MATCH($C$22,[2]APPLIC!$B$9:$B$120,0)+1,MATCH($C26,[2]APPLIC!$C$8:$F$8,0)+1)</f>
        <v>1</v>
      </c>
      <c r="B26" s="69">
        <f>VLOOKUP($C$8,[2]!NewSat,MATCH($C26,[2]SATS!$C$10:$F$10,0)+1,FALSE)</f>
        <v>1.1963734390534748</v>
      </c>
      <c r="C26" t="s">
        <v>54</v>
      </c>
      <c r="D26"/>
      <c r="E26" s="44">
        <f t="shared" ca="1" si="5"/>
        <v>2236.7103569604183</v>
      </c>
      <c r="F26" s="44">
        <f t="shared" ca="1" si="3"/>
        <v>2251.3311181371873</v>
      </c>
      <c r="G26" s="44">
        <f t="shared" ca="1" si="3"/>
        <v>2331.8921749883762</v>
      </c>
      <c r="H26" s="44">
        <f t="shared" ca="1" si="3"/>
        <v>2418.1056412499806</v>
      </c>
      <c r="I26" s="44">
        <f t="shared" ca="1" si="3"/>
        <v>2344.3011366562214</v>
      </c>
      <c r="J26" s="44">
        <f t="shared" ca="1" si="3"/>
        <v>2307.2976227617432</v>
      </c>
      <c r="K26" s="44">
        <f t="shared" ca="1" si="3"/>
        <v>2314.9396751256545</v>
      </c>
      <c r="L26" s="44">
        <f t="shared" ca="1" si="3"/>
        <v>2327.9778948198609</v>
      </c>
      <c r="M26" s="44">
        <f t="shared" ca="1" si="3"/>
        <v>2340.7523576003059</v>
      </c>
      <c r="N26" s="44">
        <f t="shared" ca="1" si="3"/>
        <v>2342.2290547022944</v>
      </c>
      <c r="O26" s="44">
        <f t="shared" ca="1" si="3"/>
        <v>2329.5829569443463</v>
      </c>
      <c r="P26" s="44">
        <f t="shared" ca="1" si="3"/>
        <v>2327.1299269923675</v>
      </c>
      <c r="Q26" s="44">
        <f t="shared" ca="1" si="3"/>
        <v>2330.4353110308048</v>
      </c>
      <c r="R26" s="44">
        <f t="shared" ca="1" si="3"/>
        <v>2333.0179170149963</v>
      </c>
      <c r="S26" s="44">
        <f t="shared" ca="1" si="3"/>
        <v>2333.8579207141865</v>
      </c>
      <c r="T26" s="44">
        <f t="shared" ca="1" si="3"/>
        <v>2332.7088478998326</v>
      </c>
      <c r="U26" s="44">
        <f t="shared" ca="1" si="3"/>
        <v>2331.1221467660894</v>
      </c>
      <c r="V26" s="44">
        <f t="shared" ca="1" si="3"/>
        <v>2331.3786784030467</v>
      </c>
      <c r="W26" s="44">
        <f t="shared" ca="1" si="3"/>
        <v>2332.0868036381594</v>
      </c>
      <c r="X26" s="44">
        <f t="shared" ca="1" si="3"/>
        <v>2332.3620524060516</v>
      </c>
      <c r="Y26" s="44"/>
      <c r="AA26" s="44">
        <f t="shared" ca="1" si="4"/>
        <v>46529.219594811919</v>
      </c>
    </row>
    <row r="27" spans="1:27">
      <c r="E27" s="44"/>
      <c r="F27" s="44"/>
      <c r="G27" s="44"/>
      <c r="H27" s="44"/>
      <c r="I27" s="44"/>
      <c r="J27" s="44"/>
      <c r="K27" s="44"/>
      <c r="L27" s="44"/>
      <c r="M27" s="44"/>
      <c r="N27" s="44"/>
      <c r="O27" s="44"/>
      <c r="P27" s="44"/>
      <c r="Q27" s="44"/>
      <c r="R27" s="44"/>
      <c r="S27" s="44"/>
      <c r="T27" s="44"/>
      <c r="U27" s="44"/>
      <c r="V27" s="44"/>
      <c r="W27" s="44"/>
      <c r="X27" s="44"/>
      <c r="Y27" s="44"/>
    </row>
    <row r="28" spans="1:27">
      <c r="E28" s="44">
        <f t="shared" ref="E28:X28" ca="1" si="6">SUM(E23:E26)</f>
        <v>111851.23455009281</v>
      </c>
      <c r="F28" s="44">
        <f t="shared" ca="1" si="6"/>
        <v>108115.50894275241</v>
      </c>
      <c r="G28" s="44">
        <f t="shared" ca="1" si="6"/>
        <v>104004.08114334558</v>
      </c>
      <c r="H28" s="44">
        <f t="shared" ca="1" si="6"/>
        <v>100683.04939054071</v>
      </c>
      <c r="I28" s="44">
        <f t="shared" ca="1" si="6"/>
        <v>97028.906075275401</v>
      </c>
      <c r="J28" s="44">
        <f t="shared" ca="1" si="6"/>
        <v>92884.906557634313</v>
      </c>
      <c r="K28" s="44">
        <f t="shared" ca="1" si="6"/>
        <v>90854.707652231431</v>
      </c>
      <c r="L28" s="44">
        <f t="shared" ca="1" si="6"/>
        <v>91085.31288212091</v>
      </c>
      <c r="M28" s="44">
        <f t="shared" ca="1" si="6"/>
        <v>91030.733370760601</v>
      </c>
      <c r="N28" s="44">
        <f t="shared" ca="1" si="6"/>
        <v>92852.864985735301</v>
      </c>
      <c r="O28" s="44">
        <f t="shared" ca="1" si="6"/>
        <v>93337.257068613093</v>
      </c>
      <c r="P28" s="44">
        <f t="shared" ca="1" si="6"/>
        <v>92508.389784299608</v>
      </c>
      <c r="Q28" s="44">
        <f t="shared" ca="1" si="6"/>
        <v>90833.372437923477</v>
      </c>
      <c r="R28" s="44">
        <f t="shared" ca="1" si="6"/>
        <v>90645.465111303041</v>
      </c>
      <c r="S28" s="44">
        <f t="shared" ca="1" si="6"/>
        <v>91069.477497712898</v>
      </c>
      <c r="T28" s="44">
        <f t="shared" ca="1" si="6"/>
        <v>90261.20301659136</v>
      </c>
      <c r="U28" s="44">
        <f t="shared" ca="1" si="6"/>
        <v>87768.722950223222</v>
      </c>
      <c r="V28" s="44">
        <f t="shared" ca="1" si="6"/>
        <v>87297.506073412675</v>
      </c>
      <c r="W28" s="44">
        <f t="shared" ca="1" si="6"/>
        <v>87040.848872436865</v>
      </c>
      <c r="X28" s="44">
        <f t="shared" ca="1" si="6"/>
        <v>87353.632005496111</v>
      </c>
      <c r="Y28" s="44"/>
      <c r="AA28" s="44">
        <f ca="1">SUM(E28:Y28)</f>
        <v>1878507.1803685019</v>
      </c>
    </row>
    <row r="29" spans="1:27">
      <c r="E29" s="44"/>
      <c r="F29" s="44"/>
      <c r="G29" s="44"/>
      <c r="H29" s="44"/>
      <c r="I29" s="44"/>
      <c r="J29" s="44"/>
      <c r="K29" s="44"/>
      <c r="L29" s="44"/>
      <c r="M29" s="44"/>
      <c r="N29" s="44"/>
      <c r="O29" s="44"/>
      <c r="P29" s="44"/>
      <c r="Q29" s="44"/>
      <c r="R29" s="44"/>
      <c r="S29" s="44"/>
      <c r="T29" s="44"/>
      <c r="U29" s="44"/>
      <c r="V29" s="44"/>
      <c r="W29" s="44"/>
      <c r="X29" s="44"/>
      <c r="Y29" s="44"/>
    </row>
    <row r="31" spans="1:27" ht="15.75" thickBot="1">
      <c r="A31" s="86" t="str">
        <f>CONCATENATE("# UNITS ACHIEVABLE BY YEAR FOR MEASURE - ",C32)</f>
        <v># UNITS ACHIEVABLE BY YEAR FOR MEASURE - Refrigerator - New</v>
      </c>
      <c r="B31" s="86"/>
      <c r="D31" s="70" t="s">
        <v>64</v>
      </c>
      <c r="E31" s="9">
        <v>3</v>
      </c>
      <c r="F31" s="9">
        <v>4</v>
      </c>
      <c r="G31" s="9">
        <v>5</v>
      </c>
      <c r="H31" s="9">
        <v>6</v>
      </c>
      <c r="I31" s="9">
        <v>7</v>
      </c>
      <c r="J31" s="9">
        <v>8</v>
      </c>
      <c r="K31" s="9">
        <v>9</v>
      </c>
      <c r="L31" s="9">
        <v>10</v>
      </c>
      <c r="M31" s="9">
        <v>11</v>
      </c>
      <c r="N31" s="9">
        <v>12</v>
      </c>
      <c r="O31" s="9">
        <v>13</v>
      </c>
      <c r="P31" s="9">
        <v>14</v>
      </c>
      <c r="Q31" s="9">
        <v>15</v>
      </c>
      <c r="R31" s="9">
        <v>16</v>
      </c>
      <c r="S31" s="9">
        <v>17</v>
      </c>
      <c r="T31" s="9">
        <v>18</v>
      </c>
      <c r="U31" s="9">
        <v>19</v>
      </c>
      <c r="V31" s="9">
        <v>20</v>
      </c>
      <c r="W31" s="9">
        <v>21</v>
      </c>
      <c r="X31" s="9">
        <v>22</v>
      </c>
    </row>
    <row r="32" spans="1:27" ht="15.75" thickBot="1">
      <c r="C32" s="68" t="str">
        <f>CONCATENATE(C8," - ",C7)</f>
        <v>Refrigerator - New</v>
      </c>
      <c r="D32" s="68"/>
      <c r="E32" s="71">
        <f>VLOOKUP($C$32,[2]ACHIEV!$B$9:$X$100,MATCH(E$11,$E$11:$Y$11,0)+2,FALSE)</f>
        <v>2.5643970768378654E-3</v>
      </c>
      <c r="F32" s="71">
        <f>VLOOKUP($C$32,[2]ACHIEV!$B$9:$X$100,MATCH(F$11,$E$11:$Y$11,0)+2,FALSE)</f>
        <v>7.6904586297764643E-3</v>
      </c>
      <c r="G32" s="71">
        <f>VLOOKUP($C$32,[2]ACHIEV!$B$9:$X$100,MATCH(G$11,$E$11:$Y$11,0)+2,FALSE)</f>
        <v>1.6792013047419844E-2</v>
      </c>
      <c r="H32" s="71">
        <f>VLOOKUP($C$32,[2]ACHIEV!$B$9:$X$100,MATCH(H$11,$E$11:$Y$11,0)+2,FALSE)</f>
        <v>3.15969387774655E-2</v>
      </c>
      <c r="I32" s="71">
        <f>VLOOKUP($C$32,[2]ACHIEV!$B$9:$X$100,MATCH(I$11,$E$11:$Y$11,0)+2,FALSE)</f>
        <v>5.406874819795171E-2</v>
      </c>
      <c r="J32" s="71">
        <f>VLOOKUP($C$32,[2]ACHIEV!$B$9:$X$100,MATCH(J$11,$E$11:$Y$11,0)+2,FALSE)</f>
        <v>8.6253181011834101E-2</v>
      </c>
      <c r="K32" s="71">
        <f>VLOOKUP($C$32,[2]ACHIEV!$B$9:$X$100,MATCH(K$11,$E$11:$Y$11,0)+2,FALSE)</f>
        <v>0.1300328481838382</v>
      </c>
      <c r="L32" s="71">
        <f>VLOOKUP($C$32,[2]ACHIEV!$B$9:$X$100,MATCH(L$11,$E$11:$Y$11,0)+2,FALSE)</f>
        <v>0.18678710893858319</v>
      </c>
      <c r="M32" s="71">
        <f>VLOOKUP($C$32,[2]ACHIEV!$B$9:$X$100,MATCH(M$11,$E$11:$Y$11,0)+2,FALSE)</f>
        <v>0.2569823480072907</v>
      </c>
      <c r="N32" s="71">
        <f>VLOOKUP($C$32,[2]ACHIEV!$B$9:$X$100,MATCH(N$11,$E$11:$Y$11,0)+2,FALSE)</f>
        <v>0.33975920985004748</v>
      </c>
      <c r="O32" s="71">
        <f>VLOOKUP($C$32,[2]ACHIEV!$B$9:$X$100,MATCH(O$11,$E$11:$Y$11,0)+2,FALSE)</f>
        <v>0.43262946935754232</v>
      </c>
      <c r="P32" s="71">
        <f>VLOOKUP($C$32,[2]ACHIEV!$B$9:$X$100,MATCH(P$11,$E$11:$Y$11,0)+2,FALSE)</f>
        <v>0.53142594003645804</v>
      </c>
      <c r="Q32" s="71">
        <f>VLOOKUP($C$32,[2]ACHIEV!$B$9:$X$100,MATCH(Q$11,$E$11:$Y$11,0)+2,FALSE)</f>
        <v>0.63063487292644704</v>
      </c>
      <c r="R32" s="71">
        <f>VLOOKUP($C$32,[2]ACHIEV!$B$9:$X$100,MATCH(R$11,$E$11:$Y$11,0)+2,FALSE)</f>
        <v>0.7241560234206913</v>
      </c>
      <c r="S32" s="71">
        <f>VLOOKUP($C$32,[2]ACHIEV!$B$9:$X$100,MATCH(S$11,$E$11:$Y$11,0)+2,FALSE)</f>
        <v>0.80638203131755359</v>
      </c>
      <c r="T32" s="71">
        <f>VLOOKUP($C$32,[2]ACHIEV!$B$9:$X$100,MATCH(T$11,$E$11:$Y$11,0)+2,FALSE)</f>
        <v>0.87331559734491926</v>
      </c>
      <c r="U32" s="71">
        <f>VLOOKUP($C$32,[2]ACHIEV!$B$9:$X$100,MATCH(U$11,$E$11:$Y$11,0)+2,FALSE)</f>
        <v>0.92334516248836807</v>
      </c>
      <c r="V32" s="71">
        <f>VLOOKUP($C$32,[2]ACHIEV!$B$9:$X$100,MATCH(V$11,$E$11:$Y$11,0)+2,FALSE)</f>
        <v>0.95737002770730018</v>
      </c>
      <c r="W32" s="71">
        <f>VLOOKUP($C$32,[2]ACHIEV!$B$9:$X$100,MATCH(W$11,$E$11:$Y$11,0)+2,FALSE)</f>
        <v>0.97821608704807483</v>
      </c>
      <c r="X32" s="71">
        <f>VLOOKUP($C$32,[2]ACHIEV!$B$9:$X$100,MATCH(X$11,$E$11:$Y$11,0)+2,FALSE)</f>
        <v>0.98821608704807484</v>
      </c>
      <c r="Y32" s="71"/>
      <c r="AA32" s="462">
        <v>0.85</v>
      </c>
    </row>
    <row r="33" spans="1:80">
      <c r="C33" s="9" t="str">
        <f>C23</f>
        <v>Single Family</v>
      </c>
      <c r="E33" s="44">
        <f ca="1">E23*E$32*$AA$32</f>
        <v>175.32633254303215</v>
      </c>
      <c r="F33" s="44">
        <f t="shared" ref="F33:X33" ca="1" si="7">F23*F$32*$AA$32</f>
        <v>502.94413803984708</v>
      </c>
      <c r="G33" s="44">
        <f t="shared" ca="1" si="7"/>
        <v>1040.8881496902168</v>
      </c>
      <c r="H33" s="44">
        <f t="shared" ca="1" si="7"/>
        <v>1894.8888880084926</v>
      </c>
      <c r="I33" s="44">
        <f t="shared" ca="1" si="7"/>
        <v>3155.3951274364554</v>
      </c>
      <c r="J33" s="44">
        <f t="shared" ca="1" si="7"/>
        <v>4796.0687717503142</v>
      </c>
      <c r="K33" s="44">
        <f t="shared" ca="1" si="7"/>
        <v>7028.9747741711644</v>
      </c>
      <c r="L33" s="44">
        <f t="shared" ca="1" si="7"/>
        <v>10048.534704554897</v>
      </c>
      <c r="M33" s="44">
        <f t="shared" ca="1" si="7"/>
        <v>13682.215407530892</v>
      </c>
      <c r="N33" s="44">
        <f t="shared" ca="1" si="7"/>
        <v>18410.866938290972</v>
      </c>
      <c r="O33" s="44">
        <f t="shared" ca="1" si="7"/>
        <v>23606.998778764853</v>
      </c>
      <c r="P33" s="44">
        <f t="shared" ca="1" si="7"/>
        <v>28625.632495914379</v>
      </c>
      <c r="Q33" s="44">
        <f t="shared" ca="1" si="7"/>
        <v>33069.644086753455</v>
      </c>
      <c r="R33" s="44">
        <f t="shared" ca="1" si="7"/>
        <v>38013.025099203005</v>
      </c>
      <c r="S33" s="44">
        <f t="shared" ca="1" si="7"/>
        <v>42823.156702434302</v>
      </c>
      <c r="T33" s="44">
        <f t="shared" ca="1" si="7"/>
        <v>46179.844901922057</v>
      </c>
      <c r="U33" s="44">
        <f t="shared" ca="1" si="7"/>
        <v>47210.153550381001</v>
      </c>
      <c r="V33" s="44">
        <f t="shared" ca="1" si="7"/>
        <v>48866.060292517257</v>
      </c>
      <c r="W33" s="44">
        <f t="shared" ca="1" si="7"/>
        <v>50056.885590510101</v>
      </c>
      <c r="X33" s="44">
        <f t="shared" ca="1" si="7"/>
        <v>50911.90564168636</v>
      </c>
      <c r="Y33" s="44"/>
      <c r="AA33" s="44">
        <f ca="1">SUM(E33:Y33)</f>
        <v>470099.41037210298</v>
      </c>
    </row>
    <row r="34" spans="1:80">
      <c r="C34" s="9" t="str">
        <f>C24</f>
        <v>Multifamily - Low Rise</v>
      </c>
      <c r="E34" s="44">
        <f t="shared" ref="E34:X34" ca="1" si="8">E24*E$32*$AA$32</f>
        <v>51.943652499448071</v>
      </c>
      <c r="F34" s="44">
        <f t="shared" ca="1" si="8"/>
        <v>154.01627201055646</v>
      </c>
      <c r="G34" s="44">
        <f t="shared" ca="1" si="8"/>
        <v>333.28551043373847</v>
      </c>
      <c r="H34" s="44">
        <f t="shared" ca="1" si="8"/>
        <v>607.181026861703</v>
      </c>
      <c r="I34" s="44">
        <f t="shared" ca="1" si="8"/>
        <v>979.35474425087637</v>
      </c>
      <c r="J34" s="44">
        <f t="shared" ca="1" si="8"/>
        <v>1506.2126744556908</v>
      </c>
      <c r="K34" s="44">
        <f t="shared" ca="1" si="8"/>
        <v>2250.0815697866351</v>
      </c>
      <c r="L34" s="44">
        <f t="shared" ca="1" si="8"/>
        <v>3292.2460995753463</v>
      </c>
      <c r="M34" s="44">
        <f t="shared" ca="1" si="8"/>
        <v>4639.6674856762229</v>
      </c>
      <c r="N34" s="44">
        <f t="shared" ca="1" si="8"/>
        <v>6300.873648337968</v>
      </c>
      <c r="O34" s="44">
        <f t="shared" ca="1" si="8"/>
        <v>8056.6466859042212</v>
      </c>
      <c r="P34" s="44">
        <f t="shared" ca="1" si="8"/>
        <v>9899.1904867646954</v>
      </c>
      <c r="Q34" s="44">
        <f t="shared" ca="1" si="8"/>
        <v>11765.991899191487</v>
      </c>
      <c r="R34" s="44">
        <f t="shared" ca="1" si="8"/>
        <v>13363.734062918698</v>
      </c>
      <c r="S34" s="44">
        <f t="shared" ca="1" si="8"/>
        <v>14701.756667426947</v>
      </c>
      <c r="T34" s="44">
        <f t="shared" ca="1" si="8"/>
        <v>15596.295586640996</v>
      </c>
      <c r="U34" s="44">
        <f t="shared" ca="1" si="8"/>
        <v>16208.628383435542</v>
      </c>
      <c r="V34" s="44">
        <f t="shared" ca="1" si="8"/>
        <v>16592.846753420665</v>
      </c>
      <c r="W34" s="44">
        <f t="shared" ca="1" si="8"/>
        <v>16627.71306513084</v>
      </c>
      <c r="X34" s="44">
        <f t="shared" ca="1" si="8"/>
        <v>16734.146050580253</v>
      </c>
      <c r="Y34" s="44"/>
      <c r="AA34" s="44">
        <f t="shared" ref="AA34:AA36" ca="1" si="9">SUM(E34:Y34)</f>
        <v>159661.81232530254</v>
      </c>
    </row>
    <row r="35" spans="1:80">
      <c r="C35" s="9" t="s">
        <v>53</v>
      </c>
      <c r="E35" s="44">
        <f t="shared" ref="E35:X35" ca="1" si="10">E25*E$32*$AA$32</f>
        <v>11.660905564385644</v>
      </c>
      <c r="F35" s="44">
        <f t="shared" ca="1" si="10"/>
        <v>35.062057894773403</v>
      </c>
      <c r="G35" s="44">
        <f t="shared" ca="1" si="10"/>
        <v>77.014955034976225</v>
      </c>
      <c r="H35" s="44">
        <f t="shared" ca="1" si="10"/>
        <v>137.07078500462049</v>
      </c>
      <c r="I35" s="44">
        <f t="shared" ca="1" si="10"/>
        <v>216.80648156409291</v>
      </c>
      <c r="J35" s="44">
        <f t="shared" ca="1" si="10"/>
        <v>338.43441801087687</v>
      </c>
      <c r="K35" s="44">
        <f t="shared" ca="1" si="10"/>
        <v>507.06013250156724</v>
      </c>
      <c r="L35" s="44">
        <f t="shared" ca="1" si="10"/>
        <v>751.13629533537994</v>
      </c>
      <c r="M35" s="44">
        <f t="shared" ca="1" si="10"/>
        <v>1051.1127374542546</v>
      </c>
      <c r="N35" s="44">
        <f t="shared" ca="1" si="10"/>
        <v>1427.3082382811849</v>
      </c>
      <c r="O35" s="44">
        <f t="shared" ca="1" si="10"/>
        <v>1803.0660299670114</v>
      </c>
      <c r="P35" s="44">
        <f t="shared" ca="1" si="10"/>
        <v>2211.1386916612901</v>
      </c>
      <c r="Q35" s="44">
        <f t="shared" ca="1" si="10"/>
        <v>2605.4467463950591</v>
      </c>
      <c r="R35" s="44">
        <f t="shared" ca="1" si="10"/>
        <v>2982.432829828902</v>
      </c>
      <c r="S35" s="44">
        <f t="shared" ca="1" si="10"/>
        <v>3296.6744201523684</v>
      </c>
      <c r="T35" s="44">
        <f t="shared" ca="1" si="10"/>
        <v>3494.7861087215265</v>
      </c>
      <c r="U35" s="44">
        <f t="shared" ca="1" si="10"/>
        <v>3636.3541531952419</v>
      </c>
      <c r="V35" s="44">
        <f t="shared" ca="1" si="10"/>
        <v>3683.5131316530687</v>
      </c>
      <c r="W35" s="44">
        <f t="shared" ca="1" si="10"/>
        <v>3749.3540485417179</v>
      </c>
      <c r="X35" s="44">
        <f t="shared" ca="1" si="10"/>
        <v>3770.4270102989981</v>
      </c>
      <c r="Y35" s="44"/>
      <c r="AA35" s="44">
        <f t="shared" ca="1" si="9"/>
        <v>35785.860177061302</v>
      </c>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row>
    <row r="36" spans="1:80">
      <c r="C36" s="9" t="str">
        <f>C26</f>
        <v>Manufactured</v>
      </c>
      <c r="E36" s="44">
        <f t="shared" ref="E36:X36" ca="1" si="11">E26*E$32*$AA$32</f>
        <v>4.8754414759539344</v>
      </c>
      <c r="F36" s="44">
        <f t="shared" ca="1" si="11"/>
        <v>14.716703502068066</v>
      </c>
      <c r="G36" s="44">
        <f t="shared" ca="1" si="11"/>
        <v>33.283589253443893</v>
      </c>
      <c r="H36" s="44">
        <f t="shared" ca="1" si="11"/>
        <v>64.944025518416652</v>
      </c>
      <c r="I36" s="44">
        <f t="shared" ca="1" si="11"/>
        <v>107.74041367933162</v>
      </c>
      <c r="J36" s="44">
        <f t="shared" ca="1" si="11"/>
        <v>169.15999557860667</v>
      </c>
      <c r="K36" s="44">
        <f t="shared" ca="1" si="11"/>
        <v>255.86546943080427</v>
      </c>
      <c r="L36" s="44">
        <f t="shared" ca="1" si="11"/>
        <v>369.61082154938128</v>
      </c>
      <c r="M36" s="44">
        <f t="shared" ca="1" si="11"/>
        <v>511.30223141576874</v>
      </c>
      <c r="N36" s="44">
        <f t="shared" ca="1" si="11"/>
        <v>676.42480897645396</v>
      </c>
      <c r="O36" s="44">
        <f t="shared" ca="1" si="11"/>
        <v>856.66930271412582</v>
      </c>
      <c r="P36" s="44">
        <f t="shared" ca="1" si="11"/>
        <v>1051.1926276830588</v>
      </c>
      <c r="Q36" s="44">
        <f t="shared" ca="1" si="11"/>
        <v>1249.2057097999341</v>
      </c>
      <c r="R36" s="44">
        <f t="shared" ca="1" si="11"/>
        <v>1436.0486307515835</v>
      </c>
      <c r="S36" s="44">
        <f t="shared" ca="1" si="11"/>
        <v>1599.6839272752575</v>
      </c>
      <c r="T36" s="44">
        <f t="shared" ca="1" si="11"/>
        <v>1731.6123677951075</v>
      </c>
      <c r="U36" s="44">
        <f t="shared" ca="1" si="11"/>
        <v>1829.5658037780731</v>
      </c>
      <c r="V36" s="44">
        <f t="shared" ca="1" si="11"/>
        <v>1897.1932594480934</v>
      </c>
      <c r="W36" s="44">
        <f t="shared" ca="1" si="11"/>
        <v>1939.0921035546662</v>
      </c>
      <c r="X36" s="44">
        <f t="shared" ca="1" si="11"/>
        <v>1959.1460458569065</v>
      </c>
      <c r="Y36" s="44"/>
      <c r="AA36" s="44">
        <f t="shared" ca="1" si="9"/>
        <v>17757.333279037033</v>
      </c>
    </row>
    <row r="37" spans="1:80">
      <c r="E37" s="44"/>
      <c r="F37" s="44"/>
      <c r="G37" s="44"/>
      <c r="H37" s="44"/>
      <c r="I37" s="44"/>
      <c r="J37" s="44"/>
      <c r="K37" s="44"/>
      <c r="L37" s="44"/>
      <c r="M37" s="44"/>
      <c r="N37" s="44"/>
      <c r="O37" s="44"/>
      <c r="P37" s="44"/>
      <c r="Q37" s="44"/>
      <c r="R37" s="44"/>
      <c r="S37" s="44"/>
      <c r="T37" s="44"/>
      <c r="U37" s="44"/>
      <c r="V37" s="44"/>
      <c r="W37" s="44"/>
      <c r="X37" s="44"/>
      <c r="Y37" s="44"/>
    </row>
    <row r="38" spans="1:80">
      <c r="E38" s="44">
        <f t="shared" ref="E38:X38" ca="1" si="12">SUM(E33:E36)</f>
        <v>243.80633208281978</v>
      </c>
      <c r="F38" s="44">
        <f t="shared" ca="1" si="12"/>
        <v>706.73917144724498</v>
      </c>
      <c r="G38" s="44">
        <f t="shared" ca="1" si="12"/>
        <v>1484.4722044123755</v>
      </c>
      <c r="H38" s="44">
        <f t="shared" ca="1" si="12"/>
        <v>2704.0847253932329</v>
      </c>
      <c r="I38" s="44">
        <f t="shared" ca="1" si="12"/>
        <v>4459.2967669307563</v>
      </c>
      <c r="J38" s="44">
        <f t="shared" ca="1" si="12"/>
        <v>6809.8758597954884</v>
      </c>
      <c r="K38" s="44">
        <f t="shared" ca="1" si="12"/>
        <v>10041.981945890171</v>
      </c>
      <c r="L38" s="44">
        <f t="shared" ca="1" si="12"/>
        <v>14461.527921015004</v>
      </c>
      <c r="M38" s="44">
        <f t="shared" ca="1" si="12"/>
        <v>19884.297862077139</v>
      </c>
      <c r="N38" s="44">
        <f t="shared" ca="1" si="12"/>
        <v>26815.473633886581</v>
      </c>
      <c r="O38" s="44">
        <f t="shared" ca="1" si="12"/>
        <v>34323.380797350212</v>
      </c>
      <c r="P38" s="44">
        <f t="shared" ca="1" si="12"/>
        <v>41787.154302023424</v>
      </c>
      <c r="Q38" s="44">
        <f t="shared" ca="1" si="12"/>
        <v>48690.288442139936</v>
      </c>
      <c r="R38" s="44">
        <f t="shared" ca="1" si="12"/>
        <v>55795.240622702186</v>
      </c>
      <c r="S38" s="44">
        <f t="shared" ca="1" si="12"/>
        <v>62421.271717288873</v>
      </c>
      <c r="T38" s="44">
        <f t="shared" ca="1" si="12"/>
        <v>67002.538965079686</v>
      </c>
      <c r="U38" s="44">
        <f t="shared" ca="1" si="12"/>
        <v>68884.701890789845</v>
      </c>
      <c r="V38" s="44">
        <f t="shared" ca="1" si="12"/>
        <v>71039.613437039079</v>
      </c>
      <c r="W38" s="44">
        <f t="shared" ca="1" si="12"/>
        <v>72373.044807737315</v>
      </c>
      <c r="X38" s="44">
        <f t="shared" ca="1" si="12"/>
        <v>73375.624748422517</v>
      </c>
      <c r="Y38" s="44"/>
      <c r="AA38" s="44">
        <f ca="1">SUM(E38:Y38)</f>
        <v>683304.41615350393</v>
      </c>
    </row>
    <row r="40" spans="1:80">
      <c r="AA40"/>
      <c r="AB40"/>
      <c r="AC40"/>
      <c r="AD40"/>
    </row>
    <row r="41" spans="1:80" ht="15">
      <c r="A41" s="67" t="s">
        <v>65</v>
      </c>
      <c r="C41" s="72" t="str">
        <f>C8</f>
        <v>Refrigerator</v>
      </c>
      <c r="D41" s="72"/>
      <c r="E41" s="72" t="s">
        <v>4720</v>
      </c>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ht="15">
      <c r="A42" s="68" t="s">
        <v>66</v>
      </c>
      <c r="B42" s="68" t="s">
        <v>24</v>
      </c>
      <c r="C42" s="68">
        <v>1</v>
      </c>
      <c r="D42" s="68"/>
      <c r="E42" s="73">
        <f t="shared" ref="E42:X42" si="13">E11</f>
        <v>2016</v>
      </c>
      <c r="F42" s="73">
        <f t="shared" si="13"/>
        <v>2017</v>
      </c>
      <c r="G42" s="73">
        <f t="shared" si="13"/>
        <v>2018</v>
      </c>
      <c r="H42" s="73">
        <f t="shared" si="13"/>
        <v>2019</v>
      </c>
      <c r="I42" s="73">
        <f t="shared" si="13"/>
        <v>2020</v>
      </c>
      <c r="J42" s="73">
        <f t="shared" si="13"/>
        <v>2021</v>
      </c>
      <c r="K42" s="73">
        <f t="shared" si="13"/>
        <v>2022</v>
      </c>
      <c r="L42" s="73">
        <f t="shared" si="13"/>
        <v>2023</v>
      </c>
      <c r="M42" s="73">
        <f t="shared" si="13"/>
        <v>2024</v>
      </c>
      <c r="N42" s="73">
        <f t="shared" si="13"/>
        <v>2025</v>
      </c>
      <c r="O42" s="73">
        <f t="shared" si="13"/>
        <v>2026</v>
      </c>
      <c r="P42" s="73">
        <f t="shared" si="13"/>
        <v>2027</v>
      </c>
      <c r="Q42" s="73">
        <f t="shared" si="13"/>
        <v>2028</v>
      </c>
      <c r="R42" s="73">
        <f t="shared" si="13"/>
        <v>2029</v>
      </c>
      <c r="S42" s="73">
        <f t="shared" si="13"/>
        <v>2030</v>
      </c>
      <c r="T42" s="73">
        <f t="shared" si="13"/>
        <v>2031</v>
      </c>
      <c r="U42" s="73">
        <f t="shared" si="13"/>
        <v>2032</v>
      </c>
      <c r="V42" s="73">
        <f t="shared" si="13"/>
        <v>2033</v>
      </c>
      <c r="W42" s="73">
        <f t="shared" si="13"/>
        <v>2034</v>
      </c>
      <c r="X42" s="73">
        <f t="shared" si="13"/>
        <v>2035</v>
      </c>
      <c r="Y42" s="74" t="s">
        <v>151</v>
      </c>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row>
    <row r="43" spans="1:80" ht="15">
      <c r="A43" s="68" t="s">
        <v>46</v>
      </c>
      <c r="B43" s="68" t="s">
        <v>67</v>
      </c>
      <c r="C43" s="68" t="s">
        <v>68</v>
      </c>
      <c r="D43" s="68" t="s">
        <v>69</v>
      </c>
      <c r="E43" s="75" t="str">
        <f>CONCATENATE("aMW_",E42)</f>
        <v>aMW_2016</v>
      </c>
      <c r="F43" s="75" t="str">
        <f t="shared" ref="F43:X43" si="14">CONCATENATE("aMW_",F42)</f>
        <v>aMW_2017</v>
      </c>
      <c r="G43" s="75" t="str">
        <f t="shared" si="14"/>
        <v>aMW_2018</v>
      </c>
      <c r="H43" s="75" t="str">
        <f t="shared" si="14"/>
        <v>aMW_2019</v>
      </c>
      <c r="I43" s="75" t="str">
        <f t="shared" si="14"/>
        <v>aMW_2020</v>
      </c>
      <c r="J43" s="75" t="str">
        <f t="shared" si="14"/>
        <v>aMW_2021</v>
      </c>
      <c r="K43" s="75" t="str">
        <f t="shared" si="14"/>
        <v>aMW_2022</v>
      </c>
      <c r="L43" s="75" t="str">
        <f t="shared" si="14"/>
        <v>aMW_2023</v>
      </c>
      <c r="M43" s="75" t="str">
        <f t="shared" si="14"/>
        <v>aMW_2024</v>
      </c>
      <c r="N43" s="75" t="str">
        <f t="shared" si="14"/>
        <v>aMW_2025</v>
      </c>
      <c r="O43" s="75" t="str">
        <f t="shared" si="14"/>
        <v>aMW_2026</v>
      </c>
      <c r="P43" s="75" t="str">
        <f t="shared" si="14"/>
        <v>aMW_2027</v>
      </c>
      <c r="Q43" s="75" t="str">
        <f t="shared" si="14"/>
        <v>aMW_2028</v>
      </c>
      <c r="R43" s="75" t="str">
        <f t="shared" si="14"/>
        <v>aMW_2029</v>
      </c>
      <c r="S43" s="75" t="str">
        <f t="shared" si="14"/>
        <v>aMW_2030</v>
      </c>
      <c r="T43" s="75" t="str">
        <f t="shared" si="14"/>
        <v>aMW_2031</v>
      </c>
      <c r="U43" s="75" t="str">
        <f t="shared" si="14"/>
        <v>aMW_2032</v>
      </c>
      <c r="V43" s="75" t="str">
        <f t="shared" si="14"/>
        <v>aMW_2033</v>
      </c>
      <c r="W43" s="75" t="str">
        <f t="shared" si="14"/>
        <v>aMW_2034</v>
      </c>
      <c r="X43" s="75" t="str">
        <f t="shared" si="14"/>
        <v>aMW_2035</v>
      </c>
      <c r="Y43" s="76" t="s">
        <v>151</v>
      </c>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row>
    <row r="44" spans="1:80">
      <c r="A44" s="77">
        <f t="shared" ref="A44:A55" si="15">VLOOKUP($D44,MeasureOutput,3,FALSE)</f>
        <v>10.2023264489233</v>
      </c>
      <c r="B44" s="77">
        <f t="shared" ref="B44:B55" si="16">VLOOKUP($D44,MeasureOutput,11,FALSE)</f>
        <v>311.29143633214102</v>
      </c>
      <c r="C44" s="9" t="str">
        <f>C13</f>
        <v>Single Family</v>
      </c>
      <c r="D44" t="s">
        <v>4683</v>
      </c>
      <c r="E44" s="38">
        <f ca="1">VLOOKUP($C44,$C$33:$Y$36,E$31,FALSE)*$C$42*$A44/8760/1000</f>
        <v>2.0419366206581035E-4</v>
      </c>
      <c r="F44" s="38">
        <f t="shared" ref="F44:U55" ca="1" si="17">VLOOKUP($C44,$C$33:$Y$36,F$31,FALSE)*$C$42*$A44/8760/1000</f>
        <v>5.8575345683274682E-4</v>
      </c>
      <c r="G44" s="38">
        <f t="shared" ca="1" si="17"/>
        <v>1.2122694862962708E-3</v>
      </c>
      <c r="H44" s="38">
        <f t="shared" ca="1" si="17"/>
        <v>2.2068807100342359E-3</v>
      </c>
      <c r="I44" s="38">
        <f t="shared" ca="1" si="17"/>
        <v>3.6749282152338646E-3</v>
      </c>
      <c r="J44" s="38">
        <f t="shared" ca="1" si="17"/>
        <v>5.5857373608314284E-3</v>
      </c>
      <c r="K44" s="38">
        <f t="shared" ca="1" si="17"/>
        <v>8.1862894117969345E-3</v>
      </c>
      <c r="L44" s="38">
        <f t="shared" ca="1" si="17"/>
        <v>1.1703017281872613E-2</v>
      </c>
      <c r="M44" s="38">
        <f t="shared" ca="1" si="17"/>
        <v>1.5934980380378803E-2</v>
      </c>
      <c r="N44" s="38">
        <f t="shared" ca="1" si="17"/>
        <v>2.1442200309604281E-2</v>
      </c>
      <c r="O44" s="38">
        <f t="shared" ca="1" si="17"/>
        <v>2.7493870778572228E-2</v>
      </c>
      <c r="P44" s="38">
        <f t="shared" ca="1" si="17"/>
        <v>3.3338818211212963E-2</v>
      </c>
      <c r="Q44" s="38">
        <f t="shared" ca="1" si="17"/>
        <v>3.8514532479767667E-2</v>
      </c>
      <c r="R44" s="38">
        <f t="shared" ca="1" si="17"/>
        <v>4.4271836914747044E-2</v>
      </c>
      <c r="S44" s="38">
        <f t="shared" ca="1" si="17"/>
        <v>4.9873952540140702E-2</v>
      </c>
      <c r="T44" s="38">
        <f t="shared" ca="1" si="17"/>
        <v>5.3783316558225477E-2</v>
      </c>
      <c r="U44" s="38">
        <f t="shared" ca="1" si="17"/>
        <v>5.4983264637532232E-2</v>
      </c>
      <c r="V44" s="38">
        <f t="shared" ref="V44:X55" ca="1" si="18">VLOOKUP($C44,$C$33:$Y$36,V$31,FALSE)*$C$42*$A44/8760/1000</f>
        <v>5.691181499737779E-2</v>
      </c>
      <c r="W44" s="38">
        <f t="shared" ca="1" si="18"/>
        <v>5.8298708654199637E-2</v>
      </c>
      <c r="X44" s="38">
        <f t="shared" ca="1" si="18"/>
        <v>5.9294507019779015E-2</v>
      </c>
      <c r="Y44" s="38">
        <f ca="1">SUM(E44:X44)</f>
        <v>0.54750087306650175</v>
      </c>
      <c r="AA44" s="38">
        <f ca="1">SUM(E44:X44)</f>
        <v>0.54750087306650175</v>
      </c>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row>
    <row r="45" spans="1:80">
      <c r="A45" s="77">
        <f t="shared" si="15"/>
        <v>34.837179731806977</v>
      </c>
      <c r="B45" s="77">
        <f t="shared" si="16"/>
        <v>315.46947603880625</v>
      </c>
      <c r="C45" s="9" t="str">
        <f>C44</f>
        <v>Single Family</v>
      </c>
      <c r="D45" t="s">
        <v>4684</v>
      </c>
      <c r="E45" s="38">
        <f t="shared" ref="E45:E55" ca="1" si="19">VLOOKUP($C45,$C$33:$Y$36,E$31,FALSE)*$C$42*$A45/8760/1000</f>
        <v>6.9724599983106959E-4</v>
      </c>
      <c r="F45" s="38">
        <f t="shared" ca="1" si="17"/>
        <v>2.0001318872092341E-3</v>
      </c>
      <c r="G45" s="38">
        <f t="shared" ca="1" si="17"/>
        <v>4.139452916834028E-3</v>
      </c>
      <c r="H45" s="38">
        <f t="shared" ca="1" si="17"/>
        <v>7.5356831921638947E-3</v>
      </c>
      <c r="I45" s="38">
        <f t="shared" ca="1" si="17"/>
        <v>1.2548523650613217E-2</v>
      </c>
      <c r="J45" s="38">
        <f t="shared" ca="1" si="17"/>
        <v>1.9073231713193202E-2</v>
      </c>
      <c r="K45" s="38">
        <f t="shared" ca="1" si="17"/>
        <v>2.7953157253212128E-2</v>
      </c>
      <c r="L45" s="38">
        <f t="shared" ca="1" si="17"/>
        <v>3.9961485107748732E-2</v>
      </c>
      <c r="M45" s="38">
        <f t="shared" ca="1" si="17"/>
        <v>5.4412077315234286E-2</v>
      </c>
      <c r="N45" s="38">
        <f t="shared" ca="1" si="17"/>
        <v>7.3217200975756333E-2</v>
      </c>
      <c r="O45" s="38">
        <f t="shared" ca="1" si="17"/>
        <v>9.3881422304152862E-2</v>
      </c>
      <c r="P45" s="38">
        <f t="shared" ca="1" si="17"/>
        <v>0.11383976075306204</v>
      </c>
      <c r="Q45" s="38">
        <f t="shared" ca="1" si="17"/>
        <v>0.13151291492204545</v>
      </c>
      <c r="R45" s="38">
        <f t="shared" ca="1" si="17"/>
        <v>0.15117198487792521</v>
      </c>
      <c r="S45" s="38">
        <f t="shared" ca="1" si="17"/>
        <v>0.17030114232032403</v>
      </c>
      <c r="T45" s="38">
        <f t="shared" ca="1" si="17"/>
        <v>0.18365017772091652</v>
      </c>
      <c r="U45" s="38">
        <f t="shared" ca="1" si="17"/>
        <v>0.18774755758000322</v>
      </c>
      <c r="V45" s="38">
        <f t="shared" ca="1" si="18"/>
        <v>0.19433284534197945</v>
      </c>
      <c r="W45" s="38">
        <f t="shared" ca="1" si="18"/>
        <v>0.19906857535743142</v>
      </c>
      <c r="X45" s="38">
        <f t="shared" ca="1" si="18"/>
        <v>0.20246885928404398</v>
      </c>
      <c r="Y45" s="38">
        <f t="shared" ref="Y45:Y55" ca="1" si="20">SUM(E45:X45)</f>
        <v>1.8695134304736802</v>
      </c>
      <c r="AA45" s="38">
        <f t="shared" ref="AA45:AA55" ca="1" si="21">SUM(E45:X45)</f>
        <v>1.8695134304736802</v>
      </c>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row>
    <row r="46" spans="1:80">
      <c r="A46" s="77">
        <f t="shared" si="15"/>
        <v>60.745261234907062</v>
      </c>
      <c r="B46" s="77">
        <f t="shared" si="16"/>
        <v>170.87222615492539</v>
      </c>
      <c r="C46" s="9" t="str">
        <f>C44</f>
        <v>Single Family</v>
      </c>
      <c r="D46" t="s">
        <v>4685</v>
      </c>
      <c r="E46" s="38">
        <f t="shared" ca="1" si="19"/>
        <v>1.2157812638909447E-3</v>
      </c>
      <c r="F46" s="38">
        <f t="shared" ca="1" si="17"/>
        <v>3.4876110789721086E-3</v>
      </c>
      <c r="G46" s="38">
        <f t="shared" ca="1" si="17"/>
        <v>7.2179249508277695E-3</v>
      </c>
      <c r="H46" s="38">
        <f t="shared" ca="1" si="17"/>
        <v>1.3139899601963292E-2</v>
      </c>
      <c r="I46" s="38">
        <f t="shared" ca="1" si="17"/>
        <v>2.1880742159301411E-2</v>
      </c>
      <c r="J46" s="38">
        <f t="shared" ca="1" si="17"/>
        <v>3.3257813977232042E-2</v>
      </c>
      <c r="K46" s="38">
        <f t="shared" ca="1" si="17"/>
        <v>4.8741656263767037E-2</v>
      </c>
      <c r="L46" s="38">
        <f t="shared" ca="1" si="17"/>
        <v>6.9680464116006494E-2</v>
      </c>
      <c r="M46" s="38">
        <f t="shared" ca="1" si="17"/>
        <v>9.4877825251453704E-2</v>
      </c>
      <c r="N46" s="38">
        <f t="shared" ca="1" si="17"/>
        <v>0.12766814174972588</v>
      </c>
      <c r="O46" s="38">
        <f t="shared" ca="1" si="17"/>
        <v>0.16370014929089075</v>
      </c>
      <c r="P46" s="38">
        <f t="shared" ca="1" si="17"/>
        <v>0.1985013155226899</v>
      </c>
      <c r="Q46" s="38">
        <f t="shared" ca="1" si="17"/>
        <v>0.22931782751087193</v>
      </c>
      <c r="R46" s="38">
        <f t="shared" ca="1" si="17"/>
        <v>0.26359716209819239</v>
      </c>
      <c r="S46" s="38">
        <f t="shared" ca="1" si="17"/>
        <v>0.2969524932411795</v>
      </c>
      <c r="T46" s="38">
        <f t="shared" ca="1" si="17"/>
        <v>0.32022908017748242</v>
      </c>
      <c r="U46" s="38">
        <f t="shared" ca="1" si="17"/>
        <v>0.32737364273492797</v>
      </c>
      <c r="V46" s="38">
        <f t="shared" ca="1" si="18"/>
        <v>0.33885634680247489</v>
      </c>
      <c r="W46" s="38">
        <f t="shared" ca="1" si="18"/>
        <v>0.34711399449787572</v>
      </c>
      <c r="X46" s="38">
        <f t="shared" ca="1" si="18"/>
        <v>0.35304303746246307</v>
      </c>
      <c r="Y46" s="38">
        <f t="shared" ca="1" si="20"/>
        <v>3.2598529097521896</v>
      </c>
      <c r="AA46" s="38">
        <f t="shared" ca="1" si="21"/>
        <v>3.2598529097521896</v>
      </c>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row>
    <row r="47" spans="1:80">
      <c r="A47" s="77">
        <f t="shared" si="15"/>
        <v>10.2023264489233</v>
      </c>
      <c r="B47" s="77">
        <f t="shared" si="16"/>
        <v>311.29143633214102</v>
      </c>
      <c r="C47" s="9" t="str">
        <f>C14</f>
        <v>Multifamily - Low Rise</v>
      </c>
      <c r="D47" t="s">
        <v>4683</v>
      </c>
      <c r="E47" s="38">
        <f ca="1">VLOOKUP($C47,$C$33:$Y$36,E$31,FALSE)*$C$42*$A47/8760/1000</f>
        <v>6.0496130108310496E-5</v>
      </c>
      <c r="F47" s="38">
        <f t="shared" ca="1" si="17"/>
        <v>1.7937491843582939E-4</v>
      </c>
      <c r="G47" s="38">
        <f t="shared" ca="1" si="17"/>
        <v>3.8816068243619091E-4</v>
      </c>
      <c r="H47" s="38">
        <f t="shared" ca="1" si="17"/>
        <v>7.071528595474385E-4</v>
      </c>
      <c r="I47" s="38">
        <f t="shared" ca="1" si="17"/>
        <v>1.1406046586928344E-3</v>
      </c>
      <c r="J47" s="38">
        <f t="shared" ca="1" si="17"/>
        <v>1.7542092929569402E-3</v>
      </c>
      <c r="K47" s="38">
        <f t="shared" ca="1" si="17"/>
        <v>2.6205555606928135E-3</v>
      </c>
      <c r="L47" s="38">
        <f t="shared" ca="1" si="17"/>
        <v>3.8343115819705624E-3</v>
      </c>
      <c r="M47" s="38">
        <f t="shared" ca="1" si="17"/>
        <v>5.403584737822373E-3</v>
      </c>
      <c r="N47" s="38">
        <f t="shared" ca="1" si="17"/>
        <v>7.338307063214874E-3</v>
      </c>
      <c r="O47" s="38">
        <f t="shared" ca="1" si="17"/>
        <v>9.3831666179487322E-3</v>
      </c>
      <c r="P47" s="38">
        <f t="shared" ca="1" si="17"/>
        <v>1.1529083667357234E-2</v>
      </c>
      <c r="Q47" s="38">
        <f t="shared" ca="1" si="17"/>
        <v>1.3703252323166507E-2</v>
      </c>
      <c r="R47" s="38">
        <f t="shared" ca="1" si="17"/>
        <v>1.5564061356905556E-2</v>
      </c>
      <c r="S47" s="38">
        <f t="shared" ca="1" si="17"/>
        <v>1.7122388229877217E-2</v>
      </c>
      <c r="T47" s="38">
        <f t="shared" ca="1" si="17"/>
        <v>1.8164212211051731E-2</v>
      </c>
      <c r="U47" s="38">
        <f t="shared" ca="1" si="17"/>
        <v>1.8877365075010654E-2</v>
      </c>
      <c r="V47" s="38">
        <f t="shared" ca="1" si="18"/>
        <v>1.9324844668419491E-2</v>
      </c>
      <c r="W47" s="38">
        <f t="shared" ca="1" si="18"/>
        <v>1.9365451688298157E-2</v>
      </c>
      <c r="X47" s="38">
        <f t="shared" ca="1" si="18"/>
        <v>1.9489408773057111E-2</v>
      </c>
      <c r="Y47" s="38">
        <f t="shared" ca="1" si="20"/>
        <v>0.18594999209697052</v>
      </c>
      <c r="AA47" s="38">
        <f t="shared" ca="1" si="21"/>
        <v>0.18594999209697052</v>
      </c>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row>
    <row r="48" spans="1:80">
      <c r="A48" s="77">
        <f t="shared" si="15"/>
        <v>34.837179731806977</v>
      </c>
      <c r="B48" s="77">
        <f t="shared" si="16"/>
        <v>315.46947603880625</v>
      </c>
      <c r="C48" s="9" t="str">
        <f>C47</f>
        <v>Multifamily - Low Rise</v>
      </c>
      <c r="D48" t="s">
        <v>4684</v>
      </c>
      <c r="E48" s="38">
        <f t="shared" ca="1" si="19"/>
        <v>2.0657195868148368E-4</v>
      </c>
      <c r="F48" s="38">
        <f t="shared" ca="1" si="17"/>
        <v>6.1249914950395291E-4</v>
      </c>
      <c r="G48" s="38">
        <f t="shared" ca="1" si="17"/>
        <v>1.3254254827610931E-3</v>
      </c>
      <c r="H48" s="38">
        <f t="shared" ca="1" si="17"/>
        <v>2.414666045950259E-3</v>
      </c>
      <c r="I48" s="38">
        <f t="shared" ca="1" si="17"/>
        <v>3.8947439779298664E-3</v>
      </c>
      <c r="J48" s="38">
        <f t="shared" ca="1" si="17"/>
        <v>5.9899773578012067E-3</v>
      </c>
      <c r="K48" s="38">
        <f t="shared" ca="1" si="17"/>
        <v>8.9482301435939941E-3</v>
      </c>
      <c r="L48" s="38">
        <f t="shared" ca="1" si="17"/>
        <v>1.3092759028795302E-2</v>
      </c>
      <c r="M48" s="38">
        <f t="shared" ca="1" si="17"/>
        <v>1.8451247727662504E-2</v>
      </c>
      <c r="N48" s="38">
        <f t="shared" ca="1" si="17"/>
        <v>2.50576104742644E-2</v>
      </c>
      <c r="O48" s="38">
        <f t="shared" ca="1" si="17"/>
        <v>3.2040051213757123E-2</v>
      </c>
      <c r="P48" s="38">
        <f t="shared" ca="1" si="17"/>
        <v>3.9367566003061127E-2</v>
      </c>
      <c r="Q48" s="38">
        <f t="shared" ca="1" si="17"/>
        <v>4.6791549602182507E-2</v>
      </c>
      <c r="R48" s="38">
        <f t="shared" ca="1" si="17"/>
        <v>5.3145525734928055E-2</v>
      </c>
      <c r="S48" s="38">
        <f t="shared" ca="1" si="17"/>
        <v>5.8466636917402295E-2</v>
      </c>
      <c r="T48" s="38">
        <f t="shared" ca="1" si="17"/>
        <v>6.2024081335867613E-2</v>
      </c>
      <c r="U48" s="38">
        <f t="shared" ca="1" si="17"/>
        <v>6.4459235182626931E-2</v>
      </c>
      <c r="V48" s="38">
        <f t="shared" ca="1" si="18"/>
        <v>6.5987212855165026E-2</v>
      </c>
      <c r="W48" s="38">
        <f t="shared" ca="1" si="18"/>
        <v>6.6125870842337689E-2</v>
      </c>
      <c r="X48" s="38">
        <f t="shared" ca="1" si="18"/>
        <v>6.6549138541366681E-2</v>
      </c>
      <c r="Y48" s="38">
        <f t="shared" ca="1" si="20"/>
        <v>0.63495059957563904</v>
      </c>
      <c r="AA48" s="38">
        <f t="shared" ca="1" si="21"/>
        <v>0.63495059957563904</v>
      </c>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row>
    <row r="49" spans="1:80">
      <c r="A49" s="77">
        <f t="shared" si="15"/>
        <v>60.745261234907062</v>
      </c>
      <c r="B49" s="77">
        <f t="shared" si="16"/>
        <v>170.87222615492539</v>
      </c>
      <c r="C49" s="9" t="str">
        <f>C47</f>
        <v>Multifamily - Low Rise</v>
      </c>
      <c r="D49" t="s">
        <v>4685</v>
      </c>
      <c r="E49" s="38">
        <f t="shared" ca="1" si="19"/>
        <v>3.6019757312490933E-4</v>
      </c>
      <c r="F49" s="38">
        <f t="shared" ca="1" si="17"/>
        <v>1.0680089814734883E-3</v>
      </c>
      <c r="G49" s="38">
        <f t="shared" ca="1" si="17"/>
        <v>2.3111318946468931E-3</v>
      </c>
      <c r="H49" s="38">
        <f t="shared" ca="1" si="17"/>
        <v>4.2104303759809671E-3</v>
      </c>
      <c r="I49" s="38">
        <f t="shared" ca="1" si="17"/>
        <v>6.7912282855211283E-3</v>
      </c>
      <c r="J49" s="38">
        <f t="shared" ca="1" si="17"/>
        <v>1.0444666938942804E-2</v>
      </c>
      <c r="K49" s="38">
        <f t="shared" ca="1" si="17"/>
        <v>1.5602944378600334E-2</v>
      </c>
      <c r="L49" s="38">
        <f t="shared" ca="1" si="17"/>
        <v>2.2829720247523774E-2</v>
      </c>
      <c r="M49" s="38">
        <f t="shared" ca="1" si="17"/>
        <v>3.2173266376770156E-2</v>
      </c>
      <c r="N49" s="38">
        <f t="shared" ca="1" si="17"/>
        <v>4.36927186959397E-2</v>
      </c>
      <c r="O49" s="38">
        <f t="shared" ca="1" si="17"/>
        <v>5.5867934658972621E-2</v>
      </c>
      <c r="P49" s="38">
        <f t="shared" ca="1" si="17"/>
        <v>6.8644852983176741E-2</v>
      </c>
      <c r="Q49" s="38">
        <f t="shared" ca="1" si="17"/>
        <v>8.1589983059838722E-2</v>
      </c>
      <c r="R49" s="38">
        <f t="shared" ca="1" si="17"/>
        <v>9.2669351224408933E-2</v>
      </c>
      <c r="S49" s="38">
        <f t="shared" ca="1" si="17"/>
        <v>0.10194772253137974</v>
      </c>
      <c r="T49" s="38">
        <f t="shared" ca="1" si="17"/>
        <v>0.10815080476111134</v>
      </c>
      <c r="U49" s="38">
        <f t="shared" ca="1" si="17"/>
        <v>0.11239695952184033</v>
      </c>
      <c r="V49" s="38">
        <f t="shared" ca="1" si="18"/>
        <v>0.11506127975654314</v>
      </c>
      <c r="W49" s="38">
        <f t="shared" ca="1" si="18"/>
        <v>0.11530305637904681</v>
      </c>
      <c r="X49" s="38">
        <f t="shared" ca="1" si="18"/>
        <v>0.11604110426776093</v>
      </c>
      <c r="Y49" s="38">
        <f t="shared" ca="1" si="20"/>
        <v>1.1071573628926035</v>
      </c>
      <c r="AA49" s="38">
        <f t="shared" ca="1" si="21"/>
        <v>1.1071573628926035</v>
      </c>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row>
    <row r="50" spans="1:80">
      <c r="A50" s="77">
        <f t="shared" si="15"/>
        <v>10.2023264489233</v>
      </c>
      <c r="B50" s="77">
        <f t="shared" si="16"/>
        <v>311.29143633214102</v>
      </c>
      <c r="C50" s="9" t="str">
        <f>C15</f>
        <v>Multifamily - High Rise</v>
      </c>
      <c r="D50" t="s">
        <v>4683</v>
      </c>
      <c r="E50" s="38">
        <f t="shared" ca="1" si="19"/>
        <v>1.358086361391878E-5</v>
      </c>
      <c r="F50" s="38">
        <f t="shared" ca="1" si="17"/>
        <v>4.0834995503827243E-5</v>
      </c>
      <c r="G50" s="38">
        <f t="shared" ca="1" si="17"/>
        <v>8.9695400994974504E-5</v>
      </c>
      <c r="H50" s="38">
        <f t="shared" ca="1" si="17"/>
        <v>1.596393716012921E-4</v>
      </c>
      <c r="I50" s="38">
        <f t="shared" ca="1" si="17"/>
        <v>2.5250348186750537E-4</v>
      </c>
      <c r="J50" s="38">
        <f t="shared" ca="1" si="17"/>
        <v>3.9415735320757225E-4</v>
      </c>
      <c r="K50" s="38">
        <f t="shared" ca="1" si="17"/>
        <v>5.9054714623462236E-4</v>
      </c>
      <c r="L50" s="38">
        <f t="shared" ca="1" si="17"/>
        <v>8.7481023888657649E-4</v>
      </c>
      <c r="M50" s="38">
        <f t="shared" ca="1" si="17"/>
        <v>1.2241775436221134E-3</v>
      </c>
      <c r="N50" s="38">
        <f t="shared" ca="1" si="17"/>
        <v>1.6623133093815357E-3</v>
      </c>
      <c r="O50" s="38">
        <f t="shared" ca="1" si="17"/>
        <v>2.0999392975670746E-3</v>
      </c>
      <c r="P50" s="38">
        <f t="shared" ca="1" si="17"/>
        <v>2.5752007712526986E-3</v>
      </c>
      <c r="Q50" s="38">
        <f t="shared" ca="1" si="17"/>
        <v>3.0344313073067887E-3</v>
      </c>
      <c r="R50" s="38">
        <f t="shared" ca="1" si="17"/>
        <v>3.4734878244178733E-3</v>
      </c>
      <c r="S50" s="38">
        <f t="shared" ca="1" si="17"/>
        <v>3.8394690217134005E-3</v>
      </c>
      <c r="T50" s="38">
        <f t="shared" ca="1" si="17"/>
        <v>4.0701996290341746E-3</v>
      </c>
      <c r="U50" s="38">
        <f t="shared" ca="1" si="17"/>
        <v>4.235076729999533E-3</v>
      </c>
      <c r="V50" s="38">
        <f t="shared" ca="1" si="18"/>
        <v>4.2900003936096349E-3</v>
      </c>
      <c r="W50" s="38">
        <f t="shared" ca="1" si="18"/>
        <v>4.3666819607094546E-3</v>
      </c>
      <c r="X50" s="38">
        <f t="shared" ca="1" si="18"/>
        <v>4.3912245674552824E-3</v>
      </c>
      <c r="Y50" s="38">
        <f t="shared" ca="1" si="20"/>
        <v>4.1677971207979857E-2</v>
      </c>
      <c r="AA50" s="38">
        <f t="shared" ca="1" si="21"/>
        <v>4.1677971207979857E-2</v>
      </c>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row>
    <row r="51" spans="1:80">
      <c r="A51" s="77">
        <f t="shared" si="15"/>
        <v>34.837179731806977</v>
      </c>
      <c r="B51" s="77">
        <f t="shared" si="16"/>
        <v>315.46947603880625</v>
      </c>
      <c r="C51" s="9" t="str">
        <f>C50</f>
        <v>Multifamily - High Rise</v>
      </c>
      <c r="D51" t="s">
        <v>4684</v>
      </c>
      <c r="E51" s="38">
        <f t="shared" ca="1" si="19"/>
        <v>4.6373637326727253E-5</v>
      </c>
      <c r="F51" s="38">
        <f t="shared" ca="1" si="17"/>
        <v>1.3943643979991355E-4</v>
      </c>
      <c r="G51" s="38">
        <f t="shared" ca="1" si="17"/>
        <v>3.0627669298978304E-4</v>
      </c>
      <c r="H51" s="38">
        <f t="shared" ca="1" si="17"/>
        <v>5.4510954031801798E-4</v>
      </c>
      <c r="I51" s="38">
        <f t="shared" ca="1" si="17"/>
        <v>8.6220620608093608E-4</v>
      </c>
      <c r="J51" s="38">
        <f t="shared" ca="1" si="17"/>
        <v>1.3459019004194532E-3</v>
      </c>
      <c r="K51" s="38">
        <f t="shared" ca="1" si="17"/>
        <v>2.01650056744189E-3</v>
      </c>
      <c r="L51" s="38">
        <f t="shared" ca="1" si="17"/>
        <v>2.9871541237080222E-3</v>
      </c>
      <c r="M51" s="38">
        <f t="shared" ca="1" si="17"/>
        <v>4.1801145380234595E-3</v>
      </c>
      <c r="N51" s="38">
        <f t="shared" ca="1" si="17"/>
        <v>5.6761864874075819E-3</v>
      </c>
      <c r="O51" s="38">
        <f t="shared" ca="1" si="17"/>
        <v>7.1705177345064422E-3</v>
      </c>
      <c r="P51" s="38">
        <f t="shared" ca="1" si="17"/>
        <v>8.7933602754973611E-3</v>
      </c>
      <c r="Q51" s="38">
        <f t="shared" ca="1" si="17"/>
        <v>1.0361463080572647E-2</v>
      </c>
      <c r="R51" s="38">
        <f t="shared" ca="1" si="17"/>
        <v>1.1860679056026386E-2</v>
      </c>
      <c r="S51" s="38">
        <f t="shared" ca="1" si="17"/>
        <v>1.3110369782203037E-2</v>
      </c>
      <c r="T51" s="38">
        <f t="shared" ca="1" si="17"/>
        <v>1.3898229656821248E-2</v>
      </c>
      <c r="U51" s="38">
        <f t="shared" ca="1" si="17"/>
        <v>1.446122410997322E-2</v>
      </c>
      <c r="V51" s="38">
        <f t="shared" ca="1" si="18"/>
        <v>1.4648768152039854E-2</v>
      </c>
      <c r="W51" s="38">
        <f t="shared" ca="1" si="18"/>
        <v>1.4910607404934472E-2</v>
      </c>
      <c r="X51" s="38">
        <f t="shared" ca="1" si="18"/>
        <v>1.4994411349708428E-2</v>
      </c>
      <c r="Y51" s="38">
        <f t="shared" ca="1" si="20"/>
        <v>0.14231489073579889</v>
      </c>
      <c r="AA51" s="38">
        <f t="shared" ca="1" si="21"/>
        <v>0.14231489073579889</v>
      </c>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row>
    <row r="52" spans="1:80">
      <c r="A52" s="77">
        <f t="shared" si="15"/>
        <v>60.745261234907062</v>
      </c>
      <c r="B52" s="77">
        <f t="shared" si="16"/>
        <v>170.87222615492539</v>
      </c>
      <c r="C52" s="9" t="str">
        <f>C50</f>
        <v>Multifamily - High Rise</v>
      </c>
      <c r="D52" t="s">
        <v>4685</v>
      </c>
      <c r="E52" s="38">
        <f t="shared" ca="1" si="19"/>
        <v>8.0861273372624123E-5</v>
      </c>
      <c r="F52" s="38">
        <f t="shared" ca="1" si="17"/>
        <v>2.4313400299674044E-4</v>
      </c>
      <c r="G52" s="38">
        <f t="shared" ca="1" si="17"/>
        <v>5.3405177655185517E-4</v>
      </c>
      <c r="H52" s="38">
        <f t="shared" ca="1" si="17"/>
        <v>9.5050235648167284E-4</v>
      </c>
      <c r="I52" s="38">
        <f t="shared" ca="1" si="17"/>
        <v>1.5034208173552381E-3</v>
      </c>
      <c r="J52" s="38">
        <f t="shared" ca="1" si="17"/>
        <v>2.3468364307025627E-3</v>
      </c>
      <c r="K52" s="38">
        <f t="shared" ca="1" si="17"/>
        <v>3.5161529920792571E-3</v>
      </c>
      <c r="L52" s="38">
        <f t="shared" ca="1" si="17"/>
        <v>5.208672429585383E-3</v>
      </c>
      <c r="M52" s="38">
        <f t="shared" ca="1" si="17"/>
        <v>7.2888262356160935E-3</v>
      </c>
      <c r="N52" s="38">
        <f t="shared" ca="1" si="17"/>
        <v>9.8975127622289438E-3</v>
      </c>
      <c r="O52" s="38">
        <f t="shared" ca="1" si="17"/>
        <v>1.2503164042709233E-2</v>
      </c>
      <c r="P52" s="38">
        <f t="shared" ca="1" si="17"/>
        <v>1.5332899252462978E-2</v>
      </c>
      <c r="Q52" s="38">
        <f t="shared" ca="1" si="17"/>
        <v>1.8067185301758736E-2</v>
      </c>
      <c r="R52" s="38">
        <f t="shared" ca="1" si="17"/>
        <v>2.0681354036931481E-2</v>
      </c>
      <c r="S52" s="38">
        <f t="shared" ca="1" si="17"/>
        <v>2.2860427951893993E-2</v>
      </c>
      <c r="T52" s="38">
        <f t="shared" ca="1" si="17"/>
        <v>2.4234211773334867E-2</v>
      </c>
      <c r="U52" s="38">
        <f t="shared" ca="1" si="17"/>
        <v>2.5215899883388612E-2</v>
      </c>
      <c r="V52" s="38">
        <f t="shared" ca="1" si="18"/>
        <v>2.5542918658045234E-2</v>
      </c>
      <c r="W52" s="38">
        <f t="shared" ca="1" si="18"/>
        <v>2.5999485290048294E-2</v>
      </c>
      <c r="X52" s="38">
        <f t="shared" ca="1" si="18"/>
        <v>2.6145613436959161E-2</v>
      </c>
      <c r="Y52" s="38">
        <f t="shared" ca="1" si="20"/>
        <v>0.2481531307045029</v>
      </c>
      <c r="AA52" s="38">
        <f t="shared" ca="1" si="21"/>
        <v>0.2481531307045029</v>
      </c>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row>
    <row r="53" spans="1:80">
      <c r="A53" s="77">
        <f t="shared" si="15"/>
        <v>10.2023264489233</v>
      </c>
      <c r="B53" s="77">
        <f t="shared" si="16"/>
        <v>311.29143633214102</v>
      </c>
      <c r="C53" s="9" t="str">
        <f>C16</f>
        <v>Manufactured</v>
      </c>
      <c r="D53" t="s">
        <v>4683</v>
      </c>
      <c r="E53" s="38">
        <f t="shared" ca="1" si="19"/>
        <v>5.6781787123632958E-6</v>
      </c>
      <c r="F53" s="38">
        <f t="shared" ca="1" si="17"/>
        <v>1.7139796047957898E-5</v>
      </c>
      <c r="G53" s="38">
        <f t="shared" ca="1" si="17"/>
        <v>3.8763703533734004E-5</v>
      </c>
      <c r="H53" s="38">
        <f t="shared" ca="1" si="17"/>
        <v>7.5637003338594966E-5</v>
      </c>
      <c r="I53" s="38">
        <f t="shared" ca="1" si="17"/>
        <v>1.2547977991992954E-4</v>
      </c>
      <c r="J53" s="38">
        <f t="shared" ca="1" si="17"/>
        <v>1.9701204303554419E-4</v>
      </c>
      <c r="K53" s="38">
        <f t="shared" ca="1" si="17"/>
        <v>2.9799349841781627E-4</v>
      </c>
      <c r="L53" s="38">
        <f t="shared" ca="1" si="17"/>
        <v>4.3046692471478571E-4</v>
      </c>
      <c r="M53" s="38">
        <f t="shared" ca="1" si="17"/>
        <v>5.9548770307837895E-4</v>
      </c>
      <c r="N53" s="38">
        <f t="shared" ca="1" si="17"/>
        <v>7.8779757069958527E-4</v>
      </c>
      <c r="O53" s="38">
        <f t="shared" ca="1" si="17"/>
        <v>9.9771916496130221E-4</v>
      </c>
      <c r="P53" s="38">
        <f t="shared" ca="1" si="17"/>
        <v>1.2242705877082251E-3</v>
      </c>
      <c r="Q53" s="38">
        <f t="shared" ca="1" si="17"/>
        <v>1.4548863531093461E-3</v>
      </c>
      <c r="R53" s="38">
        <f t="shared" ca="1" si="17"/>
        <v>1.6724927999380102E-3</v>
      </c>
      <c r="S53" s="38">
        <f t="shared" ca="1" si="17"/>
        <v>1.8630705069814903E-3</v>
      </c>
      <c r="T53" s="38">
        <f t="shared" ca="1" si="17"/>
        <v>2.0167208515112704E-3</v>
      </c>
      <c r="U53" s="38">
        <f t="shared" ca="1" si="17"/>
        <v>2.1308022362934533E-3</v>
      </c>
      <c r="V53" s="38">
        <f t="shared" ca="1" si="18"/>
        <v>2.2095644942450097E-3</v>
      </c>
      <c r="W53" s="38">
        <f t="shared" ca="1" si="18"/>
        <v>2.2583619469171336E-3</v>
      </c>
      <c r="X53" s="38">
        <f t="shared" ca="1" si="18"/>
        <v>2.2817177535330384E-3</v>
      </c>
      <c r="Y53" s="38">
        <f t="shared" ca="1" si="20"/>
        <v>2.0681062896696967E-2</v>
      </c>
      <c r="AA53" s="38">
        <f t="shared" ca="1" si="21"/>
        <v>2.0681062896696967E-2</v>
      </c>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row>
    <row r="54" spans="1:80">
      <c r="A54" s="77">
        <f t="shared" si="15"/>
        <v>34.837179731806977</v>
      </c>
      <c r="B54" s="77">
        <f t="shared" si="16"/>
        <v>315.46947603880625</v>
      </c>
      <c r="C54" s="9" t="str">
        <f>C53</f>
        <v>Manufactured</v>
      </c>
      <c r="D54" t="s">
        <v>4684</v>
      </c>
      <c r="E54" s="38">
        <f t="shared" ca="1" si="19"/>
        <v>1.9388884813894236E-5</v>
      </c>
      <c r="F54" s="38">
        <f t="shared" ca="1" si="17"/>
        <v>5.8526078191924474E-5</v>
      </c>
      <c r="G54" s="38">
        <f t="shared" ca="1" si="17"/>
        <v>1.3236374211665118E-4</v>
      </c>
      <c r="H54" s="38">
        <f t="shared" ca="1" si="17"/>
        <v>2.5827245313837213E-4</v>
      </c>
      <c r="I54" s="38">
        <f t="shared" ca="1" si="17"/>
        <v>4.2846714106462448E-4</v>
      </c>
      <c r="J54" s="38">
        <f t="shared" ca="1" si="17"/>
        <v>6.7272342116479387E-4</v>
      </c>
      <c r="K54" s="38">
        <f t="shared" ca="1" si="17"/>
        <v>1.0175378248543485E-3</v>
      </c>
      <c r="L54" s="38">
        <f t="shared" ca="1" si="17"/>
        <v>1.4698856873443641E-3</v>
      </c>
      <c r="M54" s="38">
        <f t="shared" ca="1" si="17"/>
        <v>2.0333707457882537E-3</v>
      </c>
      <c r="N54" s="38">
        <f t="shared" ca="1" si="17"/>
        <v>2.6900379732152885E-3</v>
      </c>
      <c r="O54" s="38">
        <f t="shared" ca="1" si="17"/>
        <v>3.4068427476454067E-3</v>
      </c>
      <c r="P54" s="38">
        <f t="shared" ca="1" si="17"/>
        <v>4.1804322492403172E-3</v>
      </c>
      <c r="Q54" s="38">
        <f t="shared" ca="1" si="17"/>
        <v>4.9678999810844537E-3</v>
      </c>
      <c r="R54" s="38">
        <f t="shared" ca="1" si="17"/>
        <v>5.7109456909940903E-3</v>
      </c>
      <c r="S54" s="38">
        <f t="shared" ca="1" si="17"/>
        <v>6.3616982292889254E-3</v>
      </c>
      <c r="T54" s="38">
        <f t="shared" ca="1" si="17"/>
        <v>6.8863574523627871E-3</v>
      </c>
      <c r="U54" s="38">
        <f t="shared" ca="1" si="17"/>
        <v>7.27590328052336E-3</v>
      </c>
      <c r="V54" s="38">
        <f t="shared" ca="1" si="18"/>
        <v>7.5448473248134629E-3</v>
      </c>
      <c r="W54" s="38">
        <f t="shared" ca="1" si="18"/>
        <v>7.7114726173586274E-3</v>
      </c>
      <c r="X54" s="38">
        <f t="shared" ca="1" si="18"/>
        <v>7.7912240776684934E-3</v>
      </c>
      <c r="Y54" s="38">
        <f t="shared" ca="1" si="20"/>
        <v>7.0618197602672447E-2</v>
      </c>
      <c r="AA54" s="38">
        <f t="shared" ca="1" si="21"/>
        <v>7.0618197602672447E-2</v>
      </c>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row>
    <row r="55" spans="1:80">
      <c r="A55" s="77">
        <f t="shared" si="15"/>
        <v>60.745261234907062</v>
      </c>
      <c r="B55" s="77">
        <f t="shared" si="16"/>
        <v>170.87222615492539</v>
      </c>
      <c r="C55" s="9" t="str">
        <f>C53</f>
        <v>Manufactured</v>
      </c>
      <c r="D55" t="s">
        <v>4685</v>
      </c>
      <c r="E55" s="38">
        <f t="shared" ca="1" si="19"/>
        <v>3.3808215307342761E-5</v>
      </c>
      <c r="F55" s="38">
        <f t="shared" ca="1" si="17"/>
        <v>1.0205136972029639E-4</v>
      </c>
      <c r="G55" s="38">
        <f t="shared" ca="1" si="17"/>
        <v>2.3080140685340119E-4</v>
      </c>
      <c r="H55" s="38">
        <f t="shared" ca="1" si="17"/>
        <v>4.5034723695921118E-4</v>
      </c>
      <c r="I55" s="38">
        <f t="shared" ca="1" si="17"/>
        <v>7.4711410667899019E-4</v>
      </c>
      <c r="J55" s="38">
        <f t="shared" ca="1" si="17"/>
        <v>1.1730214751048157E-3</v>
      </c>
      <c r="K55" s="38">
        <f t="shared" ca="1" si="17"/>
        <v>1.7742710937861108E-3</v>
      </c>
      <c r="L55" s="38">
        <f t="shared" ca="1" si="17"/>
        <v>2.5630257888431254E-3</v>
      </c>
      <c r="M55" s="38">
        <f t="shared" ca="1" si="17"/>
        <v>3.5455693627102483E-3</v>
      </c>
      <c r="N55" s="38">
        <f t="shared" ca="1" si="17"/>
        <v>4.6905938044573972E-3</v>
      </c>
      <c r="O55" s="38">
        <f t="shared" ca="1" si="17"/>
        <v>5.940479518869321E-3</v>
      </c>
      <c r="P55" s="38">
        <f t="shared" ca="1" si="17"/>
        <v>7.2893802256639049E-3</v>
      </c>
      <c r="Q55" s="38">
        <f t="shared" ca="1" si="17"/>
        <v>8.6624802714537104E-3</v>
      </c>
      <c r="R55" s="38">
        <f t="shared" ca="1" si="17"/>
        <v>9.9581220571958347E-3</v>
      </c>
      <c r="S55" s="38">
        <f t="shared" ca="1" si="17"/>
        <v>1.109283311137187E-2</v>
      </c>
      <c r="T55" s="38">
        <f t="shared" ca="1" si="17"/>
        <v>1.200767644284358E-2</v>
      </c>
      <c r="U55" s="38">
        <f t="shared" ca="1" si="17"/>
        <v>1.2686923823852942E-2</v>
      </c>
      <c r="V55" s="38">
        <f t="shared" ca="1" si="18"/>
        <v>1.3155879013502196E-2</v>
      </c>
      <c r="W55" s="38">
        <f t="shared" ca="1" si="18"/>
        <v>1.3446421962211606E-2</v>
      </c>
      <c r="X55" s="38">
        <f t="shared" ca="1" si="18"/>
        <v>1.358548383024121E-2</v>
      </c>
      <c r="Y55" s="38">
        <f t="shared" ca="1" si="20"/>
        <v>0.1231362841176271</v>
      </c>
      <c r="AA55" s="38">
        <f t="shared" ca="1" si="21"/>
        <v>0.1231362841176271</v>
      </c>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row>
    <row r="56" spans="1:80">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row>
    <row r="57" spans="1:80" ht="15">
      <c r="B57" s="415">
        <f ca="1">SUMPRODUCT(B44:B55,AA44:AA55)/SUM(AA44:AA55)</f>
        <v>232.03380133178098</v>
      </c>
      <c r="E57" s="38">
        <f ca="1">SUM(E44:E55)</f>
        <v>2.9441776408493988E-3</v>
      </c>
      <c r="F57" s="38">
        <f t="shared" ref="F57:Y57" ca="1" si="22">SUM(F44:F55)</f>
        <v>8.5345021546880204E-3</v>
      </c>
      <c r="G57" s="38">
        <f t="shared" ca="1" si="22"/>
        <v>1.7926318136842645E-2</v>
      </c>
      <c r="H57" s="38">
        <f t="shared" ca="1" si="22"/>
        <v>3.2654220747477251E-2</v>
      </c>
      <c r="I57" s="38">
        <f t="shared" ca="1" si="22"/>
        <v>5.3849962480259549E-2</v>
      </c>
      <c r="J57" s="38">
        <f t="shared" ca="1" si="22"/>
        <v>8.2235289264592365E-2</v>
      </c>
      <c r="K57" s="38">
        <f t="shared" ca="1" si="22"/>
        <v>0.12126583613447729</v>
      </c>
      <c r="L57" s="38">
        <f t="shared" ca="1" si="22"/>
        <v>0.17463577255699977</v>
      </c>
      <c r="M57" s="38">
        <f t="shared" ca="1" si="22"/>
        <v>0.24012052791816033</v>
      </c>
      <c r="N57" s="38">
        <f t="shared" ca="1" si="22"/>
        <v>0.32382062117589583</v>
      </c>
      <c r="O57" s="38">
        <f t="shared" ca="1" si="22"/>
        <v>0.41448525737055308</v>
      </c>
      <c r="P57" s="38">
        <f t="shared" ca="1" si="22"/>
        <v>0.50461694050238548</v>
      </c>
      <c r="Q57" s="38">
        <f t="shared" ca="1" si="22"/>
        <v>0.58797840619315833</v>
      </c>
      <c r="R57" s="38">
        <f t="shared" ca="1" si="22"/>
        <v>0.67377700367261084</v>
      </c>
      <c r="S57" s="38">
        <f t="shared" ca="1" si="22"/>
        <v>0.75379220438375627</v>
      </c>
      <c r="T57" s="38">
        <f t="shared" ca="1" si="22"/>
        <v>0.80911506857056303</v>
      </c>
      <c r="U57" s="38">
        <f t="shared" ca="1" si="22"/>
        <v>0.83184385479597256</v>
      </c>
      <c r="V57" s="38">
        <f t="shared" ca="1" si="22"/>
        <v>0.85786632245821515</v>
      </c>
      <c r="W57" s="38">
        <f t="shared" ca="1" si="22"/>
        <v>0.87396868860136889</v>
      </c>
      <c r="X57" s="38">
        <f t="shared" ca="1" si="22"/>
        <v>0.88607573036403664</v>
      </c>
      <c r="Y57" s="38">
        <f t="shared" ca="1" si="22"/>
        <v>8.2515067051228641</v>
      </c>
      <c r="AA57" s="50">
        <f ca="1">SUM(E57:X57)</f>
        <v>8.2515067051228623</v>
      </c>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row>
    <row r="58" spans="1:80" customFormat="1">
      <c r="A58" s="9"/>
      <c r="B58" s="9"/>
      <c r="C58" s="9"/>
      <c r="D58" s="9"/>
    </row>
    <row r="59" spans="1:80" customFormat="1">
      <c r="A59" s="9"/>
      <c r="B59" s="9"/>
      <c r="C59" s="54"/>
      <c r="D59" s="54"/>
    </row>
    <row r="60" spans="1:80" ht="15">
      <c r="A60" s="86" t="s">
        <v>70</v>
      </c>
      <c r="B60" s="86"/>
      <c r="C60" s="55"/>
      <c r="D60" s="55"/>
      <c r="E60" s="38"/>
      <c r="F60" s="38"/>
      <c r="G60" s="38"/>
      <c r="H60" s="38"/>
      <c r="I60" s="38"/>
      <c r="J60" s="38"/>
      <c r="K60" s="38"/>
      <c r="L60" s="38"/>
      <c r="M60" s="38"/>
      <c r="N60" s="38"/>
      <c r="O60" s="38"/>
      <c r="P60" s="38"/>
      <c r="Q60" s="38"/>
      <c r="R60" s="38"/>
      <c r="S60" s="38"/>
      <c r="T60" s="38"/>
      <c r="U60" s="38"/>
      <c r="V60" s="38"/>
      <c r="W60" s="38"/>
      <c r="X60" s="38"/>
      <c r="Y60" s="38"/>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ht="15">
      <c r="C61" s="55"/>
      <c r="D61" s="55"/>
      <c r="E61" s="73">
        <f t="shared" ref="E61:X61" si="23">E11</f>
        <v>2016</v>
      </c>
      <c r="F61" s="73">
        <f t="shared" si="23"/>
        <v>2017</v>
      </c>
      <c r="G61" s="73">
        <f t="shared" si="23"/>
        <v>2018</v>
      </c>
      <c r="H61" s="73">
        <f t="shared" si="23"/>
        <v>2019</v>
      </c>
      <c r="I61" s="73">
        <f t="shared" si="23"/>
        <v>2020</v>
      </c>
      <c r="J61" s="73">
        <f t="shared" si="23"/>
        <v>2021</v>
      </c>
      <c r="K61" s="73">
        <f t="shared" si="23"/>
        <v>2022</v>
      </c>
      <c r="L61" s="73">
        <f t="shared" si="23"/>
        <v>2023</v>
      </c>
      <c r="M61" s="73">
        <f t="shared" si="23"/>
        <v>2024</v>
      </c>
      <c r="N61" s="73">
        <f t="shared" si="23"/>
        <v>2025</v>
      </c>
      <c r="O61" s="73">
        <f t="shared" si="23"/>
        <v>2026</v>
      </c>
      <c r="P61" s="73">
        <f t="shared" si="23"/>
        <v>2027</v>
      </c>
      <c r="Q61" s="73">
        <f t="shared" si="23"/>
        <v>2028</v>
      </c>
      <c r="R61" s="73">
        <f t="shared" si="23"/>
        <v>2029</v>
      </c>
      <c r="S61" s="73">
        <f t="shared" si="23"/>
        <v>2030</v>
      </c>
      <c r="T61" s="73">
        <f t="shared" si="23"/>
        <v>2031</v>
      </c>
      <c r="U61" s="73">
        <f t="shared" si="23"/>
        <v>2032</v>
      </c>
      <c r="V61" s="73">
        <f t="shared" si="23"/>
        <v>2033</v>
      </c>
      <c r="W61" s="73">
        <f t="shared" si="23"/>
        <v>2034</v>
      </c>
      <c r="X61" s="73">
        <f t="shared" si="23"/>
        <v>2035</v>
      </c>
      <c r="Y61" s="73" t="s">
        <v>151</v>
      </c>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ht="15">
      <c r="C62" s="55" t="s">
        <v>67</v>
      </c>
      <c r="D62" s="55" t="s">
        <v>67</v>
      </c>
      <c r="E62" s="75" t="str">
        <f>CONCATENATE("aMW_",E61)</f>
        <v>aMW_2016</v>
      </c>
      <c r="F62" s="75" t="str">
        <f t="shared" ref="F62" si="24">CONCATENATE("aMW_",F61)</f>
        <v>aMW_2017</v>
      </c>
      <c r="G62" s="75" t="str">
        <f t="shared" ref="G62" si="25">CONCATENATE("aMW_",G61)</f>
        <v>aMW_2018</v>
      </c>
      <c r="H62" s="75" t="str">
        <f t="shared" ref="H62" si="26">CONCATENATE("aMW_",H61)</f>
        <v>aMW_2019</v>
      </c>
      <c r="I62" s="75" t="str">
        <f t="shared" ref="I62" si="27">CONCATENATE("aMW_",I61)</f>
        <v>aMW_2020</v>
      </c>
      <c r="J62" s="75" t="str">
        <f t="shared" ref="J62" si="28">CONCATENATE("aMW_",J61)</f>
        <v>aMW_2021</v>
      </c>
      <c r="K62" s="75" t="str">
        <f t="shared" ref="K62" si="29">CONCATENATE("aMW_",K61)</f>
        <v>aMW_2022</v>
      </c>
      <c r="L62" s="75" t="str">
        <f t="shared" ref="L62" si="30">CONCATENATE("aMW_",L61)</f>
        <v>aMW_2023</v>
      </c>
      <c r="M62" s="75" t="str">
        <f t="shared" ref="M62" si="31">CONCATENATE("aMW_",M61)</f>
        <v>aMW_2024</v>
      </c>
      <c r="N62" s="75" t="str">
        <f t="shared" ref="N62" si="32">CONCATENATE("aMW_",N61)</f>
        <v>aMW_2025</v>
      </c>
      <c r="O62" s="75" t="str">
        <f t="shared" ref="O62" si="33">CONCATENATE("aMW_",O61)</f>
        <v>aMW_2026</v>
      </c>
      <c r="P62" s="75" t="str">
        <f t="shared" ref="P62" si="34">CONCATENATE("aMW_",P61)</f>
        <v>aMW_2027</v>
      </c>
      <c r="Q62" s="75" t="str">
        <f t="shared" ref="Q62" si="35">CONCATENATE("aMW_",Q61)</f>
        <v>aMW_2028</v>
      </c>
      <c r="R62" s="75" t="str">
        <f t="shared" ref="R62" si="36">CONCATENATE("aMW_",R61)</f>
        <v>aMW_2029</v>
      </c>
      <c r="S62" s="75" t="str">
        <f t="shared" ref="S62" si="37">CONCATENATE("aMW_",S61)</f>
        <v>aMW_2030</v>
      </c>
      <c r="T62" s="75" t="str">
        <f t="shared" ref="T62" si="38">CONCATENATE("aMW_",T61)</f>
        <v>aMW_2031</v>
      </c>
      <c r="U62" s="75" t="str">
        <f t="shared" ref="U62" si="39">CONCATENATE("aMW_",U61)</f>
        <v>aMW_2032</v>
      </c>
      <c r="V62" s="75" t="str">
        <f t="shared" ref="V62" si="40">CONCATENATE("aMW_",V61)</f>
        <v>aMW_2033</v>
      </c>
      <c r="W62" s="75" t="str">
        <f t="shared" ref="W62" si="41">CONCATENATE("aMW_",W61)</f>
        <v>aMW_2034</v>
      </c>
      <c r="X62" s="75" t="str">
        <f t="shared" ref="X62" si="42">CONCATENATE("aMW_",X61)</f>
        <v>aMW_2035</v>
      </c>
      <c r="Y62" s="75" t="s">
        <v>151</v>
      </c>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B63" s="9" t="s">
        <v>71</v>
      </c>
      <c r="C63" s="55" t="s">
        <v>72</v>
      </c>
      <c r="D63" s="55" t="s">
        <v>73</v>
      </c>
      <c r="E63" s="38">
        <f>DSUM($B$43:$X$55,E$43,$C$62:$D63)</f>
        <v>0</v>
      </c>
      <c r="F63" s="38">
        <f>DSUM($B$43:$X$55,F$43,$C$62:$D63)</f>
        <v>0</v>
      </c>
      <c r="G63" s="38">
        <f>DSUM($B$43:$X$55,G$43,$C$62:$D63)</f>
        <v>0</v>
      </c>
      <c r="H63" s="38">
        <f>DSUM($B$43:$X$55,H$43,$C$62:$D63)</f>
        <v>0</v>
      </c>
      <c r="I63" s="38">
        <f>DSUM($B$43:$X$55,I$43,$C$62:$D63)</f>
        <v>0</v>
      </c>
      <c r="J63" s="38">
        <f>DSUM($B$43:$X$55,J$43,$C$62:$D63)</f>
        <v>0</v>
      </c>
      <c r="K63" s="38">
        <f>DSUM($B$43:$X$55,K$43,$C$62:$D63)</f>
        <v>0</v>
      </c>
      <c r="L63" s="38">
        <f>DSUM($B$43:$X$55,L$43,$C$62:$D63)</f>
        <v>0</v>
      </c>
      <c r="M63" s="38">
        <f>DSUM($B$43:$X$55,M$43,$C$62:$D63)</f>
        <v>0</v>
      </c>
      <c r="N63" s="38">
        <f>DSUM($B$43:$X$55,N$43,$C$62:$D63)</f>
        <v>0</v>
      </c>
      <c r="O63" s="38">
        <f>DSUM($B$43:$X$55,O$43,$C$62:$D63)</f>
        <v>0</v>
      </c>
      <c r="P63" s="38">
        <f>DSUM($B$43:$X$55,P$43,$C$62:$D63)</f>
        <v>0</v>
      </c>
      <c r="Q63" s="38">
        <f>DSUM($B$43:$X$55,Q$43,$C$62:$D63)</f>
        <v>0</v>
      </c>
      <c r="R63" s="38">
        <f>DSUM($B$43:$X$55,R$43,$C$62:$D63)</f>
        <v>0</v>
      </c>
      <c r="S63" s="38">
        <f>DSUM($B$43:$X$55,S$43,$C$62:$D63)</f>
        <v>0</v>
      </c>
      <c r="T63" s="38">
        <f>DSUM($B$43:$X$55,T$43,$C$62:$D63)</f>
        <v>0</v>
      </c>
      <c r="U63" s="38">
        <f>DSUM($B$43:$X$55,U$43,$C$62:$D63)</f>
        <v>0</v>
      </c>
      <c r="V63" s="38">
        <f>DSUM($B$43:$X$55,V$43,$C$62:$D63)</f>
        <v>0</v>
      </c>
      <c r="W63" s="38">
        <f>DSUM($B$43:$X$55,W$43,$C$62:$D63)</f>
        <v>0</v>
      </c>
      <c r="X63" s="38">
        <f>DSUM($B$43:$Y$55,X$43,$C$62:$D63)</f>
        <v>0</v>
      </c>
      <c r="Y63" s="38">
        <f>DSUM($B$43:$Y$55,Y$43,$C$62:$D63)</f>
        <v>0</v>
      </c>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B64" s="9" t="s">
        <v>4948</v>
      </c>
      <c r="C64" s="55" t="s">
        <v>75</v>
      </c>
      <c r="D64" s="55" t="s">
        <v>76</v>
      </c>
      <c r="E64" s="38">
        <f>DSUM($B$43:$X$55,E$43,$C$62:$D64)</f>
        <v>0</v>
      </c>
      <c r="F64" s="38">
        <f>DSUM($B$43:$X$55,F$43,$C$62:$D64)</f>
        <v>0</v>
      </c>
      <c r="G64" s="38">
        <f>DSUM($B$43:$X$55,G$43,$C$62:$D64)</f>
        <v>0</v>
      </c>
      <c r="H64" s="38">
        <f>DSUM($B$43:$X$55,H$43,$C$62:$D64)</f>
        <v>0</v>
      </c>
      <c r="I64" s="38">
        <f>DSUM($B$43:$X$55,I$43,$C$62:$D64)</f>
        <v>0</v>
      </c>
      <c r="J64" s="38">
        <f>DSUM($B$43:$X$55,J$43,$C$62:$D64)</f>
        <v>0</v>
      </c>
      <c r="K64" s="38">
        <f>DSUM($B$43:$X$55,K$43,$C$62:$D64)</f>
        <v>0</v>
      </c>
      <c r="L64" s="38">
        <f>DSUM($B$43:$X$55,L$43,$C$62:$D64)</f>
        <v>0</v>
      </c>
      <c r="M64" s="38">
        <f>DSUM($B$43:$X$55,M$43,$C$62:$D64)</f>
        <v>0</v>
      </c>
      <c r="N64" s="38">
        <f>DSUM($B$43:$X$55,N$43,$C$62:$D64)</f>
        <v>0</v>
      </c>
      <c r="O64" s="38">
        <f>DSUM($B$43:$X$55,O$43,$C$62:$D64)</f>
        <v>0</v>
      </c>
      <c r="P64" s="38">
        <f>DSUM($B$43:$X$55,P$43,$C$62:$D64)</f>
        <v>0</v>
      </c>
      <c r="Q64" s="38">
        <f>DSUM($B$43:$X$55,Q$43,$C$62:$D64)</f>
        <v>0</v>
      </c>
      <c r="R64" s="38">
        <f>DSUM($B$43:$X$55,R$43,$C$62:$D64)</f>
        <v>0</v>
      </c>
      <c r="S64" s="38">
        <f>DSUM($B$43:$X$55,S$43,$C$62:$D64)</f>
        <v>0</v>
      </c>
      <c r="T64" s="38">
        <f>DSUM($B$43:$X$55,T$43,$C$62:$D64)</f>
        <v>0</v>
      </c>
      <c r="U64" s="38">
        <f>DSUM($B$43:$X$55,U$43,$C$62:$D64)</f>
        <v>0</v>
      </c>
      <c r="V64" s="38">
        <f>DSUM($B$43:$X$55,V$43,$C$62:$D64)</f>
        <v>0</v>
      </c>
      <c r="W64" s="38">
        <f>DSUM($B$43:$X$55,W$43,$C$62:$D64)</f>
        <v>0</v>
      </c>
      <c r="X64" s="38">
        <f>DSUM($B$43:$Y$55,X$43,$C$62:$D64)</f>
        <v>0</v>
      </c>
      <c r="Y64" s="38">
        <f>DSUM($B$43:$Y$55,Y$43,$C$62:$D64)</f>
        <v>0</v>
      </c>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2:80">
      <c r="B65" s="9" t="s">
        <v>77</v>
      </c>
      <c r="C65" s="55" t="s">
        <v>78</v>
      </c>
      <c r="D65" s="55" t="s">
        <v>79</v>
      </c>
      <c r="E65" s="38">
        <f>DSUM($B$43:$X$55,E$43,$C$62:$D65)</f>
        <v>0</v>
      </c>
      <c r="F65" s="38">
        <f>DSUM($B$43:$X$55,F$43,$C$62:$D65)</f>
        <v>0</v>
      </c>
      <c r="G65" s="38">
        <f>DSUM($B$43:$X$55,G$43,$C$62:$D65)</f>
        <v>0</v>
      </c>
      <c r="H65" s="38">
        <f>DSUM($B$43:$X$55,H$43,$C$62:$D65)</f>
        <v>0</v>
      </c>
      <c r="I65" s="38">
        <f>DSUM($B$43:$X$55,I$43,$C$62:$D65)</f>
        <v>0</v>
      </c>
      <c r="J65" s="38">
        <f>DSUM($B$43:$X$55,J$43,$C$62:$D65)</f>
        <v>0</v>
      </c>
      <c r="K65" s="38">
        <f>DSUM($B$43:$X$55,K$43,$C$62:$D65)</f>
        <v>0</v>
      </c>
      <c r="L65" s="38">
        <f>DSUM($B$43:$X$55,L$43,$C$62:$D65)</f>
        <v>0</v>
      </c>
      <c r="M65" s="38">
        <f>DSUM($B$43:$X$55,M$43,$C$62:$D65)</f>
        <v>0</v>
      </c>
      <c r="N65" s="38">
        <f>DSUM($B$43:$X$55,N$43,$C$62:$D65)</f>
        <v>0</v>
      </c>
      <c r="O65" s="38">
        <f>DSUM($B$43:$X$55,O$43,$C$62:$D65)</f>
        <v>0</v>
      </c>
      <c r="P65" s="38">
        <f>DSUM($B$43:$X$55,P$43,$C$62:$D65)</f>
        <v>0</v>
      </c>
      <c r="Q65" s="38">
        <f>DSUM($B$43:$X$55,Q$43,$C$62:$D65)</f>
        <v>0</v>
      </c>
      <c r="R65" s="38">
        <f>DSUM($B$43:$X$55,R$43,$C$62:$D65)</f>
        <v>0</v>
      </c>
      <c r="S65" s="38">
        <f>DSUM($B$43:$X$55,S$43,$C$62:$D65)</f>
        <v>0</v>
      </c>
      <c r="T65" s="38">
        <f>DSUM($B$43:$X$55,T$43,$C$62:$D65)</f>
        <v>0</v>
      </c>
      <c r="U65" s="38">
        <f>DSUM($B$43:$X$55,U$43,$C$62:$D65)</f>
        <v>0</v>
      </c>
      <c r="V65" s="38">
        <f>DSUM($B$43:$X$55,V$43,$C$62:$D65)</f>
        <v>0</v>
      </c>
      <c r="W65" s="38">
        <f>DSUM($B$43:$X$55,W$43,$C$62:$D65)</f>
        <v>0</v>
      </c>
      <c r="X65" s="38">
        <f>DSUM($B$43:$Y$55,X$43,$C$62:$D65)</f>
        <v>0</v>
      </c>
      <c r="Y65" s="38">
        <f>DSUM($B$43:$Y$55,Y$43,$C$62:$D65)</f>
        <v>0</v>
      </c>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2:80">
      <c r="B66" s="9" t="s">
        <v>80</v>
      </c>
      <c r="C66" s="55" t="s">
        <v>81</v>
      </c>
      <c r="D66" s="55" t="s">
        <v>82</v>
      </c>
      <c r="E66" s="38">
        <f>DSUM($B$43:$X$55,E$43,$C$62:$D66)</f>
        <v>0</v>
      </c>
      <c r="F66" s="38">
        <f>DSUM($B$43:$X$55,F$43,$C$62:$D66)</f>
        <v>0</v>
      </c>
      <c r="G66" s="38">
        <f>DSUM($B$43:$X$55,G$43,$C$62:$D66)</f>
        <v>0</v>
      </c>
      <c r="H66" s="38">
        <f>DSUM($B$43:$X$55,H$43,$C$62:$D66)</f>
        <v>0</v>
      </c>
      <c r="I66" s="38">
        <f>DSUM($B$43:$X$55,I$43,$C$62:$D66)</f>
        <v>0</v>
      </c>
      <c r="J66" s="38">
        <f>DSUM($B$43:$X$55,J$43,$C$62:$D66)</f>
        <v>0</v>
      </c>
      <c r="K66" s="38">
        <f>DSUM($B$43:$X$55,K$43,$C$62:$D66)</f>
        <v>0</v>
      </c>
      <c r="L66" s="38">
        <f>DSUM($B$43:$X$55,L$43,$C$62:$D66)</f>
        <v>0</v>
      </c>
      <c r="M66" s="38">
        <f>DSUM($B$43:$X$55,M$43,$C$62:$D66)</f>
        <v>0</v>
      </c>
      <c r="N66" s="38">
        <f>DSUM($B$43:$X$55,N$43,$C$62:$D66)</f>
        <v>0</v>
      </c>
      <c r="O66" s="38">
        <f>DSUM($B$43:$X$55,O$43,$C$62:$D66)</f>
        <v>0</v>
      </c>
      <c r="P66" s="38">
        <f>DSUM($B$43:$X$55,P$43,$C$62:$D66)</f>
        <v>0</v>
      </c>
      <c r="Q66" s="38">
        <f>DSUM($B$43:$X$55,Q$43,$C$62:$D66)</f>
        <v>0</v>
      </c>
      <c r="R66" s="38">
        <f>DSUM($B$43:$X$55,R$43,$C$62:$D66)</f>
        <v>0</v>
      </c>
      <c r="S66" s="38">
        <f>DSUM($B$43:$X$55,S$43,$C$62:$D66)</f>
        <v>0</v>
      </c>
      <c r="T66" s="38">
        <f>DSUM($B$43:$X$55,T$43,$C$62:$D66)</f>
        <v>0</v>
      </c>
      <c r="U66" s="38">
        <f>DSUM($B$43:$X$55,U$43,$C$62:$D66)</f>
        <v>0</v>
      </c>
      <c r="V66" s="38">
        <f>DSUM($B$43:$X$55,V$43,$C$62:$D66)</f>
        <v>0</v>
      </c>
      <c r="W66" s="38">
        <f>DSUM($B$43:$X$55,W$43,$C$62:$D66)</f>
        <v>0</v>
      </c>
      <c r="X66" s="38">
        <f>DSUM($B$43:$Y$55,X$43,$C$62:$D66)</f>
        <v>0</v>
      </c>
      <c r="Y66" s="38">
        <f>DSUM($B$43:$Y$55,Y$43,$C$62:$D66)</f>
        <v>0</v>
      </c>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row>
    <row r="67" spans="2:80">
      <c r="B67" s="9" t="s">
        <v>83</v>
      </c>
      <c r="C67" s="55" t="s">
        <v>84</v>
      </c>
      <c r="D67" s="55" t="s">
        <v>85</v>
      </c>
      <c r="E67" s="38">
        <f>DSUM($B$43:$X$55,E$43,$C$62:$D67)</f>
        <v>0</v>
      </c>
      <c r="F67" s="38">
        <f>DSUM($B$43:$X$55,F$43,$C$62:$D67)</f>
        <v>0</v>
      </c>
      <c r="G67" s="38">
        <f>DSUM($B$43:$X$55,G$43,$C$62:$D67)</f>
        <v>0</v>
      </c>
      <c r="H67" s="38">
        <f>DSUM($B$43:$X$55,H$43,$C$62:$D67)</f>
        <v>0</v>
      </c>
      <c r="I67" s="38">
        <f>DSUM($B$43:$X$55,I$43,$C$62:$D67)</f>
        <v>0</v>
      </c>
      <c r="J67" s="38">
        <f>DSUM($B$43:$X$55,J$43,$C$62:$D67)</f>
        <v>0</v>
      </c>
      <c r="K67" s="38">
        <f>DSUM($B$43:$X$55,K$43,$C$62:$D67)</f>
        <v>0</v>
      </c>
      <c r="L67" s="38">
        <f>DSUM($B$43:$X$55,L$43,$C$62:$D67)</f>
        <v>0</v>
      </c>
      <c r="M67" s="38">
        <f>DSUM($B$43:$X$55,M$43,$C$62:$D67)</f>
        <v>0</v>
      </c>
      <c r="N67" s="38">
        <f>DSUM($B$43:$X$55,N$43,$C$62:$D67)</f>
        <v>0</v>
      </c>
      <c r="O67" s="38">
        <f>DSUM($B$43:$X$55,O$43,$C$62:$D67)</f>
        <v>0</v>
      </c>
      <c r="P67" s="38">
        <f>DSUM($B$43:$X$55,P$43,$C$62:$D67)</f>
        <v>0</v>
      </c>
      <c r="Q67" s="38">
        <f>DSUM($B$43:$X$55,Q$43,$C$62:$D67)</f>
        <v>0</v>
      </c>
      <c r="R67" s="38">
        <f>DSUM($B$43:$X$55,R$43,$C$62:$D67)</f>
        <v>0</v>
      </c>
      <c r="S67" s="38">
        <f>DSUM($B$43:$X$55,S$43,$C$62:$D67)</f>
        <v>0</v>
      </c>
      <c r="T67" s="38">
        <f>DSUM($B$43:$X$55,T$43,$C$62:$D67)</f>
        <v>0</v>
      </c>
      <c r="U67" s="38">
        <f>DSUM($B$43:$X$55,U$43,$C$62:$D67)</f>
        <v>0</v>
      </c>
      <c r="V67" s="38">
        <f>DSUM($B$43:$X$55,V$43,$C$62:$D67)</f>
        <v>0</v>
      </c>
      <c r="W67" s="38">
        <f>DSUM($B$43:$X$55,W$43,$C$62:$D67)</f>
        <v>0</v>
      </c>
      <c r="X67" s="38">
        <f>DSUM($B$43:$Y$55,X$43,$C$62:$D67)</f>
        <v>0</v>
      </c>
      <c r="Y67" s="38">
        <f>DSUM($B$43:$Y$55,Y$43,$C$62:$D67)</f>
        <v>0</v>
      </c>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row>
    <row r="68" spans="2:80">
      <c r="B68" s="9" t="s">
        <v>86</v>
      </c>
      <c r="C68" s="55" t="s">
        <v>87</v>
      </c>
      <c r="D68" s="55" t="s">
        <v>88</v>
      </c>
      <c r="E68" s="38">
        <f>DSUM($B$43:$X$55,E$43,$C$62:$D68)</f>
        <v>0</v>
      </c>
      <c r="F68" s="38">
        <f>DSUM($B$43:$X$55,F$43,$C$62:$D68)</f>
        <v>0</v>
      </c>
      <c r="G68" s="38">
        <f>DSUM($B$43:$X$55,G$43,$C$62:$D68)</f>
        <v>0</v>
      </c>
      <c r="H68" s="38">
        <f>DSUM($B$43:$X$55,H$43,$C$62:$D68)</f>
        <v>0</v>
      </c>
      <c r="I68" s="38">
        <f>DSUM($B$43:$X$55,I$43,$C$62:$D68)</f>
        <v>0</v>
      </c>
      <c r="J68" s="38">
        <f>DSUM($B$43:$X$55,J$43,$C$62:$D68)</f>
        <v>0</v>
      </c>
      <c r="K68" s="38">
        <f>DSUM($B$43:$X$55,K$43,$C$62:$D68)</f>
        <v>0</v>
      </c>
      <c r="L68" s="38">
        <f>DSUM($B$43:$X$55,L$43,$C$62:$D68)</f>
        <v>0</v>
      </c>
      <c r="M68" s="38">
        <f>DSUM($B$43:$X$55,M$43,$C$62:$D68)</f>
        <v>0</v>
      </c>
      <c r="N68" s="38">
        <f>DSUM($B$43:$X$55,N$43,$C$62:$D68)</f>
        <v>0</v>
      </c>
      <c r="O68" s="38">
        <f>DSUM($B$43:$X$55,O$43,$C$62:$D68)</f>
        <v>0</v>
      </c>
      <c r="P68" s="38">
        <f>DSUM($B$43:$X$55,P$43,$C$62:$D68)</f>
        <v>0</v>
      </c>
      <c r="Q68" s="38">
        <f>DSUM($B$43:$X$55,Q$43,$C$62:$D68)</f>
        <v>0</v>
      </c>
      <c r="R68" s="38">
        <f>DSUM($B$43:$X$55,R$43,$C$62:$D68)</f>
        <v>0</v>
      </c>
      <c r="S68" s="38">
        <f>DSUM($B$43:$X$55,S$43,$C$62:$D68)</f>
        <v>0</v>
      </c>
      <c r="T68" s="38">
        <f>DSUM($B$43:$X$55,T$43,$C$62:$D68)</f>
        <v>0</v>
      </c>
      <c r="U68" s="38">
        <f>DSUM($B$43:$X$55,U$43,$C$62:$D68)</f>
        <v>0</v>
      </c>
      <c r="V68" s="38">
        <f>DSUM($B$43:$X$55,V$43,$C$62:$D68)</f>
        <v>0</v>
      </c>
      <c r="W68" s="38">
        <f>DSUM($B$43:$X$55,W$43,$C$62:$D68)</f>
        <v>0</v>
      </c>
      <c r="X68" s="38">
        <f>DSUM($B$43:$Y$55,X$43,$C$62:$D68)</f>
        <v>0</v>
      </c>
      <c r="Y68" s="38">
        <f>DSUM($B$43:$Y$55,Y$43,$C$62:$D68)</f>
        <v>0</v>
      </c>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row>
    <row r="69" spans="2:80">
      <c r="B69" s="9" t="s">
        <v>89</v>
      </c>
      <c r="C69" s="55" t="s">
        <v>90</v>
      </c>
      <c r="D69" s="55" t="s">
        <v>91</v>
      </c>
      <c r="E69" s="38">
        <f>DSUM($B$43:$X$55,E$43,$C$62:$D69)</f>
        <v>0</v>
      </c>
      <c r="F69" s="38">
        <f>DSUM($B$43:$X$55,F$43,$C$62:$D69)</f>
        <v>0</v>
      </c>
      <c r="G69" s="38">
        <f>DSUM($B$43:$X$55,G$43,$C$62:$D69)</f>
        <v>0</v>
      </c>
      <c r="H69" s="38">
        <f>DSUM($B$43:$X$55,H$43,$C$62:$D69)</f>
        <v>0</v>
      </c>
      <c r="I69" s="38">
        <f>DSUM($B$43:$X$55,I$43,$C$62:$D69)</f>
        <v>0</v>
      </c>
      <c r="J69" s="38">
        <f>DSUM($B$43:$X$55,J$43,$C$62:$D69)</f>
        <v>0</v>
      </c>
      <c r="K69" s="38">
        <f>DSUM($B$43:$X$55,K$43,$C$62:$D69)</f>
        <v>0</v>
      </c>
      <c r="L69" s="38">
        <f>DSUM($B$43:$X$55,L$43,$C$62:$D69)</f>
        <v>0</v>
      </c>
      <c r="M69" s="38">
        <f>DSUM($B$43:$X$55,M$43,$C$62:$D69)</f>
        <v>0</v>
      </c>
      <c r="N69" s="38">
        <f>DSUM($B$43:$X$55,N$43,$C$62:$D69)</f>
        <v>0</v>
      </c>
      <c r="O69" s="38">
        <f>DSUM($B$43:$X$55,O$43,$C$62:$D69)</f>
        <v>0</v>
      </c>
      <c r="P69" s="38">
        <f>DSUM($B$43:$X$55,P$43,$C$62:$D69)</f>
        <v>0</v>
      </c>
      <c r="Q69" s="38">
        <f>DSUM($B$43:$X$55,Q$43,$C$62:$D69)</f>
        <v>0</v>
      </c>
      <c r="R69" s="38">
        <f>DSUM($B$43:$X$55,R$43,$C$62:$D69)</f>
        <v>0</v>
      </c>
      <c r="S69" s="38">
        <f>DSUM($B$43:$X$55,S$43,$C$62:$D69)</f>
        <v>0</v>
      </c>
      <c r="T69" s="38">
        <f>DSUM($B$43:$X$55,T$43,$C$62:$D69)</f>
        <v>0</v>
      </c>
      <c r="U69" s="38">
        <f>DSUM($B$43:$X$55,U$43,$C$62:$D69)</f>
        <v>0</v>
      </c>
      <c r="V69" s="38">
        <f>DSUM($B$43:$X$55,V$43,$C$62:$D69)</f>
        <v>0</v>
      </c>
      <c r="W69" s="38">
        <f>DSUM($B$43:$X$55,W$43,$C$62:$D69)</f>
        <v>0</v>
      </c>
      <c r="X69" s="38">
        <f>DSUM($B$43:$Y$55,X$43,$C$62:$D69)</f>
        <v>0</v>
      </c>
      <c r="Y69" s="38">
        <f>DSUM($B$43:$Y$55,Y$43,$C$62:$D69)</f>
        <v>0</v>
      </c>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row>
    <row r="70" spans="2:80">
      <c r="B70" s="9" t="s">
        <v>92</v>
      </c>
      <c r="C70" s="55" t="s">
        <v>93</v>
      </c>
      <c r="D70" s="55" t="s">
        <v>94</v>
      </c>
      <c r="E70" s="38">
        <f>DSUM($B$43:$X$55,E$43,$C$62:$D70)</f>
        <v>0</v>
      </c>
      <c r="F70" s="38">
        <f>DSUM($B$43:$X$55,F$43,$C$62:$D70)</f>
        <v>0</v>
      </c>
      <c r="G70" s="38">
        <f>DSUM($B$43:$X$55,G$43,$C$62:$D70)</f>
        <v>0</v>
      </c>
      <c r="H70" s="38">
        <f>DSUM($B$43:$X$55,H$43,$C$62:$D70)</f>
        <v>0</v>
      </c>
      <c r="I70" s="38">
        <f>DSUM($B$43:$X$55,I$43,$C$62:$D70)</f>
        <v>0</v>
      </c>
      <c r="J70" s="38">
        <f>DSUM($B$43:$X$55,J$43,$C$62:$D70)</f>
        <v>0</v>
      </c>
      <c r="K70" s="38">
        <f>DSUM($B$43:$X$55,K$43,$C$62:$D70)</f>
        <v>0</v>
      </c>
      <c r="L70" s="38">
        <f>DSUM($B$43:$X$55,L$43,$C$62:$D70)</f>
        <v>0</v>
      </c>
      <c r="M70" s="38">
        <f>DSUM($B$43:$X$55,M$43,$C$62:$D70)</f>
        <v>0</v>
      </c>
      <c r="N70" s="38">
        <f>DSUM($B$43:$X$55,N$43,$C$62:$D70)</f>
        <v>0</v>
      </c>
      <c r="O70" s="38">
        <f>DSUM($B$43:$X$55,O$43,$C$62:$D70)</f>
        <v>0</v>
      </c>
      <c r="P70" s="38">
        <f>DSUM($B$43:$X$55,P$43,$C$62:$D70)</f>
        <v>0</v>
      </c>
      <c r="Q70" s="38">
        <f>DSUM($B$43:$X$55,Q$43,$C$62:$D70)</f>
        <v>0</v>
      </c>
      <c r="R70" s="38">
        <f>DSUM($B$43:$X$55,R$43,$C$62:$D70)</f>
        <v>0</v>
      </c>
      <c r="S70" s="38">
        <f>DSUM($B$43:$X$55,S$43,$C$62:$D70)</f>
        <v>0</v>
      </c>
      <c r="T70" s="38">
        <f>DSUM($B$43:$X$55,T$43,$C$62:$D70)</f>
        <v>0</v>
      </c>
      <c r="U70" s="38">
        <f>DSUM($B$43:$X$55,U$43,$C$62:$D70)</f>
        <v>0</v>
      </c>
      <c r="V70" s="38">
        <f>DSUM($B$43:$X$55,V$43,$C$62:$D70)</f>
        <v>0</v>
      </c>
      <c r="W70" s="38">
        <f>DSUM($B$43:$X$55,W$43,$C$62:$D70)</f>
        <v>0</v>
      </c>
      <c r="X70" s="38">
        <f>DSUM($B$43:$Y$55,X$43,$C$62:$D70)</f>
        <v>0</v>
      </c>
      <c r="Y70" s="38">
        <f>DSUM($B$43:$Y$55,Y$43,$C$62:$D70)</f>
        <v>0</v>
      </c>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row>
    <row r="71" spans="2:80">
      <c r="B71" s="9" t="s">
        <v>95</v>
      </c>
      <c r="C71" s="55" t="s">
        <v>96</v>
      </c>
      <c r="D71" s="55" t="s">
        <v>97</v>
      </c>
      <c r="E71" s="38">
        <f>DSUM($B$43:$X$55,E$43,$C$62:$D71)</f>
        <v>0</v>
      </c>
      <c r="F71" s="38">
        <f>DSUM($B$43:$X$55,F$43,$C$62:$D71)</f>
        <v>0</v>
      </c>
      <c r="G71" s="38">
        <f>DSUM($B$43:$X$55,G$43,$C$62:$D71)</f>
        <v>0</v>
      </c>
      <c r="H71" s="38">
        <f>DSUM($B$43:$X$55,H$43,$C$62:$D71)</f>
        <v>0</v>
      </c>
      <c r="I71" s="38">
        <f>DSUM($B$43:$X$55,I$43,$C$62:$D71)</f>
        <v>0</v>
      </c>
      <c r="J71" s="38">
        <f>DSUM($B$43:$X$55,J$43,$C$62:$D71)</f>
        <v>0</v>
      </c>
      <c r="K71" s="38">
        <f>DSUM($B$43:$X$55,K$43,$C$62:$D71)</f>
        <v>0</v>
      </c>
      <c r="L71" s="38">
        <f>DSUM($B$43:$X$55,L$43,$C$62:$D71)</f>
        <v>0</v>
      </c>
      <c r="M71" s="38">
        <f>DSUM($B$43:$X$55,M$43,$C$62:$D71)</f>
        <v>0</v>
      </c>
      <c r="N71" s="38">
        <f>DSUM($B$43:$X$55,N$43,$C$62:$D71)</f>
        <v>0</v>
      </c>
      <c r="O71" s="38">
        <f>DSUM($B$43:$X$55,O$43,$C$62:$D71)</f>
        <v>0</v>
      </c>
      <c r="P71" s="38">
        <f>DSUM($B$43:$X$55,P$43,$C$62:$D71)</f>
        <v>0</v>
      </c>
      <c r="Q71" s="38">
        <f>DSUM($B$43:$X$55,Q$43,$C$62:$D71)</f>
        <v>0</v>
      </c>
      <c r="R71" s="38">
        <f>DSUM($B$43:$X$55,R$43,$C$62:$D71)</f>
        <v>0</v>
      </c>
      <c r="S71" s="38">
        <f>DSUM($B$43:$X$55,S$43,$C$62:$D71)</f>
        <v>0</v>
      </c>
      <c r="T71" s="38">
        <f>DSUM($B$43:$X$55,T$43,$C$62:$D71)</f>
        <v>0</v>
      </c>
      <c r="U71" s="38">
        <f>DSUM($B$43:$X$55,U$43,$C$62:$D71)</f>
        <v>0</v>
      </c>
      <c r="V71" s="38">
        <f>DSUM($B$43:$X$55,V$43,$C$62:$D71)</f>
        <v>0</v>
      </c>
      <c r="W71" s="38">
        <f>DSUM($B$43:$X$55,W$43,$C$62:$D71)</f>
        <v>0</v>
      </c>
      <c r="X71" s="38">
        <f>DSUM($B$43:$Y$55,X$43,$C$62:$D71)</f>
        <v>0</v>
      </c>
      <c r="Y71" s="38">
        <f>DSUM($B$43:$Y$55,Y$43,$C$62:$D71)</f>
        <v>0</v>
      </c>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row>
    <row r="72" spans="2:80">
      <c r="B72" s="9" t="s">
        <v>98</v>
      </c>
      <c r="C72" s="55" t="s">
        <v>99</v>
      </c>
      <c r="D72" s="55" t="s">
        <v>100</v>
      </c>
      <c r="E72" s="38">
        <f>DSUM($B$43:$X$55,E$43,$C$62:$D72)</f>
        <v>0</v>
      </c>
      <c r="F72" s="38">
        <f>DSUM($B$43:$X$55,F$43,$C$62:$D72)</f>
        <v>0</v>
      </c>
      <c r="G72" s="38">
        <f>DSUM($B$43:$X$55,G$43,$C$62:$D72)</f>
        <v>0</v>
      </c>
      <c r="H72" s="38">
        <f>DSUM($B$43:$X$55,H$43,$C$62:$D72)</f>
        <v>0</v>
      </c>
      <c r="I72" s="38">
        <f>DSUM($B$43:$X$55,I$43,$C$62:$D72)</f>
        <v>0</v>
      </c>
      <c r="J72" s="38">
        <f>DSUM($B$43:$X$55,J$43,$C$62:$D72)</f>
        <v>0</v>
      </c>
      <c r="K72" s="38">
        <f>DSUM($B$43:$X$55,K$43,$C$62:$D72)</f>
        <v>0</v>
      </c>
      <c r="L72" s="38">
        <f>DSUM($B$43:$X$55,L$43,$C$62:$D72)</f>
        <v>0</v>
      </c>
      <c r="M72" s="38">
        <f>DSUM($B$43:$X$55,M$43,$C$62:$D72)</f>
        <v>0</v>
      </c>
      <c r="N72" s="38">
        <f>DSUM($B$43:$X$55,N$43,$C$62:$D72)</f>
        <v>0</v>
      </c>
      <c r="O72" s="38">
        <f>DSUM($B$43:$X$55,O$43,$C$62:$D72)</f>
        <v>0</v>
      </c>
      <c r="P72" s="38">
        <f>DSUM($B$43:$X$55,P$43,$C$62:$D72)</f>
        <v>0</v>
      </c>
      <c r="Q72" s="38">
        <f>DSUM($B$43:$X$55,Q$43,$C$62:$D72)</f>
        <v>0</v>
      </c>
      <c r="R72" s="38">
        <f>DSUM($B$43:$X$55,R$43,$C$62:$D72)</f>
        <v>0</v>
      </c>
      <c r="S72" s="38">
        <f>DSUM($B$43:$X$55,S$43,$C$62:$D72)</f>
        <v>0</v>
      </c>
      <c r="T72" s="38">
        <f>DSUM($B$43:$X$55,T$43,$C$62:$D72)</f>
        <v>0</v>
      </c>
      <c r="U72" s="38">
        <f>DSUM($B$43:$X$55,U$43,$C$62:$D72)</f>
        <v>0</v>
      </c>
      <c r="V72" s="38">
        <f>DSUM($B$43:$X$55,V$43,$C$62:$D72)</f>
        <v>0</v>
      </c>
      <c r="W72" s="38">
        <f>DSUM($B$43:$X$55,W$43,$C$62:$D72)</f>
        <v>0</v>
      </c>
      <c r="X72" s="38">
        <f>DSUM($B$43:$Y$55,X$43,$C$62:$D72)</f>
        <v>0</v>
      </c>
      <c r="Y72" s="38">
        <f>DSUM($B$43:$Y$55,Y$43,$C$62:$D72)</f>
        <v>0</v>
      </c>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row>
    <row r="73" spans="2:80">
      <c r="B73" s="9" t="s">
        <v>101</v>
      </c>
      <c r="C73" s="55" t="s">
        <v>102</v>
      </c>
      <c r="D73" s="55" t="s">
        <v>103</v>
      </c>
      <c r="E73" s="38">
        <f>DSUM($B$43:$X$55,E$43,$C$62:$D73)</f>
        <v>0</v>
      </c>
      <c r="F73" s="38">
        <f>DSUM($B$43:$X$55,F$43,$C$62:$D73)</f>
        <v>0</v>
      </c>
      <c r="G73" s="38">
        <f>DSUM($B$43:$X$55,G$43,$C$62:$D73)</f>
        <v>0</v>
      </c>
      <c r="H73" s="38">
        <f>DSUM($B$43:$X$55,H$43,$C$62:$D73)</f>
        <v>0</v>
      </c>
      <c r="I73" s="38">
        <f>DSUM($B$43:$X$55,I$43,$C$62:$D73)</f>
        <v>0</v>
      </c>
      <c r="J73" s="38">
        <f>DSUM($B$43:$X$55,J$43,$C$62:$D73)</f>
        <v>0</v>
      </c>
      <c r="K73" s="38">
        <f>DSUM($B$43:$X$55,K$43,$C$62:$D73)</f>
        <v>0</v>
      </c>
      <c r="L73" s="38">
        <f>DSUM($B$43:$X$55,L$43,$C$62:$D73)</f>
        <v>0</v>
      </c>
      <c r="M73" s="38">
        <f>DSUM($B$43:$X$55,M$43,$C$62:$D73)</f>
        <v>0</v>
      </c>
      <c r="N73" s="38">
        <f>DSUM($B$43:$X$55,N$43,$C$62:$D73)</f>
        <v>0</v>
      </c>
      <c r="O73" s="38">
        <f>DSUM($B$43:$X$55,O$43,$C$62:$D73)</f>
        <v>0</v>
      </c>
      <c r="P73" s="38">
        <f>DSUM($B$43:$X$55,P$43,$C$62:$D73)</f>
        <v>0</v>
      </c>
      <c r="Q73" s="38">
        <f>DSUM($B$43:$X$55,Q$43,$C$62:$D73)</f>
        <v>0</v>
      </c>
      <c r="R73" s="38">
        <f>DSUM($B$43:$X$55,R$43,$C$62:$D73)</f>
        <v>0</v>
      </c>
      <c r="S73" s="38">
        <f>DSUM($B$43:$X$55,S$43,$C$62:$D73)</f>
        <v>0</v>
      </c>
      <c r="T73" s="38">
        <f>DSUM($B$43:$X$55,T$43,$C$62:$D73)</f>
        <v>0</v>
      </c>
      <c r="U73" s="38">
        <f>DSUM($B$43:$X$55,U$43,$C$62:$D73)</f>
        <v>0</v>
      </c>
      <c r="V73" s="38">
        <f>DSUM($B$43:$X$55,V$43,$C$62:$D73)</f>
        <v>0</v>
      </c>
      <c r="W73" s="38">
        <f>DSUM($B$43:$X$55,W$43,$C$62:$D73)</f>
        <v>0</v>
      </c>
      <c r="X73" s="38">
        <f>DSUM($B$43:$Y$55,X$43,$C$62:$D73)</f>
        <v>0</v>
      </c>
      <c r="Y73" s="38">
        <f>DSUM($B$43:$Y$55,Y$43,$C$62:$D73)</f>
        <v>0</v>
      </c>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row>
    <row r="74" spans="2:80">
      <c r="B74" s="9" t="s">
        <v>104</v>
      </c>
      <c r="C74" s="55" t="s">
        <v>105</v>
      </c>
      <c r="D74" s="55" t="s">
        <v>106</v>
      </c>
      <c r="E74" s="38">
        <f>DSUM($B$43:$X$55,E$43,$C$62:$D74)</f>
        <v>0</v>
      </c>
      <c r="F74" s="38">
        <f>DSUM($B$43:$X$55,F$43,$C$62:$D74)</f>
        <v>0</v>
      </c>
      <c r="G74" s="38">
        <f>DSUM($B$43:$X$55,G$43,$C$62:$D74)</f>
        <v>0</v>
      </c>
      <c r="H74" s="38">
        <f>DSUM($B$43:$X$55,H$43,$C$62:$D74)</f>
        <v>0</v>
      </c>
      <c r="I74" s="38">
        <f>DSUM($B$43:$X$55,I$43,$C$62:$D74)</f>
        <v>0</v>
      </c>
      <c r="J74" s="38">
        <f>DSUM($B$43:$X$55,J$43,$C$62:$D74)</f>
        <v>0</v>
      </c>
      <c r="K74" s="38">
        <f>DSUM($B$43:$X$55,K$43,$C$62:$D74)</f>
        <v>0</v>
      </c>
      <c r="L74" s="38">
        <f>DSUM($B$43:$X$55,L$43,$C$62:$D74)</f>
        <v>0</v>
      </c>
      <c r="M74" s="38">
        <f>DSUM($B$43:$X$55,M$43,$C$62:$D74)</f>
        <v>0</v>
      </c>
      <c r="N74" s="38">
        <f>DSUM($B$43:$X$55,N$43,$C$62:$D74)</f>
        <v>0</v>
      </c>
      <c r="O74" s="38">
        <f>DSUM($B$43:$X$55,O$43,$C$62:$D74)</f>
        <v>0</v>
      </c>
      <c r="P74" s="38">
        <f>DSUM($B$43:$X$55,P$43,$C$62:$D74)</f>
        <v>0</v>
      </c>
      <c r="Q74" s="38">
        <f>DSUM($B$43:$X$55,Q$43,$C$62:$D74)</f>
        <v>0</v>
      </c>
      <c r="R74" s="38">
        <f>DSUM($B$43:$X$55,R$43,$C$62:$D74)</f>
        <v>0</v>
      </c>
      <c r="S74" s="38">
        <f>DSUM($B$43:$X$55,S$43,$C$62:$D74)</f>
        <v>0</v>
      </c>
      <c r="T74" s="38">
        <f>DSUM($B$43:$X$55,T$43,$C$62:$D74)</f>
        <v>0</v>
      </c>
      <c r="U74" s="38">
        <f>DSUM($B$43:$X$55,U$43,$C$62:$D74)</f>
        <v>0</v>
      </c>
      <c r="V74" s="38">
        <f>DSUM($B$43:$X$55,V$43,$C$62:$D74)</f>
        <v>0</v>
      </c>
      <c r="W74" s="38">
        <f>DSUM($B$43:$X$55,W$43,$C$62:$D74)</f>
        <v>0</v>
      </c>
      <c r="X74" s="38">
        <f>DSUM($B$43:$Y$55,X$43,$C$62:$D74)</f>
        <v>0</v>
      </c>
      <c r="Y74" s="38">
        <f>DSUM($B$43:$Y$55,Y$43,$C$62:$D74)</f>
        <v>0</v>
      </c>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row>
    <row r="75" spans="2:80">
      <c r="B75" s="9" t="s">
        <v>107</v>
      </c>
      <c r="C75" s="55" t="s">
        <v>108</v>
      </c>
      <c r="D75" s="55" t="s">
        <v>109</v>
      </c>
      <c r="E75" s="38">
        <f>DSUM($B$43:$X$55,E$43,$C$62:$D75)</f>
        <v>0</v>
      </c>
      <c r="F75" s="38">
        <f>DSUM($B$43:$X$55,F$43,$C$62:$D75)</f>
        <v>0</v>
      </c>
      <c r="G75" s="38">
        <f>DSUM($B$43:$X$55,G$43,$C$62:$D75)</f>
        <v>0</v>
      </c>
      <c r="H75" s="38">
        <f>DSUM($B$43:$X$55,H$43,$C$62:$D75)</f>
        <v>0</v>
      </c>
      <c r="I75" s="38">
        <f>DSUM($B$43:$X$55,I$43,$C$62:$D75)</f>
        <v>0</v>
      </c>
      <c r="J75" s="38">
        <f>DSUM($B$43:$X$55,J$43,$C$62:$D75)</f>
        <v>0</v>
      </c>
      <c r="K75" s="38">
        <f>DSUM($B$43:$X$55,K$43,$C$62:$D75)</f>
        <v>0</v>
      </c>
      <c r="L75" s="38">
        <f>DSUM($B$43:$X$55,L$43,$C$62:$D75)</f>
        <v>0</v>
      </c>
      <c r="M75" s="38">
        <f>DSUM($B$43:$X$55,M$43,$C$62:$D75)</f>
        <v>0</v>
      </c>
      <c r="N75" s="38">
        <f>DSUM($B$43:$X$55,N$43,$C$62:$D75)</f>
        <v>0</v>
      </c>
      <c r="O75" s="38">
        <f>DSUM($B$43:$X$55,O$43,$C$62:$D75)</f>
        <v>0</v>
      </c>
      <c r="P75" s="38">
        <f>DSUM($B$43:$X$55,P$43,$C$62:$D75)</f>
        <v>0</v>
      </c>
      <c r="Q75" s="38">
        <f>DSUM($B$43:$X$55,Q$43,$C$62:$D75)</f>
        <v>0</v>
      </c>
      <c r="R75" s="38">
        <f>DSUM($B$43:$X$55,R$43,$C$62:$D75)</f>
        <v>0</v>
      </c>
      <c r="S75" s="38">
        <f>DSUM($B$43:$X$55,S$43,$C$62:$D75)</f>
        <v>0</v>
      </c>
      <c r="T75" s="38">
        <f>DSUM($B$43:$X$55,T$43,$C$62:$D75)</f>
        <v>0</v>
      </c>
      <c r="U75" s="38">
        <f>DSUM($B$43:$X$55,U$43,$C$62:$D75)</f>
        <v>0</v>
      </c>
      <c r="V75" s="38">
        <f>DSUM($B$43:$X$55,V$43,$C$62:$D75)</f>
        <v>0</v>
      </c>
      <c r="W75" s="38">
        <f>DSUM($B$43:$X$55,W$43,$C$62:$D75)</f>
        <v>0</v>
      </c>
      <c r="X75" s="38">
        <f>DSUM($B$43:$Y$55,X$43,$C$62:$D75)</f>
        <v>0</v>
      </c>
      <c r="Y75" s="38">
        <f>DSUM($B$43:$Y$55,Y$43,$C$62:$D75)</f>
        <v>0</v>
      </c>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row>
    <row r="76" spans="2:80">
      <c r="B76" s="9" t="s">
        <v>110</v>
      </c>
      <c r="C76" s="55" t="s">
        <v>111</v>
      </c>
      <c r="D76" s="55" t="s">
        <v>112</v>
      </c>
      <c r="E76" s="38">
        <f>DSUM($B$43:$X$55,E$43,$C$62:$D76)</f>
        <v>0</v>
      </c>
      <c r="F76" s="38">
        <f>DSUM($B$43:$X$55,F$43,$C$62:$D76)</f>
        <v>0</v>
      </c>
      <c r="G76" s="38">
        <f>DSUM($B$43:$X$55,G$43,$C$62:$D76)</f>
        <v>0</v>
      </c>
      <c r="H76" s="38">
        <f>DSUM($B$43:$X$55,H$43,$C$62:$D76)</f>
        <v>0</v>
      </c>
      <c r="I76" s="38">
        <f>DSUM($B$43:$X$55,I$43,$C$62:$D76)</f>
        <v>0</v>
      </c>
      <c r="J76" s="38">
        <f>DSUM($B$43:$X$55,J$43,$C$62:$D76)</f>
        <v>0</v>
      </c>
      <c r="K76" s="38">
        <f>DSUM($B$43:$X$55,K$43,$C$62:$D76)</f>
        <v>0</v>
      </c>
      <c r="L76" s="38">
        <f>DSUM($B$43:$X$55,L$43,$C$62:$D76)</f>
        <v>0</v>
      </c>
      <c r="M76" s="38">
        <f>DSUM($B$43:$X$55,M$43,$C$62:$D76)</f>
        <v>0</v>
      </c>
      <c r="N76" s="38">
        <f>DSUM($B$43:$X$55,N$43,$C$62:$D76)</f>
        <v>0</v>
      </c>
      <c r="O76" s="38">
        <f>DSUM($B$43:$X$55,O$43,$C$62:$D76)</f>
        <v>0</v>
      </c>
      <c r="P76" s="38">
        <f>DSUM($B$43:$X$55,P$43,$C$62:$D76)</f>
        <v>0</v>
      </c>
      <c r="Q76" s="38">
        <f>DSUM($B$43:$X$55,Q$43,$C$62:$D76)</f>
        <v>0</v>
      </c>
      <c r="R76" s="38">
        <f>DSUM($B$43:$X$55,R$43,$C$62:$D76)</f>
        <v>0</v>
      </c>
      <c r="S76" s="38">
        <f>DSUM($B$43:$X$55,S$43,$C$62:$D76)</f>
        <v>0</v>
      </c>
      <c r="T76" s="38">
        <f>DSUM($B$43:$X$55,T$43,$C$62:$D76)</f>
        <v>0</v>
      </c>
      <c r="U76" s="38">
        <f>DSUM($B$43:$X$55,U$43,$C$62:$D76)</f>
        <v>0</v>
      </c>
      <c r="V76" s="38">
        <f>DSUM($B$43:$X$55,V$43,$C$62:$D76)</f>
        <v>0</v>
      </c>
      <c r="W76" s="38">
        <f>DSUM($B$43:$X$55,W$43,$C$62:$D76)</f>
        <v>0</v>
      </c>
      <c r="X76" s="38">
        <f>DSUM($B$43:$Y$55,X$43,$C$62:$D76)</f>
        <v>0</v>
      </c>
      <c r="Y76" s="38">
        <f>DSUM($B$43:$Y$55,Y$43,$C$62:$D76)</f>
        <v>0</v>
      </c>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row>
    <row r="77" spans="2:80">
      <c r="B77" s="9" t="s">
        <v>113</v>
      </c>
      <c r="C77" s="55" t="s">
        <v>114</v>
      </c>
      <c r="D77" s="55" t="s">
        <v>115</v>
      </c>
      <c r="E77" s="38">
        <f>DSUM($B$43:$X$55,E$43,$C$62:$D77)</f>
        <v>0</v>
      </c>
      <c r="F77" s="38">
        <f>DSUM($B$43:$X$55,F$43,$C$62:$D77)</f>
        <v>0</v>
      </c>
      <c r="G77" s="38">
        <f>DSUM($B$43:$X$55,G$43,$C$62:$D77)</f>
        <v>0</v>
      </c>
      <c r="H77" s="38">
        <f>DSUM($B$43:$X$55,H$43,$C$62:$D77)</f>
        <v>0</v>
      </c>
      <c r="I77" s="38">
        <f>DSUM($B$43:$X$55,I$43,$C$62:$D77)</f>
        <v>0</v>
      </c>
      <c r="J77" s="38">
        <f>DSUM($B$43:$X$55,J$43,$C$62:$D77)</f>
        <v>0</v>
      </c>
      <c r="K77" s="38">
        <f>DSUM($B$43:$X$55,K$43,$C$62:$D77)</f>
        <v>0</v>
      </c>
      <c r="L77" s="38">
        <f>DSUM($B$43:$X$55,L$43,$C$62:$D77)</f>
        <v>0</v>
      </c>
      <c r="M77" s="38">
        <f>DSUM($B$43:$X$55,M$43,$C$62:$D77)</f>
        <v>0</v>
      </c>
      <c r="N77" s="38">
        <f>DSUM($B$43:$X$55,N$43,$C$62:$D77)</f>
        <v>0</v>
      </c>
      <c r="O77" s="38">
        <f>DSUM($B$43:$X$55,O$43,$C$62:$D77)</f>
        <v>0</v>
      </c>
      <c r="P77" s="38">
        <f>DSUM($B$43:$X$55,P$43,$C$62:$D77)</f>
        <v>0</v>
      </c>
      <c r="Q77" s="38">
        <f>DSUM($B$43:$X$55,Q$43,$C$62:$D77)</f>
        <v>0</v>
      </c>
      <c r="R77" s="38">
        <f>DSUM($B$43:$X$55,R$43,$C$62:$D77)</f>
        <v>0</v>
      </c>
      <c r="S77" s="38">
        <f>DSUM($B$43:$X$55,S$43,$C$62:$D77)</f>
        <v>0</v>
      </c>
      <c r="T77" s="38">
        <f>DSUM($B$43:$X$55,T$43,$C$62:$D77)</f>
        <v>0</v>
      </c>
      <c r="U77" s="38">
        <f>DSUM($B$43:$X$55,U$43,$C$62:$D77)</f>
        <v>0</v>
      </c>
      <c r="V77" s="38">
        <f>DSUM($B$43:$X$55,V$43,$C$62:$D77)</f>
        <v>0</v>
      </c>
      <c r="W77" s="38">
        <f>DSUM($B$43:$X$55,W$43,$C$62:$D77)</f>
        <v>0</v>
      </c>
      <c r="X77" s="38">
        <f>DSUM($B$43:$Y$55,X$43,$C$62:$D77)</f>
        <v>0</v>
      </c>
      <c r="Y77" s="38">
        <f>DSUM($B$43:$Y$55,Y$43,$C$62:$D77)</f>
        <v>0</v>
      </c>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row>
    <row r="78" spans="2:80">
      <c r="B78" s="9" t="s">
        <v>116</v>
      </c>
      <c r="C78" s="55" t="s">
        <v>117</v>
      </c>
      <c r="D78" s="55" t="s">
        <v>118</v>
      </c>
      <c r="E78" s="38">
        <f>DSUM($B$43:$X$55,E$43,$C$62:$D78)</f>
        <v>0</v>
      </c>
      <c r="F78" s="38">
        <f>DSUM($B$43:$X$55,F$43,$C$62:$D78)</f>
        <v>0</v>
      </c>
      <c r="G78" s="38">
        <f>DSUM($B$43:$X$55,G$43,$C$62:$D78)</f>
        <v>0</v>
      </c>
      <c r="H78" s="38">
        <f>DSUM($B$43:$X$55,H$43,$C$62:$D78)</f>
        <v>0</v>
      </c>
      <c r="I78" s="38">
        <f>DSUM($B$43:$X$55,I$43,$C$62:$D78)</f>
        <v>0</v>
      </c>
      <c r="J78" s="38">
        <f>DSUM($B$43:$X$55,J$43,$C$62:$D78)</f>
        <v>0</v>
      </c>
      <c r="K78" s="38">
        <f>DSUM($B$43:$X$55,K$43,$C$62:$D78)</f>
        <v>0</v>
      </c>
      <c r="L78" s="38">
        <f>DSUM($B$43:$X$55,L$43,$C$62:$D78)</f>
        <v>0</v>
      </c>
      <c r="M78" s="38">
        <f>DSUM($B$43:$X$55,M$43,$C$62:$D78)</f>
        <v>0</v>
      </c>
      <c r="N78" s="38">
        <f>DSUM($B$43:$X$55,N$43,$C$62:$D78)</f>
        <v>0</v>
      </c>
      <c r="O78" s="38">
        <f>DSUM($B$43:$X$55,O$43,$C$62:$D78)</f>
        <v>0</v>
      </c>
      <c r="P78" s="38">
        <f>DSUM($B$43:$X$55,P$43,$C$62:$D78)</f>
        <v>0</v>
      </c>
      <c r="Q78" s="38">
        <f>DSUM($B$43:$X$55,Q$43,$C$62:$D78)</f>
        <v>0</v>
      </c>
      <c r="R78" s="38">
        <f>DSUM($B$43:$X$55,R$43,$C$62:$D78)</f>
        <v>0</v>
      </c>
      <c r="S78" s="38">
        <f>DSUM($B$43:$X$55,S$43,$C$62:$D78)</f>
        <v>0</v>
      </c>
      <c r="T78" s="38">
        <f>DSUM($B$43:$X$55,T$43,$C$62:$D78)</f>
        <v>0</v>
      </c>
      <c r="U78" s="38">
        <f>DSUM($B$43:$X$55,U$43,$C$62:$D78)</f>
        <v>0</v>
      </c>
      <c r="V78" s="38">
        <f>DSUM($B$43:$X$55,V$43,$C$62:$D78)</f>
        <v>0</v>
      </c>
      <c r="W78" s="38">
        <f>DSUM($B$43:$X$55,W$43,$C$62:$D78)</f>
        <v>0</v>
      </c>
      <c r="X78" s="38">
        <f>DSUM($B$43:$Y$55,X$43,$C$62:$D78)</f>
        <v>0</v>
      </c>
      <c r="Y78" s="38">
        <f>DSUM($B$43:$Y$55,Y$43,$C$62:$D78)</f>
        <v>0</v>
      </c>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row>
    <row r="79" spans="2:80">
      <c r="B79" s="9" t="s">
        <v>119</v>
      </c>
      <c r="C79" s="55" t="s">
        <v>120</v>
      </c>
      <c r="D79" s="55" t="s">
        <v>121</v>
      </c>
      <c r="E79" s="38">
        <f>DSUM($B$43:$X$55,E$43,$C$62:$D79)</f>
        <v>0</v>
      </c>
      <c r="F79" s="38">
        <f>DSUM($B$43:$X$55,F$43,$C$62:$D79)</f>
        <v>0</v>
      </c>
      <c r="G79" s="38">
        <f>DSUM($B$43:$X$55,G$43,$C$62:$D79)</f>
        <v>0</v>
      </c>
      <c r="H79" s="38">
        <f>DSUM($B$43:$X$55,H$43,$C$62:$D79)</f>
        <v>0</v>
      </c>
      <c r="I79" s="38">
        <f>DSUM($B$43:$X$55,I$43,$C$62:$D79)</f>
        <v>0</v>
      </c>
      <c r="J79" s="38">
        <f>DSUM($B$43:$X$55,J$43,$C$62:$D79)</f>
        <v>0</v>
      </c>
      <c r="K79" s="38">
        <f>DSUM($B$43:$X$55,K$43,$C$62:$D79)</f>
        <v>0</v>
      </c>
      <c r="L79" s="38">
        <f>DSUM($B$43:$X$55,L$43,$C$62:$D79)</f>
        <v>0</v>
      </c>
      <c r="M79" s="38">
        <f>DSUM($B$43:$X$55,M$43,$C$62:$D79)</f>
        <v>0</v>
      </c>
      <c r="N79" s="38">
        <f>DSUM($B$43:$X$55,N$43,$C$62:$D79)</f>
        <v>0</v>
      </c>
      <c r="O79" s="38">
        <f>DSUM($B$43:$X$55,O$43,$C$62:$D79)</f>
        <v>0</v>
      </c>
      <c r="P79" s="38">
        <f>DSUM($B$43:$X$55,P$43,$C$62:$D79)</f>
        <v>0</v>
      </c>
      <c r="Q79" s="38">
        <f>DSUM($B$43:$X$55,Q$43,$C$62:$D79)</f>
        <v>0</v>
      </c>
      <c r="R79" s="38">
        <f>DSUM($B$43:$X$55,R$43,$C$62:$D79)</f>
        <v>0</v>
      </c>
      <c r="S79" s="38">
        <f>DSUM($B$43:$X$55,S$43,$C$62:$D79)</f>
        <v>0</v>
      </c>
      <c r="T79" s="38">
        <f>DSUM($B$43:$X$55,T$43,$C$62:$D79)</f>
        <v>0</v>
      </c>
      <c r="U79" s="38">
        <f>DSUM($B$43:$X$55,U$43,$C$62:$D79)</f>
        <v>0</v>
      </c>
      <c r="V79" s="38">
        <f>DSUM($B$43:$X$55,V$43,$C$62:$D79)</f>
        <v>0</v>
      </c>
      <c r="W79" s="38">
        <f>DSUM($B$43:$X$55,W$43,$C$62:$D79)</f>
        <v>0</v>
      </c>
      <c r="X79" s="38">
        <f>DSUM($B$43:$Y$55,X$43,$C$62:$D79)</f>
        <v>0</v>
      </c>
      <c r="Y79" s="38">
        <f>DSUM($B$43:$Y$55,Y$43,$C$62:$D79)</f>
        <v>0</v>
      </c>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row>
    <row r="80" spans="2:80">
      <c r="B80" s="9" t="s">
        <v>122</v>
      </c>
      <c r="C80" s="55" t="s">
        <v>123</v>
      </c>
      <c r="D80" s="55" t="s">
        <v>124</v>
      </c>
      <c r="E80" s="38">
        <f>DSUM($B$43:$X$55,E$43,$C$62:$D80)</f>
        <v>0</v>
      </c>
      <c r="F80" s="38">
        <f>DSUM($B$43:$X$55,F$43,$C$62:$D80)</f>
        <v>0</v>
      </c>
      <c r="G80" s="38">
        <f>DSUM($B$43:$X$55,G$43,$C$62:$D80)</f>
        <v>0</v>
      </c>
      <c r="H80" s="38">
        <f>DSUM($B$43:$X$55,H$43,$C$62:$D80)</f>
        <v>0</v>
      </c>
      <c r="I80" s="38">
        <f>DSUM($B$43:$X$55,I$43,$C$62:$D80)</f>
        <v>0</v>
      </c>
      <c r="J80" s="38">
        <f>DSUM($B$43:$X$55,J$43,$C$62:$D80)</f>
        <v>0</v>
      </c>
      <c r="K80" s="38">
        <f>DSUM($B$43:$X$55,K$43,$C$62:$D80)</f>
        <v>0</v>
      </c>
      <c r="L80" s="38">
        <f>DSUM($B$43:$X$55,L$43,$C$62:$D80)</f>
        <v>0</v>
      </c>
      <c r="M80" s="38">
        <f>DSUM($B$43:$X$55,M$43,$C$62:$D80)</f>
        <v>0</v>
      </c>
      <c r="N80" s="38">
        <f>DSUM($B$43:$X$55,N$43,$C$62:$D80)</f>
        <v>0</v>
      </c>
      <c r="O80" s="38">
        <f>DSUM($B$43:$X$55,O$43,$C$62:$D80)</f>
        <v>0</v>
      </c>
      <c r="P80" s="38">
        <f>DSUM($B$43:$X$55,P$43,$C$62:$D80)</f>
        <v>0</v>
      </c>
      <c r="Q80" s="38">
        <f>DSUM($B$43:$X$55,Q$43,$C$62:$D80)</f>
        <v>0</v>
      </c>
      <c r="R80" s="38">
        <f>DSUM($B$43:$X$55,R$43,$C$62:$D80)</f>
        <v>0</v>
      </c>
      <c r="S80" s="38">
        <f>DSUM($B$43:$X$55,S$43,$C$62:$D80)</f>
        <v>0</v>
      </c>
      <c r="T80" s="38">
        <f>DSUM($B$43:$X$55,T$43,$C$62:$D80)</f>
        <v>0</v>
      </c>
      <c r="U80" s="38">
        <f>DSUM($B$43:$X$55,U$43,$C$62:$D80)</f>
        <v>0</v>
      </c>
      <c r="V80" s="38">
        <f>DSUM($B$43:$X$55,V$43,$C$62:$D80)</f>
        <v>0</v>
      </c>
      <c r="W80" s="38">
        <f>DSUM($B$43:$X$55,W$43,$C$62:$D80)</f>
        <v>0</v>
      </c>
      <c r="X80" s="38">
        <f>DSUM($B$43:$Y$55,X$43,$C$62:$D80)</f>
        <v>0</v>
      </c>
      <c r="Y80" s="38">
        <f>DSUM($B$43:$Y$55,Y$43,$C$62:$D80)</f>
        <v>0</v>
      </c>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row>
    <row r="81" spans="1:80">
      <c r="B81" s="9" t="s">
        <v>125</v>
      </c>
      <c r="C81" s="55" t="s">
        <v>126</v>
      </c>
      <c r="D81" s="55" t="s">
        <v>127</v>
      </c>
      <c r="E81" s="38">
        <f ca="1">DSUM($B$43:$X$55,E$43,$C$62:$D81)</f>
        <v>1.6906483256958207E-3</v>
      </c>
      <c r="F81" s="38">
        <f ca="1">DSUM($B$43:$X$55,F$43,$C$62:$D81)</f>
        <v>4.9008054331626345E-3</v>
      </c>
      <c r="G81" s="38">
        <f ca="1">DSUM($B$43:$X$55,G$43,$C$62:$D81)</f>
        <v>1.0293910028879919E-2</v>
      </c>
      <c r="H81" s="38">
        <f ca="1">DSUM($B$43:$X$55,H$43,$C$62:$D81)</f>
        <v>1.875117957138514E-2</v>
      </c>
      <c r="I81" s="38">
        <f ca="1">DSUM($B$43:$X$55,I$43,$C$62:$D81)</f>
        <v>3.0922505368856764E-2</v>
      </c>
      <c r="J81" s="38">
        <f ca="1">DSUM($B$43:$X$55,J$43,$C$62:$D81)</f>
        <v>4.7222338821982221E-2</v>
      </c>
      <c r="K81" s="38">
        <f ca="1">DSUM($B$43:$X$55,K$43,$C$62:$D81)</f>
        <v>6.9635024728232742E-2</v>
      </c>
      <c r="L81" s="38">
        <f ca="1">DSUM($B$43:$X$55,L$43,$C$62:$D81)</f>
        <v>0.10028188258195878</v>
      </c>
      <c r="M81" s="38">
        <f ca="1">DSUM($B$43:$X$55,M$43,$C$62:$D81)</f>
        <v>0.1378854872265502</v>
      </c>
      <c r="N81" s="38">
        <f ca="1">DSUM($B$43:$X$55,N$43,$C$62:$D81)</f>
        <v>0.18594896701235192</v>
      </c>
      <c r="O81" s="38">
        <f ca="1">DSUM($B$43:$X$55,O$43,$C$62:$D81)</f>
        <v>0.23801172751144195</v>
      </c>
      <c r="P81" s="38">
        <f ca="1">DSUM($B$43:$X$55,P$43,$C$62:$D81)</f>
        <v>0.28976844798399354</v>
      </c>
      <c r="Q81" s="38">
        <f ca="1">DSUM($B$43:$X$55,Q$43,$C$62:$D81)</f>
        <v>0.33763747614392309</v>
      </c>
      <c r="R81" s="38">
        <f ca="1">DSUM($B$43:$X$55,R$43,$C$62:$D81)</f>
        <v>0.38690598941672866</v>
      </c>
      <c r="S81" s="38">
        <f ca="1">DSUM($B$43:$X$55,S$43,$C$62:$D81)</f>
        <v>0.43285347683582509</v>
      </c>
      <c r="T81" s="38">
        <f ca="1">DSUM($B$43:$X$55,T$43,$C$62:$D81)</f>
        <v>0.46462177315477216</v>
      </c>
      <c r="U81" s="38">
        <f ca="1">DSUM($B$43:$X$55,U$43,$C$62:$D81)</f>
        <v>0.47767342596400986</v>
      </c>
      <c r="V81" s="38">
        <f ca="1">DSUM($B$43:$X$55,V$43,$C$62:$D81)</f>
        <v>0.49261642423056545</v>
      </c>
      <c r="W81" s="38">
        <f ca="1">DSUM($B$43:$X$55,W$43,$C$62:$D81)</f>
        <v>0.50186295812918247</v>
      </c>
      <c r="X81" s="38">
        <f ca="1">DSUM($B$43:$Y$55,X$43,$C$62:$D81)</f>
        <v>0.50881523899742431</v>
      </c>
      <c r="Y81" s="38">
        <f ca="1">DSUM($B$43:$Y$55,Y$43,$C$62:$D81)</f>
        <v>4.7382996874669221</v>
      </c>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row>
    <row r="82" spans="1:80">
      <c r="B82" s="9" t="s">
        <v>128</v>
      </c>
      <c r="C82" s="55" t="s">
        <v>129</v>
      </c>
      <c r="D82" s="55" t="s">
        <v>130</v>
      </c>
      <c r="E82" s="38">
        <f ca="1">DSUM($B$43:$X$55,E$43,$C$62:$D82)</f>
        <v>1.6906483256958207E-3</v>
      </c>
      <c r="F82" s="38">
        <f ca="1">DSUM($B$43:$X$55,F$43,$C$62:$D82)</f>
        <v>4.9008054331626345E-3</v>
      </c>
      <c r="G82" s="38">
        <f ca="1">DSUM($B$43:$X$55,G$43,$C$62:$D82)</f>
        <v>1.0293910028879919E-2</v>
      </c>
      <c r="H82" s="38">
        <f ca="1">DSUM($B$43:$X$55,H$43,$C$62:$D82)</f>
        <v>1.875117957138514E-2</v>
      </c>
      <c r="I82" s="38">
        <f ca="1">DSUM($B$43:$X$55,I$43,$C$62:$D82)</f>
        <v>3.0922505368856764E-2</v>
      </c>
      <c r="J82" s="38">
        <f ca="1">DSUM($B$43:$X$55,J$43,$C$62:$D82)</f>
        <v>4.7222338821982221E-2</v>
      </c>
      <c r="K82" s="38">
        <f ca="1">DSUM($B$43:$X$55,K$43,$C$62:$D82)</f>
        <v>6.9635024728232742E-2</v>
      </c>
      <c r="L82" s="38">
        <f ca="1">DSUM($B$43:$X$55,L$43,$C$62:$D82)</f>
        <v>0.10028188258195878</v>
      </c>
      <c r="M82" s="38">
        <f ca="1">DSUM($B$43:$X$55,M$43,$C$62:$D82)</f>
        <v>0.1378854872265502</v>
      </c>
      <c r="N82" s="38">
        <f ca="1">DSUM($B$43:$X$55,N$43,$C$62:$D82)</f>
        <v>0.18594896701235192</v>
      </c>
      <c r="O82" s="38">
        <f ca="1">DSUM($B$43:$X$55,O$43,$C$62:$D82)</f>
        <v>0.23801172751144195</v>
      </c>
      <c r="P82" s="38">
        <f ca="1">DSUM($B$43:$X$55,P$43,$C$62:$D82)</f>
        <v>0.28976844798399354</v>
      </c>
      <c r="Q82" s="38">
        <f ca="1">DSUM($B$43:$X$55,Q$43,$C$62:$D82)</f>
        <v>0.33763747614392309</v>
      </c>
      <c r="R82" s="38">
        <f ca="1">DSUM($B$43:$X$55,R$43,$C$62:$D82)</f>
        <v>0.38690598941672866</v>
      </c>
      <c r="S82" s="38">
        <f ca="1">DSUM($B$43:$X$55,S$43,$C$62:$D82)</f>
        <v>0.43285347683582509</v>
      </c>
      <c r="T82" s="38">
        <f ca="1">DSUM($B$43:$X$55,T$43,$C$62:$D82)</f>
        <v>0.46462177315477216</v>
      </c>
      <c r="U82" s="38">
        <f ca="1">DSUM($B$43:$X$55,U$43,$C$62:$D82)</f>
        <v>0.47767342596400986</v>
      </c>
      <c r="V82" s="38">
        <f ca="1">DSUM($B$43:$X$55,V$43,$C$62:$D82)</f>
        <v>0.49261642423056545</v>
      </c>
      <c r="W82" s="38">
        <f ca="1">DSUM($B$43:$X$55,W$43,$C$62:$D82)</f>
        <v>0.50186295812918247</v>
      </c>
      <c r="X82" s="38">
        <f ca="1">DSUM($B$43:$Y$55,X$43,$C$62:$D82)</f>
        <v>0.50881523899742431</v>
      </c>
      <c r="Y82" s="38">
        <f ca="1">DSUM($B$43:$Y$55,Y$43,$C$62:$D82)</f>
        <v>4.7382996874669221</v>
      </c>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row>
    <row r="83" spans="1:80">
      <c r="B83" s="9" t="s">
        <v>131</v>
      </c>
      <c r="C83" s="55" t="s">
        <v>132</v>
      </c>
      <c r="D83" s="55" t="s">
        <v>133</v>
      </c>
      <c r="E83" s="38">
        <f ca="1">DSUM($B$43:$X$55,E$43,$C$62:$D83)</f>
        <v>1.6906483256958207E-3</v>
      </c>
      <c r="F83" s="38">
        <f ca="1">DSUM($B$43:$X$55,F$43,$C$62:$D83)</f>
        <v>4.9008054331626345E-3</v>
      </c>
      <c r="G83" s="38">
        <f ca="1">DSUM($B$43:$X$55,G$43,$C$62:$D83)</f>
        <v>1.0293910028879919E-2</v>
      </c>
      <c r="H83" s="38">
        <f ca="1">DSUM($B$43:$X$55,H$43,$C$62:$D83)</f>
        <v>1.875117957138514E-2</v>
      </c>
      <c r="I83" s="38">
        <f ca="1">DSUM($B$43:$X$55,I$43,$C$62:$D83)</f>
        <v>3.0922505368856764E-2</v>
      </c>
      <c r="J83" s="38">
        <f ca="1">DSUM($B$43:$X$55,J$43,$C$62:$D83)</f>
        <v>4.7222338821982221E-2</v>
      </c>
      <c r="K83" s="38">
        <f ca="1">DSUM($B$43:$X$55,K$43,$C$62:$D83)</f>
        <v>6.9635024728232742E-2</v>
      </c>
      <c r="L83" s="38">
        <f ca="1">DSUM($B$43:$X$55,L$43,$C$62:$D83)</f>
        <v>0.10028188258195878</v>
      </c>
      <c r="M83" s="38">
        <f ca="1">DSUM($B$43:$X$55,M$43,$C$62:$D83)</f>
        <v>0.1378854872265502</v>
      </c>
      <c r="N83" s="38">
        <f ca="1">DSUM($B$43:$X$55,N$43,$C$62:$D83)</f>
        <v>0.18594896701235192</v>
      </c>
      <c r="O83" s="38">
        <f ca="1">DSUM($B$43:$X$55,O$43,$C$62:$D83)</f>
        <v>0.23801172751144195</v>
      </c>
      <c r="P83" s="38">
        <f ca="1">DSUM($B$43:$X$55,P$43,$C$62:$D83)</f>
        <v>0.28976844798399354</v>
      </c>
      <c r="Q83" s="38">
        <f ca="1">DSUM($B$43:$X$55,Q$43,$C$62:$D83)</f>
        <v>0.33763747614392309</v>
      </c>
      <c r="R83" s="38">
        <f ca="1">DSUM($B$43:$X$55,R$43,$C$62:$D83)</f>
        <v>0.38690598941672866</v>
      </c>
      <c r="S83" s="38">
        <f ca="1">DSUM($B$43:$X$55,S$43,$C$62:$D83)</f>
        <v>0.43285347683582509</v>
      </c>
      <c r="T83" s="38">
        <f ca="1">DSUM($B$43:$X$55,T$43,$C$62:$D83)</f>
        <v>0.46462177315477216</v>
      </c>
      <c r="U83" s="38">
        <f ca="1">DSUM($B$43:$X$55,U$43,$C$62:$D83)</f>
        <v>0.47767342596400986</v>
      </c>
      <c r="V83" s="38">
        <f ca="1">DSUM($B$43:$X$55,V$43,$C$62:$D83)</f>
        <v>0.49261642423056545</v>
      </c>
      <c r="W83" s="38">
        <f ca="1">DSUM($B$43:$X$55,W$43,$C$62:$D83)</f>
        <v>0.50186295812918247</v>
      </c>
      <c r="X83" s="38">
        <f ca="1">DSUM($B$43:$Y$55,X$43,$C$62:$D83)</f>
        <v>0.50881523899742431</v>
      </c>
      <c r="Y83" s="38">
        <f ca="1">DSUM($B$43:$Y$55,Y$43,$C$62:$D83)</f>
        <v>4.7382996874669221</v>
      </c>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row>
    <row r="84" spans="1:80">
      <c r="B84" s="9" t="s">
        <v>4907</v>
      </c>
      <c r="C84" s="55" t="s">
        <v>135</v>
      </c>
      <c r="D84" s="55" t="s">
        <v>4928</v>
      </c>
      <c r="E84" s="38">
        <f ca="1">DSUM($B$43:$X$55,E$43,$C$62:$D84)</f>
        <v>1.6906483256958207E-3</v>
      </c>
      <c r="F84" s="38">
        <f ca="1">DSUM($B$43:$X$55,F$43,$C$62:$D84)</f>
        <v>4.9008054331626345E-3</v>
      </c>
      <c r="G84" s="38">
        <f ca="1">DSUM($B$43:$X$55,G$43,$C$62:$D84)</f>
        <v>1.0293910028879919E-2</v>
      </c>
      <c r="H84" s="38">
        <f ca="1">DSUM($B$43:$X$55,H$43,$C$62:$D84)</f>
        <v>1.875117957138514E-2</v>
      </c>
      <c r="I84" s="38">
        <f ca="1">DSUM($B$43:$X$55,I$43,$C$62:$D84)</f>
        <v>3.0922505368856764E-2</v>
      </c>
      <c r="J84" s="38">
        <f ca="1">DSUM($B$43:$X$55,J$43,$C$62:$D84)</f>
        <v>4.7222338821982221E-2</v>
      </c>
      <c r="K84" s="38">
        <f ca="1">DSUM($B$43:$X$55,K$43,$C$62:$D84)</f>
        <v>6.9635024728232742E-2</v>
      </c>
      <c r="L84" s="38">
        <f ca="1">DSUM($B$43:$X$55,L$43,$C$62:$D84)</f>
        <v>0.10028188258195878</v>
      </c>
      <c r="M84" s="38">
        <f ca="1">DSUM($B$43:$X$55,M$43,$C$62:$D84)</f>
        <v>0.1378854872265502</v>
      </c>
      <c r="N84" s="38">
        <f ca="1">DSUM($B$43:$X$55,N$43,$C$62:$D84)</f>
        <v>0.18594896701235192</v>
      </c>
      <c r="O84" s="38">
        <f ca="1">DSUM($B$43:$X$55,O$43,$C$62:$D84)</f>
        <v>0.23801172751144195</v>
      </c>
      <c r="P84" s="38">
        <f ca="1">DSUM($B$43:$X$55,P$43,$C$62:$D84)</f>
        <v>0.28976844798399354</v>
      </c>
      <c r="Q84" s="38">
        <f ca="1">DSUM($B$43:$X$55,Q$43,$C$62:$D84)</f>
        <v>0.33763747614392309</v>
      </c>
      <c r="R84" s="38">
        <f ca="1">DSUM($B$43:$X$55,R$43,$C$62:$D84)</f>
        <v>0.38690598941672866</v>
      </c>
      <c r="S84" s="38">
        <f ca="1">DSUM($B$43:$X$55,S$43,$C$62:$D84)</f>
        <v>0.43285347683582509</v>
      </c>
      <c r="T84" s="38">
        <f ca="1">DSUM($B$43:$X$55,T$43,$C$62:$D84)</f>
        <v>0.46462177315477216</v>
      </c>
      <c r="U84" s="38">
        <f ca="1">DSUM($B$43:$X$55,U$43,$C$62:$D84)</f>
        <v>0.47767342596400986</v>
      </c>
      <c r="V84" s="38">
        <f ca="1">DSUM($B$43:$X$55,V$43,$C$62:$D84)</f>
        <v>0.49261642423056545</v>
      </c>
      <c r="W84" s="38">
        <f ca="1">DSUM($B$43:$X$55,W$43,$C$62:$D84)</f>
        <v>0.50186295812918247</v>
      </c>
      <c r="X84" s="38">
        <f ca="1">DSUM($B$43:$Y$55,X$43,$C$62:$D84)</f>
        <v>0.50881523899742431</v>
      </c>
      <c r="Y84" s="38">
        <f ca="1">DSUM($B$43:$Y$55,Y$43,$C$62:$D84)</f>
        <v>4.7382996874669221</v>
      </c>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row>
    <row r="85" spans="1:80">
      <c r="B85" s="9" t="s">
        <v>4908</v>
      </c>
      <c r="C85" s="55" t="s">
        <v>4918</v>
      </c>
      <c r="D85" s="55" t="s">
        <v>4929</v>
      </c>
      <c r="E85" s="38">
        <f ca="1">DSUM($B$43:$X$55,E$43,$C$62:$D85)</f>
        <v>1.6906483256958207E-3</v>
      </c>
      <c r="F85" s="38">
        <f ca="1">DSUM($B$43:$X$55,F$43,$C$62:$D85)</f>
        <v>4.9008054331626345E-3</v>
      </c>
      <c r="G85" s="38">
        <f ca="1">DSUM($B$43:$X$55,G$43,$C$62:$D85)</f>
        <v>1.0293910028879919E-2</v>
      </c>
      <c r="H85" s="38">
        <f ca="1">DSUM($B$43:$X$55,H$43,$C$62:$D85)</f>
        <v>1.875117957138514E-2</v>
      </c>
      <c r="I85" s="38">
        <f ca="1">DSUM($B$43:$X$55,I$43,$C$62:$D85)</f>
        <v>3.0922505368856764E-2</v>
      </c>
      <c r="J85" s="38">
        <f ca="1">DSUM($B$43:$X$55,J$43,$C$62:$D85)</f>
        <v>4.7222338821982221E-2</v>
      </c>
      <c r="K85" s="38">
        <f ca="1">DSUM($B$43:$X$55,K$43,$C$62:$D85)</f>
        <v>6.9635024728232742E-2</v>
      </c>
      <c r="L85" s="38">
        <f ca="1">DSUM($B$43:$X$55,L$43,$C$62:$D85)</f>
        <v>0.10028188258195878</v>
      </c>
      <c r="M85" s="38">
        <f ca="1">DSUM($B$43:$X$55,M$43,$C$62:$D85)</f>
        <v>0.1378854872265502</v>
      </c>
      <c r="N85" s="38">
        <f ca="1">DSUM($B$43:$X$55,N$43,$C$62:$D85)</f>
        <v>0.18594896701235192</v>
      </c>
      <c r="O85" s="38">
        <f ca="1">DSUM($B$43:$X$55,O$43,$C$62:$D85)</f>
        <v>0.23801172751144195</v>
      </c>
      <c r="P85" s="38">
        <f ca="1">DSUM($B$43:$X$55,P$43,$C$62:$D85)</f>
        <v>0.28976844798399354</v>
      </c>
      <c r="Q85" s="38">
        <f ca="1">DSUM($B$43:$X$55,Q$43,$C$62:$D85)</f>
        <v>0.33763747614392309</v>
      </c>
      <c r="R85" s="38">
        <f ca="1">DSUM($B$43:$X$55,R$43,$C$62:$D85)</f>
        <v>0.38690598941672866</v>
      </c>
      <c r="S85" s="38">
        <f ca="1">DSUM($B$43:$X$55,S$43,$C$62:$D85)</f>
        <v>0.43285347683582509</v>
      </c>
      <c r="T85" s="38">
        <f ca="1">DSUM($B$43:$X$55,T$43,$C$62:$D85)</f>
        <v>0.46462177315477216</v>
      </c>
      <c r="U85" s="38">
        <f ca="1">DSUM($B$43:$X$55,U$43,$C$62:$D85)</f>
        <v>0.47767342596400986</v>
      </c>
      <c r="V85" s="38">
        <f ca="1">DSUM($B$43:$X$55,V$43,$C$62:$D85)</f>
        <v>0.49261642423056545</v>
      </c>
      <c r="W85" s="38">
        <f ca="1">DSUM($B$43:$X$55,W$43,$C$62:$D85)</f>
        <v>0.50186295812918247</v>
      </c>
      <c r="X85" s="38">
        <f ca="1">DSUM($B$43:$Y$55,X$43,$C$62:$D85)</f>
        <v>0.50881523899742431</v>
      </c>
      <c r="Y85" s="38">
        <f ca="1">DSUM($B$43:$Y$55,Y$43,$C$62:$D85)</f>
        <v>4.7382996874669221</v>
      </c>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row>
    <row r="86" spans="1:80">
      <c r="B86" s="9" t="s">
        <v>4909</v>
      </c>
      <c r="C86" s="55" t="s">
        <v>4919</v>
      </c>
      <c r="D86" s="55" t="s">
        <v>4930</v>
      </c>
      <c r="E86" s="38">
        <f ca="1">DSUM($B$43:$X$55,E$43,$C$62:$D86)</f>
        <v>1.6906483256958207E-3</v>
      </c>
      <c r="F86" s="38">
        <f ca="1">DSUM($B$43:$X$55,F$43,$C$62:$D86)</f>
        <v>4.9008054331626345E-3</v>
      </c>
      <c r="G86" s="38">
        <f ca="1">DSUM($B$43:$X$55,G$43,$C$62:$D86)</f>
        <v>1.0293910028879919E-2</v>
      </c>
      <c r="H86" s="38">
        <f ca="1">DSUM($B$43:$X$55,H$43,$C$62:$D86)</f>
        <v>1.875117957138514E-2</v>
      </c>
      <c r="I86" s="38">
        <f ca="1">DSUM($B$43:$X$55,I$43,$C$62:$D86)</f>
        <v>3.0922505368856764E-2</v>
      </c>
      <c r="J86" s="38">
        <f ca="1">DSUM($B$43:$X$55,J$43,$C$62:$D86)</f>
        <v>4.7222338821982221E-2</v>
      </c>
      <c r="K86" s="38">
        <f ca="1">DSUM($B$43:$X$55,K$43,$C$62:$D86)</f>
        <v>6.9635024728232742E-2</v>
      </c>
      <c r="L86" s="38">
        <f ca="1">DSUM($B$43:$X$55,L$43,$C$62:$D86)</f>
        <v>0.10028188258195878</v>
      </c>
      <c r="M86" s="38">
        <f ca="1">DSUM($B$43:$X$55,M$43,$C$62:$D86)</f>
        <v>0.1378854872265502</v>
      </c>
      <c r="N86" s="38">
        <f ca="1">DSUM($B$43:$X$55,N$43,$C$62:$D86)</f>
        <v>0.18594896701235192</v>
      </c>
      <c r="O86" s="38">
        <f ca="1">DSUM($B$43:$X$55,O$43,$C$62:$D86)</f>
        <v>0.23801172751144195</v>
      </c>
      <c r="P86" s="38">
        <f ca="1">DSUM($B$43:$X$55,P$43,$C$62:$D86)</f>
        <v>0.28976844798399354</v>
      </c>
      <c r="Q86" s="38">
        <f ca="1">DSUM($B$43:$X$55,Q$43,$C$62:$D86)</f>
        <v>0.33763747614392309</v>
      </c>
      <c r="R86" s="38">
        <f ca="1">DSUM($B$43:$X$55,R$43,$C$62:$D86)</f>
        <v>0.38690598941672866</v>
      </c>
      <c r="S86" s="38">
        <f ca="1">DSUM($B$43:$X$55,S$43,$C$62:$D86)</f>
        <v>0.43285347683582509</v>
      </c>
      <c r="T86" s="38">
        <f ca="1">DSUM($B$43:$X$55,T$43,$C$62:$D86)</f>
        <v>0.46462177315477216</v>
      </c>
      <c r="U86" s="38">
        <f ca="1">DSUM($B$43:$X$55,U$43,$C$62:$D86)</f>
        <v>0.47767342596400986</v>
      </c>
      <c r="V86" s="38">
        <f ca="1">DSUM($B$43:$X$55,V$43,$C$62:$D86)</f>
        <v>0.49261642423056545</v>
      </c>
      <c r="W86" s="38">
        <f ca="1">DSUM($B$43:$X$55,W$43,$C$62:$D86)</f>
        <v>0.50186295812918247</v>
      </c>
      <c r="X86" s="38">
        <f ca="1">DSUM($B$43:$Y$55,X$43,$C$62:$D86)</f>
        <v>0.50881523899742431</v>
      </c>
      <c r="Y86" s="38">
        <f ca="1">DSUM($B$43:$Y$55,Y$43,$C$62:$D86)</f>
        <v>4.7382996874669221</v>
      </c>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row>
    <row r="87" spans="1:80">
      <c r="B87" s="9" t="s">
        <v>4910</v>
      </c>
      <c r="C87" s="55" t="s">
        <v>4920</v>
      </c>
      <c r="D87" s="55" t="s">
        <v>4931</v>
      </c>
      <c r="E87" s="38">
        <f ca="1">DSUM($B$43:$X$55,E$43,$C$62:$D87)</f>
        <v>1.6906483256958207E-3</v>
      </c>
      <c r="F87" s="38">
        <f ca="1">DSUM($B$43:$X$55,F$43,$C$62:$D87)</f>
        <v>4.9008054331626345E-3</v>
      </c>
      <c r="G87" s="38">
        <f ca="1">DSUM($B$43:$X$55,G$43,$C$62:$D87)</f>
        <v>1.0293910028879919E-2</v>
      </c>
      <c r="H87" s="38">
        <f ca="1">DSUM($B$43:$X$55,H$43,$C$62:$D87)</f>
        <v>1.875117957138514E-2</v>
      </c>
      <c r="I87" s="38">
        <f ca="1">DSUM($B$43:$X$55,I$43,$C$62:$D87)</f>
        <v>3.0922505368856764E-2</v>
      </c>
      <c r="J87" s="38">
        <f ca="1">DSUM($B$43:$X$55,J$43,$C$62:$D87)</f>
        <v>4.7222338821982221E-2</v>
      </c>
      <c r="K87" s="38">
        <f ca="1">DSUM($B$43:$X$55,K$43,$C$62:$D87)</f>
        <v>6.9635024728232742E-2</v>
      </c>
      <c r="L87" s="38">
        <f ca="1">DSUM($B$43:$X$55,L$43,$C$62:$D87)</f>
        <v>0.10028188258195878</v>
      </c>
      <c r="M87" s="38">
        <f ca="1">DSUM($B$43:$X$55,M$43,$C$62:$D87)</f>
        <v>0.1378854872265502</v>
      </c>
      <c r="N87" s="38">
        <f ca="1">DSUM($B$43:$X$55,N$43,$C$62:$D87)</f>
        <v>0.18594896701235192</v>
      </c>
      <c r="O87" s="38">
        <f ca="1">DSUM($B$43:$X$55,O$43,$C$62:$D87)</f>
        <v>0.23801172751144195</v>
      </c>
      <c r="P87" s="38">
        <f ca="1">DSUM($B$43:$X$55,P$43,$C$62:$D87)</f>
        <v>0.28976844798399354</v>
      </c>
      <c r="Q87" s="38">
        <f ca="1">DSUM($B$43:$X$55,Q$43,$C$62:$D87)</f>
        <v>0.33763747614392309</v>
      </c>
      <c r="R87" s="38">
        <f ca="1">DSUM($B$43:$X$55,R$43,$C$62:$D87)</f>
        <v>0.38690598941672866</v>
      </c>
      <c r="S87" s="38">
        <f ca="1">DSUM($B$43:$X$55,S$43,$C$62:$D87)</f>
        <v>0.43285347683582509</v>
      </c>
      <c r="T87" s="38">
        <f ca="1">DSUM($B$43:$X$55,T$43,$C$62:$D87)</f>
        <v>0.46462177315477216</v>
      </c>
      <c r="U87" s="38">
        <f ca="1">DSUM($B$43:$X$55,U$43,$C$62:$D87)</f>
        <v>0.47767342596400986</v>
      </c>
      <c r="V87" s="38">
        <f ca="1">DSUM($B$43:$X$55,V$43,$C$62:$D87)</f>
        <v>0.49261642423056545</v>
      </c>
      <c r="W87" s="38">
        <f ca="1">DSUM($B$43:$X$55,W$43,$C$62:$D87)</f>
        <v>0.50186295812918247</v>
      </c>
      <c r="X87" s="38">
        <f ca="1">DSUM($B$43:$Y$55,X$43,$C$62:$D87)</f>
        <v>0.50881523899742431</v>
      </c>
      <c r="Y87" s="38">
        <f ca="1">DSUM($B$43:$Y$55,Y$43,$C$62:$D87)</f>
        <v>4.7382996874669221</v>
      </c>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row>
    <row r="88" spans="1:80">
      <c r="B88" s="9" t="s">
        <v>4911</v>
      </c>
      <c r="C88" s="55" t="s">
        <v>4921</v>
      </c>
      <c r="D88" s="55" t="s">
        <v>4932</v>
      </c>
      <c r="E88" s="38">
        <f ca="1">DSUM($B$43:$X$55,E$43,$C$62:$D88)</f>
        <v>1.6906483256958207E-3</v>
      </c>
      <c r="F88" s="38">
        <f ca="1">DSUM($B$43:$X$55,F$43,$C$62:$D88)</f>
        <v>4.9008054331626345E-3</v>
      </c>
      <c r="G88" s="38">
        <f ca="1">DSUM($B$43:$X$55,G$43,$C$62:$D88)</f>
        <v>1.0293910028879919E-2</v>
      </c>
      <c r="H88" s="38">
        <f ca="1">DSUM($B$43:$X$55,H$43,$C$62:$D88)</f>
        <v>1.875117957138514E-2</v>
      </c>
      <c r="I88" s="38">
        <f ca="1">DSUM($B$43:$X$55,I$43,$C$62:$D88)</f>
        <v>3.0922505368856764E-2</v>
      </c>
      <c r="J88" s="38">
        <f ca="1">DSUM($B$43:$X$55,J$43,$C$62:$D88)</f>
        <v>4.7222338821982221E-2</v>
      </c>
      <c r="K88" s="38">
        <f ca="1">DSUM($B$43:$X$55,K$43,$C$62:$D88)</f>
        <v>6.9635024728232742E-2</v>
      </c>
      <c r="L88" s="38">
        <f ca="1">DSUM($B$43:$X$55,L$43,$C$62:$D88)</f>
        <v>0.10028188258195878</v>
      </c>
      <c r="M88" s="38">
        <f ca="1">DSUM($B$43:$X$55,M$43,$C$62:$D88)</f>
        <v>0.1378854872265502</v>
      </c>
      <c r="N88" s="38">
        <f ca="1">DSUM($B$43:$X$55,N$43,$C$62:$D88)</f>
        <v>0.18594896701235192</v>
      </c>
      <c r="O88" s="38">
        <f ca="1">DSUM($B$43:$X$55,O$43,$C$62:$D88)</f>
        <v>0.23801172751144195</v>
      </c>
      <c r="P88" s="38">
        <f ca="1">DSUM($B$43:$X$55,P$43,$C$62:$D88)</f>
        <v>0.28976844798399354</v>
      </c>
      <c r="Q88" s="38">
        <f ca="1">DSUM($B$43:$X$55,Q$43,$C$62:$D88)</f>
        <v>0.33763747614392309</v>
      </c>
      <c r="R88" s="38">
        <f ca="1">DSUM($B$43:$X$55,R$43,$C$62:$D88)</f>
        <v>0.38690598941672866</v>
      </c>
      <c r="S88" s="38">
        <f ca="1">DSUM($B$43:$X$55,S$43,$C$62:$D88)</f>
        <v>0.43285347683582509</v>
      </c>
      <c r="T88" s="38">
        <f ca="1">DSUM($B$43:$X$55,T$43,$C$62:$D88)</f>
        <v>0.46462177315477216</v>
      </c>
      <c r="U88" s="38">
        <f ca="1">DSUM($B$43:$X$55,U$43,$C$62:$D88)</f>
        <v>0.47767342596400986</v>
      </c>
      <c r="V88" s="38">
        <f ca="1">DSUM($B$43:$X$55,V$43,$C$62:$D88)</f>
        <v>0.49261642423056545</v>
      </c>
      <c r="W88" s="38">
        <f ca="1">DSUM($B$43:$X$55,W$43,$C$62:$D88)</f>
        <v>0.50186295812918247</v>
      </c>
      <c r="X88" s="38">
        <f ca="1">DSUM($B$43:$Y$55,X$43,$C$62:$D88)</f>
        <v>0.50881523899742431</v>
      </c>
      <c r="Y88" s="38">
        <f ca="1">DSUM($B$43:$Y$55,Y$43,$C$62:$D88)</f>
        <v>4.7382996874669221</v>
      </c>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row>
    <row r="89" spans="1:80">
      <c r="B89" s="9" t="s">
        <v>4912</v>
      </c>
      <c r="C89" s="55" t="s">
        <v>4922</v>
      </c>
      <c r="D89" s="55" t="s">
        <v>4933</v>
      </c>
      <c r="E89" s="38">
        <f ca="1">DSUM($B$43:$X$55,E$43,$C$62:$D89)</f>
        <v>1.6906483256958207E-3</v>
      </c>
      <c r="F89" s="38">
        <f ca="1">DSUM($B$43:$X$55,F$43,$C$62:$D89)</f>
        <v>4.9008054331626345E-3</v>
      </c>
      <c r="G89" s="38">
        <f ca="1">DSUM($B$43:$X$55,G$43,$C$62:$D89)</f>
        <v>1.0293910028879919E-2</v>
      </c>
      <c r="H89" s="38">
        <f ca="1">DSUM($B$43:$X$55,H$43,$C$62:$D89)</f>
        <v>1.875117957138514E-2</v>
      </c>
      <c r="I89" s="38">
        <f ca="1">DSUM($B$43:$X$55,I$43,$C$62:$D89)</f>
        <v>3.0922505368856764E-2</v>
      </c>
      <c r="J89" s="38">
        <f ca="1">DSUM($B$43:$X$55,J$43,$C$62:$D89)</f>
        <v>4.7222338821982221E-2</v>
      </c>
      <c r="K89" s="38">
        <f ca="1">DSUM($B$43:$X$55,K$43,$C$62:$D89)</f>
        <v>6.9635024728232742E-2</v>
      </c>
      <c r="L89" s="38">
        <f ca="1">DSUM($B$43:$X$55,L$43,$C$62:$D89)</f>
        <v>0.10028188258195878</v>
      </c>
      <c r="M89" s="38">
        <f ca="1">DSUM($B$43:$X$55,M$43,$C$62:$D89)</f>
        <v>0.1378854872265502</v>
      </c>
      <c r="N89" s="38">
        <f ca="1">DSUM($B$43:$X$55,N$43,$C$62:$D89)</f>
        <v>0.18594896701235192</v>
      </c>
      <c r="O89" s="38">
        <f ca="1">DSUM($B$43:$X$55,O$43,$C$62:$D89)</f>
        <v>0.23801172751144195</v>
      </c>
      <c r="P89" s="38">
        <f ca="1">DSUM($B$43:$X$55,P$43,$C$62:$D89)</f>
        <v>0.28976844798399354</v>
      </c>
      <c r="Q89" s="38">
        <f ca="1">DSUM($B$43:$X$55,Q$43,$C$62:$D89)</f>
        <v>0.33763747614392309</v>
      </c>
      <c r="R89" s="38">
        <f ca="1">DSUM($B$43:$X$55,R$43,$C$62:$D89)</f>
        <v>0.38690598941672866</v>
      </c>
      <c r="S89" s="38">
        <f ca="1">DSUM($B$43:$X$55,S$43,$C$62:$D89)</f>
        <v>0.43285347683582509</v>
      </c>
      <c r="T89" s="38">
        <f ca="1">DSUM($B$43:$X$55,T$43,$C$62:$D89)</f>
        <v>0.46462177315477216</v>
      </c>
      <c r="U89" s="38">
        <f ca="1">DSUM($B$43:$X$55,U$43,$C$62:$D89)</f>
        <v>0.47767342596400986</v>
      </c>
      <c r="V89" s="38">
        <f ca="1">DSUM($B$43:$X$55,V$43,$C$62:$D89)</f>
        <v>0.49261642423056545</v>
      </c>
      <c r="W89" s="38">
        <f ca="1">DSUM($B$43:$X$55,W$43,$C$62:$D89)</f>
        <v>0.50186295812918247</v>
      </c>
      <c r="X89" s="38">
        <f ca="1">DSUM($B$43:$Y$55,X$43,$C$62:$D89)</f>
        <v>0.50881523899742431</v>
      </c>
      <c r="Y89" s="38">
        <f ca="1">DSUM($B$43:$Y$55,Y$43,$C$62:$D89)</f>
        <v>4.7382996874669221</v>
      </c>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row>
    <row r="90" spans="1:80">
      <c r="B90" s="9" t="s">
        <v>4913</v>
      </c>
      <c r="C90" s="55" t="s">
        <v>4923</v>
      </c>
      <c r="D90" s="55" t="s">
        <v>4934</v>
      </c>
      <c r="E90" s="38">
        <f ca="1">DSUM($B$43:$X$55,E$43,$C$62:$D90)</f>
        <v>1.6906483256958207E-3</v>
      </c>
      <c r="F90" s="38">
        <f ca="1">DSUM($B$43:$X$55,F$43,$C$62:$D90)</f>
        <v>4.9008054331626345E-3</v>
      </c>
      <c r="G90" s="38">
        <f ca="1">DSUM($B$43:$X$55,G$43,$C$62:$D90)</f>
        <v>1.0293910028879919E-2</v>
      </c>
      <c r="H90" s="38">
        <f ca="1">DSUM($B$43:$X$55,H$43,$C$62:$D90)</f>
        <v>1.875117957138514E-2</v>
      </c>
      <c r="I90" s="38">
        <f ca="1">DSUM($B$43:$X$55,I$43,$C$62:$D90)</f>
        <v>3.0922505368856764E-2</v>
      </c>
      <c r="J90" s="38">
        <f ca="1">DSUM($B$43:$X$55,J$43,$C$62:$D90)</f>
        <v>4.7222338821982221E-2</v>
      </c>
      <c r="K90" s="38">
        <f ca="1">DSUM($B$43:$X$55,K$43,$C$62:$D90)</f>
        <v>6.9635024728232742E-2</v>
      </c>
      <c r="L90" s="38">
        <f ca="1">DSUM($B$43:$X$55,L$43,$C$62:$D90)</f>
        <v>0.10028188258195878</v>
      </c>
      <c r="M90" s="38">
        <f ca="1">DSUM($B$43:$X$55,M$43,$C$62:$D90)</f>
        <v>0.1378854872265502</v>
      </c>
      <c r="N90" s="38">
        <f ca="1">DSUM($B$43:$X$55,N$43,$C$62:$D90)</f>
        <v>0.18594896701235192</v>
      </c>
      <c r="O90" s="38">
        <f ca="1">DSUM($B$43:$X$55,O$43,$C$62:$D90)</f>
        <v>0.23801172751144195</v>
      </c>
      <c r="P90" s="38">
        <f ca="1">DSUM($B$43:$X$55,P$43,$C$62:$D90)</f>
        <v>0.28976844798399354</v>
      </c>
      <c r="Q90" s="38">
        <f ca="1">DSUM($B$43:$X$55,Q$43,$C$62:$D90)</f>
        <v>0.33763747614392309</v>
      </c>
      <c r="R90" s="38">
        <f ca="1">DSUM($B$43:$X$55,R$43,$C$62:$D90)</f>
        <v>0.38690598941672866</v>
      </c>
      <c r="S90" s="38">
        <f ca="1">DSUM($B$43:$X$55,S$43,$C$62:$D90)</f>
        <v>0.43285347683582509</v>
      </c>
      <c r="T90" s="38">
        <f ca="1">DSUM($B$43:$X$55,T$43,$C$62:$D90)</f>
        <v>0.46462177315477216</v>
      </c>
      <c r="U90" s="38">
        <f ca="1">DSUM($B$43:$X$55,U$43,$C$62:$D90)</f>
        <v>0.47767342596400986</v>
      </c>
      <c r="V90" s="38">
        <f ca="1">DSUM($B$43:$X$55,V$43,$C$62:$D90)</f>
        <v>0.49261642423056545</v>
      </c>
      <c r="W90" s="38">
        <f ca="1">DSUM($B$43:$X$55,W$43,$C$62:$D90)</f>
        <v>0.50186295812918247</v>
      </c>
      <c r="X90" s="38">
        <f ca="1">DSUM($B$43:$Y$55,X$43,$C$62:$D90)</f>
        <v>0.50881523899742431</v>
      </c>
      <c r="Y90" s="38">
        <f ca="1">DSUM($B$43:$Y$55,Y$43,$C$62:$D90)</f>
        <v>4.7382996874669221</v>
      </c>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row>
    <row r="91" spans="1:80">
      <c r="B91" s="9" t="s">
        <v>4914</v>
      </c>
      <c r="C91" s="55" t="s">
        <v>4924</v>
      </c>
      <c r="D91" s="55" t="s">
        <v>4935</v>
      </c>
      <c r="E91" s="38">
        <f ca="1">DSUM($B$43:$X$55,E$43,$C$62:$D91)</f>
        <v>1.6906483256958207E-3</v>
      </c>
      <c r="F91" s="38">
        <f ca="1">DSUM($B$43:$X$55,F$43,$C$62:$D91)</f>
        <v>4.9008054331626345E-3</v>
      </c>
      <c r="G91" s="38">
        <f ca="1">DSUM($B$43:$X$55,G$43,$C$62:$D91)</f>
        <v>1.0293910028879919E-2</v>
      </c>
      <c r="H91" s="38">
        <f ca="1">DSUM($B$43:$X$55,H$43,$C$62:$D91)</f>
        <v>1.875117957138514E-2</v>
      </c>
      <c r="I91" s="38">
        <f ca="1">DSUM($B$43:$X$55,I$43,$C$62:$D91)</f>
        <v>3.0922505368856764E-2</v>
      </c>
      <c r="J91" s="38">
        <f ca="1">DSUM($B$43:$X$55,J$43,$C$62:$D91)</f>
        <v>4.7222338821982221E-2</v>
      </c>
      <c r="K91" s="38">
        <f ca="1">DSUM($B$43:$X$55,K$43,$C$62:$D91)</f>
        <v>6.9635024728232742E-2</v>
      </c>
      <c r="L91" s="38">
        <f ca="1">DSUM($B$43:$X$55,L$43,$C$62:$D91)</f>
        <v>0.10028188258195878</v>
      </c>
      <c r="M91" s="38">
        <f ca="1">DSUM($B$43:$X$55,M$43,$C$62:$D91)</f>
        <v>0.1378854872265502</v>
      </c>
      <c r="N91" s="38">
        <f ca="1">DSUM($B$43:$X$55,N$43,$C$62:$D91)</f>
        <v>0.18594896701235192</v>
      </c>
      <c r="O91" s="38">
        <f ca="1">DSUM($B$43:$X$55,O$43,$C$62:$D91)</f>
        <v>0.23801172751144195</v>
      </c>
      <c r="P91" s="38">
        <f ca="1">DSUM($B$43:$X$55,P$43,$C$62:$D91)</f>
        <v>0.28976844798399354</v>
      </c>
      <c r="Q91" s="38">
        <f ca="1">DSUM($B$43:$X$55,Q$43,$C$62:$D91)</f>
        <v>0.33763747614392309</v>
      </c>
      <c r="R91" s="38">
        <f ca="1">DSUM($B$43:$X$55,R$43,$C$62:$D91)</f>
        <v>0.38690598941672866</v>
      </c>
      <c r="S91" s="38">
        <f ca="1">DSUM($B$43:$X$55,S$43,$C$62:$D91)</f>
        <v>0.43285347683582509</v>
      </c>
      <c r="T91" s="38">
        <f ca="1">DSUM($B$43:$X$55,T$43,$C$62:$D91)</f>
        <v>0.46462177315477216</v>
      </c>
      <c r="U91" s="38">
        <f ca="1">DSUM($B$43:$X$55,U$43,$C$62:$D91)</f>
        <v>0.47767342596400986</v>
      </c>
      <c r="V91" s="38">
        <f ca="1">DSUM($B$43:$X$55,V$43,$C$62:$D91)</f>
        <v>0.49261642423056545</v>
      </c>
      <c r="W91" s="38">
        <f ca="1">DSUM($B$43:$X$55,W$43,$C$62:$D91)</f>
        <v>0.50186295812918247</v>
      </c>
      <c r="X91" s="38">
        <f ca="1">DSUM($B$43:$Y$55,X$43,$C$62:$D91)</f>
        <v>0.50881523899742431</v>
      </c>
      <c r="Y91" s="38">
        <f ca="1">DSUM($B$43:$Y$55,Y$43,$C$62:$D91)</f>
        <v>4.7382996874669221</v>
      </c>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row>
    <row r="92" spans="1:80">
      <c r="B92" s="9" t="s">
        <v>4915</v>
      </c>
      <c r="C92" s="55" t="s">
        <v>4925</v>
      </c>
      <c r="D92" s="55" t="s">
        <v>4936</v>
      </c>
      <c r="E92" s="38">
        <f ca="1">DSUM($B$43:$X$55,E$43,$C$62:$D92)</f>
        <v>1.6906483256958207E-3</v>
      </c>
      <c r="F92" s="38">
        <f ca="1">DSUM($B$43:$X$55,F$43,$C$62:$D92)</f>
        <v>4.9008054331626345E-3</v>
      </c>
      <c r="G92" s="38">
        <f ca="1">DSUM($B$43:$X$55,G$43,$C$62:$D92)</f>
        <v>1.0293910028879919E-2</v>
      </c>
      <c r="H92" s="38">
        <f ca="1">DSUM($B$43:$X$55,H$43,$C$62:$D92)</f>
        <v>1.875117957138514E-2</v>
      </c>
      <c r="I92" s="38">
        <f ca="1">DSUM($B$43:$X$55,I$43,$C$62:$D92)</f>
        <v>3.0922505368856764E-2</v>
      </c>
      <c r="J92" s="38">
        <f ca="1">DSUM($B$43:$X$55,J$43,$C$62:$D92)</f>
        <v>4.7222338821982221E-2</v>
      </c>
      <c r="K92" s="38">
        <f ca="1">DSUM($B$43:$X$55,K$43,$C$62:$D92)</f>
        <v>6.9635024728232742E-2</v>
      </c>
      <c r="L92" s="38">
        <f ca="1">DSUM($B$43:$X$55,L$43,$C$62:$D92)</f>
        <v>0.10028188258195878</v>
      </c>
      <c r="M92" s="38">
        <f ca="1">DSUM($B$43:$X$55,M$43,$C$62:$D92)</f>
        <v>0.1378854872265502</v>
      </c>
      <c r="N92" s="38">
        <f ca="1">DSUM($B$43:$X$55,N$43,$C$62:$D92)</f>
        <v>0.18594896701235192</v>
      </c>
      <c r="O92" s="38">
        <f ca="1">DSUM($B$43:$X$55,O$43,$C$62:$D92)</f>
        <v>0.23801172751144195</v>
      </c>
      <c r="P92" s="38">
        <f ca="1">DSUM($B$43:$X$55,P$43,$C$62:$D92)</f>
        <v>0.28976844798399354</v>
      </c>
      <c r="Q92" s="38">
        <f ca="1">DSUM($B$43:$X$55,Q$43,$C$62:$D92)</f>
        <v>0.33763747614392309</v>
      </c>
      <c r="R92" s="38">
        <f ca="1">DSUM($B$43:$X$55,R$43,$C$62:$D92)</f>
        <v>0.38690598941672866</v>
      </c>
      <c r="S92" s="38">
        <f ca="1">DSUM($B$43:$X$55,S$43,$C$62:$D92)</f>
        <v>0.43285347683582509</v>
      </c>
      <c r="T92" s="38">
        <f ca="1">DSUM($B$43:$X$55,T$43,$C$62:$D92)</f>
        <v>0.46462177315477216</v>
      </c>
      <c r="U92" s="38">
        <f ca="1">DSUM($B$43:$X$55,U$43,$C$62:$D92)</f>
        <v>0.47767342596400986</v>
      </c>
      <c r="V92" s="38">
        <f ca="1">DSUM($B$43:$X$55,V$43,$C$62:$D92)</f>
        <v>0.49261642423056545</v>
      </c>
      <c r="W92" s="38">
        <f ca="1">DSUM($B$43:$X$55,W$43,$C$62:$D92)</f>
        <v>0.50186295812918247</v>
      </c>
      <c r="X92" s="38">
        <f ca="1">DSUM($B$43:$Y$55,X$43,$C$62:$D92)</f>
        <v>0.50881523899742431</v>
      </c>
      <c r="Y92" s="38">
        <f ca="1">DSUM($B$43:$Y$55,Y$43,$C$62:$D92)</f>
        <v>4.7382996874669221</v>
      </c>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row>
    <row r="93" spans="1:80">
      <c r="B93" s="9" t="s">
        <v>4916</v>
      </c>
      <c r="C93" s="55" t="s">
        <v>4926</v>
      </c>
      <c r="D93" s="55" t="s">
        <v>4937</v>
      </c>
      <c r="E93" s="38">
        <f ca="1">DSUM($B$43:$X$55,E$43,$C$62:$D93)</f>
        <v>1.6906483256958207E-3</v>
      </c>
      <c r="F93" s="38">
        <f ca="1">DSUM($B$43:$X$55,F$43,$C$62:$D93)</f>
        <v>4.9008054331626345E-3</v>
      </c>
      <c r="G93" s="38">
        <f ca="1">DSUM($B$43:$X$55,G$43,$C$62:$D93)</f>
        <v>1.0293910028879919E-2</v>
      </c>
      <c r="H93" s="38">
        <f ca="1">DSUM($B$43:$X$55,H$43,$C$62:$D93)</f>
        <v>1.875117957138514E-2</v>
      </c>
      <c r="I93" s="38">
        <f ca="1">DSUM($B$43:$X$55,I$43,$C$62:$D93)</f>
        <v>3.0922505368856764E-2</v>
      </c>
      <c r="J93" s="38">
        <f ca="1">DSUM($B$43:$X$55,J$43,$C$62:$D93)</f>
        <v>4.7222338821982221E-2</v>
      </c>
      <c r="K93" s="38">
        <f ca="1">DSUM($B$43:$X$55,K$43,$C$62:$D93)</f>
        <v>6.9635024728232742E-2</v>
      </c>
      <c r="L93" s="38">
        <f ca="1">DSUM($B$43:$X$55,L$43,$C$62:$D93)</f>
        <v>0.10028188258195878</v>
      </c>
      <c r="M93" s="38">
        <f ca="1">DSUM($B$43:$X$55,M$43,$C$62:$D93)</f>
        <v>0.1378854872265502</v>
      </c>
      <c r="N93" s="38">
        <f ca="1">DSUM($B$43:$X$55,N$43,$C$62:$D93)</f>
        <v>0.18594896701235192</v>
      </c>
      <c r="O93" s="38">
        <f ca="1">DSUM($B$43:$X$55,O$43,$C$62:$D93)</f>
        <v>0.23801172751144195</v>
      </c>
      <c r="P93" s="38">
        <f ca="1">DSUM($B$43:$X$55,P$43,$C$62:$D93)</f>
        <v>0.28976844798399354</v>
      </c>
      <c r="Q93" s="38">
        <f ca="1">DSUM($B$43:$X$55,Q$43,$C$62:$D93)</f>
        <v>0.33763747614392309</v>
      </c>
      <c r="R93" s="38">
        <f ca="1">DSUM($B$43:$X$55,R$43,$C$62:$D93)</f>
        <v>0.38690598941672866</v>
      </c>
      <c r="S93" s="38">
        <f ca="1">DSUM($B$43:$X$55,S$43,$C$62:$D93)</f>
        <v>0.43285347683582509</v>
      </c>
      <c r="T93" s="38">
        <f ca="1">DSUM($B$43:$X$55,T$43,$C$62:$D93)</f>
        <v>0.46462177315477216</v>
      </c>
      <c r="U93" s="38">
        <f ca="1">DSUM($B$43:$X$55,U$43,$C$62:$D93)</f>
        <v>0.47767342596400986</v>
      </c>
      <c r="V93" s="38">
        <f ca="1">DSUM($B$43:$X$55,V$43,$C$62:$D93)</f>
        <v>0.49261642423056545</v>
      </c>
      <c r="W93" s="38">
        <f ca="1">DSUM($B$43:$X$55,W$43,$C$62:$D93)</f>
        <v>0.50186295812918247</v>
      </c>
      <c r="X93" s="38">
        <f ca="1">DSUM($B$43:$Y$55,X$43,$C$62:$D93)</f>
        <v>0.50881523899742431</v>
      </c>
      <c r="Y93" s="38">
        <f ca="1">DSUM($B$43:$Y$55,Y$43,$C$62:$D93)</f>
        <v>4.7382996874669221</v>
      </c>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row>
    <row r="94" spans="1:80">
      <c r="B94" s="9" t="s">
        <v>4917</v>
      </c>
      <c r="C94" s="55" t="s">
        <v>4927</v>
      </c>
      <c r="D94" s="55" t="s">
        <v>136</v>
      </c>
      <c r="E94" s="38">
        <f ca="1">DSUM($B$43:$X$55,E$43,$C$62:$D94)</f>
        <v>2.9441776408493988E-3</v>
      </c>
      <c r="F94" s="38">
        <f ca="1">DSUM($B$43:$X$55,F$43,$C$62:$D94)</f>
        <v>8.5345021546880204E-3</v>
      </c>
      <c r="G94" s="38">
        <f ca="1">DSUM($B$43:$X$55,G$43,$C$62:$D94)</f>
        <v>1.7926318136842645E-2</v>
      </c>
      <c r="H94" s="38">
        <f ca="1">DSUM($B$43:$X$55,H$43,$C$62:$D94)</f>
        <v>3.2654220747477251E-2</v>
      </c>
      <c r="I94" s="38">
        <f ca="1">DSUM($B$43:$X$55,I$43,$C$62:$D94)</f>
        <v>5.3849962480259549E-2</v>
      </c>
      <c r="J94" s="38">
        <f ca="1">DSUM($B$43:$X$55,J$43,$C$62:$D94)</f>
        <v>8.2235289264592365E-2</v>
      </c>
      <c r="K94" s="38">
        <f ca="1">DSUM($B$43:$X$55,K$43,$C$62:$D94)</f>
        <v>0.12126583613447729</v>
      </c>
      <c r="L94" s="38">
        <f ca="1">DSUM($B$43:$X$55,L$43,$C$62:$D94)</f>
        <v>0.17463577255699977</v>
      </c>
      <c r="M94" s="38">
        <f ca="1">DSUM($B$43:$X$55,M$43,$C$62:$D94)</f>
        <v>0.24012052791816033</v>
      </c>
      <c r="N94" s="38">
        <f ca="1">DSUM($B$43:$X$55,N$43,$C$62:$D94)</f>
        <v>0.32382062117589583</v>
      </c>
      <c r="O94" s="38">
        <f ca="1">DSUM($B$43:$X$55,O$43,$C$62:$D94)</f>
        <v>0.41448525737055308</v>
      </c>
      <c r="P94" s="38">
        <f ca="1">DSUM($B$43:$X$55,P$43,$C$62:$D94)</f>
        <v>0.50461694050238548</v>
      </c>
      <c r="Q94" s="38">
        <f ca="1">DSUM($B$43:$X$55,Q$43,$C$62:$D94)</f>
        <v>0.58797840619315833</v>
      </c>
      <c r="R94" s="38">
        <f ca="1">DSUM($B$43:$X$55,R$43,$C$62:$D94)</f>
        <v>0.67377700367261084</v>
      </c>
      <c r="S94" s="38">
        <f ca="1">DSUM($B$43:$X$55,S$43,$C$62:$D94)</f>
        <v>0.75379220438375627</v>
      </c>
      <c r="T94" s="38">
        <f ca="1">DSUM($B$43:$X$55,T$43,$C$62:$D94)</f>
        <v>0.80911506857056303</v>
      </c>
      <c r="U94" s="38">
        <f ca="1">DSUM($B$43:$X$55,U$43,$C$62:$D94)</f>
        <v>0.83184385479597256</v>
      </c>
      <c r="V94" s="38">
        <f ca="1">DSUM($B$43:$X$55,V$43,$C$62:$D94)</f>
        <v>0.85786632245821515</v>
      </c>
      <c r="W94" s="38">
        <f ca="1">DSUM($B$43:$X$55,W$43,$C$62:$D94)</f>
        <v>0.87396868860136889</v>
      </c>
      <c r="X94" s="38">
        <f ca="1">DSUM($B$43:$Y$55,X$43,$C$62:$D94)</f>
        <v>0.88607573036403664</v>
      </c>
      <c r="Y94" s="38">
        <f ca="1">DSUM($B$43:$Y$55,Y$43,$C$62:$D94)</f>
        <v>8.2515067051228641</v>
      </c>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row>
    <row r="95" spans="1:80" customFormat="1">
      <c r="A95" s="9"/>
      <c r="B95" s="9"/>
    </row>
    <row r="96" spans="1:80" customFormat="1">
      <c r="A96" s="9"/>
      <c r="B96" s="9"/>
    </row>
    <row r="97" spans="1:80" ht="15">
      <c r="A97" s="86" t="s">
        <v>137</v>
      </c>
      <c r="B97" s="86"/>
      <c r="E97" s="38"/>
      <c r="F97" s="38"/>
      <c r="G97" s="38"/>
      <c r="H97" s="38"/>
      <c r="I97" s="38"/>
      <c r="J97" s="38"/>
      <c r="K97" s="38"/>
      <c r="L97" s="38"/>
      <c r="M97" s="38"/>
      <c r="N97" s="38"/>
      <c r="O97" s="38"/>
      <c r="P97" s="38"/>
      <c r="Q97" s="38"/>
      <c r="R97" s="38"/>
      <c r="S97" s="38"/>
      <c r="T97" s="38"/>
      <c r="U97" s="38"/>
      <c r="V97" s="38"/>
      <c r="W97" s="38"/>
      <c r="X97" s="38"/>
      <c r="Y97" s="38"/>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row>
    <row r="98" spans="1:80" ht="15">
      <c r="C98" s="68" t="s">
        <v>138</v>
      </c>
      <c r="E98" s="79">
        <f t="shared" ref="E98:X98" si="43">E11</f>
        <v>2016</v>
      </c>
      <c r="F98" s="73">
        <f t="shared" si="43"/>
        <v>2017</v>
      </c>
      <c r="G98" s="73">
        <f t="shared" si="43"/>
        <v>2018</v>
      </c>
      <c r="H98" s="73">
        <f t="shared" si="43"/>
        <v>2019</v>
      </c>
      <c r="I98" s="73">
        <f t="shared" si="43"/>
        <v>2020</v>
      </c>
      <c r="J98" s="73">
        <f t="shared" si="43"/>
        <v>2021</v>
      </c>
      <c r="K98" s="73">
        <f t="shared" si="43"/>
        <v>2022</v>
      </c>
      <c r="L98" s="73">
        <f t="shared" si="43"/>
        <v>2023</v>
      </c>
      <c r="M98" s="73">
        <f t="shared" si="43"/>
        <v>2024</v>
      </c>
      <c r="N98" s="73">
        <f t="shared" si="43"/>
        <v>2025</v>
      </c>
      <c r="O98" s="73">
        <f t="shared" si="43"/>
        <v>2026</v>
      </c>
      <c r="P98" s="73">
        <f t="shared" si="43"/>
        <v>2027</v>
      </c>
      <c r="Q98" s="73">
        <f t="shared" si="43"/>
        <v>2028</v>
      </c>
      <c r="R98" s="73">
        <f t="shared" si="43"/>
        <v>2029</v>
      </c>
      <c r="S98" s="73">
        <f t="shared" si="43"/>
        <v>2030</v>
      </c>
      <c r="T98" s="73">
        <f t="shared" si="43"/>
        <v>2031</v>
      </c>
      <c r="U98" s="73">
        <f t="shared" si="43"/>
        <v>2032</v>
      </c>
      <c r="V98" s="73">
        <f t="shared" si="43"/>
        <v>2033</v>
      </c>
      <c r="W98" s="73">
        <f t="shared" si="43"/>
        <v>2034</v>
      </c>
      <c r="X98" s="73">
        <f t="shared" si="43"/>
        <v>2035</v>
      </c>
      <c r="Y98" s="74" t="s">
        <v>151</v>
      </c>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row>
    <row r="99" spans="1:80" ht="15">
      <c r="C99" s="68" t="str">
        <f>C8</f>
        <v>Refrigerator</v>
      </c>
      <c r="E99" s="80" t="str">
        <f>CONCATENATE("aMW_",E98)</f>
        <v>aMW_2016</v>
      </c>
      <c r="F99" s="75" t="str">
        <f t="shared" ref="F99" si="44">CONCATENATE("aMW_",F98)</f>
        <v>aMW_2017</v>
      </c>
      <c r="G99" s="75" t="str">
        <f t="shared" ref="G99" si="45">CONCATENATE("aMW_",G98)</f>
        <v>aMW_2018</v>
      </c>
      <c r="H99" s="75" t="str">
        <f t="shared" ref="H99" si="46">CONCATENATE("aMW_",H98)</f>
        <v>aMW_2019</v>
      </c>
      <c r="I99" s="75" t="str">
        <f t="shared" ref="I99" si="47">CONCATENATE("aMW_",I98)</f>
        <v>aMW_2020</v>
      </c>
      <c r="J99" s="75" t="str">
        <f t="shared" ref="J99" si="48">CONCATENATE("aMW_",J98)</f>
        <v>aMW_2021</v>
      </c>
      <c r="K99" s="75" t="str">
        <f t="shared" ref="K99" si="49">CONCATENATE("aMW_",K98)</f>
        <v>aMW_2022</v>
      </c>
      <c r="L99" s="75" t="str">
        <f t="shared" ref="L99" si="50">CONCATENATE("aMW_",L98)</f>
        <v>aMW_2023</v>
      </c>
      <c r="M99" s="75" t="str">
        <f t="shared" ref="M99" si="51">CONCATENATE("aMW_",M98)</f>
        <v>aMW_2024</v>
      </c>
      <c r="N99" s="75" t="str">
        <f t="shared" ref="N99" si="52">CONCATENATE("aMW_",N98)</f>
        <v>aMW_2025</v>
      </c>
      <c r="O99" s="75" t="str">
        <f t="shared" ref="O99" si="53">CONCATENATE("aMW_",O98)</f>
        <v>aMW_2026</v>
      </c>
      <c r="P99" s="75" t="str">
        <f t="shared" ref="P99" si="54">CONCATENATE("aMW_",P98)</f>
        <v>aMW_2027</v>
      </c>
      <c r="Q99" s="75" t="str">
        <f t="shared" ref="Q99" si="55">CONCATENATE("aMW_",Q98)</f>
        <v>aMW_2028</v>
      </c>
      <c r="R99" s="75" t="str">
        <f t="shared" ref="R99" si="56">CONCATENATE("aMW_",R98)</f>
        <v>aMW_2029</v>
      </c>
      <c r="S99" s="75" t="str">
        <f t="shared" ref="S99" si="57">CONCATENATE("aMW_",S98)</f>
        <v>aMW_2030</v>
      </c>
      <c r="T99" s="75" t="str">
        <f t="shared" ref="T99" si="58">CONCATENATE("aMW_",T98)</f>
        <v>aMW_2031</v>
      </c>
      <c r="U99" s="75" t="str">
        <f t="shared" ref="U99" si="59">CONCATENATE("aMW_",U98)</f>
        <v>aMW_2032</v>
      </c>
      <c r="V99" s="75" t="str">
        <f t="shared" ref="V99" si="60">CONCATENATE("aMW_",V98)</f>
        <v>aMW_2033</v>
      </c>
      <c r="W99" s="75" t="str">
        <f t="shared" ref="W99" si="61">CONCATENATE("aMW_",W98)</f>
        <v>aMW_2034</v>
      </c>
      <c r="X99" s="75" t="str">
        <f t="shared" ref="X99" si="62">CONCATENATE("aMW_",X98)</f>
        <v>aMW_2035</v>
      </c>
      <c r="Y99" s="76" t="s">
        <v>151</v>
      </c>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row>
    <row r="100" spans="1:80">
      <c r="C100" s="9" t="s">
        <v>71</v>
      </c>
      <c r="E100" s="38">
        <f t="shared" ref="E100:Y100" si="63">E63</f>
        <v>0</v>
      </c>
      <c r="F100" s="38">
        <f t="shared" si="63"/>
        <v>0</v>
      </c>
      <c r="G100" s="38">
        <f t="shared" si="63"/>
        <v>0</v>
      </c>
      <c r="H100" s="38">
        <f t="shared" si="63"/>
        <v>0</v>
      </c>
      <c r="I100" s="38">
        <f t="shared" si="63"/>
        <v>0</v>
      </c>
      <c r="J100" s="38">
        <f t="shared" si="63"/>
        <v>0</v>
      </c>
      <c r="K100" s="38">
        <f t="shared" si="63"/>
        <v>0</v>
      </c>
      <c r="L100" s="38">
        <f t="shared" si="63"/>
        <v>0</v>
      </c>
      <c r="M100" s="38">
        <f t="shared" si="63"/>
        <v>0</v>
      </c>
      <c r="N100" s="38">
        <f t="shared" si="63"/>
        <v>0</v>
      </c>
      <c r="O100" s="38">
        <f t="shared" si="63"/>
        <v>0</v>
      </c>
      <c r="P100" s="38">
        <f t="shared" si="63"/>
        <v>0</v>
      </c>
      <c r="Q100" s="38">
        <f t="shared" si="63"/>
        <v>0</v>
      </c>
      <c r="R100" s="38">
        <f t="shared" si="63"/>
        <v>0</v>
      </c>
      <c r="S100" s="38">
        <f t="shared" si="63"/>
        <v>0</v>
      </c>
      <c r="T100" s="38">
        <f t="shared" si="63"/>
        <v>0</v>
      </c>
      <c r="U100" s="38">
        <f t="shared" si="63"/>
        <v>0</v>
      </c>
      <c r="V100" s="38">
        <f t="shared" si="63"/>
        <v>0</v>
      </c>
      <c r="W100" s="38">
        <f t="shared" si="63"/>
        <v>0</v>
      </c>
      <c r="X100" s="38">
        <f t="shared" si="63"/>
        <v>0</v>
      </c>
      <c r="Y100" s="38">
        <f t="shared" si="63"/>
        <v>0</v>
      </c>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row>
    <row r="101" spans="1:80">
      <c r="C101" s="9" t="s">
        <v>4948</v>
      </c>
      <c r="E101" s="44">
        <f t="shared" ref="E101:X113" si="64">E64-E63</f>
        <v>0</v>
      </c>
      <c r="F101" s="44">
        <f t="shared" si="64"/>
        <v>0</v>
      </c>
      <c r="G101" s="44">
        <f t="shared" si="64"/>
        <v>0</v>
      </c>
      <c r="H101" s="44">
        <f t="shared" si="64"/>
        <v>0</v>
      </c>
      <c r="I101" s="44">
        <f t="shared" si="64"/>
        <v>0</v>
      </c>
      <c r="J101" s="44">
        <f t="shared" si="64"/>
        <v>0</v>
      </c>
      <c r="K101" s="44">
        <f t="shared" si="64"/>
        <v>0</v>
      </c>
      <c r="L101" s="44">
        <f t="shared" si="64"/>
        <v>0</v>
      </c>
      <c r="M101" s="44">
        <f t="shared" si="64"/>
        <v>0</v>
      </c>
      <c r="N101" s="44">
        <f t="shared" si="64"/>
        <v>0</v>
      </c>
      <c r="O101" s="44">
        <f t="shared" si="64"/>
        <v>0</v>
      </c>
      <c r="P101" s="44">
        <f t="shared" si="64"/>
        <v>0</v>
      </c>
      <c r="Q101" s="44">
        <f t="shared" si="64"/>
        <v>0</v>
      </c>
      <c r="R101" s="44">
        <f t="shared" si="64"/>
        <v>0</v>
      </c>
      <c r="S101" s="44">
        <f t="shared" si="64"/>
        <v>0</v>
      </c>
      <c r="T101" s="44">
        <f t="shared" si="64"/>
        <v>0</v>
      </c>
      <c r="U101" s="44">
        <f t="shared" si="64"/>
        <v>0</v>
      </c>
      <c r="V101" s="44">
        <f t="shared" si="64"/>
        <v>0</v>
      </c>
      <c r="W101" s="44">
        <f t="shared" si="64"/>
        <v>0</v>
      </c>
      <c r="X101" s="44">
        <f t="shared" si="64"/>
        <v>0</v>
      </c>
      <c r="Y101" s="44">
        <f t="shared" ref="Y101" si="65">Y64-Y63</f>
        <v>0</v>
      </c>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row>
    <row r="102" spans="1:80">
      <c r="C102" s="9" t="s">
        <v>77</v>
      </c>
      <c r="E102" s="44">
        <f t="shared" si="64"/>
        <v>0</v>
      </c>
      <c r="F102" s="44">
        <f t="shared" si="64"/>
        <v>0</v>
      </c>
      <c r="G102" s="44">
        <f t="shared" si="64"/>
        <v>0</v>
      </c>
      <c r="H102" s="44">
        <f t="shared" si="64"/>
        <v>0</v>
      </c>
      <c r="I102" s="44">
        <f t="shared" si="64"/>
        <v>0</v>
      </c>
      <c r="J102" s="44">
        <f t="shared" si="64"/>
        <v>0</v>
      </c>
      <c r="K102" s="44">
        <f t="shared" si="64"/>
        <v>0</v>
      </c>
      <c r="L102" s="44">
        <f t="shared" si="64"/>
        <v>0</v>
      </c>
      <c r="M102" s="44">
        <f t="shared" si="64"/>
        <v>0</v>
      </c>
      <c r="N102" s="44">
        <f t="shared" si="64"/>
        <v>0</v>
      </c>
      <c r="O102" s="44">
        <f t="shared" si="64"/>
        <v>0</v>
      </c>
      <c r="P102" s="44">
        <f t="shared" si="64"/>
        <v>0</v>
      </c>
      <c r="Q102" s="44">
        <f t="shared" si="64"/>
        <v>0</v>
      </c>
      <c r="R102" s="44">
        <f t="shared" si="64"/>
        <v>0</v>
      </c>
      <c r="S102" s="44">
        <f t="shared" si="64"/>
        <v>0</v>
      </c>
      <c r="T102" s="44">
        <f t="shared" si="64"/>
        <v>0</v>
      </c>
      <c r="U102" s="44">
        <f t="shared" si="64"/>
        <v>0</v>
      </c>
      <c r="V102" s="44">
        <f t="shared" si="64"/>
        <v>0</v>
      </c>
      <c r="W102" s="44">
        <f t="shared" si="64"/>
        <v>0</v>
      </c>
      <c r="X102" s="44">
        <f t="shared" si="64"/>
        <v>0</v>
      </c>
      <c r="Y102" s="44">
        <f t="shared" ref="Y102" si="66">Y65-Y64</f>
        <v>0</v>
      </c>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row>
    <row r="103" spans="1:80">
      <c r="C103" s="9" t="s">
        <v>80</v>
      </c>
      <c r="E103" s="44">
        <f t="shared" si="64"/>
        <v>0</v>
      </c>
      <c r="F103" s="44">
        <f t="shared" si="64"/>
        <v>0</v>
      </c>
      <c r="G103" s="44">
        <f t="shared" si="64"/>
        <v>0</v>
      </c>
      <c r="H103" s="44">
        <f t="shared" si="64"/>
        <v>0</v>
      </c>
      <c r="I103" s="44">
        <f t="shared" si="64"/>
        <v>0</v>
      </c>
      <c r="J103" s="44">
        <f t="shared" si="64"/>
        <v>0</v>
      </c>
      <c r="K103" s="44">
        <f t="shared" si="64"/>
        <v>0</v>
      </c>
      <c r="L103" s="44">
        <f t="shared" si="64"/>
        <v>0</v>
      </c>
      <c r="M103" s="44">
        <f t="shared" si="64"/>
        <v>0</v>
      </c>
      <c r="N103" s="44">
        <f t="shared" si="64"/>
        <v>0</v>
      </c>
      <c r="O103" s="44">
        <f t="shared" si="64"/>
        <v>0</v>
      </c>
      <c r="P103" s="44">
        <f t="shared" si="64"/>
        <v>0</v>
      </c>
      <c r="Q103" s="44">
        <f t="shared" si="64"/>
        <v>0</v>
      </c>
      <c r="R103" s="44">
        <f t="shared" si="64"/>
        <v>0</v>
      </c>
      <c r="S103" s="44">
        <f t="shared" si="64"/>
        <v>0</v>
      </c>
      <c r="T103" s="44">
        <f t="shared" si="64"/>
        <v>0</v>
      </c>
      <c r="U103" s="44">
        <f t="shared" si="64"/>
        <v>0</v>
      </c>
      <c r="V103" s="44">
        <f t="shared" si="64"/>
        <v>0</v>
      </c>
      <c r="W103" s="44">
        <f t="shared" si="64"/>
        <v>0</v>
      </c>
      <c r="X103" s="44">
        <f t="shared" si="64"/>
        <v>0</v>
      </c>
      <c r="Y103" s="44">
        <f t="shared" ref="Y103" si="67">Y66-Y65</f>
        <v>0</v>
      </c>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row>
    <row r="104" spans="1:80">
      <c r="C104" s="9" t="s">
        <v>83</v>
      </c>
      <c r="E104" s="44">
        <f t="shared" si="64"/>
        <v>0</v>
      </c>
      <c r="F104" s="44">
        <f t="shared" si="64"/>
        <v>0</v>
      </c>
      <c r="G104" s="44">
        <f t="shared" si="64"/>
        <v>0</v>
      </c>
      <c r="H104" s="44">
        <f t="shared" si="64"/>
        <v>0</v>
      </c>
      <c r="I104" s="44">
        <f t="shared" si="64"/>
        <v>0</v>
      </c>
      <c r="J104" s="44">
        <f t="shared" si="64"/>
        <v>0</v>
      </c>
      <c r="K104" s="44">
        <f t="shared" si="64"/>
        <v>0</v>
      </c>
      <c r="L104" s="44">
        <f t="shared" si="64"/>
        <v>0</v>
      </c>
      <c r="M104" s="44">
        <f t="shared" si="64"/>
        <v>0</v>
      </c>
      <c r="N104" s="44">
        <f t="shared" si="64"/>
        <v>0</v>
      </c>
      <c r="O104" s="44">
        <f t="shared" si="64"/>
        <v>0</v>
      </c>
      <c r="P104" s="44">
        <f t="shared" si="64"/>
        <v>0</v>
      </c>
      <c r="Q104" s="44">
        <f t="shared" si="64"/>
        <v>0</v>
      </c>
      <c r="R104" s="44">
        <f t="shared" si="64"/>
        <v>0</v>
      </c>
      <c r="S104" s="44">
        <f t="shared" si="64"/>
        <v>0</v>
      </c>
      <c r="T104" s="44">
        <f t="shared" si="64"/>
        <v>0</v>
      </c>
      <c r="U104" s="44">
        <f t="shared" si="64"/>
        <v>0</v>
      </c>
      <c r="V104" s="44">
        <f t="shared" si="64"/>
        <v>0</v>
      </c>
      <c r="W104" s="44">
        <f t="shared" si="64"/>
        <v>0</v>
      </c>
      <c r="X104" s="44">
        <f t="shared" si="64"/>
        <v>0</v>
      </c>
      <c r="Y104" s="44">
        <f t="shared" ref="Y104" si="68">Y67-Y66</f>
        <v>0</v>
      </c>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row>
    <row r="105" spans="1:80">
      <c r="C105" s="9" t="s">
        <v>86</v>
      </c>
      <c r="E105" s="44">
        <f t="shared" si="64"/>
        <v>0</v>
      </c>
      <c r="F105" s="44">
        <f t="shared" si="64"/>
        <v>0</v>
      </c>
      <c r="G105" s="44">
        <f t="shared" si="64"/>
        <v>0</v>
      </c>
      <c r="H105" s="44">
        <f t="shared" si="64"/>
        <v>0</v>
      </c>
      <c r="I105" s="44">
        <f t="shared" si="64"/>
        <v>0</v>
      </c>
      <c r="J105" s="44">
        <f t="shared" si="64"/>
        <v>0</v>
      </c>
      <c r="K105" s="44">
        <f t="shared" si="64"/>
        <v>0</v>
      </c>
      <c r="L105" s="44">
        <f t="shared" si="64"/>
        <v>0</v>
      </c>
      <c r="M105" s="44">
        <f t="shared" si="64"/>
        <v>0</v>
      </c>
      <c r="N105" s="44">
        <f t="shared" si="64"/>
        <v>0</v>
      </c>
      <c r="O105" s="44">
        <f t="shared" si="64"/>
        <v>0</v>
      </c>
      <c r="P105" s="44">
        <f t="shared" si="64"/>
        <v>0</v>
      </c>
      <c r="Q105" s="44">
        <f t="shared" si="64"/>
        <v>0</v>
      </c>
      <c r="R105" s="44">
        <f t="shared" si="64"/>
        <v>0</v>
      </c>
      <c r="S105" s="44">
        <f t="shared" si="64"/>
        <v>0</v>
      </c>
      <c r="T105" s="44">
        <f t="shared" si="64"/>
        <v>0</v>
      </c>
      <c r="U105" s="44">
        <f t="shared" si="64"/>
        <v>0</v>
      </c>
      <c r="V105" s="44">
        <f t="shared" si="64"/>
        <v>0</v>
      </c>
      <c r="W105" s="44">
        <f t="shared" si="64"/>
        <v>0</v>
      </c>
      <c r="X105" s="44">
        <f t="shared" si="64"/>
        <v>0</v>
      </c>
      <c r="Y105" s="44">
        <f t="shared" ref="Y105" si="69">Y68-Y67</f>
        <v>0</v>
      </c>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row>
    <row r="106" spans="1:80">
      <c r="C106" s="9" t="s">
        <v>89</v>
      </c>
      <c r="E106" s="44">
        <f t="shared" si="64"/>
        <v>0</v>
      </c>
      <c r="F106" s="44">
        <f t="shared" si="64"/>
        <v>0</v>
      </c>
      <c r="G106" s="44">
        <f t="shared" si="64"/>
        <v>0</v>
      </c>
      <c r="H106" s="44">
        <f t="shared" si="64"/>
        <v>0</v>
      </c>
      <c r="I106" s="44">
        <f t="shared" si="64"/>
        <v>0</v>
      </c>
      <c r="J106" s="44">
        <f t="shared" si="64"/>
        <v>0</v>
      </c>
      <c r="K106" s="44">
        <f t="shared" si="64"/>
        <v>0</v>
      </c>
      <c r="L106" s="44">
        <f t="shared" si="64"/>
        <v>0</v>
      </c>
      <c r="M106" s="44">
        <f t="shared" si="64"/>
        <v>0</v>
      </c>
      <c r="N106" s="44">
        <f t="shared" si="64"/>
        <v>0</v>
      </c>
      <c r="O106" s="44">
        <f t="shared" si="64"/>
        <v>0</v>
      </c>
      <c r="P106" s="44">
        <f t="shared" si="64"/>
        <v>0</v>
      </c>
      <c r="Q106" s="44">
        <f t="shared" si="64"/>
        <v>0</v>
      </c>
      <c r="R106" s="44">
        <f t="shared" si="64"/>
        <v>0</v>
      </c>
      <c r="S106" s="44">
        <f t="shared" si="64"/>
        <v>0</v>
      </c>
      <c r="T106" s="44">
        <f t="shared" si="64"/>
        <v>0</v>
      </c>
      <c r="U106" s="44">
        <f t="shared" si="64"/>
        <v>0</v>
      </c>
      <c r="V106" s="44">
        <f t="shared" si="64"/>
        <v>0</v>
      </c>
      <c r="W106" s="44">
        <f t="shared" si="64"/>
        <v>0</v>
      </c>
      <c r="X106" s="44">
        <f t="shared" si="64"/>
        <v>0</v>
      </c>
      <c r="Y106" s="44">
        <f t="shared" ref="Y106" si="70">Y69-Y68</f>
        <v>0</v>
      </c>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row>
    <row r="107" spans="1:80">
      <c r="C107" s="9" t="s">
        <v>92</v>
      </c>
      <c r="E107" s="44">
        <f t="shared" si="64"/>
        <v>0</v>
      </c>
      <c r="F107" s="44">
        <f t="shared" si="64"/>
        <v>0</v>
      </c>
      <c r="G107" s="44">
        <f t="shared" si="64"/>
        <v>0</v>
      </c>
      <c r="H107" s="44">
        <f t="shared" si="64"/>
        <v>0</v>
      </c>
      <c r="I107" s="44">
        <f t="shared" si="64"/>
        <v>0</v>
      </c>
      <c r="J107" s="44">
        <f t="shared" si="64"/>
        <v>0</v>
      </c>
      <c r="K107" s="44">
        <f t="shared" si="64"/>
        <v>0</v>
      </c>
      <c r="L107" s="44">
        <f t="shared" si="64"/>
        <v>0</v>
      </c>
      <c r="M107" s="44">
        <f t="shared" si="64"/>
        <v>0</v>
      </c>
      <c r="N107" s="44">
        <f t="shared" si="64"/>
        <v>0</v>
      </c>
      <c r="O107" s="44">
        <f t="shared" si="64"/>
        <v>0</v>
      </c>
      <c r="P107" s="44">
        <f t="shared" si="64"/>
        <v>0</v>
      </c>
      <c r="Q107" s="44">
        <f t="shared" si="64"/>
        <v>0</v>
      </c>
      <c r="R107" s="44">
        <f t="shared" si="64"/>
        <v>0</v>
      </c>
      <c r="S107" s="44">
        <f t="shared" si="64"/>
        <v>0</v>
      </c>
      <c r="T107" s="44">
        <f t="shared" si="64"/>
        <v>0</v>
      </c>
      <c r="U107" s="44">
        <f t="shared" si="64"/>
        <v>0</v>
      </c>
      <c r="V107" s="44">
        <f t="shared" si="64"/>
        <v>0</v>
      </c>
      <c r="W107" s="44">
        <f t="shared" si="64"/>
        <v>0</v>
      </c>
      <c r="X107" s="44">
        <f t="shared" si="64"/>
        <v>0</v>
      </c>
      <c r="Y107" s="44">
        <f t="shared" ref="Y107" si="71">Y70-Y69</f>
        <v>0</v>
      </c>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row>
    <row r="108" spans="1:80">
      <c r="C108" s="9" t="s">
        <v>95</v>
      </c>
      <c r="E108" s="44">
        <f t="shared" si="64"/>
        <v>0</v>
      </c>
      <c r="F108" s="44">
        <f t="shared" si="64"/>
        <v>0</v>
      </c>
      <c r="G108" s="44">
        <f t="shared" si="64"/>
        <v>0</v>
      </c>
      <c r="H108" s="44">
        <f t="shared" si="64"/>
        <v>0</v>
      </c>
      <c r="I108" s="44">
        <f t="shared" si="64"/>
        <v>0</v>
      </c>
      <c r="J108" s="44">
        <f t="shared" si="64"/>
        <v>0</v>
      </c>
      <c r="K108" s="44">
        <f t="shared" si="64"/>
        <v>0</v>
      </c>
      <c r="L108" s="44">
        <f t="shared" si="64"/>
        <v>0</v>
      </c>
      <c r="M108" s="44">
        <f t="shared" si="64"/>
        <v>0</v>
      </c>
      <c r="N108" s="44">
        <f t="shared" si="64"/>
        <v>0</v>
      </c>
      <c r="O108" s="44">
        <f t="shared" si="64"/>
        <v>0</v>
      </c>
      <c r="P108" s="44">
        <f t="shared" si="64"/>
        <v>0</v>
      </c>
      <c r="Q108" s="44">
        <f t="shared" si="64"/>
        <v>0</v>
      </c>
      <c r="R108" s="44">
        <f t="shared" si="64"/>
        <v>0</v>
      </c>
      <c r="S108" s="44">
        <f t="shared" si="64"/>
        <v>0</v>
      </c>
      <c r="T108" s="44">
        <f t="shared" si="64"/>
        <v>0</v>
      </c>
      <c r="U108" s="44">
        <f t="shared" si="64"/>
        <v>0</v>
      </c>
      <c r="V108" s="44">
        <f t="shared" si="64"/>
        <v>0</v>
      </c>
      <c r="W108" s="44">
        <f t="shared" si="64"/>
        <v>0</v>
      </c>
      <c r="X108" s="44">
        <f t="shared" si="64"/>
        <v>0</v>
      </c>
      <c r="Y108" s="44">
        <f t="shared" ref="Y108" si="72">Y71-Y70</f>
        <v>0</v>
      </c>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row>
    <row r="109" spans="1:80">
      <c r="C109" s="9" t="s">
        <v>98</v>
      </c>
      <c r="E109" s="44">
        <f t="shared" si="64"/>
        <v>0</v>
      </c>
      <c r="F109" s="44">
        <f t="shared" si="64"/>
        <v>0</v>
      </c>
      <c r="G109" s="44">
        <f t="shared" si="64"/>
        <v>0</v>
      </c>
      <c r="H109" s="44">
        <f t="shared" si="64"/>
        <v>0</v>
      </c>
      <c r="I109" s="44">
        <f t="shared" si="64"/>
        <v>0</v>
      </c>
      <c r="J109" s="44">
        <f t="shared" si="64"/>
        <v>0</v>
      </c>
      <c r="K109" s="44">
        <f t="shared" si="64"/>
        <v>0</v>
      </c>
      <c r="L109" s="44">
        <f t="shared" si="64"/>
        <v>0</v>
      </c>
      <c r="M109" s="44">
        <f t="shared" si="64"/>
        <v>0</v>
      </c>
      <c r="N109" s="44">
        <f t="shared" si="64"/>
        <v>0</v>
      </c>
      <c r="O109" s="44">
        <f t="shared" si="64"/>
        <v>0</v>
      </c>
      <c r="P109" s="44">
        <f t="shared" si="64"/>
        <v>0</v>
      </c>
      <c r="Q109" s="44">
        <f t="shared" si="64"/>
        <v>0</v>
      </c>
      <c r="R109" s="44">
        <f t="shared" si="64"/>
        <v>0</v>
      </c>
      <c r="S109" s="44">
        <f t="shared" si="64"/>
        <v>0</v>
      </c>
      <c r="T109" s="44">
        <f t="shared" si="64"/>
        <v>0</v>
      </c>
      <c r="U109" s="44">
        <f t="shared" si="64"/>
        <v>0</v>
      </c>
      <c r="V109" s="44">
        <f t="shared" si="64"/>
        <v>0</v>
      </c>
      <c r="W109" s="44">
        <f t="shared" si="64"/>
        <v>0</v>
      </c>
      <c r="X109" s="44">
        <f t="shared" si="64"/>
        <v>0</v>
      </c>
      <c r="Y109" s="44">
        <f t="shared" ref="Y109" si="73">Y72-Y71</f>
        <v>0</v>
      </c>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row>
    <row r="110" spans="1:80">
      <c r="C110" s="9" t="s">
        <v>101</v>
      </c>
      <c r="E110" s="44">
        <f t="shared" si="64"/>
        <v>0</v>
      </c>
      <c r="F110" s="44">
        <f t="shared" si="64"/>
        <v>0</v>
      </c>
      <c r="G110" s="44">
        <f t="shared" si="64"/>
        <v>0</v>
      </c>
      <c r="H110" s="44">
        <f t="shared" si="64"/>
        <v>0</v>
      </c>
      <c r="I110" s="44">
        <f t="shared" si="64"/>
        <v>0</v>
      </c>
      <c r="J110" s="44">
        <f t="shared" si="64"/>
        <v>0</v>
      </c>
      <c r="K110" s="44">
        <f t="shared" si="64"/>
        <v>0</v>
      </c>
      <c r="L110" s="44">
        <f t="shared" si="64"/>
        <v>0</v>
      </c>
      <c r="M110" s="44">
        <f t="shared" si="64"/>
        <v>0</v>
      </c>
      <c r="N110" s="44">
        <f t="shared" si="64"/>
        <v>0</v>
      </c>
      <c r="O110" s="44">
        <f t="shared" si="64"/>
        <v>0</v>
      </c>
      <c r="P110" s="44">
        <f t="shared" si="64"/>
        <v>0</v>
      </c>
      <c r="Q110" s="44">
        <f t="shared" si="64"/>
        <v>0</v>
      </c>
      <c r="R110" s="44">
        <f t="shared" si="64"/>
        <v>0</v>
      </c>
      <c r="S110" s="44">
        <f t="shared" si="64"/>
        <v>0</v>
      </c>
      <c r="T110" s="44">
        <f t="shared" si="64"/>
        <v>0</v>
      </c>
      <c r="U110" s="44">
        <f t="shared" si="64"/>
        <v>0</v>
      </c>
      <c r="V110" s="44">
        <f t="shared" si="64"/>
        <v>0</v>
      </c>
      <c r="W110" s="44">
        <f t="shared" si="64"/>
        <v>0</v>
      </c>
      <c r="X110" s="44">
        <f t="shared" si="64"/>
        <v>0</v>
      </c>
      <c r="Y110" s="44">
        <f t="shared" ref="Y110" si="74">Y73-Y72</f>
        <v>0</v>
      </c>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row>
    <row r="111" spans="1:80">
      <c r="C111" s="9" t="s">
        <v>104</v>
      </c>
      <c r="E111" s="44">
        <f t="shared" si="64"/>
        <v>0</v>
      </c>
      <c r="F111" s="44">
        <f t="shared" si="64"/>
        <v>0</v>
      </c>
      <c r="G111" s="44">
        <f t="shared" si="64"/>
        <v>0</v>
      </c>
      <c r="H111" s="44">
        <f t="shared" si="64"/>
        <v>0</v>
      </c>
      <c r="I111" s="44">
        <f t="shared" si="64"/>
        <v>0</v>
      </c>
      <c r="J111" s="44">
        <f t="shared" si="64"/>
        <v>0</v>
      </c>
      <c r="K111" s="44">
        <f t="shared" si="64"/>
        <v>0</v>
      </c>
      <c r="L111" s="44">
        <f t="shared" si="64"/>
        <v>0</v>
      </c>
      <c r="M111" s="44">
        <f t="shared" si="64"/>
        <v>0</v>
      </c>
      <c r="N111" s="44">
        <f t="shared" si="64"/>
        <v>0</v>
      </c>
      <c r="O111" s="44">
        <f t="shared" si="64"/>
        <v>0</v>
      </c>
      <c r="P111" s="44">
        <f t="shared" si="64"/>
        <v>0</v>
      </c>
      <c r="Q111" s="44">
        <f t="shared" si="64"/>
        <v>0</v>
      </c>
      <c r="R111" s="44">
        <f t="shared" si="64"/>
        <v>0</v>
      </c>
      <c r="S111" s="44">
        <f t="shared" si="64"/>
        <v>0</v>
      </c>
      <c r="T111" s="44">
        <f t="shared" si="64"/>
        <v>0</v>
      </c>
      <c r="U111" s="44">
        <f t="shared" si="64"/>
        <v>0</v>
      </c>
      <c r="V111" s="44">
        <f t="shared" si="64"/>
        <v>0</v>
      </c>
      <c r="W111" s="44">
        <f t="shared" si="64"/>
        <v>0</v>
      </c>
      <c r="X111" s="44">
        <f t="shared" si="64"/>
        <v>0</v>
      </c>
      <c r="Y111" s="44">
        <f t="shared" ref="Y111" si="75">Y74-Y73</f>
        <v>0</v>
      </c>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row>
    <row r="112" spans="1:80">
      <c r="C112" s="9" t="s">
        <v>107</v>
      </c>
      <c r="E112" s="44">
        <f t="shared" si="64"/>
        <v>0</v>
      </c>
      <c r="F112" s="44">
        <f t="shared" si="64"/>
        <v>0</v>
      </c>
      <c r="G112" s="44">
        <f t="shared" si="64"/>
        <v>0</v>
      </c>
      <c r="H112" s="44">
        <f t="shared" si="64"/>
        <v>0</v>
      </c>
      <c r="I112" s="44">
        <f t="shared" si="64"/>
        <v>0</v>
      </c>
      <c r="J112" s="44">
        <f t="shared" si="64"/>
        <v>0</v>
      </c>
      <c r="K112" s="44">
        <f t="shared" si="64"/>
        <v>0</v>
      </c>
      <c r="L112" s="44">
        <f t="shared" si="64"/>
        <v>0</v>
      </c>
      <c r="M112" s="44">
        <f t="shared" si="64"/>
        <v>0</v>
      </c>
      <c r="N112" s="44">
        <f t="shared" si="64"/>
        <v>0</v>
      </c>
      <c r="O112" s="44">
        <f t="shared" si="64"/>
        <v>0</v>
      </c>
      <c r="P112" s="44">
        <f t="shared" si="64"/>
        <v>0</v>
      </c>
      <c r="Q112" s="44">
        <f t="shared" si="64"/>
        <v>0</v>
      </c>
      <c r="R112" s="44">
        <f t="shared" si="64"/>
        <v>0</v>
      </c>
      <c r="S112" s="44">
        <f t="shared" si="64"/>
        <v>0</v>
      </c>
      <c r="T112" s="44">
        <f t="shared" si="64"/>
        <v>0</v>
      </c>
      <c r="U112" s="44">
        <f t="shared" si="64"/>
        <v>0</v>
      </c>
      <c r="V112" s="44">
        <f t="shared" si="64"/>
        <v>0</v>
      </c>
      <c r="W112" s="44">
        <f t="shared" si="64"/>
        <v>0</v>
      </c>
      <c r="X112" s="44">
        <f t="shared" si="64"/>
        <v>0</v>
      </c>
      <c r="Y112" s="44">
        <f t="shared" ref="Y112" si="76">Y75-Y74</f>
        <v>0</v>
      </c>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row>
    <row r="113" spans="3:80">
      <c r="C113" s="9" t="s">
        <v>110</v>
      </c>
      <c r="E113" s="44">
        <f t="shared" si="64"/>
        <v>0</v>
      </c>
      <c r="F113" s="44">
        <f t="shared" si="64"/>
        <v>0</v>
      </c>
      <c r="G113" s="44">
        <f t="shared" si="64"/>
        <v>0</v>
      </c>
      <c r="H113" s="44">
        <f t="shared" ref="H113:X113" si="77">H76-H75</f>
        <v>0</v>
      </c>
      <c r="I113" s="44">
        <f t="shared" si="77"/>
        <v>0</v>
      </c>
      <c r="J113" s="44">
        <f t="shared" si="77"/>
        <v>0</v>
      </c>
      <c r="K113" s="44">
        <f t="shared" si="77"/>
        <v>0</v>
      </c>
      <c r="L113" s="44">
        <f t="shared" si="77"/>
        <v>0</v>
      </c>
      <c r="M113" s="44">
        <f t="shared" si="77"/>
        <v>0</v>
      </c>
      <c r="N113" s="44">
        <f t="shared" si="77"/>
        <v>0</v>
      </c>
      <c r="O113" s="44">
        <f t="shared" si="77"/>
        <v>0</v>
      </c>
      <c r="P113" s="44">
        <f t="shared" si="77"/>
        <v>0</v>
      </c>
      <c r="Q113" s="44">
        <f t="shared" si="77"/>
        <v>0</v>
      </c>
      <c r="R113" s="44">
        <f t="shared" si="77"/>
        <v>0</v>
      </c>
      <c r="S113" s="44">
        <f t="shared" si="77"/>
        <v>0</v>
      </c>
      <c r="T113" s="44">
        <f t="shared" si="77"/>
        <v>0</v>
      </c>
      <c r="U113" s="44">
        <f t="shared" si="77"/>
        <v>0</v>
      </c>
      <c r="V113" s="44">
        <f t="shared" si="77"/>
        <v>0</v>
      </c>
      <c r="W113" s="44">
        <f t="shared" si="77"/>
        <v>0</v>
      </c>
      <c r="X113" s="44">
        <f t="shared" si="77"/>
        <v>0</v>
      </c>
      <c r="Y113" s="44">
        <f t="shared" ref="Y113" si="78">Y76-Y75</f>
        <v>0</v>
      </c>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row>
    <row r="114" spans="3:80">
      <c r="C114" s="9" t="s">
        <v>113</v>
      </c>
      <c r="E114" s="44">
        <f t="shared" ref="E114:X120" si="79">E77-E76</f>
        <v>0</v>
      </c>
      <c r="F114" s="44">
        <f t="shared" si="79"/>
        <v>0</v>
      </c>
      <c r="G114" s="44">
        <f t="shared" si="79"/>
        <v>0</v>
      </c>
      <c r="H114" s="44">
        <f t="shared" si="79"/>
        <v>0</v>
      </c>
      <c r="I114" s="44">
        <f t="shared" si="79"/>
        <v>0</v>
      </c>
      <c r="J114" s="44">
        <f t="shared" si="79"/>
        <v>0</v>
      </c>
      <c r="K114" s="44">
        <f t="shared" si="79"/>
        <v>0</v>
      </c>
      <c r="L114" s="44">
        <f t="shared" si="79"/>
        <v>0</v>
      </c>
      <c r="M114" s="44">
        <f t="shared" si="79"/>
        <v>0</v>
      </c>
      <c r="N114" s="44">
        <f t="shared" si="79"/>
        <v>0</v>
      </c>
      <c r="O114" s="44">
        <f t="shared" si="79"/>
        <v>0</v>
      </c>
      <c r="P114" s="44">
        <f t="shared" si="79"/>
        <v>0</v>
      </c>
      <c r="Q114" s="44">
        <f t="shared" si="79"/>
        <v>0</v>
      </c>
      <c r="R114" s="44">
        <f t="shared" si="79"/>
        <v>0</v>
      </c>
      <c r="S114" s="44">
        <f t="shared" si="79"/>
        <v>0</v>
      </c>
      <c r="T114" s="44">
        <f t="shared" si="79"/>
        <v>0</v>
      </c>
      <c r="U114" s="44">
        <f t="shared" si="79"/>
        <v>0</v>
      </c>
      <c r="V114" s="44">
        <f t="shared" si="79"/>
        <v>0</v>
      </c>
      <c r="W114" s="44">
        <f t="shared" si="79"/>
        <v>0</v>
      </c>
      <c r="X114" s="44">
        <f t="shared" si="79"/>
        <v>0</v>
      </c>
      <c r="Y114" s="44">
        <f t="shared" ref="Y114" si="80">Y77-Y76</f>
        <v>0</v>
      </c>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row>
    <row r="115" spans="3:80">
      <c r="C115" s="9" t="s">
        <v>116</v>
      </c>
      <c r="E115" s="44">
        <f t="shared" si="79"/>
        <v>0</v>
      </c>
      <c r="F115" s="44">
        <f t="shared" si="79"/>
        <v>0</v>
      </c>
      <c r="G115" s="44">
        <f t="shared" si="79"/>
        <v>0</v>
      </c>
      <c r="H115" s="44">
        <f t="shared" si="79"/>
        <v>0</v>
      </c>
      <c r="I115" s="44">
        <f t="shared" si="79"/>
        <v>0</v>
      </c>
      <c r="J115" s="44">
        <f t="shared" si="79"/>
        <v>0</v>
      </c>
      <c r="K115" s="44">
        <f t="shared" si="79"/>
        <v>0</v>
      </c>
      <c r="L115" s="44">
        <f t="shared" si="79"/>
        <v>0</v>
      </c>
      <c r="M115" s="44">
        <f t="shared" si="79"/>
        <v>0</v>
      </c>
      <c r="N115" s="44">
        <f t="shared" si="79"/>
        <v>0</v>
      </c>
      <c r="O115" s="44">
        <f t="shared" si="79"/>
        <v>0</v>
      </c>
      <c r="P115" s="44">
        <f t="shared" si="79"/>
        <v>0</v>
      </c>
      <c r="Q115" s="44">
        <f t="shared" si="79"/>
        <v>0</v>
      </c>
      <c r="R115" s="44">
        <f t="shared" si="79"/>
        <v>0</v>
      </c>
      <c r="S115" s="44">
        <f t="shared" si="79"/>
        <v>0</v>
      </c>
      <c r="T115" s="44">
        <f t="shared" si="79"/>
        <v>0</v>
      </c>
      <c r="U115" s="44">
        <f t="shared" si="79"/>
        <v>0</v>
      </c>
      <c r="V115" s="44">
        <f t="shared" si="79"/>
        <v>0</v>
      </c>
      <c r="W115" s="44">
        <f t="shared" si="79"/>
        <v>0</v>
      </c>
      <c r="X115" s="44">
        <f t="shared" si="79"/>
        <v>0</v>
      </c>
      <c r="Y115" s="44">
        <f t="shared" ref="Y115" si="81">Y78-Y77</f>
        <v>0</v>
      </c>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row>
    <row r="116" spans="3:80">
      <c r="C116" s="9" t="s">
        <v>119</v>
      </c>
      <c r="E116" s="44">
        <f t="shared" si="79"/>
        <v>0</v>
      </c>
      <c r="F116" s="44">
        <f t="shared" si="79"/>
        <v>0</v>
      </c>
      <c r="G116" s="44">
        <f t="shared" si="79"/>
        <v>0</v>
      </c>
      <c r="H116" s="44">
        <f t="shared" si="79"/>
        <v>0</v>
      </c>
      <c r="I116" s="44">
        <f t="shared" si="79"/>
        <v>0</v>
      </c>
      <c r="J116" s="44">
        <f t="shared" si="79"/>
        <v>0</v>
      </c>
      <c r="K116" s="44">
        <f t="shared" si="79"/>
        <v>0</v>
      </c>
      <c r="L116" s="44">
        <f t="shared" si="79"/>
        <v>0</v>
      </c>
      <c r="M116" s="44">
        <f t="shared" si="79"/>
        <v>0</v>
      </c>
      <c r="N116" s="44">
        <f t="shared" si="79"/>
        <v>0</v>
      </c>
      <c r="O116" s="44">
        <f t="shared" si="79"/>
        <v>0</v>
      </c>
      <c r="P116" s="44">
        <f t="shared" si="79"/>
        <v>0</v>
      </c>
      <c r="Q116" s="44">
        <f t="shared" si="79"/>
        <v>0</v>
      </c>
      <c r="R116" s="44">
        <f t="shared" si="79"/>
        <v>0</v>
      </c>
      <c r="S116" s="44">
        <f t="shared" si="79"/>
        <v>0</v>
      </c>
      <c r="T116" s="44">
        <f t="shared" si="79"/>
        <v>0</v>
      </c>
      <c r="U116" s="44">
        <f t="shared" si="79"/>
        <v>0</v>
      </c>
      <c r="V116" s="44">
        <f t="shared" si="79"/>
        <v>0</v>
      </c>
      <c r="W116" s="44">
        <f t="shared" si="79"/>
        <v>0</v>
      </c>
      <c r="X116" s="44">
        <f t="shared" si="79"/>
        <v>0</v>
      </c>
      <c r="Y116" s="44">
        <f t="shared" ref="Y116" si="82">Y79-Y78</f>
        <v>0</v>
      </c>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row>
    <row r="117" spans="3:80">
      <c r="C117" s="9" t="s">
        <v>122</v>
      </c>
      <c r="E117" s="44">
        <f t="shared" si="79"/>
        <v>0</v>
      </c>
      <c r="F117" s="44">
        <f t="shared" si="79"/>
        <v>0</v>
      </c>
      <c r="G117" s="44">
        <f t="shared" si="79"/>
        <v>0</v>
      </c>
      <c r="H117" s="44">
        <f t="shared" si="79"/>
        <v>0</v>
      </c>
      <c r="I117" s="44">
        <f t="shared" si="79"/>
        <v>0</v>
      </c>
      <c r="J117" s="44">
        <f t="shared" si="79"/>
        <v>0</v>
      </c>
      <c r="K117" s="44">
        <f t="shared" si="79"/>
        <v>0</v>
      </c>
      <c r="L117" s="44">
        <f t="shared" si="79"/>
        <v>0</v>
      </c>
      <c r="M117" s="44">
        <f t="shared" si="79"/>
        <v>0</v>
      </c>
      <c r="N117" s="44">
        <f t="shared" si="79"/>
        <v>0</v>
      </c>
      <c r="O117" s="44">
        <f t="shared" si="79"/>
        <v>0</v>
      </c>
      <c r="P117" s="44">
        <f t="shared" si="79"/>
        <v>0</v>
      </c>
      <c r="Q117" s="44">
        <f t="shared" si="79"/>
        <v>0</v>
      </c>
      <c r="R117" s="44">
        <f t="shared" si="79"/>
        <v>0</v>
      </c>
      <c r="S117" s="44">
        <f t="shared" si="79"/>
        <v>0</v>
      </c>
      <c r="T117" s="44">
        <f t="shared" si="79"/>
        <v>0</v>
      </c>
      <c r="U117" s="44">
        <f t="shared" si="79"/>
        <v>0</v>
      </c>
      <c r="V117" s="44">
        <f t="shared" si="79"/>
        <v>0</v>
      </c>
      <c r="W117" s="44">
        <f t="shared" si="79"/>
        <v>0</v>
      </c>
      <c r="X117" s="44">
        <f t="shared" si="79"/>
        <v>0</v>
      </c>
      <c r="Y117" s="44">
        <f t="shared" ref="Y117" si="83">Y80-Y79</f>
        <v>0</v>
      </c>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row>
    <row r="118" spans="3:80">
      <c r="C118" s="9" t="s">
        <v>125</v>
      </c>
      <c r="E118" s="44">
        <f t="shared" ca="1" si="79"/>
        <v>1.6906483256958207E-3</v>
      </c>
      <c r="F118" s="44">
        <f t="shared" ca="1" si="79"/>
        <v>4.9008054331626345E-3</v>
      </c>
      <c r="G118" s="44">
        <f t="shared" ca="1" si="79"/>
        <v>1.0293910028879919E-2</v>
      </c>
      <c r="H118" s="44">
        <f t="shared" ca="1" si="79"/>
        <v>1.875117957138514E-2</v>
      </c>
      <c r="I118" s="44">
        <f t="shared" ca="1" si="79"/>
        <v>3.0922505368856764E-2</v>
      </c>
      <c r="J118" s="44">
        <f t="shared" ca="1" si="79"/>
        <v>4.7222338821982221E-2</v>
      </c>
      <c r="K118" s="44">
        <f t="shared" ca="1" si="79"/>
        <v>6.9635024728232742E-2</v>
      </c>
      <c r="L118" s="44">
        <f t="shared" ca="1" si="79"/>
        <v>0.10028188258195878</v>
      </c>
      <c r="M118" s="44">
        <f t="shared" ca="1" si="79"/>
        <v>0.1378854872265502</v>
      </c>
      <c r="N118" s="44">
        <f t="shared" ca="1" si="79"/>
        <v>0.18594896701235192</v>
      </c>
      <c r="O118" s="44">
        <f t="shared" ca="1" si="79"/>
        <v>0.23801172751144195</v>
      </c>
      <c r="P118" s="44">
        <f t="shared" ca="1" si="79"/>
        <v>0.28976844798399354</v>
      </c>
      <c r="Q118" s="44">
        <f t="shared" ca="1" si="79"/>
        <v>0.33763747614392309</v>
      </c>
      <c r="R118" s="44">
        <f t="shared" ca="1" si="79"/>
        <v>0.38690598941672866</v>
      </c>
      <c r="S118" s="44">
        <f t="shared" ca="1" si="79"/>
        <v>0.43285347683582509</v>
      </c>
      <c r="T118" s="44">
        <f t="shared" ca="1" si="79"/>
        <v>0.46462177315477216</v>
      </c>
      <c r="U118" s="44">
        <f t="shared" ca="1" si="79"/>
        <v>0.47767342596400986</v>
      </c>
      <c r="V118" s="44">
        <f t="shared" ca="1" si="79"/>
        <v>0.49261642423056545</v>
      </c>
      <c r="W118" s="44">
        <f t="shared" ca="1" si="79"/>
        <v>0.50186295812918247</v>
      </c>
      <c r="X118" s="44">
        <f t="shared" ca="1" si="79"/>
        <v>0.50881523899742431</v>
      </c>
      <c r="Y118" s="44">
        <f t="shared" ref="Y118" ca="1" si="84">Y81-Y80</f>
        <v>4.7382996874669221</v>
      </c>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row>
    <row r="119" spans="3:80">
      <c r="C119" s="9" t="s">
        <v>128</v>
      </c>
      <c r="E119" s="44">
        <f t="shared" ca="1" si="79"/>
        <v>0</v>
      </c>
      <c r="F119" s="44">
        <f t="shared" ca="1" si="79"/>
        <v>0</v>
      </c>
      <c r="G119" s="44">
        <f t="shared" ca="1" si="79"/>
        <v>0</v>
      </c>
      <c r="H119" s="44">
        <f t="shared" ca="1" si="79"/>
        <v>0</v>
      </c>
      <c r="I119" s="44">
        <f t="shared" ca="1" si="79"/>
        <v>0</v>
      </c>
      <c r="J119" s="44">
        <f t="shared" ca="1" si="79"/>
        <v>0</v>
      </c>
      <c r="K119" s="44">
        <f t="shared" ca="1" si="79"/>
        <v>0</v>
      </c>
      <c r="L119" s="44">
        <f t="shared" ca="1" si="79"/>
        <v>0</v>
      </c>
      <c r="M119" s="44">
        <f t="shared" ca="1" si="79"/>
        <v>0</v>
      </c>
      <c r="N119" s="44">
        <f t="shared" ca="1" si="79"/>
        <v>0</v>
      </c>
      <c r="O119" s="44">
        <f t="shared" ca="1" si="79"/>
        <v>0</v>
      </c>
      <c r="P119" s="44">
        <f t="shared" ca="1" si="79"/>
        <v>0</v>
      </c>
      <c r="Q119" s="44">
        <f t="shared" ca="1" si="79"/>
        <v>0</v>
      </c>
      <c r="R119" s="44">
        <f t="shared" ca="1" si="79"/>
        <v>0</v>
      </c>
      <c r="S119" s="44">
        <f t="shared" ca="1" si="79"/>
        <v>0</v>
      </c>
      <c r="T119" s="44">
        <f t="shared" ca="1" si="79"/>
        <v>0</v>
      </c>
      <c r="U119" s="44">
        <f t="shared" ca="1" si="79"/>
        <v>0</v>
      </c>
      <c r="V119" s="44">
        <f t="shared" ca="1" si="79"/>
        <v>0</v>
      </c>
      <c r="W119" s="44">
        <f t="shared" ca="1" si="79"/>
        <v>0</v>
      </c>
      <c r="X119" s="44">
        <f t="shared" ca="1" si="79"/>
        <v>0</v>
      </c>
      <c r="Y119" s="44">
        <f t="shared" ref="Y119" ca="1" si="85">Y82-Y81</f>
        <v>0</v>
      </c>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row>
    <row r="120" spans="3:80">
      <c r="C120" s="9" t="s">
        <v>131</v>
      </c>
      <c r="E120" s="44">
        <f t="shared" ca="1" si="79"/>
        <v>0</v>
      </c>
      <c r="F120" s="44">
        <f t="shared" ca="1" si="79"/>
        <v>0</v>
      </c>
      <c r="G120" s="44">
        <f t="shared" ca="1" si="79"/>
        <v>0</v>
      </c>
      <c r="H120" s="44">
        <f t="shared" ca="1" si="79"/>
        <v>0</v>
      </c>
      <c r="I120" s="44">
        <f t="shared" ca="1" si="79"/>
        <v>0</v>
      </c>
      <c r="J120" s="44">
        <f t="shared" ca="1" si="79"/>
        <v>0</v>
      </c>
      <c r="K120" s="44">
        <f t="shared" ca="1" si="79"/>
        <v>0</v>
      </c>
      <c r="L120" s="44">
        <f t="shared" ca="1" si="79"/>
        <v>0</v>
      </c>
      <c r="M120" s="44">
        <f t="shared" ca="1" si="79"/>
        <v>0</v>
      </c>
      <c r="N120" s="44">
        <f t="shared" ca="1" si="79"/>
        <v>0</v>
      </c>
      <c r="O120" s="44">
        <f t="shared" ca="1" si="79"/>
        <v>0</v>
      </c>
      <c r="P120" s="44">
        <f t="shared" ca="1" si="79"/>
        <v>0</v>
      </c>
      <c r="Q120" s="44">
        <f t="shared" ca="1" si="79"/>
        <v>0</v>
      </c>
      <c r="R120" s="44">
        <f t="shared" ca="1" si="79"/>
        <v>0</v>
      </c>
      <c r="S120" s="44">
        <f t="shared" ca="1" si="79"/>
        <v>0</v>
      </c>
      <c r="T120" s="44">
        <f t="shared" ca="1" si="79"/>
        <v>0</v>
      </c>
      <c r="U120" s="44">
        <f t="shared" ca="1" si="79"/>
        <v>0</v>
      </c>
      <c r="V120" s="44">
        <f t="shared" ca="1" si="79"/>
        <v>0</v>
      </c>
      <c r="W120" s="44">
        <f t="shared" ca="1" si="79"/>
        <v>0</v>
      </c>
      <c r="X120" s="44">
        <f t="shared" ca="1" si="79"/>
        <v>0</v>
      </c>
      <c r="Y120" s="44">
        <f t="shared" ref="Y120" ca="1" si="86">Y83-Y82</f>
        <v>0</v>
      </c>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row>
    <row r="121" spans="3:80">
      <c r="C121" s="9" t="s">
        <v>4907</v>
      </c>
      <c r="E121" s="44">
        <f t="shared" ref="E121:X121" ca="1" si="87">E84-E83</f>
        <v>0</v>
      </c>
      <c r="F121" s="44">
        <f t="shared" ca="1" si="87"/>
        <v>0</v>
      </c>
      <c r="G121" s="44">
        <f t="shared" ca="1" si="87"/>
        <v>0</v>
      </c>
      <c r="H121" s="44">
        <f t="shared" ca="1" si="87"/>
        <v>0</v>
      </c>
      <c r="I121" s="44">
        <f t="shared" ca="1" si="87"/>
        <v>0</v>
      </c>
      <c r="J121" s="44">
        <f t="shared" ca="1" si="87"/>
        <v>0</v>
      </c>
      <c r="K121" s="44">
        <f t="shared" ca="1" si="87"/>
        <v>0</v>
      </c>
      <c r="L121" s="44">
        <f t="shared" ca="1" si="87"/>
        <v>0</v>
      </c>
      <c r="M121" s="44">
        <f t="shared" ca="1" si="87"/>
        <v>0</v>
      </c>
      <c r="N121" s="44">
        <f t="shared" ca="1" si="87"/>
        <v>0</v>
      </c>
      <c r="O121" s="44">
        <f t="shared" ca="1" si="87"/>
        <v>0</v>
      </c>
      <c r="P121" s="44">
        <f t="shared" ca="1" si="87"/>
        <v>0</v>
      </c>
      <c r="Q121" s="44">
        <f t="shared" ca="1" si="87"/>
        <v>0</v>
      </c>
      <c r="R121" s="44">
        <f t="shared" ca="1" si="87"/>
        <v>0</v>
      </c>
      <c r="S121" s="44">
        <f t="shared" ca="1" si="87"/>
        <v>0</v>
      </c>
      <c r="T121" s="44">
        <f t="shared" ca="1" si="87"/>
        <v>0</v>
      </c>
      <c r="U121" s="44">
        <f t="shared" ca="1" si="87"/>
        <v>0</v>
      </c>
      <c r="V121" s="44">
        <f t="shared" ca="1" si="87"/>
        <v>0</v>
      </c>
      <c r="W121" s="44">
        <f t="shared" ca="1" si="87"/>
        <v>0</v>
      </c>
      <c r="X121" s="44">
        <f t="shared" ca="1" si="87"/>
        <v>0</v>
      </c>
      <c r="Y121" s="44">
        <f t="shared" ref="Y121" ca="1" si="88">Y84-Y83</f>
        <v>0</v>
      </c>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row>
    <row r="122" spans="3:80">
      <c r="C122" s="9" t="s">
        <v>4908</v>
      </c>
      <c r="E122" s="44">
        <f t="shared" ref="E122:X122" ca="1" si="89">E85-E84</f>
        <v>0</v>
      </c>
      <c r="F122" s="44">
        <f t="shared" ca="1" si="89"/>
        <v>0</v>
      </c>
      <c r="G122" s="44">
        <f t="shared" ca="1" si="89"/>
        <v>0</v>
      </c>
      <c r="H122" s="44">
        <f t="shared" ca="1" si="89"/>
        <v>0</v>
      </c>
      <c r="I122" s="44">
        <f t="shared" ca="1" si="89"/>
        <v>0</v>
      </c>
      <c r="J122" s="44">
        <f t="shared" ca="1" si="89"/>
        <v>0</v>
      </c>
      <c r="K122" s="44">
        <f t="shared" ca="1" si="89"/>
        <v>0</v>
      </c>
      <c r="L122" s="44">
        <f t="shared" ca="1" si="89"/>
        <v>0</v>
      </c>
      <c r="M122" s="44">
        <f t="shared" ca="1" si="89"/>
        <v>0</v>
      </c>
      <c r="N122" s="44">
        <f t="shared" ca="1" si="89"/>
        <v>0</v>
      </c>
      <c r="O122" s="44">
        <f t="shared" ca="1" si="89"/>
        <v>0</v>
      </c>
      <c r="P122" s="44">
        <f t="shared" ca="1" si="89"/>
        <v>0</v>
      </c>
      <c r="Q122" s="44">
        <f t="shared" ca="1" si="89"/>
        <v>0</v>
      </c>
      <c r="R122" s="44">
        <f t="shared" ca="1" si="89"/>
        <v>0</v>
      </c>
      <c r="S122" s="44">
        <f t="shared" ca="1" si="89"/>
        <v>0</v>
      </c>
      <c r="T122" s="44">
        <f t="shared" ca="1" si="89"/>
        <v>0</v>
      </c>
      <c r="U122" s="44">
        <f t="shared" ca="1" si="89"/>
        <v>0</v>
      </c>
      <c r="V122" s="44">
        <f t="shared" ca="1" si="89"/>
        <v>0</v>
      </c>
      <c r="W122" s="44">
        <f t="shared" ca="1" si="89"/>
        <v>0</v>
      </c>
      <c r="X122" s="44">
        <f t="shared" ca="1" si="89"/>
        <v>0</v>
      </c>
      <c r="Y122" s="44">
        <f t="shared" ref="Y122" ca="1" si="90">Y85-Y84</f>
        <v>0</v>
      </c>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row>
    <row r="123" spans="3:80">
      <c r="C123" s="9" t="s">
        <v>4909</v>
      </c>
      <c r="E123" s="44">
        <f t="shared" ref="E123:X123" ca="1" si="91">E86-E85</f>
        <v>0</v>
      </c>
      <c r="F123" s="44">
        <f t="shared" ca="1" si="91"/>
        <v>0</v>
      </c>
      <c r="G123" s="44">
        <f t="shared" ca="1" si="91"/>
        <v>0</v>
      </c>
      <c r="H123" s="44">
        <f t="shared" ca="1" si="91"/>
        <v>0</v>
      </c>
      <c r="I123" s="44">
        <f t="shared" ca="1" si="91"/>
        <v>0</v>
      </c>
      <c r="J123" s="44">
        <f t="shared" ca="1" si="91"/>
        <v>0</v>
      </c>
      <c r="K123" s="44">
        <f t="shared" ca="1" si="91"/>
        <v>0</v>
      </c>
      <c r="L123" s="44">
        <f t="shared" ca="1" si="91"/>
        <v>0</v>
      </c>
      <c r="M123" s="44">
        <f t="shared" ca="1" si="91"/>
        <v>0</v>
      </c>
      <c r="N123" s="44">
        <f t="shared" ca="1" si="91"/>
        <v>0</v>
      </c>
      <c r="O123" s="44">
        <f t="shared" ca="1" si="91"/>
        <v>0</v>
      </c>
      <c r="P123" s="44">
        <f t="shared" ca="1" si="91"/>
        <v>0</v>
      </c>
      <c r="Q123" s="44">
        <f t="shared" ca="1" si="91"/>
        <v>0</v>
      </c>
      <c r="R123" s="44">
        <f t="shared" ca="1" si="91"/>
        <v>0</v>
      </c>
      <c r="S123" s="44">
        <f t="shared" ca="1" si="91"/>
        <v>0</v>
      </c>
      <c r="T123" s="44">
        <f t="shared" ca="1" si="91"/>
        <v>0</v>
      </c>
      <c r="U123" s="44">
        <f t="shared" ca="1" si="91"/>
        <v>0</v>
      </c>
      <c r="V123" s="44">
        <f t="shared" ca="1" si="91"/>
        <v>0</v>
      </c>
      <c r="W123" s="44">
        <f t="shared" ca="1" si="91"/>
        <v>0</v>
      </c>
      <c r="X123" s="44">
        <f t="shared" ca="1" si="91"/>
        <v>0</v>
      </c>
      <c r="Y123" s="44">
        <f t="shared" ref="Y123" ca="1" si="92">Y86-Y85</f>
        <v>0</v>
      </c>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row>
    <row r="124" spans="3:80">
      <c r="C124" s="9" t="s">
        <v>4910</v>
      </c>
      <c r="E124" s="44">
        <f t="shared" ref="E124:X124" ca="1" si="93">E87-E86</f>
        <v>0</v>
      </c>
      <c r="F124" s="44">
        <f t="shared" ca="1" si="93"/>
        <v>0</v>
      </c>
      <c r="G124" s="44">
        <f t="shared" ca="1" si="93"/>
        <v>0</v>
      </c>
      <c r="H124" s="44">
        <f t="shared" ca="1" si="93"/>
        <v>0</v>
      </c>
      <c r="I124" s="44">
        <f t="shared" ca="1" si="93"/>
        <v>0</v>
      </c>
      <c r="J124" s="44">
        <f t="shared" ca="1" si="93"/>
        <v>0</v>
      </c>
      <c r="K124" s="44">
        <f t="shared" ca="1" si="93"/>
        <v>0</v>
      </c>
      <c r="L124" s="44">
        <f t="shared" ca="1" si="93"/>
        <v>0</v>
      </c>
      <c r="M124" s="44">
        <f t="shared" ca="1" si="93"/>
        <v>0</v>
      </c>
      <c r="N124" s="44">
        <f t="shared" ca="1" si="93"/>
        <v>0</v>
      </c>
      <c r="O124" s="44">
        <f t="shared" ca="1" si="93"/>
        <v>0</v>
      </c>
      <c r="P124" s="44">
        <f t="shared" ca="1" si="93"/>
        <v>0</v>
      </c>
      <c r="Q124" s="44">
        <f t="shared" ca="1" si="93"/>
        <v>0</v>
      </c>
      <c r="R124" s="44">
        <f t="shared" ca="1" si="93"/>
        <v>0</v>
      </c>
      <c r="S124" s="44">
        <f t="shared" ca="1" si="93"/>
        <v>0</v>
      </c>
      <c r="T124" s="44">
        <f t="shared" ca="1" si="93"/>
        <v>0</v>
      </c>
      <c r="U124" s="44">
        <f t="shared" ca="1" si="93"/>
        <v>0</v>
      </c>
      <c r="V124" s="44">
        <f t="shared" ca="1" si="93"/>
        <v>0</v>
      </c>
      <c r="W124" s="44">
        <f t="shared" ca="1" si="93"/>
        <v>0</v>
      </c>
      <c r="X124" s="44">
        <f t="shared" ca="1" si="93"/>
        <v>0</v>
      </c>
      <c r="Y124" s="44">
        <f t="shared" ref="Y124" ca="1" si="94">Y87-Y86</f>
        <v>0</v>
      </c>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row>
    <row r="125" spans="3:80">
      <c r="C125" s="9" t="s">
        <v>4911</v>
      </c>
      <c r="E125" s="44">
        <f t="shared" ref="E125:X125" ca="1" si="95">E88-E87</f>
        <v>0</v>
      </c>
      <c r="F125" s="44">
        <f t="shared" ca="1" si="95"/>
        <v>0</v>
      </c>
      <c r="G125" s="44">
        <f t="shared" ca="1" si="95"/>
        <v>0</v>
      </c>
      <c r="H125" s="44">
        <f t="shared" ca="1" si="95"/>
        <v>0</v>
      </c>
      <c r="I125" s="44">
        <f t="shared" ca="1" si="95"/>
        <v>0</v>
      </c>
      <c r="J125" s="44">
        <f t="shared" ca="1" si="95"/>
        <v>0</v>
      </c>
      <c r="K125" s="44">
        <f t="shared" ca="1" si="95"/>
        <v>0</v>
      </c>
      <c r="L125" s="44">
        <f t="shared" ca="1" si="95"/>
        <v>0</v>
      </c>
      <c r="M125" s="44">
        <f t="shared" ca="1" si="95"/>
        <v>0</v>
      </c>
      <c r="N125" s="44">
        <f t="shared" ca="1" si="95"/>
        <v>0</v>
      </c>
      <c r="O125" s="44">
        <f t="shared" ca="1" si="95"/>
        <v>0</v>
      </c>
      <c r="P125" s="44">
        <f t="shared" ca="1" si="95"/>
        <v>0</v>
      </c>
      <c r="Q125" s="44">
        <f t="shared" ca="1" si="95"/>
        <v>0</v>
      </c>
      <c r="R125" s="44">
        <f t="shared" ca="1" si="95"/>
        <v>0</v>
      </c>
      <c r="S125" s="44">
        <f t="shared" ca="1" si="95"/>
        <v>0</v>
      </c>
      <c r="T125" s="44">
        <f t="shared" ca="1" si="95"/>
        <v>0</v>
      </c>
      <c r="U125" s="44">
        <f t="shared" ca="1" si="95"/>
        <v>0</v>
      </c>
      <c r="V125" s="44">
        <f t="shared" ca="1" si="95"/>
        <v>0</v>
      </c>
      <c r="W125" s="44">
        <f t="shared" ca="1" si="95"/>
        <v>0</v>
      </c>
      <c r="X125" s="44">
        <f t="shared" ca="1" si="95"/>
        <v>0</v>
      </c>
      <c r="Y125" s="44">
        <f t="shared" ref="Y125" ca="1" si="96">Y88-Y87</f>
        <v>0</v>
      </c>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row>
    <row r="126" spans="3:80">
      <c r="C126" s="9" t="s">
        <v>4912</v>
      </c>
      <c r="E126" s="44">
        <f t="shared" ref="E126:X126" ca="1" si="97">E89-E88</f>
        <v>0</v>
      </c>
      <c r="F126" s="44">
        <f t="shared" ca="1" si="97"/>
        <v>0</v>
      </c>
      <c r="G126" s="44">
        <f t="shared" ca="1" si="97"/>
        <v>0</v>
      </c>
      <c r="H126" s="44">
        <f t="shared" ca="1" si="97"/>
        <v>0</v>
      </c>
      <c r="I126" s="44">
        <f t="shared" ca="1" si="97"/>
        <v>0</v>
      </c>
      <c r="J126" s="44">
        <f t="shared" ca="1" si="97"/>
        <v>0</v>
      </c>
      <c r="K126" s="44">
        <f t="shared" ca="1" si="97"/>
        <v>0</v>
      </c>
      <c r="L126" s="44">
        <f t="shared" ca="1" si="97"/>
        <v>0</v>
      </c>
      <c r="M126" s="44">
        <f t="shared" ca="1" si="97"/>
        <v>0</v>
      </c>
      <c r="N126" s="44">
        <f t="shared" ca="1" si="97"/>
        <v>0</v>
      </c>
      <c r="O126" s="44">
        <f t="shared" ca="1" si="97"/>
        <v>0</v>
      </c>
      <c r="P126" s="44">
        <f t="shared" ca="1" si="97"/>
        <v>0</v>
      </c>
      <c r="Q126" s="44">
        <f t="shared" ca="1" si="97"/>
        <v>0</v>
      </c>
      <c r="R126" s="44">
        <f t="shared" ca="1" si="97"/>
        <v>0</v>
      </c>
      <c r="S126" s="44">
        <f t="shared" ca="1" si="97"/>
        <v>0</v>
      </c>
      <c r="T126" s="44">
        <f t="shared" ca="1" si="97"/>
        <v>0</v>
      </c>
      <c r="U126" s="44">
        <f t="shared" ca="1" si="97"/>
        <v>0</v>
      </c>
      <c r="V126" s="44">
        <f t="shared" ca="1" si="97"/>
        <v>0</v>
      </c>
      <c r="W126" s="44">
        <f t="shared" ca="1" si="97"/>
        <v>0</v>
      </c>
      <c r="X126" s="44">
        <f t="shared" ca="1" si="97"/>
        <v>0</v>
      </c>
      <c r="Y126" s="44">
        <f t="shared" ref="Y126" ca="1" si="98">Y89-Y88</f>
        <v>0</v>
      </c>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row>
    <row r="127" spans="3:80">
      <c r="C127" s="9" t="s">
        <v>4913</v>
      </c>
      <c r="E127" s="44">
        <f t="shared" ref="E127:X127" ca="1" si="99">E90-E89</f>
        <v>0</v>
      </c>
      <c r="F127" s="44">
        <f t="shared" ca="1" si="99"/>
        <v>0</v>
      </c>
      <c r="G127" s="44">
        <f t="shared" ca="1" si="99"/>
        <v>0</v>
      </c>
      <c r="H127" s="44">
        <f t="shared" ca="1" si="99"/>
        <v>0</v>
      </c>
      <c r="I127" s="44">
        <f t="shared" ca="1" si="99"/>
        <v>0</v>
      </c>
      <c r="J127" s="44">
        <f t="shared" ca="1" si="99"/>
        <v>0</v>
      </c>
      <c r="K127" s="44">
        <f t="shared" ca="1" si="99"/>
        <v>0</v>
      </c>
      <c r="L127" s="44">
        <f t="shared" ca="1" si="99"/>
        <v>0</v>
      </c>
      <c r="M127" s="44">
        <f t="shared" ca="1" si="99"/>
        <v>0</v>
      </c>
      <c r="N127" s="44">
        <f t="shared" ca="1" si="99"/>
        <v>0</v>
      </c>
      <c r="O127" s="44">
        <f t="shared" ca="1" si="99"/>
        <v>0</v>
      </c>
      <c r="P127" s="44">
        <f t="shared" ca="1" si="99"/>
        <v>0</v>
      </c>
      <c r="Q127" s="44">
        <f t="shared" ca="1" si="99"/>
        <v>0</v>
      </c>
      <c r="R127" s="44">
        <f t="shared" ca="1" si="99"/>
        <v>0</v>
      </c>
      <c r="S127" s="44">
        <f t="shared" ca="1" si="99"/>
        <v>0</v>
      </c>
      <c r="T127" s="44">
        <f t="shared" ca="1" si="99"/>
        <v>0</v>
      </c>
      <c r="U127" s="44">
        <f t="shared" ca="1" si="99"/>
        <v>0</v>
      </c>
      <c r="V127" s="44">
        <f t="shared" ca="1" si="99"/>
        <v>0</v>
      </c>
      <c r="W127" s="44">
        <f t="shared" ca="1" si="99"/>
        <v>0</v>
      </c>
      <c r="X127" s="44">
        <f t="shared" ca="1" si="99"/>
        <v>0</v>
      </c>
      <c r="Y127" s="44">
        <f t="shared" ref="Y127" ca="1" si="100">Y90-Y89</f>
        <v>0</v>
      </c>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row>
    <row r="128" spans="3:80">
      <c r="C128" s="9" t="s">
        <v>4914</v>
      </c>
      <c r="E128" s="44">
        <f t="shared" ref="E128:X128" ca="1" si="101">E91-E90</f>
        <v>0</v>
      </c>
      <c r="F128" s="44">
        <f t="shared" ca="1" si="101"/>
        <v>0</v>
      </c>
      <c r="G128" s="44">
        <f t="shared" ca="1" si="101"/>
        <v>0</v>
      </c>
      <c r="H128" s="44">
        <f t="shared" ca="1" si="101"/>
        <v>0</v>
      </c>
      <c r="I128" s="44">
        <f t="shared" ca="1" si="101"/>
        <v>0</v>
      </c>
      <c r="J128" s="44">
        <f t="shared" ca="1" si="101"/>
        <v>0</v>
      </c>
      <c r="K128" s="44">
        <f t="shared" ca="1" si="101"/>
        <v>0</v>
      </c>
      <c r="L128" s="44">
        <f t="shared" ca="1" si="101"/>
        <v>0</v>
      </c>
      <c r="M128" s="44">
        <f t="shared" ca="1" si="101"/>
        <v>0</v>
      </c>
      <c r="N128" s="44">
        <f t="shared" ca="1" si="101"/>
        <v>0</v>
      </c>
      <c r="O128" s="44">
        <f t="shared" ca="1" si="101"/>
        <v>0</v>
      </c>
      <c r="P128" s="44">
        <f t="shared" ca="1" si="101"/>
        <v>0</v>
      </c>
      <c r="Q128" s="44">
        <f t="shared" ca="1" si="101"/>
        <v>0</v>
      </c>
      <c r="R128" s="44">
        <f t="shared" ca="1" si="101"/>
        <v>0</v>
      </c>
      <c r="S128" s="44">
        <f t="shared" ca="1" si="101"/>
        <v>0</v>
      </c>
      <c r="T128" s="44">
        <f t="shared" ca="1" si="101"/>
        <v>0</v>
      </c>
      <c r="U128" s="44">
        <f t="shared" ca="1" si="101"/>
        <v>0</v>
      </c>
      <c r="V128" s="44">
        <f t="shared" ca="1" si="101"/>
        <v>0</v>
      </c>
      <c r="W128" s="44">
        <f t="shared" ca="1" si="101"/>
        <v>0</v>
      </c>
      <c r="X128" s="44">
        <f t="shared" ca="1" si="101"/>
        <v>0</v>
      </c>
      <c r="Y128" s="44">
        <f t="shared" ref="Y128" ca="1" si="102">Y91-Y90</f>
        <v>0</v>
      </c>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row>
    <row r="129" spans="1:80">
      <c r="C129" s="9" t="s">
        <v>4915</v>
      </c>
      <c r="E129" s="44">
        <f t="shared" ref="E129:X129" ca="1" si="103">E92-E91</f>
        <v>0</v>
      </c>
      <c r="F129" s="44">
        <f t="shared" ca="1" si="103"/>
        <v>0</v>
      </c>
      <c r="G129" s="44">
        <f t="shared" ca="1" si="103"/>
        <v>0</v>
      </c>
      <c r="H129" s="44">
        <f t="shared" ca="1" si="103"/>
        <v>0</v>
      </c>
      <c r="I129" s="44">
        <f t="shared" ca="1" si="103"/>
        <v>0</v>
      </c>
      <c r="J129" s="44">
        <f t="shared" ca="1" si="103"/>
        <v>0</v>
      </c>
      <c r="K129" s="44">
        <f t="shared" ca="1" si="103"/>
        <v>0</v>
      </c>
      <c r="L129" s="44">
        <f t="shared" ca="1" si="103"/>
        <v>0</v>
      </c>
      <c r="M129" s="44">
        <f t="shared" ca="1" si="103"/>
        <v>0</v>
      </c>
      <c r="N129" s="44">
        <f t="shared" ca="1" si="103"/>
        <v>0</v>
      </c>
      <c r="O129" s="44">
        <f t="shared" ca="1" si="103"/>
        <v>0</v>
      </c>
      <c r="P129" s="44">
        <f t="shared" ca="1" si="103"/>
        <v>0</v>
      </c>
      <c r="Q129" s="44">
        <f t="shared" ca="1" si="103"/>
        <v>0</v>
      </c>
      <c r="R129" s="44">
        <f t="shared" ca="1" si="103"/>
        <v>0</v>
      </c>
      <c r="S129" s="44">
        <f t="shared" ca="1" si="103"/>
        <v>0</v>
      </c>
      <c r="T129" s="44">
        <f t="shared" ca="1" si="103"/>
        <v>0</v>
      </c>
      <c r="U129" s="44">
        <f t="shared" ca="1" si="103"/>
        <v>0</v>
      </c>
      <c r="V129" s="44">
        <f t="shared" ca="1" si="103"/>
        <v>0</v>
      </c>
      <c r="W129" s="44">
        <f t="shared" ca="1" si="103"/>
        <v>0</v>
      </c>
      <c r="X129" s="44">
        <f t="shared" ca="1" si="103"/>
        <v>0</v>
      </c>
      <c r="Y129" s="44">
        <f t="shared" ref="Y129" ca="1" si="104">Y92-Y91</f>
        <v>0</v>
      </c>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row>
    <row r="130" spans="1:80">
      <c r="C130" s="9" t="s">
        <v>4916</v>
      </c>
      <c r="E130" s="44">
        <f t="shared" ref="E130:X130" ca="1" si="105">E93-E92</f>
        <v>0</v>
      </c>
      <c r="F130" s="44">
        <f t="shared" ca="1" si="105"/>
        <v>0</v>
      </c>
      <c r="G130" s="44">
        <f t="shared" ca="1" si="105"/>
        <v>0</v>
      </c>
      <c r="H130" s="44">
        <f t="shared" ca="1" si="105"/>
        <v>0</v>
      </c>
      <c r="I130" s="44">
        <f t="shared" ca="1" si="105"/>
        <v>0</v>
      </c>
      <c r="J130" s="44">
        <f t="shared" ca="1" si="105"/>
        <v>0</v>
      </c>
      <c r="K130" s="44">
        <f t="shared" ca="1" si="105"/>
        <v>0</v>
      </c>
      <c r="L130" s="44">
        <f t="shared" ca="1" si="105"/>
        <v>0</v>
      </c>
      <c r="M130" s="44">
        <f t="shared" ca="1" si="105"/>
        <v>0</v>
      </c>
      <c r="N130" s="44">
        <f t="shared" ca="1" si="105"/>
        <v>0</v>
      </c>
      <c r="O130" s="44">
        <f t="shared" ca="1" si="105"/>
        <v>0</v>
      </c>
      <c r="P130" s="44">
        <f t="shared" ca="1" si="105"/>
        <v>0</v>
      </c>
      <c r="Q130" s="44">
        <f t="shared" ca="1" si="105"/>
        <v>0</v>
      </c>
      <c r="R130" s="44">
        <f t="shared" ca="1" si="105"/>
        <v>0</v>
      </c>
      <c r="S130" s="44">
        <f t="shared" ca="1" si="105"/>
        <v>0</v>
      </c>
      <c r="T130" s="44">
        <f t="shared" ca="1" si="105"/>
        <v>0</v>
      </c>
      <c r="U130" s="44">
        <f t="shared" ca="1" si="105"/>
        <v>0</v>
      </c>
      <c r="V130" s="44">
        <f t="shared" ca="1" si="105"/>
        <v>0</v>
      </c>
      <c r="W130" s="44">
        <f t="shared" ca="1" si="105"/>
        <v>0</v>
      </c>
      <c r="X130" s="44">
        <f t="shared" ca="1" si="105"/>
        <v>0</v>
      </c>
      <c r="Y130" s="44">
        <f t="shared" ref="Y130" ca="1" si="106">Y93-Y92</f>
        <v>0</v>
      </c>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row>
    <row r="131" spans="1:80">
      <c r="C131" s="9" t="s">
        <v>4917</v>
      </c>
      <c r="E131" s="44">
        <f t="shared" ref="E131:X131" ca="1" si="107">E94-E93</f>
        <v>1.2535293151535781E-3</v>
      </c>
      <c r="F131" s="44">
        <f t="shared" ca="1" si="107"/>
        <v>3.6336967215253859E-3</v>
      </c>
      <c r="G131" s="44">
        <f t="shared" ca="1" si="107"/>
        <v>7.6324081079627258E-3</v>
      </c>
      <c r="H131" s="44">
        <f t="shared" ca="1" si="107"/>
        <v>1.3903041176092111E-2</v>
      </c>
      <c r="I131" s="44">
        <f t="shared" ca="1" si="107"/>
        <v>2.2927457111402785E-2</v>
      </c>
      <c r="J131" s="44">
        <f t="shared" ca="1" si="107"/>
        <v>3.5012950442610144E-2</v>
      </c>
      <c r="K131" s="44">
        <f t="shared" ca="1" si="107"/>
        <v>5.1630811406244551E-2</v>
      </c>
      <c r="L131" s="44">
        <f t="shared" ca="1" si="107"/>
        <v>7.4353889975040999E-2</v>
      </c>
      <c r="M131" s="44">
        <f t="shared" ca="1" si="107"/>
        <v>0.10223504069161013</v>
      </c>
      <c r="N131" s="44">
        <f t="shared" ca="1" si="107"/>
        <v>0.13787165416354391</v>
      </c>
      <c r="O131" s="44">
        <f t="shared" ca="1" si="107"/>
        <v>0.17647352985911113</v>
      </c>
      <c r="P131" s="44">
        <f t="shared" ca="1" si="107"/>
        <v>0.21484849251839194</v>
      </c>
      <c r="Q131" s="44">
        <f t="shared" ca="1" si="107"/>
        <v>0.25034093004923524</v>
      </c>
      <c r="R131" s="44">
        <f t="shared" ca="1" si="107"/>
        <v>0.28687101425588218</v>
      </c>
      <c r="S131" s="44">
        <f t="shared" ca="1" si="107"/>
        <v>0.32093872754793118</v>
      </c>
      <c r="T131" s="44">
        <f t="shared" ca="1" si="107"/>
        <v>0.34449329541579088</v>
      </c>
      <c r="U131" s="44">
        <f t="shared" ca="1" si="107"/>
        <v>0.3541704288319627</v>
      </c>
      <c r="V131" s="44">
        <f t="shared" ca="1" si="107"/>
        <v>0.36524989822764969</v>
      </c>
      <c r="W131" s="44">
        <f t="shared" ca="1" si="107"/>
        <v>0.37210573047218642</v>
      </c>
      <c r="X131" s="44">
        <f t="shared" ca="1" si="107"/>
        <v>0.37726049136661233</v>
      </c>
      <c r="Y131" s="44">
        <f t="shared" ref="Y131" ca="1" si="108">Y94-Y93</f>
        <v>3.513207017655942</v>
      </c>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row>
    <row r="132" spans="1:80">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row>
    <row r="133" spans="1:80" ht="15">
      <c r="C133" s="81" t="s">
        <v>139</v>
      </c>
      <c r="D133" s="81"/>
      <c r="E133" s="82">
        <f t="shared" ref="E133:X133" ca="1" si="109">SUM(E100:E131)</f>
        <v>2.9441776408493988E-3</v>
      </c>
      <c r="F133" s="82">
        <f t="shared" ca="1" si="109"/>
        <v>8.5345021546880204E-3</v>
      </c>
      <c r="G133" s="82">
        <f t="shared" ca="1" si="109"/>
        <v>1.7926318136842645E-2</v>
      </c>
      <c r="H133" s="82">
        <f t="shared" ca="1" si="109"/>
        <v>3.2654220747477251E-2</v>
      </c>
      <c r="I133" s="82">
        <f t="shared" ca="1" si="109"/>
        <v>5.3849962480259549E-2</v>
      </c>
      <c r="J133" s="82">
        <f t="shared" ca="1" si="109"/>
        <v>8.2235289264592365E-2</v>
      </c>
      <c r="K133" s="82">
        <f t="shared" ca="1" si="109"/>
        <v>0.12126583613447729</v>
      </c>
      <c r="L133" s="82">
        <f t="shared" ca="1" si="109"/>
        <v>0.17463577255699977</v>
      </c>
      <c r="M133" s="82">
        <f t="shared" ca="1" si="109"/>
        <v>0.24012052791816033</v>
      </c>
      <c r="N133" s="82">
        <f t="shared" ca="1" si="109"/>
        <v>0.32382062117589583</v>
      </c>
      <c r="O133" s="82">
        <f t="shared" ca="1" si="109"/>
        <v>0.41448525737055308</v>
      </c>
      <c r="P133" s="82">
        <f t="shared" ca="1" si="109"/>
        <v>0.50461694050238548</v>
      </c>
      <c r="Q133" s="82">
        <f t="shared" ca="1" si="109"/>
        <v>0.58797840619315833</v>
      </c>
      <c r="R133" s="82">
        <f t="shared" ca="1" si="109"/>
        <v>0.67377700367261084</v>
      </c>
      <c r="S133" s="82">
        <f t="shared" ca="1" si="109"/>
        <v>0.75379220438375627</v>
      </c>
      <c r="T133" s="82">
        <f t="shared" ca="1" si="109"/>
        <v>0.80911506857056303</v>
      </c>
      <c r="U133" s="82">
        <f t="shared" ca="1" si="109"/>
        <v>0.83184385479597256</v>
      </c>
      <c r="V133" s="82">
        <f t="shared" ca="1" si="109"/>
        <v>0.85786632245821515</v>
      </c>
      <c r="W133" s="82">
        <f t="shared" ca="1" si="109"/>
        <v>0.87396868860136889</v>
      </c>
      <c r="X133" s="82">
        <f t="shared" ca="1" si="109"/>
        <v>0.88607573036403664</v>
      </c>
      <c r="Y133" s="82"/>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row>
    <row r="134" spans="1:80" ht="15">
      <c r="C134" s="81" t="s">
        <v>140</v>
      </c>
      <c r="D134" s="81"/>
      <c r="E134" s="82">
        <f ca="1">E133</f>
        <v>2.9441776408493988E-3</v>
      </c>
      <c r="F134" s="82">
        <f t="shared" ref="F134:X134" ca="1" si="110">E134+F133</f>
        <v>1.1478679795537419E-2</v>
      </c>
      <c r="G134" s="82">
        <f t="shared" ca="1" si="110"/>
        <v>2.9404997932380064E-2</v>
      </c>
      <c r="H134" s="82">
        <f t="shared" ca="1" si="110"/>
        <v>6.2059218679857316E-2</v>
      </c>
      <c r="I134" s="82">
        <f t="shared" ca="1" si="110"/>
        <v>0.11590918116011686</v>
      </c>
      <c r="J134" s="82">
        <f t="shared" ca="1" si="110"/>
        <v>0.19814447042470923</v>
      </c>
      <c r="K134" s="82">
        <f t="shared" ca="1" si="110"/>
        <v>0.31941030655918651</v>
      </c>
      <c r="L134" s="82">
        <f t="shared" ca="1" si="110"/>
        <v>0.49404607911618625</v>
      </c>
      <c r="M134" s="82">
        <f t="shared" ca="1" si="110"/>
        <v>0.73416660703434655</v>
      </c>
      <c r="N134" s="82">
        <f t="shared" ca="1" si="110"/>
        <v>1.0579872282102425</v>
      </c>
      <c r="O134" s="82">
        <f t="shared" ca="1" si="110"/>
        <v>1.4724724855807956</v>
      </c>
      <c r="P134" s="82">
        <f t="shared" ca="1" si="110"/>
        <v>1.9770894260831811</v>
      </c>
      <c r="Q134" s="82">
        <f t="shared" ca="1" si="110"/>
        <v>2.5650678322763394</v>
      </c>
      <c r="R134" s="82">
        <f t="shared" ca="1" si="110"/>
        <v>3.2388448359489503</v>
      </c>
      <c r="S134" s="82">
        <f t="shared" ca="1" si="110"/>
        <v>3.9926370403327067</v>
      </c>
      <c r="T134" s="82">
        <f t="shared" ca="1" si="110"/>
        <v>4.80175210890327</v>
      </c>
      <c r="U134" s="82">
        <f t="shared" ca="1" si="110"/>
        <v>5.6335959636992428</v>
      </c>
      <c r="V134" s="82">
        <f t="shared" ca="1" si="110"/>
        <v>6.491462286157458</v>
      </c>
      <c r="W134" s="82">
        <f t="shared" ca="1" si="110"/>
        <v>7.3654309747588265</v>
      </c>
      <c r="X134" s="82">
        <f t="shared" ca="1" si="110"/>
        <v>8.2515067051228623</v>
      </c>
      <c r="Y134" s="82">
        <f ca="1">SUM(Y100:Y131)</f>
        <v>8.2515067051228641</v>
      </c>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row>
    <row r="136" spans="1:80">
      <c r="E136" s="44"/>
      <c r="F136" s="44"/>
      <c r="G136" s="44"/>
      <c r="H136" s="44"/>
      <c r="I136" s="44"/>
      <c r="J136" s="44"/>
      <c r="K136" s="44"/>
      <c r="L136" s="44"/>
      <c r="M136" s="44"/>
      <c r="N136" s="44"/>
      <c r="O136" s="44"/>
      <c r="P136" s="44"/>
      <c r="Q136" s="44"/>
      <c r="R136" s="44"/>
      <c r="S136" s="44"/>
      <c r="T136" s="44"/>
      <c r="U136" s="44"/>
      <c r="V136" s="44"/>
      <c r="W136" s="44"/>
      <c r="X136" s="44"/>
      <c r="Y136" s="44"/>
    </row>
    <row r="137" spans="1:80">
      <c r="A137" s="9" t="s">
        <v>141</v>
      </c>
      <c r="E137" s="44"/>
      <c r="F137" s="44"/>
      <c r="G137" s="44"/>
      <c r="H137" s="44"/>
      <c r="I137" s="44"/>
      <c r="J137" s="44"/>
      <c r="K137" s="44"/>
      <c r="L137" s="44"/>
      <c r="M137" s="44"/>
      <c r="N137" s="44"/>
      <c r="O137" s="44"/>
      <c r="P137" s="44"/>
      <c r="Q137" s="44"/>
      <c r="R137" s="44"/>
      <c r="S137" s="44"/>
      <c r="T137" s="44"/>
      <c r="U137" s="44"/>
      <c r="V137" s="44"/>
      <c r="W137" s="44"/>
      <c r="X137" s="44"/>
      <c r="Y137" s="44"/>
    </row>
    <row r="138" spans="1:80" customFormat="1"/>
    <row r="139" spans="1:80" customFormat="1"/>
    <row r="140" spans="1:80" customFormat="1"/>
    <row r="141" spans="1:80" ht="15">
      <c r="A141" s="86" t="s">
        <v>142</v>
      </c>
      <c r="B141" s="86"/>
      <c r="E141" s="44"/>
      <c r="F141" s="44"/>
      <c r="G141" s="44"/>
      <c r="H141" s="44"/>
      <c r="I141" s="44"/>
      <c r="J141" s="44"/>
      <c r="K141" s="44"/>
      <c r="L141" s="44"/>
      <c r="M141" s="44"/>
      <c r="N141" s="44"/>
      <c r="O141" s="44"/>
      <c r="P141" s="44"/>
      <c r="Q141" s="44"/>
      <c r="R141" s="44"/>
      <c r="S141" s="44"/>
      <c r="T141" s="44"/>
      <c r="U141" s="44"/>
      <c r="V141" s="44"/>
      <c r="W141" s="44"/>
      <c r="X141" s="44"/>
      <c r="Y141" s="44"/>
      <c r="AA141" s="44"/>
    </row>
    <row r="142" spans="1:80">
      <c r="A142" s="9" t="s">
        <v>143</v>
      </c>
      <c r="C142"/>
      <c r="E142" s="44" t="s">
        <v>144</v>
      </c>
      <c r="F142" s="44"/>
      <c r="G142" s="44"/>
      <c r="H142" s="44"/>
      <c r="I142" s="44"/>
      <c r="J142" s="44"/>
      <c r="K142" s="44"/>
      <c r="L142" s="44"/>
      <c r="M142" s="44"/>
      <c r="N142" s="44"/>
      <c r="O142" s="44"/>
      <c r="P142" s="44"/>
      <c r="Q142" s="44"/>
      <c r="R142" s="44"/>
      <c r="S142" s="44"/>
      <c r="T142" s="44"/>
      <c r="U142" s="44"/>
      <c r="V142" s="44"/>
      <c r="W142" s="44"/>
      <c r="X142" s="44"/>
      <c r="Y142" s="44"/>
      <c r="AA142" s="44"/>
    </row>
    <row r="143" spans="1:80" ht="15">
      <c r="E143" s="83">
        <v>2015</v>
      </c>
      <c r="F143" s="84">
        <v>2016</v>
      </c>
      <c r="G143" s="84">
        <v>2017</v>
      </c>
      <c r="H143" s="84">
        <v>2018</v>
      </c>
      <c r="I143" s="84">
        <v>2019</v>
      </c>
      <c r="J143" s="84">
        <v>2020</v>
      </c>
      <c r="K143" s="84">
        <v>2021</v>
      </c>
      <c r="L143" s="84">
        <v>2022</v>
      </c>
      <c r="M143" s="84">
        <v>2023</v>
      </c>
      <c r="N143" s="84">
        <v>2024</v>
      </c>
      <c r="O143" s="84">
        <v>2025</v>
      </c>
      <c r="P143" s="84">
        <v>2026</v>
      </c>
      <c r="Q143" s="84">
        <v>2027</v>
      </c>
      <c r="R143" s="84">
        <v>2028</v>
      </c>
      <c r="S143" s="84">
        <v>2029</v>
      </c>
      <c r="T143" s="84">
        <v>2030</v>
      </c>
      <c r="U143" s="84">
        <v>2031</v>
      </c>
      <c r="V143" s="84">
        <v>2032</v>
      </c>
      <c r="W143" s="84">
        <v>2033</v>
      </c>
      <c r="X143" s="84">
        <v>2034</v>
      </c>
      <c r="Y143" s="85"/>
      <c r="AA143" s="44"/>
    </row>
    <row r="144" spans="1:80">
      <c r="C144" s="9" t="str">
        <f>C13</f>
        <v>Single Family</v>
      </c>
      <c r="E144" s="44">
        <f ca="1">E13-E33/$B23</f>
        <v>62549.120499431883</v>
      </c>
      <c r="F144" s="44">
        <f t="shared" ref="F144:X147" ca="1" si="111">F13-F33/$B23</f>
        <v>59569.81744327402</v>
      </c>
      <c r="G144" s="44">
        <f t="shared" ca="1" si="111"/>
        <v>56022.808149614968</v>
      </c>
      <c r="H144" s="44">
        <f t="shared" ca="1" si="111"/>
        <v>53508.433789645096</v>
      </c>
      <c r="I144" s="44">
        <f t="shared" ca="1" si="111"/>
        <v>51048.354182347721</v>
      </c>
      <c r="J144" s="44">
        <f t="shared" ca="1" si="111"/>
        <v>47244.290611046279</v>
      </c>
      <c r="K144" s="44">
        <f t="shared" ca="1" si="111"/>
        <v>44083.720766307561</v>
      </c>
      <c r="L144" s="44">
        <f t="shared" ca="1" si="111"/>
        <v>41493.311500542259</v>
      </c>
      <c r="M144" s="44">
        <f t="shared" ca="1" si="111"/>
        <v>38152.697484773715</v>
      </c>
      <c r="N144" s="44">
        <f t="shared" ca="1" si="111"/>
        <v>35334.960924044331</v>
      </c>
      <c r="O144" s="44">
        <f t="shared" ca="1" si="111"/>
        <v>31632.302121134129</v>
      </c>
      <c r="P144" s="44">
        <f t="shared" ca="1" si="111"/>
        <v>27078.715378213117</v>
      </c>
      <c r="Q144" s="44">
        <f t="shared" ca="1" si="111"/>
        <v>22306.910583167821</v>
      </c>
      <c r="R144" s="44">
        <f t="shared" ca="1" si="111"/>
        <v>18504.050144304099</v>
      </c>
      <c r="S144" s="44">
        <f t="shared" ca="1" si="111"/>
        <v>15316.849054206621</v>
      </c>
      <c r="T144" s="44">
        <f t="shared" ca="1" si="111"/>
        <v>12493.148865120391</v>
      </c>
      <c r="U144" s="44">
        <f t="shared" ca="1" si="111"/>
        <v>10086.327023708232</v>
      </c>
      <c r="V144" s="44">
        <f t="shared" ca="1" si="111"/>
        <v>8715.5927180513827</v>
      </c>
      <c r="W144" s="44">
        <f t="shared" ca="1" si="111"/>
        <v>7906.3861271070564</v>
      </c>
      <c r="X144" s="44">
        <f t="shared" ca="1" si="111"/>
        <v>7558.5543777348357</v>
      </c>
      <c r="Y144" s="44"/>
      <c r="AA144" s="44">
        <f t="shared" ref="AA144:AA147" ca="1" si="112">SUM(E144:Y144)</f>
        <v>650606.35174377542</v>
      </c>
    </row>
    <row r="145" spans="3:27">
      <c r="C145" s="9" t="str">
        <f>C14</f>
        <v>Multifamily - Low Rise</v>
      </c>
      <c r="E145" s="44">
        <f t="shared" ref="E145:T147" ca="1" si="113">E14-E34/$B24</f>
        <v>23229.602054959232</v>
      </c>
      <c r="F145" s="44">
        <f t="shared" ca="1" si="113"/>
        <v>22866.955779586202</v>
      </c>
      <c r="G145" s="44">
        <f t="shared" ca="1" si="113"/>
        <v>22486.013623848386</v>
      </c>
      <c r="H145" s="44">
        <f t="shared" ca="1" si="113"/>
        <v>21492.746132703247</v>
      </c>
      <c r="I145" s="44">
        <f t="shared" ca="1" si="113"/>
        <v>19861.097902304835</v>
      </c>
      <c r="J145" s="44">
        <f t="shared" ca="1" si="113"/>
        <v>18598.822709357977</v>
      </c>
      <c r="K145" s="44">
        <f t="shared" ca="1" si="113"/>
        <v>17689.670640145541</v>
      </c>
      <c r="L145" s="44">
        <f t="shared" ca="1" si="113"/>
        <v>17041.306118244371</v>
      </c>
      <c r="M145" s="44">
        <f t="shared" ca="1" si="113"/>
        <v>16217.76147599413</v>
      </c>
      <c r="N145" s="44">
        <f t="shared" ca="1" si="113"/>
        <v>15158.854112383404</v>
      </c>
      <c r="O145" s="44">
        <f t="shared" ca="1" si="113"/>
        <v>13532.547726616589</v>
      </c>
      <c r="P145" s="44">
        <f t="shared" ca="1" si="113"/>
        <v>11738.372140945929</v>
      </c>
      <c r="Q145" s="44">
        <f t="shared" ca="1" si="113"/>
        <v>9948.86819027819</v>
      </c>
      <c r="R145" s="44">
        <f t="shared" ca="1" si="113"/>
        <v>8154.5014695413174</v>
      </c>
      <c r="S145" s="44">
        <f t="shared" ca="1" si="113"/>
        <v>6591.666267406199</v>
      </c>
      <c r="T145" s="44">
        <f t="shared" ca="1" si="113"/>
        <v>5289.0311995770535</v>
      </c>
      <c r="U145" s="44">
        <f t="shared" ca="1" si="111"/>
        <v>4340.8934274343101</v>
      </c>
      <c r="V145" s="44">
        <f t="shared" ca="1" si="111"/>
        <v>3709.7592763635475</v>
      </c>
      <c r="W145" s="44">
        <f t="shared" ca="1" si="111"/>
        <v>3292.1676482739858</v>
      </c>
      <c r="X145" s="44">
        <f t="shared" ca="1" si="111"/>
        <v>3114.2836824399546</v>
      </c>
      <c r="Y145" s="44"/>
      <c r="AA145" s="9">
        <f t="shared" ca="1" si="112"/>
        <v>264354.92157840438</v>
      </c>
    </row>
    <row r="146" spans="3:27">
      <c r="C146" s="9" t="str">
        <f>C15</f>
        <v>Multifamily - High Rise</v>
      </c>
      <c r="E146" s="44">
        <f t="shared" ca="1" si="113"/>
        <v>5214.846912508061</v>
      </c>
      <c r="F146" s="44">
        <f t="shared" ca="1" si="111"/>
        <v>5205.7001312570483</v>
      </c>
      <c r="G146" s="44">
        <f t="shared" ca="1" si="111"/>
        <v>5196.0234511930357</v>
      </c>
      <c r="H146" s="44">
        <f t="shared" ca="1" si="111"/>
        <v>4851.9756942037475</v>
      </c>
      <c r="I146" s="44">
        <f t="shared" ca="1" si="111"/>
        <v>4396.7875598462888</v>
      </c>
      <c r="J146" s="44">
        <f t="shared" ca="1" si="111"/>
        <v>4179.0125963478049</v>
      </c>
      <c r="K146" s="44">
        <f t="shared" ca="1" si="111"/>
        <v>3986.4006972653183</v>
      </c>
      <c r="L146" s="44">
        <f t="shared" ca="1" si="111"/>
        <v>3888.0275526745363</v>
      </c>
      <c r="M146" s="44">
        <f t="shared" ca="1" si="111"/>
        <v>3674.1201202542243</v>
      </c>
      <c r="N146" s="44">
        <f t="shared" ca="1" si="111"/>
        <v>3433.8662485661243</v>
      </c>
      <c r="O146" s="44">
        <f t="shared" ca="1" si="111"/>
        <v>3028.564867745742</v>
      </c>
      <c r="P146" s="44">
        <f t="shared" ca="1" si="111"/>
        <v>2621.9486181892162</v>
      </c>
      <c r="Q146" s="44">
        <f t="shared" ca="1" si="111"/>
        <v>2203.0651116167096</v>
      </c>
      <c r="R146" s="44">
        <f t="shared" ca="1" si="111"/>
        <v>1819.8695648345165</v>
      </c>
      <c r="S146" s="44">
        <f t="shared" ca="1" si="111"/>
        <v>1478.0939490098681</v>
      </c>
      <c r="T146" s="44">
        <f t="shared" ca="1" si="111"/>
        <v>1185.1553250060956</v>
      </c>
      <c r="U146" s="44">
        <f t="shared" ca="1" si="111"/>
        <v>973.86561465991963</v>
      </c>
      <c r="V146" s="44">
        <f t="shared" ca="1" si="111"/>
        <v>823.5444594183241</v>
      </c>
      <c r="W146" s="44">
        <f t="shared" ca="1" si="111"/>
        <v>742.34514705567562</v>
      </c>
      <c r="X146" s="44">
        <f t="shared" ca="1" si="111"/>
        <v>701.68978318423797</v>
      </c>
      <c r="Y146" s="44"/>
      <c r="AA146" s="44">
        <f t="shared" ca="1" si="112"/>
        <v>59604.903404836485</v>
      </c>
    </row>
    <row r="147" spans="3:27">
      <c r="C147" s="9" t="str">
        <f>C16</f>
        <v>Manufactured</v>
      </c>
      <c r="E147" s="44">
        <f t="shared" ca="1" si="113"/>
        <v>1865.5002214444073</v>
      </c>
      <c r="F147" s="44">
        <f t="shared" ca="1" si="111"/>
        <v>1869.4952107969261</v>
      </c>
      <c r="G147" s="44">
        <f t="shared" ca="1" si="111"/>
        <v>1921.3136222361338</v>
      </c>
      <c r="H147" s="44">
        <f t="shared" ca="1" si="111"/>
        <v>1966.9122858438716</v>
      </c>
      <c r="I147" s="44">
        <f t="shared" ca="1" si="111"/>
        <v>1869.4503321190177</v>
      </c>
      <c r="J147" s="44">
        <f t="shared" ca="1" si="111"/>
        <v>1787.1824610840154</v>
      </c>
      <c r="K147" s="44">
        <f t="shared" ca="1" si="111"/>
        <v>1721.0965560418254</v>
      </c>
      <c r="L147" s="44">
        <f t="shared" ca="1" si="111"/>
        <v>1636.9195514904318</v>
      </c>
      <c r="M147" s="44">
        <f t="shared" ca="1" si="111"/>
        <v>1529.1631078268745</v>
      </c>
      <c r="N147" s="44">
        <f t="shared" ca="1" si="111"/>
        <v>1392.3781583146492</v>
      </c>
      <c r="O147" s="44">
        <f t="shared" ca="1" si="111"/>
        <v>1231.148741813872</v>
      </c>
      <c r="P147" s="44">
        <f t="shared" ca="1" si="111"/>
        <v>1066.5042014964672</v>
      </c>
      <c r="Q147" s="44">
        <f t="shared" ca="1" si="111"/>
        <v>903.75593935477082</v>
      </c>
      <c r="R147" s="44">
        <f t="shared" ca="1" si="111"/>
        <v>749.74022072327261</v>
      </c>
      <c r="S147" s="44">
        <f t="shared" ca="1" si="111"/>
        <v>613.66624289133301</v>
      </c>
      <c r="T147" s="44">
        <f t="shared" ca="1" si="111"/>
        <v>502.43215076748083</v>
      </c>
      <c r="U147" s="44">
        <f t="shared" ca="1" si="111"/>
        <v>419.23059022843927</v>
      </c>
      <c r="V147" s="44">
        <f t="shared" ca="1" si="111"/>
        <v>362.9179692408286</v>
      </c>
      <c r="W147" s="44">
        <f t="shared" ca="1" si="111"/>
        <v>328.48831916096015</v>
      </c>
      <c r="X147" s="44">
        <f t="shared" ca="1" si="111"/>
        <v>311.9561120016333</v>
      </c>
      <c r="Y147" s="44"/>
      <c r="AA147" s="44">
        <f t="shared" ca="1" si="112"/>
        <v>24049.25199487721</v>
      </c>
    </row>
    <row r="148" spans="3:27">
      <c r="E148" s="44"/>
      <c r="F148" s="44"/>
      <c r="G148" s="44"/>
      <c r="H148" s="44"/>
      <c r="I148" s="44"/>
      <c r="J148" s="44"/>
      <c r="K148" s="44"/>
      <c r="L148" s="44"/>
      <c r="M148" s="44"/>
      <c r="N148" s="44"/>
      <c r="O148" s="44"/>
      <c r="P148" s="44"/>
      <c r="Q148" s="44"/>
      <c r="R148" s="44"/>
      <c r="S148" s="44"/>
      <c r="T148" s="44"/>
      <c r="U148" s="44"/>
      <c r="V148" s="44"/>
      <c r="W148" s="44"/>
      <c r="X148" s="44"/>
      <c r="Y148" s="44"/>
    </row>
    <row r="149" spans="3:27">
      <c r="C149" s="9" t="s">
        <v>145</v>
      </c>
      <c r="E149" s="44">
        <f t="shared" ref="E149:X149" ca="1" si="114">SUM(E144:E147)</f>
        <v>92859.069688343588</v>
      </c>
      <c r="F149" s="44">
        <f t="shared" ca="1" si="114"/>
        <v>89511.968564914205</v>
      </c>
      <c r="G149" s="44">
        <f t="shared" ca="1" si="114"/>
        <v>85626.158846892518</v>
      </c>
      <c r="H149" s="44">
        <f t="shared" ca="1" si="114"/>
        <v>81820.067902395967</v>
      </c>
      <c r="I149" s="44">
        <f t="shared" ca="1" si="114"/>
        <v>77175.689976617854</v>
      </c>
      <c r="J149" s="44">
        <f t="shared" ca="1" si="114"/>
        <v>71809.308377836074</v>
      </c>
      <c r="K149" s="44">
        <f t="shared" ca="1" si="114"/>
        <v>67480.88865976024</v>
      </c>
      <c r="L149" s="44">
        <f t="shared" ca="1" si="114"/>
        <v>64059.564722951603</v>
      </c>
      <c r="M149" s="44">
        <f t="shared" ca="1" si="114"/>
        <v>59573.742188848941</v>
      </c>
      <c r="N149" s="44">
        <f t="shared" ca="1" si="114"/>
        <v>55320.059443308513</v>
      </c>
      <c r="O149" s="44">
        <f t="shared" ca="1" si="114"/>
        <v>49424.563457310331</v>
      </c>
      <c r="P149" s="44">
        <f t="shared" ca="1" si="114"/>
        <v>42505.540338844723</v>
      </c>
      <c r="Q149" s="44">
        <f t="shared" ca="1" si="114"/>
        <v>35362.599824417492</v>
      </c>
      <c r="R149" s="44">
        <f t="shared" ca="1" si="114"/>
        <v>29228.161399403209</v>
      </c>
      <c r="S149" s="44">
        <f t="shared" ca="1" si="114"/>
        <v>24000.275513514021</v>
      </c>
      <c r="T149" s="44">
        <f t="shared" ca="1" si="114"/>
        <v>19469.767540471021</v>
      </c>
      <c r="U149" s="44">
        <f t="shared" ca="1" si="114"/>
        <v>15820.3166560309</v>
      </c>
      <c r="V149" s="44">
        <f t="shared" ca="1" si="114"/>
        <v>13611.814423074084</v>
      </c>
      <c r="W149" s="44">
        <f t="shared" ca="1" si="114"/>
        <v>12269.387241597678</v>
      </c>
      <c r="X149" s="44">
        <f t="shared" ca="1" si="114"/>
        <v>11686.483955360662</v>
      </c>
      <c r="Y149" s="44"/>
      <c r="AA149" s="44">
        <f ca="1">SUM(E149:Y149)</f>
        <v>998615.42872189393</v>
      </c>
    </row>
  </sheetData>
  <mergeCells count="1">
    <mergeCell ref="B1:T6"/>
  </mergeCells>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sheetPr codeName="Sheet5"/>
  <dimension ref="A1:CB141"/>
  <sheetViews>
    <sheetView topLeftCell="B1" workbookViewId="0">
      <selection activeCell="E13" sqref="E13:X16"/>
    </sheetView>
  </sheetViews>
  <sheetFormatPr defaultRowHeight="12.75"/>
  <cols>
    <col min="1" max="1" width="35" style="9" customWidth="1"/>
    <col min="2" max="2" width="29.28515625" style="9" customWidth="1"/>
    <col min="3" max="3" width="19.85546875" style="9" customWidth="1"/>
    <col min="4" max="4" width="25.85546875" style="9" customWidth="1"/>
    <col min="5" max="5" width="10.7109375" style="9" customWidth="1"/>
    <col min="6" max="25" width="9.5703125" style="9" bestFit="1" customWidth="1"/>
    <col min="26" max="28" width="9.140625" style="9"/>
    <col min="29" max="29" width="21.7109375" style="9" customWidth="1"/>
    <col min="30" max="30" width="35.85546875" style="9" customWidth="1"/>
    <col min="31" max="31" width="35.28515625" style="9" customWidth="1"/>
    <col min="32" max="32" width="15" style="9" customWidth="1"/>
    <col min="33" max="33" width="17.7109375" style="9" customWidth="1"/>
    <col min="34" max="34" width="15.140625" style="9" customWidth="1"/>
    <col min="35" max="35" width="15.7109375" style="9" customWidth="1"/>
    <col min="36" max="36" width="21.28515625" style="9" customWidth="1"/>
    <col min="37" max="37" width="17.7109375" style="9" bestFit="1" customWidth="1"/>
    <col min="38" max="38" width="15.42578125" style="9" bestFit="1" customWidth="1"/>
    <col min="39" max="39" width="14.28515625" style="9" bestFit="1" customWidth="1"/>
    <col min="40" max="40" width="14.28515625" style="9" customWidth="1"/>
    <col min="41" max="41" width="12.5703125" style="9" customWidth="1"/>
    <col min="42" max="42" width="14" style="9" bestFit="1" customWidth="1"/>
    <col min="43" max="44" width="10.85546875" style="9" bestFit="1" customWidth="1"/>
    <col min="45" max="45" width="13.42578125" style="9" customWidth="1"/>
    <col min="46" max="46" width="11.85546875" style="9" bestFit="1" customWidth="1"/>
    <col min="47" max="47" width="11" style="9" bestFit="1" customWidth="1"/>
    <col min="48" max="48" width="14.28515625" style="9" bestFit="1" customWidth="1"/>
    <col min="49" max="49" width="10.7109375" style="9" customWidth="1"/>
    <col min="50" max="50" width="13.85546875" style="9" bestFit="1" customWidth="1"/>
    <col min="51" max="51" width="11.7109375" style="9" bestFit="1" customWidth="1"/>
    <col min="52" max="52" width="15.28515625" style="9" bestFit="1" customWidth="1"/>
    <col min="53" max="55" width="12.28515625" style="9" bestFit="1" customWidth="1"/>
    <col min="56" max="56" width="12.5703125" style="9" bestFit="1" customWidth="1"/>
    <col min="57" max="59" width="14.28515625" style="9" bestFit="1" customWidth="1"/>
    <col min="60" max="60" width="13.7109375" style="9" bestFit="1" customWidth="1"/>
    <col min="61" max="61" width="14" style="9" bestFit="1" customWidth="1"/>
    <col min="62" max="62" width="12.85546875" style="9" bestFit="1" customWidth="1"/>
    <col min="63" max="63" width="15.28515625" style="9" bestFit="1" customWidth="1"/>
    <col min="64" max="64" width="12.28515625" style="9" bestFit="1" customWidth="1"/>
    <col min="65" max="65" width="10.85546875" style="9" bestFit="1" customWidth="1"/>
    <col min="66" max="66" width="12.28515625" style="9" bestFit="1" customWidth="1"/>
    <col min="67" max="67" width="12.5703125" style="9" bestFit="1" customWidth="1"/>
    <col min="68" max="16384" width="9.140625" style="9"/>
  </cols>
  <sheetData>
    <row r="1" spans="1:69">
      <c r="A1" s="52" t="s">
        <v>55</v>
      </c>
      <c r="B1" s="493" t="s">
        <v>56</v>
      </c>
      <c r="C1" s="493"/>
      <c r="D1" s="493"/>
      <c r="E1" s="493"/>
      <c r="F1" s="493"/>
      <c r="G1" s="493"/>
      <c r="H1" s="493"/>
      <c r="I1" s="493"/>
      <c r="J1" s="493"/>
      <c r="K1" s="493"/>
      <c r="L1" s="493"/>
      <c r="M1" s="493"/>
      <c r="N1" s="493"/>
      <c r="O1" s="493"/>
      <c r="P1" s="493"/>
      <c r="Q1" s="493"/>
      <c r="R1" s="493"/>
      <c r="S1" s="493"/>
      <c r="T1" s="493"/>
    </row>
    <row r="2" spans="1:69">
      <c r="A2" s="53" t="s">
        <v>158</v>
      </c>
      <c r="B2" s="493"/>
      <c r="C2" s="493"/>
      <c r="D2" s="493"/>
      <c r="E2" s="493"/>
      <c r="F2" s="493"/>
      <c r="G2" s="493"/>
      <c r="H2" s="493"/>
      <c r="I2" s="493"/>
      <c r="J2" s="493"/>
      <c r="K2" s="493"/>
      <c r="L2" s="493"/>
      <c r="M2" s="493"/>
      <c r="N2" s="493"/>
      <c r="O2" s="493"/>
      <c r="P2" s="493"/>
      <c r="Q2" s="493"/>
      <c r="R2" s="493"/>
      <c r="S2" s="493"/>
      <c r="T2" s="493"/>
    </row>
    <row r="3" spans="1:69">
      <c r="B3" s="493"/>
      <c r="C3" s="493"/>
      <c r="D3" s="493"/>
      <c r="E3" s="493"/>
      <c r="F3" s="493"/>
      <c r="G3" s="493"/>
      <c r="H3" s="493"/>
      <c r="I3" s="493"/>
      <c r="J3" s="493"/>
      <c r="K3" s="493"/>
      <c r="L3" s="493"/>
      <c r="M3" s="493"/>
      <c r="N3" s="493"/>
      <c r="O3" s="493"/>
      <c r="P3" s="493"/>
      <c r="Q3" s="493"/>
      <c r="R3" s="493"/>
      <c r="S3" s="493"/>
      <c r="T3" s="493"/>
    </row>
    <row r="4" spans="1:69">
      <c r="B4" s="493"/>
      <c r="C4" s="493"/>
      <c r="D4" s="493"/>
      <c r="E4" s="493"/>
      <c r="F4" s="493"/>
      <c r="G4" s="493"/>
      <c r="H4" s="493"/>
      <c r="I4" s="493"/>
      <c r="J4" s="493"/>
      <c r="K4" s="493"/>
      <c r="L4" s="493"/>
      <c r="M4" s="493"/>
      <c r="N4" s="493"/>
      <c r="O4" s="493"/>
      <c r="P4" s="493"/>
      <c r="Q4" s="493"/>
      <c r="R4" s="493"/>
      <c r="S4" s="493"/>
      <c r="T4" s="493"/>
    </row>
    <row r="5" spans="1:69">
      <c r="B5" s="493"/>
      <c r="C5" s="493"/>
      <c r="D5" s="493"/>
      <c r="E5" s="493"/>
      <c r="F5" s="493"/>
      <c r="G5" s="493"/>
      <c r="H5" s="493"/>
      <c r="I5" s="493"/>
      <c r="J5" s="493"/>
      <c r="K5" s="493"/>
      <c r="L5" s="493"/>
      <c r="M5" s="493"/>
      <c r="N5" s="493"/>
      <c r="O5" s="493"/>
      <c r="P5" s="493"/>
      <c r="Q5" s="493"/>
      <c r="R5" s="493"/>
      <c r="S5" s="493"/>
      <c r="T5" s="493"/>
    </row>
    <row r="6" spans="1:69">
      <c r="B6" s="493"/>
      <c r="C6" s="493"/>
      <c r="D6" s="493"/>
      <c r="E6" s="493"/>
      <c r="F6" s="493"/>
      <c r="G6" s="493"/>
      <c r="H6" s="493"/>
      <c r="I6" s="493"/>
      <c r="J6" s="493"/>
      <c r="K6" s="493"/>
      <c r="L6" s="493"/>
      <c r="M6" s="493"/>
      <c r="N6" s="493"/>
      <c r="O6" s="493"/>
      <c r="P6" s="493"/>
      <c r="Q6" s="493"/>
      <c r="R6" s="493"/>
      <c r="S6" s="493"/>
      <c r="T6" s="493"/>
    </row>
    <row r="7" spans="1:69">
      <c r="A7" s="286"/>
      <c r="B7" s="286" t="s">
        <v>50</v>
      </c>
      <c r="C7" s="433" t="s">
        <v>57</v>
      </c>
      <c r="D7" s="433" t="s">
        <v>57</v>
      </c>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row>
    <row r="8" spans="1:69">
      <c r="A8" s="286" t="s">
        <v>4982</v>
      </c>
      <c r="B8" s="286" t="s">
        <v>58</v>
      </c>
      <c r="C8" s="433" t="str">
        <f>[2]MLIST!$B$26</f>
        <v>Freezer</v>
      </c>
      <c r="D8" s="433" t="str">
        <f>[1]!switch_ForecastState</f>
        <v>Region</v>
      </c>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row>
    <row r="9" spans="1:69">
      <c r="A9" s="286" t="str">
        <f>INDEX([2]ACHIEV!$A$19:$B$100,MATCH(CONCATENATE($C$8," - ",$C$7),[2]ACHIEV!$B$19:$B$100,0),1)</f>
        <v>Refrigeration</v>
      </c>
      <c r="B9" s="490" t="s">
        <v>59</v>
      </c>
      <c r="C9" s="433">
        <f>[2]FILES!$H$4</f>
        <v>2035</v>
      </c>
      <c r="D9" s="433" t="str">
        <f>[1]!switch_ForecastScenario</f>
        <v>Base</v>
      </c>
      <c r="E9" s="56"/>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row>
    <row r="10" spans="1:69">
      <c r="A10" s="286"/>
      <c r="B10" s="286" t="s">
        <v>4988</v>
      </c>
      <c r="C10" s="491">
        <f ca="1">MIN(SUM(E49:X49),Y49)</f>
        <v>0.59452225929043712</v>
      </c>
      <c r="D10" s="434"/>
      <c r="E10" s="56"/>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row>
    <row r="11" spans="1:69" ht="15">
      <c r="A11" s="67" t="str">
        <f>CONCATENATE("# HOMES AVAILABLE FOR MEASURE -",$C$8)</f>
        <v># HOMES AVAILABLE FOR MEASURE -Freezer</v>
      </c>
      <c r="B11" s="67"/>
      <c r="C11" s="9" t="s">
        <v>60</v>
      </c>
      <c r="E11" s="79">
        <v>2016</v>
      </c>
      <c r="F11" s="73">
        <v>2017</v>
      </c>
      <c r="G11" s="73">
        <v>2018</v>
      </c>
      <c r="H11" s="73">
        <v>2019</v>
      </c>
      <c r="I11" s="73">
        <v>2020</v>
      </c>
      <c r="J11" s="73">
        <v>2021</v>
      </c>
      <c r="K11" s="73">
        <v>2022</v>
      </c>
      <c r="L11" s="73">
        <v>2023</v>
      </c>
      <c r="M11" s="73">
        <v>2024</v>
      </c>
      <c r="N11" s="73">
        <v>2025</v>
      </c>
      <c r="O11" s="73">
        <v>2026</v>
      </c>
      <c r="P11" s="73">
        <v>2027</v>
      </c>
      <c r="Q11" s="73">
        <v>2028</v>
      </c>
      <c r="R11" s="73">
        <v>2029</v>
      </c>
      <c r="S11" s="73">
        <v>2030</v>
      </c>
      <c r="T11" s="73">
        <v>2031</v>
      </c>
      <c r="U11" s="73">
        <v>2032</v>
      </c>
      <c r="V11" s="73">
        <v>2033</v>
      </c>
      <c r="W11" s="73">
        <v>2034</v>
      </c>
      <c r="X11" s="73">
        <v>2035</v>
      </c>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row>
    <row r="12" spans="1:69" ht="15">
      <c r="E12" s="80" t="str">
        <f>CONCATENATE("HOMES_",E11)</f>
        <v>HOMES_2016</v>
      </c>
      <c r="F12" s="75" t="str">
        <f t="shared" ref="F12:X12" si="0">CONCATENATE("HOMES_",F11)</f>
        <v>HOMES_2017</v>
      </c>
      <c r="G12" s="75" t="str">
        <f t="shared" si="0"/>
        <v>HOMES_2018</v>
      </c>
      <c r="H12" s="75" t="str">
        <f t="shared" si="0"/>
        <v>HOMES_2019</v>
      </c>
      <c r="I12" s="75" t="str">
        <f t="shared" si="0"/>
        <v>HOMES_2020</v>
      </c>
      <c r="J12" s="75" t="str">
        <f t="shared" si="0"/>
        <v>HOMES_2021</v>
      </c>
      <c r="K12" s="75" t="str">
        <f t="shared" si="0"/>
        <v>HOMES_2022</v>
      </c>
      <c r="L12" s="75" t="str">
        <f t="shared" si="0"/>
        <v>HOMES_2023</v>
      </c>
      <c r="M12" s="75" t="str">
        <f t="shared" si="0"/>
        <v>HOMES_2024</v>
      </c>
      <c r="N12" s="75" t="str">
        <f t="shared" si="0"/>
        <v>HOMES_2025</v>
      </c>
      <c r="O12" s="75" t="str">
        <f t="shared" si="0"/>
        <v>HOMES_2026</v>
      </c>
      <c r="P12" s="75" t="str">
        <f t="shared" si="0"/>
        <v>HOMES_2027</v>
      </c>
      <c r="Q12" s="75" t="str">
        <f t="shared" si="0"/>
        <v>HOMES_2028</v>
      </c>
      <c r="R12" s="75" t="str">
        <f t="shared" si="0"/>
        <v>HOMES_2029</v>
      </c>
      <c r="S12" s="75" t="str">
        <f t="shared" si="0"/>
        <v>HOMES_2030</v>
      </c>
      <c r="T12" s="75" t="str">
        <f t="shared" si="0"/>
        <v>HOMES_2031</v>
      </c>
      <c r="U12" s="75" t="str">
        <f t="shared" si="0"/>
        <v>HOMES_2032</v>
      </c>
      <c r="V12" s="75" t="str">
        <f t="shared" si="0"/>
        <v>HOMES_2033</v>
      </c>
      <c r="W12" s="75" t="str">
        <f t="shared" si="0"/>
        <v>HOMES_2034</v>
      </c>
      <c r="X12" s="75" t="str">
        <f t="shared" si="0"/>
        <v>HOMES_2035</v>
      </c>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row>
    <row r="13" spans="1:69">
      <c r="B13" s="9" t="s">
        <v>57</v>
      </c>
      <c r="C13" s="9" t="s">
        <v>51</v>
      </c>
      <c r="E13" s="44">
        <f ca="1">INDEX([1]!tbl_Forecast,MATCH($D$8&amp;$C13&amp;$D$7,[1]!rng_ForecastRowLookup,0),MATCH(E$11,[1]!rng_ForecastColumnLookup,0))</f>
        <v>62685.758999999998</v>
      </c>
      <c r="F13" s="44">
        <f ca="1">INDEX([1]!tbl_Forecast,MATCH($D$8&amp;$C13&amp;$D$7,[1]!rng_ForecastRowLookup,0),MATCH(F$11,[1]!rng_ForecastColumnLookup,0))</f>
        <v>59961.781000000003</v>
      </c>
      <c r="G13" s="44">
        <f ca="1">INDEX([1]!tbl_Forecast,MATCH($D$8&amp;$C13&amp;$D$7,[1]!rng_ForecastRowLookup,0),MATCH(G$11,[1]!rng_ForecastColumnLookup,0))</f>
        <v>56834.012000000002</v>
      </c>
      <c r="H13" s="44">
        <f ca="1">INDEX([1]!tbl_Forecast,MATCH($D$8&amp;$C13&amp;$D$7,[1]!rng_ForecastRowLookup,0),MATCH(H$11,[1]!rng_ForecastColumnLookup,0))</f>
        <v>54985.192999999999</v>
      </c>
      <c r="I13" s="44">
        <f ca="1">INDEX([1]!tbl_Forecast,MATCH($D$8&amp;$C13&amp;$D$7,[1]!rng_ForecastRowLookup,0),MATCH(I$11,[1]!rng_ForecastColumnLookup,0))</f>
        <v>53507.474000000002</v>
      </c>
      <c r="J13" s="44">
        <f ca="1">INDEX([1]!tbl_Forecast,MATCH($D$8&amp;$C13&amp;$D$7,[1]!rng_ForecastRowLookup,0),MATCH(J$11,[1]!rng_ForecastColumnLookup,0))</f>
        <v>50982.05</v>
      </c>
      <c r="K13" s="44">
        <f ca="1">INDEX([1]!tbl_Forecast,MATCH($D$8&amp;$C13&amp;$D$7,[1]!rng_ForecastRowLookup,0),MATCH(K$11,[1]!rng_ForecastColumnLookup,0))</f>
        <v>49561.669000000002</v>
      </c>
      <c r="L13" s="44">
        <f ca="1">INDEX([1]!tbl_Forecast,MATCH($D$8&amp;$C13&amp;$D$7,[1]!rng_ForecastRowLookup,0),MATCH(L$11,[1]!rng_ForecastColumnLookup,0))</f>
        <v>49324.517999999996</v>
      </c>
      <c r="M13" s="44">
        <f ca="1">INDEX([1]!tbl_Forecast,MATCH($D$8&amp;$C13&amp;$D$7,[1]!rng_ForecastRowLookup,0),MATCH(M$11,[1]!rng_ForecastColumnLookup,0))</f>
        <v>48815.77</v>
      </c>
      <c r="N13" s="44">
        <f ca="1">INDEX([1]!tbl_Forecast,MATCH($D$8&amp;$C13&amp;$D$7,[1]!rng_ForecastRowLookup,0),MATCH(N$11,[1]!rng_ForecastColumnLookup,0))</f>
        <v>49683.252</v>
      </c>
      <c r="O13" s="44">
        <f ca="1">INDEX([1]!tbl_Forecast,MATCH($D$8&amp;$C13&amp;$D$7,[1]!rng_ForecastRowLookup,0),MATCH(O$11,[1]!rng_ForecastColumnLookup,0))</f>
        <v>50030.137000000002</v>
      </c>
      <c r="P13" s="44">
        <f ca="1">INDEX([1]!tbl_Forecast,MATCH($D$8&amp;$C13&amp;$D$7,[1]!rng_ForecastRowLookup,0),MATCH(P$11,[1]!rng_ForecastColumnLookup,0))</f>
        <v>49387.762999999999</v>
      </c>
      <c r="Q13" s="44">
        <f ca="1">INDEX([1]!tbl_Forecast,MATCH($D$8&amp;$C13&amp;$D$7,[1]!rng_ForecastRowLookup,0),MATCH(Q$11,[1]!rng_ForecastColumnLookup,0))</f>
        <v>48079.345999999998</v>
      </c>
      <c r="R13" s="44">
        <f ca="1">INDEX([1]!tbl_Forecast,MATCH($D$8&amp;$C13&amp;$D$7,[1]!rng_ForecastRowLookup,0),MATCH(R$11,[1]!rng_ForecastColumnLookup,0))</f>
        <v>48129.050999999999</v>
      </c>
      <c r="S13" s="44">
        <f ca="1">INDEX([1]!tbl_Forecast,MATCH($D$8&amp;$C13&amp;$D$7,[1]!rng_ForecastRowLookup,0),MATCH(S$11,[1]!rng_ForecastColumnLookup,0))</f>
        <v>48690.569000000003</v>
      </c>
      <c r="T13" s="44">
        <f ca="1">INDEX([1]!tbl_Forecast,MATCH($D$8&amp;$C13&amp;$D$7,[1]!rng_ForecastRowLookup,0),MATCH(T$11,[1]!rng_ForecastColumnLookup,0))</f>
        <v>48482.864000000001</v>
      </c>
      <c r="U13" s="44">
        <f ca="1">INDEX([1]!tbl_Forecast,MATCH($D$8&amp;$C13&amp;$D$7,[1]!rng_ForecastRowLookup,0),MATCH(U$11,[1]!rng_ForecastColumnLookup,0))</f>
        <v>46879.000999999997</v>
      </c>
      <c r="V13" s="44">
        <f ca="1">INDEX([1]!tbl_Forecast,MATCH($D$8&amp;$C13&amp;$D$7,[1]!rng_ForecastRowLookup,0),MATCH(V$11,[1]!rng_ForecastColumnLookup,0))</f>
        <v>46798.777999999998</v>
      </c>
      <c r="W13" s="44">
        <f ca="1">INDEX([1]!tbl_Forecast,MATCH($D$8&amp;$C13&amp;$D$7,[1]!rng_ForecastRowLookup,0),MATCH(W$11,[1]!rng_ForecastColumnLookup,0))</f>
        <v>46917.627</v>
      </c>
      <c r="X13" s="44">
        <f ca="1">INDEX([1]!tbl_Forecast,MATCH($D$8&amp;$C13&amp;$D$7,[1]!rng_ForecastRowLookup,0),MATCH(X$11,[1]!rng_ForecastColumnLookup,0))</f>
        <v>47236.144999999997</v>
      </c>
      <c r="Y13" s="44"/>
      <c r="AA13" s="44">
        <f ca="1">SUM(E13:Y13)</f>
        <v>1016972.7590000002</v>
      </c>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row>
    <row r="14" spans="1:69">
      <c r="B14" s="9" t="s">
        <v>57</v>
      </c>
      <c r="C14" s="9" t="s">
        <v>52</v>
      </c>
      <c r="E14" s="44">
        <f ca="1">INDEX([1]!tbl_Forecast,MATCH($D$8&amp;$C14&amp;$D$7,[1]!rng_ForecastRowLookup,0),MATCH(E$11,[1]!rng_ForecastColumnLookup,0))</f>
        <v>23280.347100904564</v>
      </c>
      <c r="F14" s="44">
        <f ca="1">INDEX([1]!tbl_Forecast,MATCH($D$8&amp;$C14&amp;$D$7,[1]!rng_ForecastRowLookup,0),MATCH(F$11,[1]!rng_ForecastColumnLookup,0))</f>
        <v>23017.418106038647</v>
      </c>
      <c r="G14" s="44">
        <f ca="1">INDEX([1]!tbl_Forecast,MATCH($D$8&amp;$C14&amp;$D$7,[1]!rng_ForecastRowLookup,0),MATCH(G$11,[1]!rng_ForecastColumnLookup,0))</f>
        <v>22811.60852767331</v>
      </c>
      <c r="H14" s="44">
        <f ca="1">INDEX([1]!tbl_Forecast,MATCH($D$8&amp;$C14&amp;$D$7,[1]!rng_ForecastRowLookup,0),MATCH(H$11,[1]!rng_ForecastColumnLookup,0))</f>
        <v>22085.916378202593</v>
      </c>
      <c r="I14" s="44">
        <f ca="1">INDEX([1]!tbl_Forecast,MATCH($D$8&amp;$C14&amp;$D$7,[1]!rng_ForecastRowLookup,0),MATCH(I$11,[1]!rng_ForecastColumnLookup,0))</f>
        <v>20817.853908138593</v>
      </c>
      <c r="J14" s="44">
        <f ca="1">INDEX([1]!tbl_Forecast,MATCH($D$8&amp;$C14&amp;$D$7,[1]!rng_ForecastRowLookup,0),MATCH(J$11,[1]!rng_ForecastColumnLookup,0))</f>
        <v>20070.279329962508</v>
      </c>
      <c r="K14" s="44">
        <f ca="1">INDEX([1]!tbl_Forecast,MATCH($D$8&amp;$C14&amp;$D$7,[1]!rng_ForecastRowLookup,0),MATCH(K$11,[1]!rng_ForecastColumnLookup,0))</f>
        <v>19887.831284331631</v>
      </c>
      <c r="L14" s="44">
        <f ca="1">INDEX([1]!tbl_Forecast,MATCH($D$8&amp;$C14&amp;$D$7,[1]!rng_ForecastRowLookup,0),MATCH(L$11,[1]!rng_ForecastColumnLookup,0))</f>
        <v>20257.583209811291</v>
      </c>
      <c r="M14" s="44">
        <f ca="1">INDEX([1]!tbl_Forecast,MATCH($D$8&amp;$C14&amp;$D$7,[1]!rng_ForecastRowLookup,0),MATCH(M$11,[1]!rng_ForecastColumnLookup,0))</f>
        <v>20750.368029493613</v>
      </c>
      <c r="N14" s="44">
        <f ca="1">INDEX([1]!tbl_Forecast,MATCH($D$8&amp;$C14&amp;$D$7,[1]!rng_ForecastRowLookup,0),MATCH(N$11,[1]!rng_ForecastColumnLookup,0))</f>
        <v>21314.334279744231</v>
      </c>
      <c r="O14" s="44">
        <f ca="1">INDEX([1]!tbl_Forecast,MATCH($D$8&amp;$C14&amp;$D$7,[1]!rng_ForecastRowLookup,0),MATCH(O$11,[1]!rng_ForecastColumnLookup,0))</f>
        <v>21403.286239774712</v>
      </c>
      <c r="P14" s="44">
        <f ca="1">INDEX([1]!tbl_Forecast,MATCH($D$8&amp;$C14&amp;$D$7,[1]!rng_ForecastRowLookup,0),MATCH(P$11,[1]!rng_ForecastColumnLookup,0))</f>
        <v>21409.137516518917</v>
      </c>
      <c r="Q14" s="44">
        <f ca="1">INDEX([1]!tbl_Forecast,MATCH($D$8&amp;$C14&amp;$D$7,[1]!rng_ForecastRowLookup,0),MATCH(Q$11,[1]!rng_ForecastColumnLookup,0))</f>
        <v>21443.358292282628</v>
      </c>
      <c r="R14" s="44">
        <f ca="1">INDEX([1]!tbl_Forecast,MATCH($D$8&amp;$C14&amp;$D$7,[1]!rng_ForecastRowLookup,0),MATCH(R$11,[1]!rng_ForecastColumnLookup,0))</f>
        <v>21209.865626522758</v>
      </c>
      <c r="S14" s="44">
        <f ca="1">INDEX([1]!tbl_Forecast,MATCH($D$8&amp;$C14&amp;$D$7,[1]!rng_ForecastRowLookup,0),MATCH(S$11,[1]!rng_ForecastColumnLookup,0))</f>
        <v>20954.17798283829</v>
      </c>
      <c r="T14" s="44">
        <f ca="1">INDEX([1]!tbl_Forecast,MATCH($D$8&amp;$C14&amp;$D$7,[1]!rng_ForecastRowLookup,0),MATCH(T$11,[1]!rng_ForecastColumnLookup,0))</f>
        <v>20525.44023202754</v>
      </c>
      <c r="U14" s="44">
        <f ca="1">INDEX([1]!tbl_Forecast,MATCH($D$8&amp;$C14&amp;$D$7,[1]!rng_ForecastRowLookup,0),MATCH(U$11,[1]!rng_ForecastColumnLookup,0))</f>
        <v>20175.505597554071</v>
      </c>
      <c r="V14" s="44">
        <f ca="1">INDEX([1]!tbl_Forecast,MATCH($D$8&amp;$C14&amp;$D$7,[1]!rng_ForecastRowLookup,0),MATCH(V$11,[1]!rng_ForecastColumnLookup,0))</f>
        <v>19919.723927484571</v>
      </c>
      <c r="W14" s="44">
        <f ca="1">INDEX([1]!tbl_Forecast,MATCH($D$8&amp;$C14&amp;$D$7,[1]!rng_ForecastRowLookup,0),MATCH(W$11,[1]!rng_ForecastColumnLookup,0))</f>
        <v>19536.194066416414</v>
      </c>
      <c r="X14" s="44">
        <f ca="1">INDEX([1]!tbl_Forecast,MATCH($D$8&amp;$C14&amp;$D$7,[1]!rng_ForecastRowLookup,0),MATCH(X$11,[1]!rng_ForecastColumnLookup,0))</f>
        <v>19462.287131015248</v>
      </c>
      <c r="Y14" s="44"/>
      <c r="AA14" s="44">
        <f t="shared" ref="AA14:AA16" ca="1" si="1">SUM(E14:Y14)</f>
        <v>420332.51676673623</v>
      </c>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row>
    <row r="15" spans="1:69">
      <c r="B15" s="9" t="s">
        <v>57</v>
      </c>
      <c r="C15" s="9" t="s">
        <v>53</v>
      </c>
      <c r="E15" s="44">
        <f ca="1">INDEX([1]!tbl_Forecast,MATCH($D$8&amp;$C15&amp;$D$7,[1]!rng_ForecastRowLookup,0),MATCH(E$11,[1]!rng_ForecastColumnLookup,0))</f>
        <v>5226.2387411561367</v>
      </c>
      <c r="F15" s="44">
        <f ca="1">INDEX([1]!tbl_Forecast,MATCH($D$8&amp;$C15&amp;$D$7,[1]!rng_ForecastRowLookup,0),MATCH(F$11,[1]!rng_ForecastColumnLookup,0))</f>
        <v>5239.95312759432</v>
      </c>
      <c r="G15" s="44">
        <f ca="1">INDEX([1]!tbl_Forecast,MATCH($D$8&amp;$C15&amp;$D$7,[1]!rng_ForecastRowLookup,0),MATCH(G$11,[1]!rng_ForecastColumnLookup,0))</f>
        <v>5271.2612760989568</v>
      </c>
      <c r="H15" s="44">
        <f ca="1">INDEX([1]!tbl_Forecast,MATCH($D$8&amp;$C15&amp;$D$7,[1]!rng_ForecastRowLookup,0),MATCH(H$11,[1]!rng_ForecastColumnLookup,0))</f>
        <v>4985.883552972361</v>
      </c>
      <c r="I15" s="44">
        <f ca="1">INDEX([1]!tbl_Forecast,MATCH($D$8&amp;$C15&amp;$D$7,[1]!rng_ForecastRowLookup,0),MATCH(I$11,[1]!rng_ForecastColumnLookup,0))</f>
        <v>4608.5912035798974</v>
      </c>
      <c r="J15" s="44">
        <f ca="1">INDEX([1]!tbl_Forecast,MATCH($D$8&amp;$C15&amp;$D$7,[1]!rng_ForecastRowLookup,0),MATCH(J$11,[1]!rng_ForecastColumnLookup,0))</f>
        <v>4509.6375960361838</v>
      </c>
      <c r="K15" s="44">
        <f ca="1">INDEX([1]!tbl_Forecast,MATCH($D$8&amp;$C15&amp;$D$7,[1]!rng_ForecastRowLookup,0),MATCH(K$11,[1]!rng_ForecastColumnLookup,0))</f>
        <v>4481.760351096189</v>
      </c>
      <c r="L15" s="44">
        <f ca="1">INDEX([1]!tbl_Forecast,MATCH($D$8&amp;$C15&amp;$D$7,[1]!rng_ForecastRowLookup,0),MATCH(L$11,[1]!rng_ForecastColumnLookup,0))</f>
        <v>4621.8312800578688</v>
      </c>
      <c r="M15" s="44">
        <f ca="1">INDEX([1]!tbl_Forecast,MATCH($D$8&amp;$C15&amp;$D$7,[1]!rng_ForecastRowLookup,0),MATCH(M$11,[1]!rng_ForecastColumnLookup,0))</f>
        <v>4700.9782942419988</v>
      </c>
      <c r="N15" s="44">
        <f ca="1">INDEX([1]!tbl_Forecast,MATCH($D$8&amp;$C15&amp;$D$7,[1]!rng_ForecastRowLookup,0),MATCH(N$11,[1]!rng_ForecastColumnLookup,0))</f>
        <v>4828.2391631488581</v>
      </c>
      <c r="O15" s="44">
        <f ca="1">INDEX([1]!tbl_Forecast,MATCH($D$8&amp;$C15&amp;$D$7,[1]!rng_ForecastRowLookup,0),MATCH(O$11,[1]!rng_ForecastColumnLookup,0))</f>
        <v>4790.0249139778334</v>
      </c>
      <c r="P15" s="44">
        <f ca="1">INDEX([1]!tbl_Forecast,MATCH($D$8&amp;$C15&amp;$D$7,[1]!rng_ForecastRowLookup,0),MATCH(P$11,[1]!rng_ForecastColumnLookup,0))</f>
        <v>4782.0649962402858</v>
      </c>
      <c r="Q15" s="44">
        <f ca="1">INDEX([1]!tbl_Forecast,MATCH($D$8&amp;$C15&amp;$D$7,[1]!rng_ForecastRowLookup,0),MATCH(Q$11,[1]!rng_ForecastColumnLookup,0))</f>
        <v>4748.3908346265653</v>
      </c>
      <c r="R15" s="44">
        <f ca="1">INDEX([1]!tbl_Forecast,MATCH($D$8&amp;$C15&amp;$D$7,[1]!rng_ForecastRowLookup,0),MATCH(R$11,[1]!rng_ForecastColumnLookup,0))</f>
        <v>4733.4823682495089</v>
      </c>
      <c r="S15" s="44">
        <f ca="1">INDEX([1]!tbl_Forecast,MATCH($D$8&amp;$C15&amp;$D$7,[1]!rng_ForecastRowLookup,0),MATCH(S$11,[1]!rng_ForecastColumnLookup,0))</f>
        <v>4698.697177079107</v>
      </c>
      <c r="T15" s="44">
        <f ca="1">INDEX([1]!tbl_Forecast,MATCH($D$8&amp;$C15&amp;$D$7,[1]!rng_ForecastRowLookup,0),MATCH(T$11,[1]!rng_ForecastColumnLookup,0))</f>
        <v>4599.2987885998937</v>
      </c>
      <c r="U15" s="44">
        <f ca="1">INDEX([1]!tbl_Forecast,MATCH($D$8&amp;$C15&amp;$D$7,[1]!rng_ForecastRowLookup,0),MATCH(U$11,[1]!rng_ForecastColumnLookup,0))</f>
        <v>4526.3104216428001</v>
      </c>
      <c r="V15" s="44">
        <f ca="1">INDEX([1]!tbl_Forecast,MATCH($D$8&amp;$C15&amp;$D$7,[1]!rng_ForecastRowLookup,0),MATCH(V$11,[1]!rng_ForecastColumnLookup,0))</f>
        <v>4422.0600452822764</v>
      </c>
      <c r="W15" s="44">
        <f ca="1">INDEX([1]!tbl_Forecast,MATCH($D$8&amp;$C15&amp;$D$7,[1]!rng_ForecastRowLookup,0),MATCH(W$11,[1]!rng_ForecastColumnLookup,0))</f>
        <v>4405.182362066379</v>
      </c>
      <c r="X15" s="44">
        <f ca="1">INDEX([1]!tbl_Forecast,MATCH($D$8&amp;$C15&amp;$D$7,[1]!rng_ForecastRowLookup,0),MATCH(X$11,[1]!rng_ForecastColumnLookup,0))</f>
        <v>4385.1136986120664</v>
      </c>
      <c r="Y15" s="44"/>
      <c r="AA15" s="44">
        <f t="shared" ca="1" si="1"/>
        <v>94565.000192359483</v>
      </c>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row>
    <row r="16" spans="1:69">
      <c r="B16" s="9" t="s">
        <v>57</v>
      </c>
      <c r="C16" s="9" t="s">
        <v>54</v>
      </c>
      <c r="E16" s="44">
        <f ca="1">INDEX([1]!tbl_Forecast,MATCH($D$8&amp;$C16&amp;$D$7,[1]!rng_ForecastRowLookup,0),MATCH(E$11,[1]!rng_ForecastColumnLookup,0))</f>
        <v>1869.5754050925925</v>
      </c>
      <c r="F16" s="44">
        <f ca="1">INDEX([1]!tbl_Forecast,MATCH($D$8&amp;$C16&amp;$D$7,[1]!rng_ForecastRowLookup,0),MATCH(F$11,[1]!rng_ForecastColumnLookup,0))</f>
        <v>1881.796305941358</v>
      </c>
      <c r="G16" s="44">
        <f ca="1">INDEX([1]!tbl_Forecast,MATCH($D$8&amp;$C16&amp;$D$7,[1]!rng_ForecastRowLookup,0),MATCH(G$11,[1]!rng_ForecastColumnLookup,0))</f>
        <v>1949.1340235982509</v>
      </c>
      <c r="H16" s="44">
        <f ca="1">INDEX([1]!tbl_Forecast,MATCH($D$8&amp;$C16&amp;$D$7,[1]!rng_ForecastRowLookup,0),MATCH(H$11,[1]!rng_ForecastColumnLookup,0))</f>
        <v>2021.1963608646258</v>
      </c>
      <c r="I16" s="44">
        <f ca="1">INDEX([1]!tbl_Forecast,MATCH($D$8&amp;$C16&amp;$D$7,[1]!rng_ForecastRowLookup,0),MATCH(I$11,[1]!rng_ForecastColumnLookup,0))</f>
        <v>1959.5061710087307</v>
      </c>
      <c r="J16" s="44">
        <f ca="1">INDEX([1]!tbl_Forecast,MATCH($D$8&amp;$C16&amp;$D$7,[1]!rng_ForecastRowLookup,0),MATCH(J$11,[1]!rng_ForecastColumnLookup,0))</f>
        <v>1928.5764356212967</v>
      </c>
      <c r="K16" s="44">
        <f ca="1">INDEX([1]!tbl_Forecast,MATCH($D$8&amp;$C16&amp;$D$7,[1]!rng_ForecastRowLookup,0),MATCH(K$11,[1]!rng_ForecastColumnLookup,0))</f>
        <v>1934.9641170211423</v>
      </c>
      <c r="L16" s="44">
        <f ca="1">INDEX([1]!tbl_Forecast,MATCH($D$8&amp;$C16&amp;$D$7,[1]!rng_ForecastRowLookup,0),MATCH(L$11,[1]!rng_ForecastColumnLookup,0))</f>
        <v>1945.862235675901</v>
      </c>
      <c r="M16" s="44">
        <f ca="1">INDEX([1]!tbl_Forecast,MATCH($D$8&amp;$C16&amp;$D$7,[1]!rng_ForecastRowLookup,0),MATCH(M$11,[1]!rng_ForecastColumnLookup,0))</f>
        <v>1956.539890631658</v>
      </c>
      <c r="N16" s="44">
        <f ca="1">INDEX([1]!tbl_Forecast,MATCH($D$8&amp;$C16&amp;$D$7,[1]!rng_ForecastRowLookup,0),MATCH(N$11,[1]!rng_ForecastColumnLookup,0))</f>
        <v>1957.7742018038925</v>
      </c>
      <c r="O16" s="44">
        <f ca="1">INDEX([1]!tbl_Forecast,MATCH($D$8&amp;$C16&amp;$D$7,[1]!rng_ForecastRowLookup,0),MATCH(O$11,[1]!rng_ForecastColumnLookup,0))</f>
        <v>1947.2038419604366</v>
      </c>
      <c r="P16" s="44">
        <f ca="1">INDEX([1]!tbl_Forecast,MATCH($D$8&amp;$C16&amp;$D$7,[1]!rng_ForecastRowLookup,0),MATCH(P$11,[1]!rng_ForecastColumnLookup,0))</f>
        <v>1945.153453785721</v>
      </c>
      <c r="Q16" s="44">
        <f ca="1">INDEX([1]!tbl_Forecast,MATCH($D$8&amp;$C16&amp;$D$7,[1]!rng_ForecastRowLookup,0),MATCH(Q$11,[1]!rng_ForecastColumnLookup,0))</f>
        <v>1947.9162901464586</v>
      </c>
      <c r="R16" s="44">
        <f ca="1">INDEX([1]!tbl_Forecast,MATCH($D$8&amp;$C16&amp;$D$7,[1]!rng_ForecastRowLookup,0),MATCH(R$11,[1]!rng_ForecastColumnLookup,0))</f>
        <v>1950.0749856673444</v>
      </c>
      <c r="S16" s="44">
        <f ca="1">INDEX([1]!tbl_Forecast,MATCH($D$8&amp;$C16&amp;$D$7,[1]!rng_ForecastRowLookup,0),MATCH(S$11,[1]!rng_ForecastColumnLookup,0))</f>
        <v>1950.7771106659191</v>
      </c>
      <c r="T16" s="44">
        <f ca="1">INDEX([1]!tbl_Forecast,MATCH($D$8&amp;$C16&amp;$D$7,[1]!rng_ForecastRowLookup,0),MATCH(T$11,[1]!rng_ForecastColumnLookup,0))</f>
        <v>1949.8166473382953</v>
      </c>
      <c r="U16" s="44">
        <f ca="1">INDEX([1]!tbl_Forecast,MATCH($D$8&amp;$C16&amp;$D$7,[1]!rng_ForecastRowLookup,0),MATCH(U$11,[1]!rng_ForecastColumnLookup,0))</f>
        <v>1948.4903882606959</v>
      </c>
      <c r="V16" s="44">
        <f ca="1">INDEX([1]!tbl_Forecast,MATCH($D$8&amp;$C16&amp;$D$7,[1]!rng_ForecastRowLookup,0),MATCH(V$11,[1]!rng_ForecastColumnLookup,0))</f>
        <v>1948.7048126440727</v>
      </c>
      <c r="W16" s="44">
        <f ca="1">INDEX([1]!tbl_Forecast,MATCH($D$8&amp;$C16&amp;$D$7,[1]!rng_ForecastRowLookup,0),MATCH(W$11,[1]!rng_ForecastColumnLookup,0))</f>
        <v>1949.296705787131</v>
      </c>
      <c r="X16" s="44">
        <f ca="1">INDEX([1]!tbl_Forecast,MATCH($D$8&amp;$C16&amp;$D$7,[1]!rng_ForecastRowLookup,0),MATCH(X$11,[1]!rng_ForecastColumnLookup,0))</f>
        <v>1949.5267750605763</v>
      </c>
      <c r="Y16" s="44"/>
      <c r="AA16" s="44">
        <f t="shared" ca="1" si="1"/>
        <v>38891.88615857609</v>
      </c>
    </row>
    <row r="17" spans="1:27">
      <c r="E17" s="44"/>
      <c r="F17" s="44"/>
      <c r="G17" s="44"/>
      <c r="H17" s="44"/>
      <c r="I17" s="44"/>
      <c r="J17" s="44"/>
      <c r="K17" s="44"/>
      <c r="L17" s="44"/>
      <c r="M17" s="44"/>
      <c r="N17" s="44"/>
      <c r="O17" s="44"/>
      <c r="P17" s="44"/>
      <c r="Q17" s="44"/>
      <c r="R17" s="44"/>
      <c r="S17" s="44"/>
      <c r="T17" s="44"/>
      <c r="U17" s="44"/>
      <c r="V17" s="44"/>
      <c r="W17" s="44"/>
      <c r="X17" s="44"/>
      <c r="Y17" s="44"/>
    </row>
    <row r="18" spans="1:27">
      <c r="B18" s="9" t="s">
        <v>61</v>
      </c>
      <c r="C18" s="9" t="s">
        <v>62</v>
      </c>
      <c r="E18" s="44">
        <f t="shared" ref="E18:X18" ca="1" si="2">SUM(E13:E16)</f>
        <v>93061.920247153292</v>
      </c>
      <c r="F18" s="44">
        <f t="shared" ca="1" si="2"/>
        <v>90100.948539574325</v>
      </c>
      <c r="G18" s="44">
        <f t="shared" ca="1" si="2"/>
        <v>86866.015827370516</v>
      </c>
      <c r="H18" s="44">
        <f t="shared" ca="1" si="2"/>
        <v>84078.189292039577</v>
      </c>
      <c r="I18" s="44">
        <f t="shared" ca="1" si="2"/>
        <v>80893.425282727228</v>
      </c>
      <c r="J18" s="44">
        <f t="shared" ca="1" si="2"/>
        <v>77490.543361619988</v>
      </c>
      <c r="K18" s="44">
        <f t="shared" ca="1" si="2"/>
        <v>75866.224752448965</v>
      </c>
      <c r="L18" s="44">
        <f t="shared" ca="1" si="2"/>
        <v>76149.794725545056</v>
      </c>
      <c r="M18" s="44">
        <f t="shared" ca="1" si="2"/>
        <v>76223.656214367264</v>
      </c>
      <c r="N18" s="44">
        <f t="shared" ca="1" si="2"/>
        <v>77783.59964469698</v>
      </c>
      <c r="O18" s="44">
        <f t="shared" ca="1" si="2"/>
        <v>78170.651995712979</v>
      </c>
      <c r="P18" s="44">
        <f t="shared" ca="1" si="2"/>
        <v>77524.11896654492</v>
      </c>
      <c r="Q18" s="44">
        <f t="shared" ca="1" si="2"/>
        <v>76219.011417055648</v>
      </c>
      <c r="R18" s="44">
        <f t="shared" ca="1" si="2"/>
        <v>76022.473980439609</v>
      </c>
      <c r="S18" s="44">
        <f t="shared" ca="1" si="2"/>
        <v>76294.221270583323</v>
      </c>
      <c r="T18" s="44">
        <f t="shared" ca="1" si="2"/>
        <v>75557.419667965733</v>
      </c>
      <c r="U18" s="44">
        <f t="shared" ca="1" si="2"/>
        <v>73529.307407457556</v>
      </c>
      <c r="V18" s="44">
        <f t="shared" ca="1" si="2"/>
        <v>73089.266785410931</v>
      </c>
      <c r="W18" s="44">
        <f t="shared" ca="1" si="2"/>
        <v>72808.300134269928</v>
      </c>
      <c r="X18" s="44">
        <f t="shared" ca="1" si="2"/>
        <v>73033.072604687884</v>
      </c>
      <c r="Y18" s="44"/>
      <c r="AA18" s="44">
        <f ca="1">SUM(E18:Y18)</f>
        <v>1570762.1621176719</v>
      </c>
    </row>
    <row r="19" spans="1:27">
      <c r="E19" s="44"/>
      <c r="F19" s="44"/>
      <c r="G19" s="44"/>
      <c r="H19" s="44"/>
      <c r="I19" s="44"/>
      <c r="J19" s="44"/>
      <c r="K19" s="44"/>
      <c r="L19" s="44"/>
      <c r="M19" s="44"/>
      <c r="N19" s="44"/>
      <c r="O19" s="44"/>
      <c r="P19" s="44"/>
      <c r="Q19" s="44"/>
      <c r="R19" s="44"/>
      <c r="S19" s="44"/>
      <c r="T19" s="44"/>
      <c r="U19" s="44"/>
      <c r="V19" s="44"/>
      <c r="W19" s="44"/>
      <c r="X19" s="44"/>
      <c r="Y19" s="44"/>
    </row>
    <row r="20" spans="1:27">
      <c r="E20" s="44"/>
      <c r="F20" s="44"/>
      <c r="G20" s="44"/>
      <c r="H20" s="44"/>
      <c r="I20" s="44"/>
      <c r="J20" s="44"/>
      <c r="K20" s="44"/>
      <c r="L20" s="44"/>
      <c r="M20" s="44"/>
      <c r="N20" s="44"/>
      <c r="O20" s="44"/>
      <c r="P20" s="44"/>
      <c r="Q20" s="44"/>
      <c r="R20" s="44"/>
      <c r="S20" s="44"/>
      <c r="T20" s="44"/>
      <c r="U20" s="44"/>
      <c r="V20" s="44"/>
      <c r="W20" s="44"/>
      <c r="X20" s="44"/>
      <c r="Y20" s="44"/>
    </row>
    <row r="21" spans="1:27" ht="15">
      <c r="A21" s="67" t="str">
        <f>CONCATENATE("# HOMES APPLICABLE BY YEAR FOR MEASURE - ",C22)</f>
        <v># HOMES APPLICABLE BY YEAR FOR MEASURE - Freezer - New</v>
      </c>
      <c r="B21" s="67"/>
      <c r="E21" s="44"/>
      <c r="F21" s="44"/>
      <c r="G21" s="44"/>
      <c r="H21" s="44"/>
      <c r="I21" s="44"/>
      <c r="J21" s="44"/>
      <c r="K21" s="44"/>
      <c r="L21" s="44"/>
      <c r="M21" s="44"/>
      <c r="N21" s="44"/>
      <c r="O21" s="44"/>
      <c r="P21" s="44"/>
      <c r="Q21" s="44"/>
      <c r="R21" s="44"/>
      <c r="S21" s="44"/>
      <c r="T21" s="44"/>
      <c r="U21" s="44"/>
      <c r="V21" s="44"/>
      <c r="W21" s="44"/>
      <c r="X21" s="44"/>
      <c r="Y21" s="44"/>
    </row>
    <row r="22" spans="1:27" ht="15">
      <c r="A22" s="68" t="s">
        <v>63</v>
      </c>
      <c r="B22" s="68" t="s">
        <v>153</v>
      </c>
      <c r="C22" s="68" t="str">
        <f>CONCATENATE(C8," - ",C7)</f>
        <v>Freezer - New</v>
      </c>
    </row>
    <row r="23" spans="1:27">
      <c r="A23" s="69">
        <f>INDEX([2]!ResApplic,MATCH($C$22,[2]APPLIC!$B$9:$B$120,0)+1,MATCH($C23,[2]APPLIC!$C$8:$F$8,0)+1)</f>
        <v>1</v>
      </c>
      <c r="B23" s="69">
        <f>VLOOKUP($C$8,[2]!NewSat,MATCH($C23,[2]SATS!$C$10:$F$10,0)+1,FALSE)</f>
        <v>0.52766223341265472</v>
      </c>
      <c r="C23" s="9" t="str">
        <f>C13</f>
        <v>Single Family</v>
      </c>
      <c r="E23" s="44">
        <f ca="1">E13*$A23*$B23</f>
        <v>33076.90759710742</v>
      </c>
      <c r="F23" s="44">
        <f t="shared" ref="F23:X26" ca="1" si="3">F13*$A23*$B23</f>
        <v>31639.567281860487</v>
      </c>
      <c r="G23" s="44">
        <f t="shared" ca="1" si="3"/>
        <v>29989.161705721621</v>
      </c>
      <c r="H23" s="44">
        <f t="shared" ca="1" si="3"/>
        <v>29013.609743005869</v>
      </c>
      <c r="I23" s="44">
        <f t="shared" ca="1" si="3"/>
        <v>28233.873235109553</v>
      </c>
      <c r="J23" s="44">
        <f t="shared" ca="1" si="3"/>
        <v>26901.302366955635</v>
      </c>
      <c r="K23" s="44">
        <f t="shared" ca="1" si="3"/>
        <v>26151.820956198735</v>
      </c>
      <c r="L23" s="44">
        <f t="shared" ca="1" si="3"/>
        <v>26026.685329882686</v>
      </c>
      <c r="M23" s="44">
        <f t="shared" ca="1" si="3"/>
        <v>25758.238223958466</v>
      </c>
      <c r="N23" s="44">
        <f t="shared" ca="1" si="3"/>
        <v>26215.975713523745</v>
      </c>
      <c r="O23" s="44">
        <f t="shared" ca="1" si="3"/>
        <v>26399.013827361094</v>
      </c>
      <c r="P23" s="44">
        <f t="shared" ca="1" si="3"/>
        <v>26060.057327834871</v>
      </c>
      <c r="Q23" s="44">
        <f t="shared" ca="1" si="3"/>
        <v>25369.655091379787</v>
      </c>
      <c r="R23" s="44">
        <f t="shared" ca="1" si="3"/>
        <v>25395.882542691565</v>
      </c>
      <c r="S23" s="44">
        <f t="shared" ca="1" si="3"/>
        <v>25692.174384672973</v>
      </c>
      <c r="T23" s="44">
        <f t="shared" ca="1" si="3"/>
        <v>25582.576300481996</v>
      </c>
      <c r="U23" s="44">
        <f t="shared" ca="1" si="3"/>
        <v>24736.278367814073</v>
      </c>
      <c r="V23" s="44">
        <f t="shared" ca="1" si="3"/>
        <v>24693.947720463009</v>
      </c>
      <c r="W23" s="44">
        <f t="shared" ca="1" si="3"/>
        <v>24756.659849241871</v>
      </c>
      <c r="X23" s="44">
        <f t="shared" ca="1" si="3"/>
        <v>24924.729768504003</v>
      </c>
      <c r="Y23" s="44"/>
      <c r="AA23" s="44">
        <f t="shared" ref="AA23:AA26" ca="1" si="4">SUM(E23:Y23)</f>
        <v>536618.11733376945</v>
      </c>
    </row>
    <row r="24" spans="1:27">
      <c r="A24" s="69">
        <f>INDEX([2]!ResApplic,MATCH($C$22,[2]APPLIC!$B$9:$B$120,0)+1,MATCH($C24,[2]APPLIC!$C$8:$F$8,0)+1)</f>
        <v>1</v>
      </c>
      <c r="B24" s="69">
        <f>VLOOKUP($C$8,[2]!NewSat,MATCH($C24,[2]SATS!$C$10:$F$10,0)+1,FALSE)</f>
        <v>4.7085148422193572E-2</v>
      </c>
      <c r="C24" s="9" t="str">
        <f>C14</f>
        <v>Multifamily - Low Rise</v>
      </c>
      <c r="E24" s="44">
        <f t="shared" ref="E24:T26" ca="1" si="5">E14*$A24*$B24</f>
        <v>1096.1585985662753</v>
      </c>
      <c r="F24" s="44">
        <f t="shared" ca="1" si="5"/>
        <v>1083.7785478185153</v>
      </c>
      <c r="G24" s="44">
        <f t="shared" ca="1" si="5"/>
        <v>1074.0879732744743</v>
      </c>
      <c r="H24" s="44">
        <f t="shared" ca="1" si="5"/>
        <v>1039.918650707825</v>
      </c>
      <c r="I24" s="44">
        <f t="shared" ca="1" si="5"/>
        <v>980.21174109624815</v>
      </c>
      <c r="J24" s="44">
        <f t="shared" ca="1" si="5"/>
        <v>945.01208112616848</v>
      </c>
      <c r="K24" s="44">
        <f t="shared" ca="1" si="5"/>
        <v>936.4214878182994</v>
      </c>
      <c r="L24" s="44">
        <f t="shared" ca="1" si="5"/>
        <v>953.8313121089011</v>
      </c>
      <c r="M24" s="44">
        <f t="shared" ca="1" si="5"/>
        <v>977.03415848384714</v>
      </c>
      <c r="N24" s="44">
        <f t="shared" ca="1" si="5"/>
        <v>1003.5885930820054</v>
      </c>
      <c r="O24" s="44">
        <f t="shared" ca="1" si="5"/>
        <v>1007.7769093224857</v>
      </c>
      <c r="P24" s="44">
        <f t="shared" ca="1" si="5"/>
        <v>1008.0524175564459</v>
      </c>
      <c r="Q24" s="44">
        <f t="shared" ca="1" si="5"/>
        <v>1009.6637078624028</v>
      </c>
      <c r="R24" s="44">
        <f t="shared" ca="1" si="5"/>
        <v>998.66967103960576</v>
      </c>
      <c r="S24" s="44">
        <f t="shared" ca="1" si="5"/>
        <v>986.6305803870016</v>
      </c>
      <c r="T24" s="44">
        <f t="shared" ca="1" si="5"/>
        <v>966.44339975588002</v>
      </c>
      <c r="U24" s="44">
        <f t="shared" ca="1" si="3"/>
        <v>949.96667555363069</v>
      </c>
      <c r="V24" s="44">
        <f t="shared" ca="1" si="3"/>
        <v>937.92315765473165</v>
      </c>
      <c r="W24" s="44">
        <f t="shared" ca="1" si="3"/>
        <v>919.86459722199425</v>
      </c>
      <c r="X24" s="44">
        <f t="shared" ca="1" si="3"/>
        <v>916.38467819920083</v>
      </c>
      <c r="Y24" s="44"/>
      <c r="AA24" s="44">
        <f t="shared" ca="1" si="4"/>
        <v>19791.418938635939</v>
      </c>
    </row>
    <row r="25" spans="1:27">
      <c r="A25" s="69">
        <f>INDEX([2]!ResApplic,MATCH($C$22,[2]APPLIC!$B$9:$B$120,0)+1,MATCH($C25,[2]APPLIC!$C$8:$F$8,0)+1)</f>
        <v>1</v>
      </c>
      <c r="B25" s="69">
        <f>VLOOKUP($C$8,[2]!NewSat,MATCH($C25,[2]SATS!$C$10:$F$10,0)+1,FALSE)</f>
        <v>4.7085148422193572E-2</v>
      </c>
      <c r="C25" s="9" t="str">
        <f>C15</f>
        <v>Multifamily - High Rise</v>
      </c>
      <c r="E25" s="44">
        <f t="shared" ca="1" si="5"/>
        <v>246.07822681715479</v>
      </c>
      <c r="F25" s="44">
        <f t="shared" ca="1" si="3"/>
        <v>246.72397073811598</v>
      </c>
      <c r="G25" s="44">
        <f t="shared" ca="1" si="3"/>
        <v>248.19811955728088</v>
      </c>
      <c r="H25" s="44">
        <f t="shared" ca="1" si="3"/>
        <v>234.76106710747746</v>
      </c>
      <c r="I25" s="44">
        <f t="shared" ca="1" si="3"/>
        <v>216.99620083777518</v>
      </c>
      <c r="J25" s="44">
        <f t="shared" ca="1" si="3"/>
        <v>212.33695553966794</v>
      </c>
      <c r="K25" s="44">
        <f t="shared" ca="1" si="3"/>
        <v>211.02435132406643</v>
      </c>
      <c r="L25" s="44">
        <f t="shared" ca="1" si="3"/>
        <v>217.61961180386166</v>
      </c>
      <c r="M25" s="44">
        <f t="shared" ca="1" si="3"/>
        <v>221.34626071389488</v>
      </c>
      <c r="N25" s="44">
        <f t="shared" ca="1" si="3"/>
        <v>227.33835761471167</v>
      </c>
      <c r="O25" s="44">
        <f t="shared" ca="1" si="3"/>
        <v>225.53903402065129</v>
      </c>
      <c r="P25" s="44">
        <f t="shared" ca="1" si="3"/>
        <v>225.1642401125504</v>
      </c>
      <c r="Q25" s="44">
        <f t="shared" ca="1" si="3"/>
        <v>223.57868721497545</v>
      </c>
      <c r="R25" s="44">
        <f t="shared" ca="1" si="3"/>
        <v>222.87671986286446</v>
      </c>
      <c r="S25" s="44">
        <f t="shared" ca="1" si="3"/>
        <v>221.23885397371171</v>
      </c>
      <c r="T25" s="44">
        <f t="shared" ca="1" si="3"/>
        <v>216.55866609924109</v>
      </c>
      <c r="U25" s="44">
        <f t="shared" ca="1" si="3"/>
        <v>213.12199800797282</v>
      </c>
      <c r="V25" s="44">
        <f t="shared" ca="1" si="3"/>
        <v>208.21335356396801</v>
      </c>
      <c r="W25" s="44">
        <f t="shared" ca="1" si="3"/>
        <v>207.41866534472473</v>
      </c>
      <c r="X25" s="44">
        <f t="shared" ca="1" si="3"/>
        <v>206.47372934734335</v>
      </c>
      <c r="Y25" s="44"/>
      <c r="AA25" s="44">
        <f t="shared" ca="1" si="4"/>
        <v>4452.6070696020106</v>
      </c>
    </row>
    <row r="26" spans="1:27">
      <c r="A26" s="69">
        <f>INDEX([2]!ResApplic,MATCH($C$22,[2]APPLIC!$B$9:$B$120,0)+1,MATCH($C26,[2]APPLIC!$C$8:$F$8,0)+1)</f>
        <v>1</v>
      </c>
      <c r="B26" s="69">
        <f>VLOOKUP($C$8,[2]!NewSat,MATCH($C26,[2]SATS!$C$10:$F$10,0)+1,FALSE)</f>
        <v>0.44147575101117187</v>
      </c>
      <c r="C26" t="s">
        <v>54</v>
      </c>
      <c r="D26"/>
      <c r="E26" s="44">
        <f t="shared" ca="1" si="5"/>
        <v>825.37220603526816</v>
      </c>
      <c r="F26" s="44">
        <f t="shared" ca="1" si="3"/>
        <v>830.76743741551002</v>
      </c>
      <c r="G26" s="44">
        <f t="shared" ca="1" si="3"/>
        <v>860.49540688946502</v>
      </c>
      <c r="H26" s="44">
        <f t="shared" ca="1" si="3"/>
        <v>892.30918135375828</v>
      </c>
      <c r="I26" s="44">
        <f t="shared" ca="1" si="3"/>
        <v>865.07445845710515</v>
      </c>
      <c r="J26" s="44">
        <f t="shared" ca="1" si="3"/>
        <v>851.41973029836095</v>
      </c>
      <c r="K26" s="44">
        <f t="shared" ca="1" si="3"/>
        <v>854.23973674157787</v>
      </c>
      <c r="L26" s="44">
        <f t="shared" ca="1" si="3"/>
        <v>859.05099185929635</v>
      </c>
      <c r="M26" s="44">
        <f t="shared" ca="1" si="3"/>
        <v>863.76491759992723</v>
      </c>
      <c r="N26" s="44">
        <f t="shared" ca="1" si="3"/>
        <v>864.30983605167103</v>
      </c>
      <c r="O26" s="44">
        <f t="shared" ca="1" si="3"/>
        <v>859.64327850132304</v>
      </c>
      <c r="P26" s="44">
        <f t="shared" ca="1" si="3"/>
        <v>858.73808184202596</v>
      </c>
      <c r="Q26" s="44">
        <f t="shared" ca="1" si="3"/>
        <v>859.95780709930352</v>
      </c>
      <c r="R26" s="44">
        <f t="shared" ca="1" si="3"/>
        <v>860.91081882559115</v>
      </c>
      <c r="S26" s="44">
        <f t="shared" ca="1" si="3"/>
        <v>861.22078998664051</v>
      </c>
      <c r="T26" s="44">
        <f t="shared" ca="1" si="3"/>
        <v>860.79676871775916</v>
      </c>
      <c r="U26" s="44">
        <f t="shared" ca="1" si="3"/>
        <v>860.21125749544058</v>
      </c>
      <c r="V26" s="44">
        <f t="shared" ca="1" si="3"/>
        <v>860.30592066112695</v>
      </c>
      <c r="W26" s="44">
        <f t="shared" ca="1" si="3"/>
        <v>860.56722713097702</v>
      </c>
      <c r="X26" s="44">
        <f t="shared" ca="1" si="3"/>
        <v>860.66879713625588</v>
      </c>
      <c r="Y26" s="44"/>
      <c r="AA26" s="44">
        <f t="shared" ca="1" si="4"/>
        <v>17169.824650098381</v>
      </c>
    </row>
    <row r="27" spans="1:27">
      <c r="E27" s="44"/>
      <c r="F27" s="44"/>
      <c r="G27" s="44"/>
      <c r="H27" s="44"/>
      <c r="I27" s="44"/>
      <c r="J27" s="44"/>
      <c r="K27" s="44"/>
      <c r="L27" s="44"/>
      <c r="M27" s="44"/>
      <c r="N27" s="44"/>
      <c r="O27" s="44"/>
      <c r="P27" s="44"/>
      <c r="Q27" s="44"/>
      <c r="R27" s="44"/>
      <c r="S27" s="44"/>
      <c r="T27" s="44"/>
      <c r="U27" s="44"/>
      <c r="V27" s="44"/>
      <c r="W27" s="44"/>
      <c r="X27" s="44"/>
      <c r="Y27" s="44"/>
    </row>
    <row r="28" spans="1:27">
      <c r="E28" s="44">
        <f t="shared" ref="E28:X28" ca="1" si="6">SUM(E23:E26)</f>
        <v>35244.516628526115</v>
      </c>
      <c r="F28" s="44">
        <f t="shared" ca="1" si="6"/>
        <v>33800.837237832631</v>
      </c>
      <c r="G28" s="44">
        <f t="shared" ca="1" si="6"/>
        <v>32171.94320544284</v>
      </c>
      <c r="H28" s="44">
        <f t="shared" ca="1" si="6"/>
        <v>31180.598642174929</v>
      </c>
      <c r="I28" s="44">
        <f t="shared" ca="1" si="6"/>
        <v>30296.15563550068</v>
      </c>
      <c r="J28" s="44">
        <f t="shared" ca="1" si="6"/>
        <v>28910.071133919831</v>
      </c>
      <c r="K28" s="44">
        <f t="shared" ca="1" si="6"/>
        <v>28153.506532082683</v>
      </c>
      <c r="L28" s="44">
        <f t="shared" ca="1" si="6"/>
        <v>28057.187245654746</v>
      </c>
      <c r="M28" s="44">
        <f t="shared" ca="1" si="6"/>
        <v>27820.383560756134</v>
      </c>
      <c r="N28" s="44">
        <f t="shared" ca="1" si="6"/>
        <v>28311.212500272133</v>
      </c>
      <c r="O28" s="44">
        <f t="shared" ca="1" si="6"/>
        <v>28491.973049205553</v>
      </c>
      <c r="P28" s="44">
        <f t="shared" ca="1" si="6"/>
        <v>28152.012067345891</v>
      </c>
      <c r="Q28" s="44">
        <f t="shared" ca="1" si="6"/>
        <v>27462.855293556473</v>
      </c>
      <c r="R28" s="44">
        <f t="shared" ca="1" si="6"/>
        <v>27478.339752419626</v>
      </c>
      <c r="S28" s="44">
        <f t="shared" ca="1" si="6"/>
        <v>27761.264609020327</v>
      </c>
      <c r="T28" s="44">
        <f t="shared" ca="1" si="6"/>
        <v>27626.375135054877</v>
      </c>
      <c r="U28" s="44">
        <f t="shared" ca="1" si="6"/>
        <v>26759.578298871118</v>
      </c>
      <c r="V28" s="44">
        <f t="shared" ca="1" si="6"/>
        <v>26700.390152342836</v>
      </c>
      <c r="W28" s="44">
        <f t="shared" ca="1" si="6"/>
        <v>26744.510338939566</v>
      </c>
      <c r="X28" s="44">
        <f t="shared" ca="1" si="6"/>
        <v>26908.256973186802</v>
      </c>
      <c r="Y28" s="44"/>
      <c r="AA28" s="44">
        <f ca="1">SUM(E28:Y28)</f>
        <v>578031.96799210587</v>
      </c>
    </row>
    <row r="29" spans="1:27">
      <c r="E29" s="44"/>
      <c r="F29" s="44"/>
      <c r="G29" s="44"/>
      <c r="H29" s="44"/>
      <c r="I29" s="44"/>
      <c r="J29" s="44"/>
      <c r="K29" s="44"/>
      <c r="L29" s="44"/>
      <c r="M29" s="44"/>
      <c r="N29" s="44"/>
      <c r="O29" s="44"/>
      <c r="P29" s="44"/>
      <c r="Q29" s="44"/>
      <c r="R29" s="44"/>
      <c r="S29" s="44"/>
      <c r="T29" s="44"/>
      <c r="U29" s="44"/>
      <c r="V29" s="44"/>
      <c r="W29" s="44"/>
      <c r="X29" s="44"/>
      <c r="Y29" s="44"/>
    </row>
    <row r="31" spans="1:27" ht="15.75" thickBot="1">
      <c r="A31" s="86" t="str">
        <f>CONCATENATE("# UNITS ACHIEVABLE BY YEAR FOR MEASURE - ",C32)</f>
        <v># UNITS ACHIEVABLE BY YEAR FOR MEASURE - Freezer - New</v>
      </c>
      <c r="B31" s="86"/>
      <c r="D31" s="70" t="s">
        <v>64</v>
      </c>
      <c r="E31" s="9">
        <v>3</v>
      </c>
      <c r="F31" s="9">
        <v>4</v>
      </c>
      <c r="G31" s="9">
        <v>5</v>
      </c>
      <c r="H31" s="9">
        <v>6</v>
      </c>
      <c r="I31" s="9">
        <v>7</v>
      </c>
      <c r="J31" s="9">
        <v>8</v>
      </c>
      <c r="K31" s="9">
        <v>9</v>
      </c>
      <c r="L31" s="9">
        <v>10</v>
      </c>
      <c r="M31" s="9">
        <v>11</v>
      </c>
      <c r="N31" s="9">
        <v>12</v>
      </c>
      <c r="O31" s="9">
        <v>13</v>
      </c>
      <c r="P31" s="9">
        <v>14</v>
      </c>
      <c r="Q31" s="9">
        <v>15</v>
      </c>
      <c r="R31" s="9">
        <v>16</v>
      </c>
      <c r="S31" s="9">
        <v>17</v>
      </c>
      <c r="T31" s="9">
        <v>18</v>
      </c>
      <c r="U31" s="9">
        <v>19</v>
      </c>
      <c r="V31" s="9">
        <v>20</v>
      </c>
      <c r="W31" s="9">
        <v>21</v>
      </c>
      <c r="X31" s="9">
        <v>22</v>
      </c>
    </row>
    <row r="32" spans="1:27" ht="15.75" thickBot="1">
      <c r="C32" s="68" t="str">
        <f>CONCATENATE(C8," - ",C7)</f>
        <v>Freezer - New</v>
      </c>
      <c r="D32" s="68"/>
      <c r="E32" s="71">
        <f>VLOOKUP($C$32,[2]ACHIEV!$B$9:$X$100,MATCH(E$11,$E$11:$Y$11,0)+2,FALSE)</f>
        <v>2.5643970768378654E-3</v>
      </c>
      <c r="F32" s="71">
        <f>VLOOKUP($C$32,[2]ACHIEV!$B$9:$X$100,MATCH(F$11,$E$11:$Y$11,0)+2,FALSE)</f>
        <v>7.6904586297764643E-3</v>
      </c>
      <c r="G32" s="71">
        <f>VLOOKUP($C$32,[2]ACHIEV!$B$9:$X$100,MATCH(G$11,$E$11:$Y$11,0)+2,FALSE)</f>
        <v>1.6792013047419844E-2</v>
      </c>
      <c r="H32" s="71">
        <f>VLOOKUP($C$32,[2]ACHIEV!$B$9:$X$100,MATCH(H$11,$E$11:$Y$11,0)+2,FALSE)</f>
        <v>3.15969387774655E-2</v>
      </c>
      <c r="I32" s="71">
        <f>VLOOKUP($C$32,[2]ACHIEV!$B$9:$X$100,MATCH(I$11,$E$11:$Y$11,0)+2,FALSE)</f>
        <v>5.406874819795171E-2</v>
      </c>
      <c r="J32" s="71">
        <f>VLOOKUP($C$32,[2]ACHIEV!$B$9:$X$100,MATCH(J$11,$E$11:$Y$11,0)+2,FALSE)</f>
        <v>8.6253181011834101E-2</v>
      </c>
      <c r="K32" s="71">
        <f>VLOOKUP($C$32,[2]ACHIEV!$B$9:$X$100,MATCH(K$11,$E$11:$Y$11,0)+2,FALSE)</f>
        <v>0.1300328481838382</v>
      </c>
      <c r="L32" s="71">
        <f>VLOOKUP($C$32,[2]ACHIEV!$B$9:$X$100,MATCH(L$11,$E$11:$Y$11,0)+2,FALSE)</f>
        <v>0.18678710893858319</v>
      </c>
      <c r="M32" s="71">
        <f>VLOOKUP($C$32,[2]ACHIEV!$B$9:$X$100,MATCH(M$11,$E$11:$Y$11,0)+2,FALSE)</f>
        <v>0.2569823480072907</v>
      </c>
      <c r="N32" s="71">
        <f>VLOOKUP($C$32,[2]ACHIEV!$B$9:$X$100,MATCH(N$11,$E$11:$Y$11,0)+2,FALSE)</f>
        <v>0.33975920985004748</v>
      </c>
      <c r="O32" s="71">
        <f>VLOOKUP($C$32,[2]ACHIEV!$B$9:$X$100,MATCH(O$11,$E$11:$Y$11,0)+2,FALSE)</f>
        <v>0.43262946935754232</v>
      </c>
      <c r="P32" s="71">
        <f>VLOOKUP($C$32,[2]ACHIEV!$B$9:$X$100,MATCH(P$11,$E$11:$Y$11,0)+2,FALSE)</f>
        <v>0.53142594003645804</v>
      </c>
      <c r="Q32" s="71">
        <f>VLOOKUP($C$32,[2]ACHIEV!$B$9:$X$100,MATCH(Q$11,$E$11:$Y$11,0)+2,FALSE)</f>
        <v>0.63063487292644704</v>
      </c>
      <c r="R32" s="71">
        <f>VLOOKUP($C$32,[2]ACHIEV!$B$9:$X$100,MATCH(R$11,$E$11:$Y$11,0)+2,FALSE)</f>
        <v>0.7241560234206913</v>
      </c>
      <c r="S32" s="71">
        <f>VLOOKUP($C$32,[2]ACHIEV!$B$9:$X$100,MATCH(S$11,$E$11:$Y$11,0)+2,FALSE)</f>
        <v>0.80638203131755359</v>
      </c>
      <c r="T32" s="71">
        <f>VLOOKUP($C$32,[2]ACHIEV!$B$9:$X$100,MATCH(T$11,$E$11:$Y$11,0)+2,FALSE)</f>
        <v>0.87331559734491926</v>
      </c>
      <c r="U32" s="71">
        <f>VLOOKUP($C$32,[2]ACHIEV!$B$9:$X$100,MATCH(U$11,$E$11:$Y$11,0)+2,FALSE)</f>
        <v>0.92334516248836807</v>
      </c>
      <c r="V32" s="71">
        <f>VLOOKUP($C$32,[2]ACHIEV!$B$9:$X$100,MATCH(V$11,$E$11:$Y$11,0)+2,FALSE)</f>
        <v>0.95737002770730018</v>
      </c>
      <c r="W32" s="71">
        <f>VLOOKUP($C$32,[2]ACHIEV!$B$9:$X$100,MATCH(W$11,$E$11:$Y$11,0)+2,FALSE)</f>
        <v>0.97821608704807483</v>
      </c>
      <c r="X32" s="71">
        <f>VLOOKUP($C$32,[2]ACHIEV!$B$9:$X$100,MATCH(X$11,$E$11:$Y$11,0)+2,FALSE)</f>
        <v>0.98821608704807484</v>
      </c>
      <c r="Y32" s="71"/>
      <c r="AA32" s="462">
        <v>0.85</v>
      </c>
    </row>
    <row r="33" spans="1:80">
      <c r="C33" s="9" t="str">
        <f>C23</f>
        <v>Single Family</v>
      </c>
      <c r="E33" s="44">
        <f ca="1">E23*E$32*$AA$32</f>
        <v>72.098976379929681</v>
      </c>
      <c r="F33" s="44">
        <f t="shared" ref="F33:X33" ca="1" si="7">F23*F$32*$AA$32</f>
        <v>206.82436575840049</v>
      </c>
      <c r="G33" s="44">
        <f t="shared" ca="1" si="7"/>
        <v>428.04163544711184</v>
      </c>
      <c r="H33" s="44">
        <f t="shared" ca="1" si="7"/>
        <v>779.23006314857798</v>
      </c>
      <c r="I33" s="44">
        <f t="shared" ca="1" si="7"/>
        <v>1297.5846552117227</v>
      </c>
      <c r="J33" s="44">
        <f t="shared" ca="1" si="7"/>
        <v>1972.2744671344396</v>
      </c>
      <c r="K33" s="44">
        <f t="shared" ca="1" si="7"/>
        <v>2890.5063995090622</v>
      </c>
      <c r="L33" s="44">
        <f t="shared" ca="1" si="7"/>
        <v>4132.2319118195692</v>
      </c>
      <c r="M33" s="44">
        <f t="shared" ca="1" si="7"/>
        <v>5626.5006584253933</v>
      </c>
      <c r="N33" s="44">
        <f t="shared" ca="1" si="7"/>
        <v>7571.0513147936317</v>
      </c>
      <c r="O33" s="44">
        <f t="shared" ca="1" si="7"/>
        <v>9707.8426421396052</v>
      </c>
      <c r="P33" s="44">
        <f t="shared" ca="1" si="7"/>
        <v>11771.641893421338</v>
      </c>
      <c r="Q33" s="44">
        <f t="shared" ca="1" si="7"/>
        <v>13599.14083252907</v>
      </c>
      <c r="R33" s="44">
        <f t="shared" ca="1" si="7"/>
        <v>15631.994116368305</v>
      </c>
      <c r="S33" s="44">
        <f t="shared" ca="1" si="7"/>
        <v>17610.0516038858</v>
      </c>
      <c r="T33" s="44">
        <f t="shared" ca="1" si="7"/>
        <v>18990.413467955797</v>
      </c>
      <c r="U33" s="44">
        <f t="shared" ca="1" si="7"/>
        <v>19414.104523553771</v>
      </c>
      <c r="V33" s="44">
        <f t="shared" ca="1" si="7"/>
        <v>20095.058601340948</v>
      </c>
      <c r="W33" s="44">
        <f t="shared" ca="1" si="7"/>
        <v>20584.758487189731</v>
      </c>
      <c r="X33" s="44">
        <f t="shared" ca="1" si="7"/>
        <v>20936.36608417744</v>
      </c>
      <c r="Y33" s="44"/>
      <c r="AA33" s="44">
        <f t="shared" ref="AA33:AA36" ca="1" si="8">SUM(E33:Y33)</f>
        <v>193317.71670018969</v>
      </c>
    </row>
    <row r="34" spans="1:80">
      <c r="C34" s="9" t="str">
        <f>C24</f>
        <v>Multifamily - Low Rise</v>
      </c>
      <c r="E34" s="44">
        <f t="shared" ref="E34:X34" ca="1" si="9">E24*E$32*$AA$32</f>
        <v>2.3893380200269401</v>
      </c>
      <c r="F34" s="44">
        <f t="shared" ca="1" si="9"/>
        <v>7.0845409729618805</v>
      </c>
      <c r="G34" s="44">
        <f t="shared" ca="1" si="9"/>
        <v>15.33068437210645</v>
      </c>
      <c r="H34" s="44">
        <f t="shared" ca="1" si="9"/>
        <v>27.92950904896572</v>
      </c>
      <c r="I34" s="44">
        <f t="shared" ca="1" si="9"/>
        <v>45.048998538507547</v>
      </c>
      <c r="J34" s="44">
        <f t="shared" ca="1" si="9"/>
        <v>69.283753377983643</v>
      </c>
      <c r="K34" s="44">
        <f t="shared" ca="1" si="9"/>
        <v>103.50072018732669</v>
      </c>
      <c r="L34" s="44">
        <f t="shared" ca="1" si="9"/>
        <v>151.4388842233295</v>
      </c>
      <c r="M34" s="44">
        <f t="shared" ca="1" si="9"/>
        <v>213.41845231093043</v>
      </c>
      <c r="N34" s="44">
        <f t="shared" ca="1" si="9"/>
        <v>289.83169729005351</v>
      </c>
      <c r="O34" s="44">
        <f t="shared" ca="1" si="9"/>
        <v>370.59489108432541</v>
      </c>
      <c r="P34" s="44">
        <f t="shared" ca="1" si="9"/>
        <v>455.34942306506457</v>
      </c>
      <c r="Q34" s="44">
        <f t="shared" ca="1" si="9"/>
        <v>541.21977249031397</v>
      </c>
      <c r="R34" s="44">
        <f t="shared" ca="1" si="9"/>
        <v>614.71375903725709</v>
      </c>
      <c r="S34" s="44">
        <f t="shared" ca="1" si="9"/>
        <v>676.26099583661403</v>
      </c>
      <c r="T34" s="44">
        <f t="shared" ca="1" si="9"/>
        <v>717.40858071418177</v>
      </c>
      <c r="U34" s="44">
        <f t="shared" ca="1" si="9"/>
        <v>745.57506423796156</v>
      </c>
      <c r="V34" s="44">
        <f t="shared" ca="1" si="9"/>
        <v>763.24859151654448</v>
      </c>
      <c r="W34" s="44">
        <f t="shared" ca="1" si="9"/>
        <v>764.85239487226977</v>
      </c>
      <c r="X34" s="44">
        <f t="shared" ca="1" si="9"/>
        <v>769.74816878269996</v>
      </c>
      <c r="Y34" s="44"/>
      <c r="AA34" s="44">
        <f t="shared" ca="1" si="8"/>
        <v>7344.2282199794254</v>
      </c>
    </row>
    <row r="35" spans="1:80">
      <c r="C35" s="9" t="s">
        <v>53</v>
      </c>
      <c r="E35" s="44">
        <f t="shared" ref="E35:X35" ca="1" si="10">E25*E$32*$AA$32</f>
        <v>0.5363859426948534</v>
      </c>
      <c r="F35" s="44">
        <f t="shared" ca="1" si="10"/>
        <v>1.612807416445311</v>
      </c>
      <c r="G35" s="44">
        <f t="shared" ca="1" si="10"/>
        <v>3.5425841526582911</v>
      </c>
      <c r="H35" s="44">
        <f t="shared" ca="1" si="10"/>
        <v>6.3050714050183192</v>
      </c>
      <c r="I35" s="44">
        <f t="shared" ca="1" si="10"/>
        <v>9.9728060015583502</v>
      </c>
      <c r="J35" s="44">
        <f t="shared" ca="1" si="10"/>
        <v>15.567527182415036</v>
      </c>
      <c r="K35" s="44">
        <f t="shared" ca="1" si="10"/>
        <v>23.324082822992974</v>
      </c>
      <c r="L35" s="44">
        <f t="shared" ca="1" si="10"/>
        <v>34.551257416603079</v>
      </c>
      <c r="M35" s="44">
        <f t="shared" ca="1" si="10"/>
        <v>48.349769530757037</v>
      </c>
      <c r="N35" s="44">
        <f t="shared" ca="1" si="10"/>
        <v>65.654255639014664</v>
      </c>
      <c r="O35" s="44">
        <f t="shared" ca="1" si="10"/>
        <v>82.938607716601993</v>
      </c>
      <c r="P35" s="44">
        <f t="shared" ca="1" si="10"/>
        <v>101.70940026974583</v>
      </c>
      <c r="Q35" s="44">
        <f t="shared" ca="1" si="10"/>
        <v>119.84703945074621</v>
      </c>
      <c r="R35" s="44">
        <f t="shared" ca="1" si="10"/>
        <v>137.18789129359843</v>
      </c>
      <c r="S35" s="44">
        <f t="shared" ca="1" si="10"/>
        <v>151.64258100263586</v>
      </c>
      <c r="T35" s="44">
        <f t="shared" ca="1" si="10"/>
        <v>160.755451717976</v>
      </c>
      <c r="U35" s="44">
        <f t="shared" ca="1" si="10"/>
        <v>167.26739099843971</v>
      </c>
      <c r="V35" s="44">
        <f t="shared" ca="1" si="10"/>
        <v>169.43664045998105</v>
      </c>
      <c r="W35" s="44">
        <f t="shared" ca="1" si="10"/>
        <v>172.46523391511315</v>
      </c>
      <c r="X35" s="44">
        <f t="shared" ca="1" si="10"/>
        <v>173.43456175977664</v>
      </c>
      <c r="Y35" s="44"/>
      <c r="AA35" s="44">
        <f t="shared" ca="1" si="8"/>
        <v>1646.1013460947729</v>
      </c>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row>
    <row r="36" spans="1:80">
      <c r="C36" s="9" t="str">
        <f>C26</f>
        <v>Manufactured</v>
      </c>
      <c r="E36" s="44">
        <f t="shared" ref="E36:X36" ca="1" si="11">E26*E$32*$AA$32</f>
        <v>1.7990947615910529</v>
      </c>
      <c r="F36" s="44">
        <f t="shared" ca="1" si="11"/>
        <v>5.4306352171479801</v>
      </c>
      <c r="G36" s="44">
        <f t="shared" ca="1" si="11"/>
        <v>12.282032584772832</v>
      </c>
      <c r="H36" s="44">
        <f t="shared" ca="1" si="11"/>
        <v>23.965102787734299</v>
      </c>
      <c r="I36" s="44">
        <f t="shared" ca="1" si="11"/>
        <v>39.757469106777158</v>
      </c>
      <c r="J36" s="44">
        <f t="shared" ca="1" si="11"/>
        <v>62.422011097300775</v>
      </c>
      <c r="K36" s="44">
        <f t="shared" ca="1" si="11"/>
        <v>94.417342100271583</v>
      </c>
      <c r="L36" s="44">
        <f t="shared" ca="1" si="11"/>
        <v>136.39070352018726</v>
      </c>
      <c r="M36" s="44">
        <f t="shared" ca="1" si="11"/>
        <v>188.67648615348028</v>
      </c>
      <c r="N36" s="44">
        <f t="shared" ca="1" si="11"/>
        <v>249.60864291815884</v>
      </c>
      <c r="O36" s="44">
        <f t="shared" ca="1" si="11"/>
        <v>316.12096310258454</v>
      </c>
      <c r="P36" s="44">
        <f t="shared" ca="1" si="11"/>
        <v>387.90233852980293</v>
      </c>
      <c r="Q36" s="44">
        <f t="shared" ca="1" si="11"/>
        <v>460.97147504184909</v>
      </c>
      <c r="R36" s="44">
        <f t="shared" ca="1" si="11"/>
        <v>529.91869181850257</v>
      </c>
      <c r="S36" s="44">
        <f t="shared" ca="1" si="11"/>
        <v>590.30202453598508</v>
      </c>
      <c r="T36" s="44">
        <f t="shared" ca="1" si="11"/>
        <v>638.98515762552722</v>
      </c>
      <c r="U36" s="44">
        <f t="shared" ca="1" si="11"/>
        <v>675.13111782748331</v>
      </c>
      <c r="V36" s="44">
        <f t="shared" ca="1" si="11"/>
        <v>700.0864376350828</v>
      </c>
      <c r="W36" s="44">
        <f t="shared" ca="1" si="11"/>
        <v>715.54759973099476</v>
      </c>
      <c r="X36" s="44">
        <f t="shared" ca="1" si="11"/>
        <v>722.94773830780946</v>
      </c>
      <c r="Y36" s="44"/>
      <c r="AA36" s="44">
        <f t="shared" ca="1" si="8"/>
        <v>6552.6630644030438</v>
      </c>
    </row>
    <row r="37" spans="1:80">
      <c r="E37" s="44"/>
      <c r="F37" s="44"/>
      <c r="G37" s="44"/>
      <c r="H37" s="44"/>
      <c r="I37" s="44"/>
      <c r="J37" s="44"/>
      <c r="K37" s="44"/>
      <c r="L37" s="44"/>
      <c r="M37" s="44"/>
      <c r="N37" s="44"/>
      <c r="O37" s="44"/>
      <c r="P37" s="44"/>
      <c r="Q37" s="44"/>
      <c r="R37" s="44"/>
      <c r="S37" s="44"/>
      <c r="T37" s="44"/>
      <c r="U37" s="44"/>
      <c r="V37" s="44"/>
      <c r="W37" s="44"/>
      <c r="X37" s="44"/>
      <c r="Y37" s="44"/>
    </row>
    <row r="38" spans="1:80">
      <c r="E38" s="44">
        <f t="shared" ref="E38:X38" ca="1" si="12">SUM(E33:E36)</f>
        <v>76.823795104242521</v>
      </c>
      <c r="F38" s="44">
        <f t="shared" ca="1" si="12"/>
        <v>220.95234936495569</v>
      </c>
      <c r="G38" s="44">
        <f t="shared" ca="1" si="12"/>
        <v>459.1969365566494</v>
      </c>
      <c r="H38" s="44">
        <f t="shared" ca="1" si="12"/>
        <v>837.42974639029637</v>
      </c>
      <c r="I38" s="44">
        <f t="shared" ca="1" si="12"/>
        <v>1392.3639288585657</v>
      </c>
      <c r="J38" s="44">
        <f t="shared" ca="1" si="12"/>
        <v>2119.5477587921391</v>
      </c>
      <c r="K38" s="44">
        <f t="shared" ca="1" si="12"/>
        <v>3111.7485446196533</v>
      </c>
      <c r="L38" s="44">
        <f t="shared" ca="1" si="12"/>
        <v>4454.612756979689</v>
      </c>
      <c r="M38" s="44">
        <f t="shared" ca="1" si="12"/>
        <v>6076.9453664205612</v>
      </c>
      <c r="N38" s="44">
        <f t="shared" ca="1" si="12"/>
        <v>8176.1459106408593</v>
      </c>
      <c r="O38" s="44">
        <f t="shared" ca="1" si="12"/>
        <v>10477.497104043117</v>
      </c>
      <c r="P38" s="44">
        <f t="shared" ca="1" si="12"/>
        <v>12716.60305528595</v>
      </c>
      <c r="Q38" s="44">
        <f t="shared" ca="1" si="12"/>
        <v>14721.17911951198</v>
      </c>
      <c r="R38" s="44">
        <f t="shared" ca="1" si="12"/>
        <v>16913.814458517663</v>
      </c>
      <c r="S38" s="44">
        <f t="shared" ca="1" si="12"/>
        <v>19028.257205261038</v>
      </c>
      <c r="T38" s="44">
        <f t="shared" ca="1" si="12"/>
        <v>20507.562658013481</v>
      </c>
      <c r="U38" s="44">
        <f t="shared" ca="1" si="12"/>
        <v>21002.078096617657</v>
      </c>
      <c r="V38" s="44">
        <f t="shared" ca="1" si="12"/>
        <v>21727.83027095256</v>
      </c>
      <c r="W38" s="44">
        <f t="shared" ca="1" si="12"/>
        <v>22237.623715708109</v>
      </c>
      <c r="X38" s="44">
        <f t="shared" ca="1" si="12"/>
        <v>22602.496553027722</v>
      </c>
      <c r="Y38" s="44"/>
      <c r="AA38" s="44">
        <f ca="1">SUM(E38:Y38)</f>
        <v>208860.7093306669</v>
      </c>
    </row>
    <row r="40" spans="1:80">
      <c r="AA40"/>
      <c r="AB40"/>
      <c r="AC40"/>
      <c r="AD40"/>
    </row>
    <row r="41" spans="1:80" ht="15">
      <c r="A41" s="67" t="s">
        <v>65</v>
      </c>
      <c r="C41" s="72" t="str">
        <f>C8</f>
        <v>Freezer</v>
      </c>
      <c r="D41" s="72"/>
      <c r="E41" s="72" t="s">
        <v>4720</v>
      </c>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ht="15">
      <c r="A42" s="68" t="s">
        <v>66</v>
      </c>
      <c r="B42" s="68" t="s">
        <v>24</v>
      </c>
      <c r="C42" s="68">
        <v>1</v>
      </c>
      <c r="D42" s="68"/>
      <c r="E42" s="73">
        <f t="shared" ref="E42:X42" si="13">E11</f>
        <v>2016</v>
      </c>
      <c r="F42" s="73">
        <f t="shared" si="13"/>
        <v>2017</v>
      </c>
      <c r="G42" s="73">
        <f t="shared" si="13"/>
        <v>2018</v>
      </c>
      <c r="H42" s="73">
        <f t="shared" si="13"/>
        <v>2019</v>
      </c>
      <c r="I42" s="73">
        <f t="shared" si="13"/>
        <v>2020</v>
      </c>
      <c r="J42" s="73">
        <f t="shared" si="13"/>
        <v>2021</v>
      </c>
      <c r="K42" s="73">
        <f t="shared" si="13"/>
        <v>2022</v>
      </c>
      <c r="L42" s="73">
        <f t="shared" si="13"/>
        <v>2023</v>
      </c>
      <c r="M42" s="73">
        <f t="shared" si="13"/>
        <v>2024</v>
      </c>
      <c r="N42" s="73">
        <f t="shared" si="13"/>
        <v>2025</v>
      </c>
      <c r="O42" s="73">
        <f t="shared" si="13"/>
        <v>2026</v>
      </c>
      <c r="P42" s="73">
        <f t="shared" si="13"/>
        <v>2027</v>
      </c>
      <c r="Q42" s="73">
        <f t="shared" si="13"/>
        <v>2028</v>
      </c>
      <c r="R42" s="73">
        <f t="shared" si="13"/>
        <v>2029</v>
      </c>
      <c r="S42" s="73">
        <f t="shared" si="13"/>
        <v>2030</v>
      </c>
      <c r="T42" s="73">
        <f t="shared" si="13"/>
        <v>2031</v>
      </c>
      <c r="U42" s="73">
        <f t="shared" si="13"/>
        <v>2032</v>
      </c>
      <c r="V42" s="73">
        <f t="shared" si="13"/>
        <v>2033</v>
      </c>
      <c r="W42" s="73">
        <f t="shared" si="13"/>
        <v>2034</v>
      </c>
      <c r="X42" s="73">
        <f t="shared" si="13"/>
        <v>2035</v>
      </c>
      <c r="Y42" s="74" t="s">
        <v>151</v>
      </c>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row>
    <row r="43" spans="1:80" ht="15">
      <c r="A43" s="68" t="s">
        <v>46</v>
      </c>
      <c r="B43" s="68" t="s">
        <v>67</v>
      </c>
      <c r="C43" s="68" t="s">
        <v>68</v>
      </c>
      <c r="D43" s="68" t="s">
        <v>69</v>
      </c>
      <c r="E43" s="75" t="str">
        <f>CONCATENATE("aMW_",E42)</f>
        <v>aMW_2016</v>
      </c>
      <c r="F43" s="75" t="str">
        <f t="shared" ref="F43:X43" si="14">CONCATENATE("aMW_",F42)</f>
        <v>aMW_2017</v>
      </c>
      <c r="G43" s="75" t="str">
        <f t="shared" si="14"/>
        <v>aMW_2018</v>
      </c>
      <c r="H43" s="75" t="str">
        <f t="shared" si="14"/>
        <v>aMW_2019</v>
      </c>
      <c r="I43" s="75" t="str">
        <f t="shared" si="14"/>
        <v>aMW_2020</v>
      </c>
      <c r="J43" s="75" t="str">
        <f t="shared" si="14"/>
        <v>aMW_2021</v>
      </c>
      <c r="K43" s="75" t="str">
        <f t="shared" si="14"/>
        <v>aMW_2022</v>
      </c>
      <c r="L43" s="75" t="str">
        <f t="shared" si="14"/>
        <v>aMW_2023</v>
      </c>
      <c r="M43" s="75" t="str">
        <f t="shared" si="14"/>
        <v>aMW_2024</v>
      </c>
      <c r="N43" s="75" t="str">
        <f t="shared" si="14"/>
        <v>aMW_2025</v>
      </c>
      <c r="O43" s="75" t="str">
        <f t="shared" si="14"/>
        <v>aMW_2026</v>
      </c>
      <c r="P43" s="75" t="str">
        <f t="shared" si="14"/>
        <v>aMW_2027</v>
      </c>
      <c r="Q43" s="75" t="str">
        <f t="shared" si="14"/>
        <v>aMW_2028</v>
      </c>
      <c r="R43" s="75" t="str">
        <f t="shared" si="14"/>
        <v>aMW_2029</v>
      </c>
      <c r="S43" s="75" t="str">
        <f t="shared" si="14"/>
        <v>aMW_2030</v>
      </c>
      <c r="T43" s="75" t="str">
        <f t="shared" si="14"/>
        <v>aMW_2031</v>
      </c>
      <c r="U43" s="75" t="str">
        <f t="shared" si="14"/>
        <v>aMW_2032</v>
      </c>
      <c r="V43" s="75" t="str">
        <f t="shared" si="14"/>
        <v>aMW_2033</v>
      </c>
      <c r="W43" s="75" t="str">
        <f t="shared" si="14"/>
        <v>aMW_2034</v>
      </c>
      <c r="X43" s="75" t="str">
        <f t="shared" si="14"/>
        <v>aMW_2035</v>
      </c>
      <c r="Y43" s="76" t="s">
        <v>151</v>
      </c>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row>
    <row r="44" spans="1:80">
      <c r="A44" s="77">
        <f>VLOOKUP($D44,MeasureOutput,3,FALSE)</f>
        <v>24.935350493035692</v>
      </c>
      <c r="B44" s="77">
        <f>VLOOKUP($D44,MeasureOutput,11,FALSE)</f>
        <v>152.54724887599428</v>
      </c>
      <c r="C44" s="9" t="str">
        <f>C13</f>
        <v>Single Family</v>
      </c>
      <c r="D44" t="s">
        <v>4686</v>
      </c>
      <c r="E44" s="38">
        <f ca="1">VLOOKUP($C44,$C$33:$Y$36,E$31,FALSE)*$C$42*$A44/8760/1000</f>
        <v>2.0522982262815621E-4</v>
      </c>
      <c r="F44" s="38">
        <f t="shared" ref="F44:U47" ca="1" si="15">VLOOKUP($C44,$C$33:$Y$36,F$31,FALSE)*$C$42*$A44/8760/1000</f>
        <v>5.8872580487277695E-4</v>
      </c>
      <c r="G44" s="38">
        <f t="shared" ca="1" si="15"/>
        <v>1.2184210280235094E-3</v>
      </c>
      <c r="H44" s="38">
        <f t="shared" ca="1" si="15"/>
        <v>2.2180793081415669E-3</v>
      </c>
      <c r="I44" s="38">
        <f t="shared" ca="1" si="15"/>
        <v>3.6935762753526461E-3</v>
      </c>
      <c r="J44" s="38">
        <f t="shared" ca="1" si="15"/>
        <v>5.6140816331578143E-3</v>
      </c>
      <c r="K44" s="38">
        <f t="shared" ca="1" si="15"/>
        <v>8.2278299285526383E-3</v>
      </c>
      <c r="L44" s="38">
        <f t="shared" ca="1" si="15"/>
        <v>1.1762403086726932E-2</v>
      </c>
      <c r="M44" s="38">
        <f t="shared" ca="1" si="15"/>
        <v>1.6015840863827999E-2</v>
      </c>
      <c r="N44" s="38">
        <f t="shared" ca="1" si="15"/>
        <v>2.1551006636431266E-2</v>
      </c>
      <c r="O44" s="38">
        <f t="shared" ca="1" si="15"/>
        <v>2.7633385709245284E-2</v>
      </c>
      <c r="P44" s="38">
        <f t="shared" ca="1" si="15"/>
        <v>3.3507992750109968E-2</v>
      </c>
      <c r="Q44" s="38">
        <f t="shared" ca="1" si="15"/>
        <v>3.8709970669322552E-2</v>
      </c>
      <c r="R44" s="38">
        <f t="shared" ca="1" si="15"/>
        <v>4.4496489976794E-2</v>
      </c>
      <c r="S44" s="38">
        <f t="shared" ca="1" si="15"/>
        <v>5.0127032984399286E-2</v>
      </c>
      <c r="T44" s="38">
        <f t="shared" ca="1" si="15"/>
        <v>5.4056234683920457E-2</v>
      </c>
      <c r="U44" s="38">
        <f t="shared" ca="1" si="15"/>
        <v>5.526227178119212E-2</v>
      </c>
      <c r="V44" s="38">
        <f t="shared" ref="V44:X47" ca="1" si="16">VLOOKUP($C44,$C$33:$Y$36,V$31,FALSE)*$C$42*$A44/8760/1000</f>
        <v>5.7200608379284035E-2</v>
      </c>
      <c r="W44" s="38">
        <f t="shared" ca="1" si="16"/>
        <v>5.8594539690932312E-2</v>
      </c>
      <c r="X44" s="38">
        <f t="shared" ca="1" si="16"/>
        <v>5.959539113692576E-2</v>
      </c>
      <c r="Y44" s="38">
        <f ca="1">SUM(E44:X44)</f>
        <v>0.55027911214984115</v>
      </c>
      <c r="AA44" s="38">
        <f ca="1">SUM(E44:X44)</f>
        <v>0.55027911214984115</v>
      </c>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row>
    <row r="45" spans="1:80">
      <c r="A45" s="77">
        <f>VLOOKUP($D45,MeasureOutput,3,FALSE)</f>
        <v>24.935350493035692</v>
      </c>
      <c r="B45" s="77">
        <f>VLOOKUP($D45,MeasureOutput,11,FALSE)</f>
        <v>152.54724887599428</v>
      </c>
      <c r="C45" s="9" t="str">
        <f>C14</f>
        <v>Multifamily - Low Rise</v>
      </c>
      <c r="D45" t="s">
        <v>4686</v>
      </c>
      <c r="E45" s="38">
        <f ca="1">VLOOKUP($C45,$C$33:$Y$36,E$31,FALSE)*$C$42*$A45/8760/1000</f>
        <v>6.8012535360396899E-6</v>
      </c>
      <c r="F45" s="38">
        <f t="shared" ca="1" si="15"/>
        <v>2.0166154365648014E-5</v>
      </c>
      <c r="G45" s="38">
        <f t="shared" ca="1" si="15"/>
        <v>4.3638811428833235E-5</v>
      </c>
      <c r="H45" s="38">
        <f t="shared" ca="1" si="15"/>
        <v>7.9501380962827877E-5</v>
      </c>
      <c r="I45" s="38">
        <f t="shared" ca="1" si="15"/>
        <v>1.2823202830113454E-4</v>
      </c>
      <c r="J45" s="38">
        <f t="shared" ca="1" si="15"/>
        <v>1.9721628698094381E-4</v>
      </c>
      <c r="K45" s="38">
        <f t="shared" ca="1" si="15"/>
        <v>2.946149239900235E-4</v>
      </c>
      <c r="L45" s="38">
        <f t="shared" ca="1" si="15"/>
        <v>4.3107096534052218E-4</v>
      </c>
      <c r="M45" s="38">
        <f t="shared" ca="1" si="15"/>
        <v>6.0749588014318186E-4</v>
      </c>
      <c r="N45" s="38">
        <f t="shared" ca="1" si="15"/>
        <v>8.2500627350672463E-4</v>
      </c>
      <c r="O45" s="38">
        <f t="shared" ca="1" si="15"/>
        <v>1.0548988013831099E-3</v>
      </c>
      <c r="P45" s="38">
        <f t="shared" ca="1" si="15"/>
        <v>1.2961526781882394E-3</v>
      </c>
      <c r="Q45" s="38">
        <f t="shared" ca="1" si="15"/>
        <v>1.5405827306857322E-3</v>
      </c>
      <c r="R45" s="38">
        <f t="shared" ca="1" si="15"/>
        <v>1.7497834514252843E-3</v>
      </c>
      <c r="S45" s="38">
        <f t="shared" ca="1" si="15"/>
        <v>1.924977734698096E-3</v>
      </c>
      <c r="T45" s="38">
        <f t="shared" ca="1" si="15"/>
        <v>2.0421043843401152E-3</v>
      </c>
      <c r="U45" s="38">
        <f t="shared" ca="1" si="15"/>
        <v>2.1222803134293574E-3</v>
      </c>
      <c r="V45" s="38">
        <f t="shared" ca="1" si="16"/>
        <v>2.1725880299978159E-3</v>
      </c>
      <c r="W45" s="38">
        <f t="shared" ca="1" si="16"/>
        <v>2.1771532581709796E-3</v>
      </c>
      <c r="X45" s="38">
        <f t="shared" ca="1" si="16"/>
        <v>2.1910890844713494E-3</v>
      </c>
      <c r="Y45" s="38">
        <f t="shared" ref="Y45:Y47" ca="1" si="17">SUM(E45:X45)</f>
        <v>2.0905354425345957E-2</v>
      </c>
      <c r="AA45" s="38">
        <f t="shared" ref="AA45:AA47" ca="1" si="18">SUM(E45:X45)</f>
        <v>2.0905354425345957E-2</v>
      </c>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row>
    <row r="46" spans="1:80">
      <c r="A46" s="77">
        <f>VLOOKUP($D46,MeasureOutput,3,FALSE)</f>
        <v>24.935350493035692</v>
      </c>
      <c r="B46" s="77">
        <f>VLOOKUP($D46,MeasureOutput,11,FALSE)</f>
        <v>152.54724887599428</v>
      </c>
      <c r="C46" s="9" t="str">
        <f>C15</f>
        <v>Multifamily - High Rise</v>
      </c>
      <c r="D46" t="s">
        <v>4686</v>
      </c>
      <c r="E46" s="38">
        <f t="shared" ref="E46:E47" ca="1" si="19">VLOOKUP($C46,$C$33:$Y$36,E$31,FALSE)*$C$42*$A46/8760/1000</f>
        <v>1.526823228382823E-6</v>
      </c>
      <c r="F46" s="38">
        <f t="shared" ca="1" si="15"/>
        <v>4.5908582427889505E-6</v>
      </c>
      <c r="G46" s="38">
        <f t="shared" ca="1" si="15"/>
        <v>1.0083970033973555E-5</v>
      </c>
      <c r="H46" s="38">
        <f t="shared" ca="1" si="15"/>
        <v>1.7947393306820637E-5</v>
      </c>
      <c r="I46" s="38">
        <f t="shared" ca="1" si="15"/>
        <v>2.8387604229213163E-5</v>
      </c>
      <c r="J46" s="38">
        <f t="shared" ca="1" si="15"/>
        <v>4.4312984772075258E-5</v>
      </c>
      <c r="K46" s="38">
        <f t="shared" ca="1" si="15"/>
        <v>6.6392029694055155E-5</v>
      </c>
      <c r="L46" s="38">
        <f t="shared" ca="1" si="15"/>
        <v>9.8350195623070387E-5</v>
      </c>
      <c r="M46" s="38">
        <f t="shared" ca="1" si="15"/>
        <v>1.3762767688435212E-4</v>
      </c>
      <c r="N46" s="38">
        <f t="shared" ca="1" si="15"/>
        <v>1.8688491731942873E-4</v>
      </c>
      <c r="O46" s="38">
        <f t="shared" ca="1" si="15"/>
        <v>2.3608484621208509E-4</v>
      </c>
      <c r="P46" s="38">
        <f t="shared" ca="1" si="15"/>
        <v>2.8951592969892365E-4</v>
      </c>
      <c r="Q46" s="38">
        <f t="shared" ca="1" si="15"/>
        <v>3.4114474135354256E-4</v>
      </c>
      <c r="R46" s="38">
        <f t="shared" ca="1" si="15"/>
        <v>3.9050549689570273E-4</v>
      </c>
      <c r="S46" s="38">
        <f t="shared" ca="1" si="15"/>
        <v>4.3165078846681295E-4</v>
      </c>
      <c r="T46" s="38">
        <f t="shared" ca="1" si="15"/>
        <v>4.5759058587374526E-4</v>
      </c>
      <c r="U46" s="38">
        <f t="shared" ca="1" si="15"/>
        <v>4.7612682883581482E-4</v>
      </c>
      <c r="V46" s="38">
        <f t="shared" ca="1" si="16"/>
        <v>4.8230160002649542E-4</v>
      </c>
      <c r="W46" s="38">
        <f t="shared" ca="1" si="16"/>
        <v>4.9092249492428447E-4</v>
      </c>
      <c r="X46" s="38">
        <f t="shared" ca="1" si="16"/>
        <v>4.9368168779521417E-4</v>
      </c>
      <c r="Y46" s="38">
        <f t="shared" ca="1" si="17"/>
        <v>4.6856294534167826E-3</v>
      </c>
      <c r="AA46" s="38">
        <f t="shared" ca="1" si="18"/>
        <v>4.6856294534167826E-3</v>
      </c>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row>
    <row r="47" spans="1:80">
      <c r="A47" s="77">
        <f>VLOOKUP($D47,MeasureOutput,3,FALSE)</f>
        <v>24.935350493035692</v>
      </c>
      <c r="B47" s="77">
        <f>VLOOKUP($D47,MeasureOutput,11,FALSE)</f>
        <v>152.54724887599428</v>
      </c>
      <c r="C47" s="9" t="str">
        <f>C16</f>
        <v>Manufactured</v>
      </c>
      <c r="D47" t="s">
        <v>4686</v>
      </c>
      <c r="E47" s="38">
        <f t="shared" ca="1" si="19"/>
        <v>5.1211253938878304E-6</v>
      </c>
      <c r="F47" s="38">
        <f t="shared" ca="1" si="15"/>
        <v>1.5458309650617335E-5</v>
      </c>
      <c r="G47" s="38">
        <f t="shared" ca="1" si="15"/>
        <v>3.4960820464405899E-5</v>
      </c>
      <c r="H47" s="38">
        <f t="shared" ca="1" si="15"/>
        <v>6.8216693791527577E-5</v>
      </c>
      <c r="I47" s="38">
        <f t="shared" ca="1" si="15"/>
        <v>1.1316968343533414E-4</v>
      </c>
      <c r="J47" s="38">
        <f t="shared" ca="1" si="15"/>
        <v>1.776843293597441E-4</v>
      </c>
      <c r="K47" s="38">
        <f t="shared" ca="1" si="15"/>
        <v>2.6875907738483181E-4</v>
      </c>
      <c r="L47" s="38">
        <f t="shared" ca="1" si="15"/>
        <v>3.8823630094378842E-4</v>
      </c>
      <c r="M47" s="38">
        <f t="shared" ca="1" si="15"/>
        <v>5.3706784383920393E-4</v>
      </c>
      <c r="N47" s="38">
        <f t="shared" ca="1" si="15"/>
        <v>7.1051130105653901E-4</v>
      </c>
      <c r="O47" s="38">
        <f t="shared" ca="1" si="15"/>
        <v>8.9983870013230014E-4</v>
      </c>
      <c r="P47" s="38">
        <f t="shared" ca="1" si="15"/>
        <v>1.1041644712681301E-3</v>
      </c>
      <c r="Q47" s="38">
        <f t="shared" ca="1" si="15"/>
        <v>1.3121558558744477E-3</v>
      </c>
      <c r="R47" s="38">
        <f t="shared" ca="1" si="15"/>
        <v>1.5084141910165897E-3</v>
      </c>
      <c r="S47" s="38">
        <f t="shared" ca="1" si="15"/>
        <v>1.6802954199261809E-3</v>
      </c>
      <c r="T47" s="38">
        <f t="shared" ca="1" si="15"/>
        <v>1.8188720165799293E-3</v>
      </c>
      <c r="U47" s="38">
        <f t="shared" ca="1" si="15"/>
        <v>1.9217615355916981E-3</v>
      </c>
      <c r="V47" s="38">
        <f t="shared" ca="1" si="16"/>
        <v>1.9927968833163886E-3</v>
      </c>
      <c r="W47" s="38">
        <f t="shared" ca="1" si="16"/>
        <v>2.0368070997423249E-3</v>
      </c>
      <c r="X47" s="38">
        <f t="shared" ca="1" si="16"/>
        <v>2.0578716030653743E-3</v>
      </c>
      <c r="Y47" s="38">
        <f t="shared" ca="1" si="17"/>
        <v>1.8652163261833245E-2</v>
      </c>
      <c r="AA47" s="38">
        <f t="shared" ca="1" si="18"/>
        <v>1.8652163261833245E-2</v>
      </c>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row>
    <row r="48" spans="1:80">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row>
    <row r="49" spans="1:80" ht="15">
      <c r="B49" s="415">
        <f ca="1">SUMPRODUCT(B44:B47,AA44:AA47)/SUM(AA44:AA47)</f>
        <v>152.54724887599431</v>
      </c>
      <c r="E49" s="38">
        <f ca="1">SUM(E44:E47)</f>
        <v>2.1867902478646658E-4</v>
      </c>
      <c r="F49" s="38">
        <f t="shared" ref="F49:X49" ca="1" si="20">SUM(F44:F47)</f>
        <v>6.2894112713183126E-4</v>
      </c>
      <c r="G49" s="38">
        <f t="shared" ca="1" si="20"/>
        <v>1.3071046299507224E-3</v>
      </c>
      <c r="H49" s="38">
        <f t="shared" ca="1" si="20"/>
        <v>2.3837447762027428E-3</v>
      </c>
      <c r="I49" s="38">
        <f t="shared" ca="1" si="20"/>
        <v>3.9633655913183276E-3</v>
      </c>
      <c r="J49" s="38">
        <f t="shared" ca="1" si="20"/>
        <v>6.033295234270577E-3</v>
      </c>
      <c r="K49" s="38">
        <f t="shared" ca="1" si="20"/>
        <v>8.8575959596215482E-3</v>
      </c>
      <c r="L49" s="38">
        <f t="shared" ca="1" si="20"/>
        <v>1.2680060548634313E-2</v>
      </c>
      <c r="M49" s="38">
        <f t="shared" ca="1" si="20"/>
        <v>1.7298032264694736E-2</v>
      </c>
      <c r="N49" s="38">
        <f t="shared" ca="1" si="20"/>
        <v>2.3273409128313955E-2</v>
      </c>
      <c r="O49" s="38">
        <f t="shared" ca="1" si="20"/>
        <v>2.9824208056972779E-2</v>
      </c>
      <c r="P49" s="38">
        <f t="shared" ca="1" si="20"/>
        <v>3.6197825829265264E-2</v>
      </c>
      <c r="Q49" s="38">
        <f t="shared" ca="1" si="20"/>
        <v>4.1903853997236278E-2</v>
      </c>
      <c r="R49" s="38">
        <f t="shared" ca="1" si="20"/>
        <v>4.8145193116131579E-2</v>
      </c>
      <c r="S49" s="38">
        <f t="shared" ca="1" si="20"/>
        <v>5.4163956927490375E-2</v>
      </c>
      <c r="T49" s="38">
        <f t="shared" ca="1" si="20"/>
        <v>5.8374801670714252E-2</v>
      </c>
      <c r="U49" s="38">
        <f t="shared" ca="1" si="20"/>
        <v>5.9782440459048986E-2</v>
      </c>
      <c r="V49" s="38">
        <f t="shared" ca="1" si="20"/>
        <v>6.1848294892624736E-2</v>
      </c>
      <c r="W49" s="38">
        <f t="shared" ca="1" si="20"/>
        <v>6.3299422543769898E-2</v>
      </c>
      <c r="X49" s="38">
        <f t="shared" ca="1" si="20"/>
        <v>6.4338033512257697E-2</v>
      </c>
      <c r="Y49" s="38">
        <f ca="1">SUM(Y44:Y47)</f>
        <v>0.59452225929043712</v>
      </c>
      <c r="AA49" s="50">
        <f ca="1">SUM(E49:X49)</f>
        <v>0.59452225929043712</v>
      </c>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row>
    <row r="50" spans="1:80" customFormat="1">
      <c r="A50" s="9"/>
      <c r="B50" s="9"/>
      <c r="C50" s="9"/>
      <c r="D50" s="9"/>
    </row>
    <row r="51" spans="1:80" customFormat="1">
      <c r="A51" s="9"/>
      <c r="B51" s="9"/>
      <c r="C51" s="54"/>
      <c r="D51" s="54"/>
    </row>
    <row r="52" spans="1:80" ht="15">
      <c r="A52" s="86" t="s">
        <v>70</v>
      </c>
      <c r="B52" s="86"/>
      <c r="C52" s="55"/>
      <c r="D52" s="55"/>
      <c r="E52" s="38"/>
      <c r="F52" s="38"/>
      <c r="G52" s="38"/>
      <c r="H52" s="38"/>
      <c r="I52" s="38"/>
      <c r="J52" s="38"/>
      <c r="K52" s="38"/>
      <c r="L52" s="38"/>
      <c r="M52" s="38"/>
      <c r="N52" s="38"/>
      <c r="O52" s="38"/>
      <c r="P52" s="38"/>
      <c r="Q52" s="38"/>
      <c r="R52" s="38"/>
      <c r="S52" s="38"/>
      <c r="T52" s="38"/>
      <c r="U52" s="38"/>
      <c r="V52" s="38"/>
      <c r="W52" s="38"/>
      <c r="X52" s="38"/>
      <c r="Y52" s="38"/>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row>
    <row r="53" spans="1:80" ht="15">
      <c r="C53" s="55"/>
      <c r="D53" s="55"/>
      <c r="E53" s="73">
        <f t="shared" ref="E53:X53" si="21">E11</f>
        <v>2016</v>
      </c>
      <c r="F53" s="73">
        <f t="shared" si="21"/>
        <v>2017</v>
      </c>
      <c r="G53" s="73">
        <f t="shared" si="21"/>
        <v>2018</v>
      </c>
      <c r="H53" s="73">
        <f t="shared" si="21"/>
        <v>2019</v>
      </c>
      <c r="I53" s="73">
        <f t="shared" si="21"/>
        <v>2020</v>
      </c>
      <c r="J53" s="73">
        <f t="shared" si="21"/>
        <v>2021</v>
      </c>
      <c r="K53" s="73">
        <f t="shared" si="21"/>
        <v>2022</v>
      </c>
      <c r="L53" s="73">
        <f t="shared" si="21"/>
        <v>2023</v>
      </c>
      <c r="M53" s="73">
        <f t="shared" si="21"/>
        <v>2024</v>
      </c>
      <c r="N53" s="73">
        <f t="shared" si="21"/>
        <v>2025</v>
      </c>
      <c r="O53" s="73">
        <f t="shared" si="21"/>
        <v>2026</v>
      </c>
      <c r="P53" s="73">
        <f t="shared" si="21"/>
        <v>2027</v>
      </c>
      <c r="Q53" s="73">
        <f t="shared" si="21"/>
        <v>2028</v>
      </c>
      <c r="R53" s="73">
        <f t="shared" si="21"/>
        <v>2029</v>
      </c>
      <c r="S53" s="73">
        <f t="shared" si="21"/>
        <v>2030</v>
      </c>
      <c r="T53" s="73">
        <f t="shared" si="21"/>
        <v>2031</v>
      </c>
      <c r="U53" s="73">
        <f t="shared" si="21"/>
        <v>2032</v>
      </c>
      <c r="V53" s="73">
        <f t="shared" si="21"/>
        <v>2033</v>
      </c>
      <c r="W53" s="73">
        <f t="shared" si="21"/>
        <v>2034</v>
      </c>
      <c r="X53" s="73">
        <f t="shared" si="21"/>
        <v>2035</v>
      </c>
      <c r="Y53" s="73" t="s">
        <v>151</v>
      </c>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row>
    <row r="54" spans="1:80" ht="15">
      <c r="C54" s="55" t="s">
        <v>67</v>
      </c>
      <c r="D54" s="55" t="s">
        <v>67</v>
      </c>
      <c r="E54" s="75" t="str">
        <f>CONCATENATE("aMW_",E53)</f>
        <v>aMW_2016</v>
      </c>
      <c r="F54" s="75" t="str">
        <f t="shared" ref="F54" si="22">CONCATENATE("aMW_",F53)</f>
        <v>aMW_2017</v>
      </c>
      <c r="G54" s="75" t="str">
        <f t="shared" ref="G54" si="23">CONCATENATE("aMW_",G53)</f>
        <v>aMW_2018</v>
      </c>
      <c r="H54" s="75" t="str">
        <f t="shared" ref="H54" si="24">CONCATENATE("aMW_",H53)</f>
        <v>aMW_2019</v>
      </c>
      <c r="I54" s="75" t="str">
        <f t="shared" ref="I54" si="25">CONCATENATE("aMW_",I53)</f>
        <v>aMW_2020</v>
      </c>
      <c r="J54" s="75" t="str">
        <f t="shared" ref="J54" si="26">CONCATENATE("aMW_",J53)</f>
        <v>aMW_2021</v>
      </c>
      <c r="K54" s="75" t="str">
        <f t="shared" ref="K54" si="27">CONCATENATE("aMW_",K53)</f>
        <v>aMW_2022</v>
      </c>
      <c r="L54" s="75" t="str">
        <f t="shared" ref="L54" si="28">CONCATENATE("aMW_",L53)</f>
        <v>aMW_2023</v>
      </c>
      <c r="M54" s="75" t="str">
        <f t="shared" ref="M54" si="29">CONCATENATE("aMW_",M53)</f>
        <v>aMW_2024</v>
      </c>
      <c r="N54" s="75" t="str">
        <f t="shared" ref="N54" si="30">CONCATENATE("aMW_",N53)</f>
        <v>aMW_2025</v>
      </c>
      <c r="O54" s="75" t="str">
        <f t="shared" ref="O54" si="31">CONCATENATE("aMW_",O53)</f>
        <v>aMW_2026</v>
      </c>
      <c r="P54" s="75" t="str">
        <f t="shared" ref="P54" si="32">CONCATENATE("aMW_",P53)</f>
        <v>aMW_2027</v>
      </c>
      <c r="Q54" s="75" t="str">
        <f t="shared" ref="Q54" si="33">CONCATENATE("aMW_",Q53)</f>
        <v>aMW_2028</v>
      </c>
      <c r="R54" s="75" t="str">
        <f t="shared" ref="R54" si="34">CONCATENATE("aMW_",R53)</f>
        <v>aMW_2029</v>
      </c>
      <c r="S54" s="75" t="str">
        <f t="shared" ref="S54" si="35">CONCATENATE("aMW_",S53)</f>
        <v>aMW_2030</v>
      </c>
      <c r="T54" s="75" t="str">
        <f t="shared" ref="T54" si="36">CONCATENATE("aMW_",T53)</f>
        <v>aMW_2031</v>
      </c>
      <c r="U54" s="75" t="str">
        <f t="shared" ref="U54" si="37">CONCATENATE("aMW_",U53)</f>
        <v>aMW_2032</v>
      </c>
      <c r="V54" s="75" t="str">
        <f t="shared" ref="V54" si="38">CONCATENATE("aMW_",V53)</f>
        <v>aMW_2033</v>
      </c>
      <c r="W54" s="75" t="str">
        <f t="shared" ref="W54" si="39">CONCATENATE("aMW_",W53)</f>
        <v>aMW_2034</v>
      </c>
      <c r="X54" s="75" t="str">
        <f t="shared" ref="X54" si="40">CONCATENATE("aMW_",X53)</f>
        <v>aMW_2035</v>
      </c>
      <c r="Y54" s="75" t="s">
        <v>151</v>
      </c>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row>
    <row r="55" spans="1:80">
      <c r="B55" s="9" t="s">
        <v>71</v>
      </c>
      <c r="C55" s="55" t="s">
        <v>72</v>
      </c>
      <c r="D55" s="55" t="s">
        <v>73</v>
      </c>
      <c r="E55" s="38">
        <f>DSUM($B$43:$X$47,E$43,$C$54:$D55)</f>
        <v>0</v>
      </c>
      <c r="F55" s="38">
        <f>DSUM($B$43:$X$47,F$43,$C$54:$D55)</f>
        <v>0</v>
      </c>
      <c r="G55" s="38">
        <f>DSUM($B$43:$X$47,G$43,$C$54:$D55)</f>
        <v>0</v>
      </c>
      <c r="H55" s="38">
        <f>DSUM($B$43:$X$47,H$43,$C$54:$D55)</f>
        <v>0</v>
      </c>
      <c r="I55" s="38">
        <f>DSUM($B$43:$X$47,I$43,$C$54:$D55)</f>
        <v>0</v>
      </c>
      <c r="J55" s="38">
        <f>DSUM($B$43:$X$47,J$43,$C$54:$D55)</f>
        <v>0</v>
      </c>
      <c r="K55" s="38">
        <f>DSUM($B$43:$X$47,K$43,$C$54:$D55)</f>
        <v>0</v>
      </c>
      <c r="L55" s="38">
        <f>DSUM($B$43:$X$47,L$43,$C$54:$D55)</f>
        <v>0</v>
      </c>
      <c r="M55" s="38">
        <f>DSUM($B$43:$X$47,M$43,$C$54:$D55)</f>
        <v>0</v>
      </c>
      <c r="N55" s="38">
        <f>DSUM($B$43:$X$47,N$43,$C$54:$D55)</f>
        <v>0</v>
      </c>
      <c r="O55" s="38">
        <f>DSUM($B$43:$X$47,O$43,$C$54:$D55)</f>
        <v>0</v>
      </c>
      <c r="P55" s="38">
        <f>DSUM($B$43:$X$47,P$43,$C$54:$D55)</f>
        <v>0</v>
      </c>
      <c r="Q55" s="38">
        <f>DSUM($B$43:$X$47,Q$43,$C$54:$D55)</f>
        <v>0</v>
      </c>
      <c r="R55" s="38">
        <f>DSUM($B$43:$X$47,R$43,$C$54:$D55)</f>
        <v>0</v>
      </c>
      <c r="S55" s="38">
        <f>DSUM($B$43:$X$47,S$43,$C$54:$D55)</f>
        <v>0</v>
      </c>
      <c r="T55" s="38">
        <f>DSUM($B$43:$X$47,T$43,$C$54:$D55)</f>
        <v>0</v>
      </c>
      <c r="U55" s="38">
        <f>DSUM($B$43:$X$47,U$43,$C$54:$D55)</f>
        <v>0</v>
      </c>
      <c r="V55" s="38">
        <f>DSUM($B$43:$X$47,V$43,$C$54:$D55)</f>
        <v>0</v>
      </c>
      <c r="W55" s="38">
        <f>DSUM($B$43:$X$47,W$43,$C$54:$D55)</f>
        <v>0</v>
      </c>
      <c r="X55" s="38">
        <f>DSUM($B$43:$Y$47,X$43,$C$54:$D55)</f>
        <v>0</v>
      </c>
      <c r="Y55" s="38">
        <f>SUM(E55:X55)</f>
        <v>0</v>
      </c>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row>
    <row r="56" spans="1:80">
      <c r="B56" s="9" t="s">
        <v>4948</v>
      </c>
      <c r="C56" s="55" t="s">
        <v>75</v>
      </c>
      <c r="D56" s="55" t="s">
        <v>76</v>
      </c>
      <c r="E56" s="38">
        <f>DSUM($B$43:$X$47,E$43,$C$54:$D56)</f>
        <v>0</v>
      </c>
      <c r="F56" s="38">
        <f>DSUM($B$43:$X$47,F$43,$C$54:$D56)</f>
        <v>0</v>
      </c>
      <c r="G56" s="38">
        <f>DSUM($B$43:$X$47,G$43,$C$54:$D56)</f>
        <v>0</v>
      </c>
      <c r="H56" s="38">
        <f>DSUM($B$43:$X$47,H$43,$C$54:$D56)</f>
        <v>0</v>
      </c>
      <c r="I56" s="38">
        <f>DSUM($B$43:$X$47,I$43,$C$54:$D56)</f>
        <v>0</v>
      </c>
      <c r="J56" s="38">
        <f>DSUM($B$43:$X$47,J$43,$C$54:$D56)</f>
        <v>0</v>
      </c>
      <c r="K56" s="38">
        <f>DSUM($B$43:$X$47,K$43,$C$54:$D56)</f>
        <v>0</v>
      </c>
      <c r="L56" s="38">
        <f>DSUM($B$43:$X$47,L$43,$C$54:$D56)</f>
        <v>0</v>
      </c>
      <c r="M56" s="38">
        <f>DSUM($B$43:$X$47,M$43,$C$54:$D56)</f>
        <v>0</v>
      </c>
      <c r="N56" s="38">
        <f>DSUM($B$43:$X$47,N$43,$C$54:$D56)</f>
        <v>0</v>
      </c>
      <c r="O56" s="38">
        <f>DSUM($B$43:$X$47,O$43,$C$54:$D56)</f>
        <v>0</v>
      </c>
      <c r="P56" s="38">
        <f>DSUM($B$43:$X$47,P$43,$C$54:$D56)</f>
        <v>0</v>
      </c>
      <c r="Q56" s="38">
        <f>DSUM($B$43:$X$47,Q$43,$C$54:$D56)</f>
        <v>0</v>
      </c>
      <c r="R56" s="38">
        <f>DSUM($B$43:$X$47,R$43,$C$54:$D56)</f>
        <v>0</v>
      </c>
      <c r="S56" s="38">
        <f>DSUM($B$43:$X$47,S$43,$C$54:$D56)</f>
        <v>0</v>
      </c>
      <c r="T56" s="38">
        <f>DSUM($B$43:$X$47,T$43,$C$54:$D56)</f>
        <v>0</v>
      </c>
      <c r="U56" s="38">
        <f>DSUM($B$43:$X$47,U$43,$C$54:$D56)</f>
        <v>0</v>
      </c>
      <c r="V56" s="38">
        <f>DSUM($B$43:$X$47,V$43,$C$54:$D56)</f>
        <v>0</v>
      </c>
      <c r="W56" s="38">
        <f>DSUM($B$43:$X$47,W$43,$C$54:$D56)</f>
        <v>0</v>
      </c>
      <c r="X56" s="38">
        <f>DSUM($B$43:$Y$47,X$43,$C$54:$D56)</f>
        <v>0</v>
      </c>
      <c r="Y56" s="38">
        <f t="shared" ref="Y56:Y85" si="41">SUM(E56:X56)</f>
        <v>0</v>
      </c>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row>
    <row r="57" spans="1:80">
      <c r="B57" s="9" t="s">
        <v>77</v>
      </c>
      <c r="C57" s="55" t="s">
        <v>78</v>
      </c>
      <c r="D57" s="55" t="s">
        <v>79</v>
      </c>
      <c r="E57" s="38">
        <f>DSUM($B$43:$X$47,E$43,$C$54:$D57)</f>
        <v>0</v>
      </c>
      <c r="F57" s="38">
        <f>DSUM($B$43:$X$47,F$43,$C$54:$D57)</f>
        <v>0</v>
      </c>
      <c r="G57" s="38">
        <f>DSUM($B$43:$X$47,G$43,$C$54:$D57)</f>
        <v>0</v>
      </c>
      <c r="H57" s="38">
        <f>DSUM($B$43:$X$47,H$43,$C$54:$D57)</f>
        <v>0</v>
      </c>
      <c r="I57" s="38">
        <f>DSUM($B$43:$X$47,I$43,$C$54:$D57)</f>
        <v>0</v>
      </c>
      <c r="J57" s="38">
        <f>DSUM($B$43:$X$47,J$43,$C$54:$D57)</f>
        <v>0</v>
      </c>
      <c r="K57" s="38">
        <f>DSUM($B$43:$X$47,K$43,$C$54:$D57)</f>
        <v>0</v>
      </c>
      <c r="L57" s="38">
        <f>DSUM($B$43:$X$47,L$43,$C$54:$D57)</f>
        <v>0</v>
      </c>
      <c r="M57" s="38">
        <f>DSUM($B$43:$X$47,M$43,$C$54:$D57)</f>
        <v>0</v>
      </c>
      <c r="N57" s="38">
        <f>DSUM($B$43:$X$47,N$43,$C$54:$D57)</f>
        <v>0</v>
      </c>
      <c r="O57" s="38">
        <f>DSUM($B$43:$X$47,O$43,$C$54:$D57)</f>
        <v>0</v>
      </c>
      <c r="P57" s="38">
        <f>DSUM($B$43:$X$47,P$43,$C$54:$D57)</f>
        <v>0</v>
      </c>
      <c r="Q57" s="38">
        <f>DSUM($B$43:$X$47,Q$43,$C$54:$D57)</f>
        <v>0</v>
      </c>
      <c r="R57" s="38">
        <f>DSUM($B$43:$X$47,R$43,$C$54:$D57)</f>
        <v>0</v>
      </c>
      <c r="S57" s="38">
        <f>DSUM($B$43:$X$47,S$43,$C$54:$D57)</f>
        <v>0</v>
      </c>
      <c r="T57" s="38">
        <f>DSUM($B$43:$X$47,T$43,$C$54:$D57)</f>
        <v>0</v>
      </c>
      <c r="U57" s="38">
        <f>DSUM($B$43:$X$47,U$43,$C$54:$D57)</f>
        <v>0</v>
      </c>
      <c r="V57" s="38">
        <f>DSUM($B$43:$X$47,V$43,$C$54:$D57)</f>
        <v>0</v>
      </c>
      <c r="W57" s="38">
        <f>DSUM($B$43:$X$47,W$43,$C$54:$D57)</f>
        <v>0</v>
      </c>
      <c r="X57" s="38">
        <f>DSUM($B$43:$Y$47,X$43,$C$54:$D57)</f>
        <v>0</v>
      </c>
      <c r="Y57" s="38">
        <f t="shared" si="41"/>
        <v>0</v>
      </c>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row>
    <row r="58" spans="1:80">
      <c r="B58" s="9" t="s">
        <v>80</v>
      </c>
      <c r="C58" s="55" t="s">
        <v>81</v>
      </c>
      <c r="D58" s="55" t="s">
        <v>82</v>
      </c>
      <c r="E58" s="38">
        <f>DSUM($B$43:$X$47,E$43,$C$54:$D58)</f>
        <v>0</v>
      </c>
      <c r="F58" s="38">
        <f>DSUM($B$43:$X$47,F$43,$C$54:$D58)</f>
        <v>0</v>
      </c>
      <c r="G58" s="38">
        <f>DSUM($B$43:$X$47,G$43,$C$54:$D58)</f>
        <v>0</v>
      </c>
      <c r="H58" s="38">
        <f>DSUM($B$43:$X$47,H$43,$C$54:$D58)</f>
        <v>0</v>
      </c>
      <c r="I58" s="38">
        <f>DSUM($B$43:$X$47,I$43,$C$54:$D58)</f>
        <v>0</v>
      </c>
      <c r="J58" s="38">
        <f>DSUM($B$43:$X$47,J$43,$C$54:$D58)</f>
        <v>0</v>
      </c>
      <c r="K58" s="38">
        <f>DSUM($B$43:$X$47,K$43,$C$54:$D58)</f>
        <v>0</v>
      </c>
      <c r="L58" s="38">
        <f>DSUM($B$43:$X$47,L$43,$C$54:$D58)</f>
        <v>0</v>
      </c>
      <c r="M58" s="38">
        <f>DSUM($B$43:$X$47,M$43,$C$54:$D58)</f>
        <v>0</v>
      </c>
      <c r="N58" s="38">
        <f>DSUM($B$43:$X$47,N$43,$C$54:$D58)</f>
        <v>0</v>
      </c>
      <c r="O58" s="38">
        <f>DSUM($B$43:$X$47,O$43,$C$54:$D58)</f>
        <v>0</v>
      </c>
      <c r="P58" s="38">
        <f>DSUM($B$43:$X$47,P$43,$C$54:$D58)</f>
        <v>0</v>
      </c>
      <c r="Q58" s="38">
        <f>DSUM($B$43:$X$47,Q$43,$C$54:$D58)</f>
        <v>0</v>
      </c>
      <c r="R58" s="38">
        <f>DSUM($B$43:$X$47,R$43,$C$54:$D58)</f>
        <v>0</v>
      </c>
      <c r="S58" s="38">
        <f>DSUM($B$43:$X$47,S$43,$C$54:$D58)</f>
        <v>0</v>
      </c>
      <c r="T58" s="38">
        <f>DSUM($B$43:$X$47,T$43,$C$54:$D58)</f>
        <v>0</v>
      </c>
      <c r="U58" s="38">
        <f>DSUM($B$43:$X$47,U$43,$C$54:$D58)</f>
        <v>0</v>
      </c>
      <c r="V58" s="38">
        <f>DSUM($B$43:$X$47,V$43,$C$54:$D58)</f>
        <v>0</v>
      </c>
      <c r="W58" s="38">
        <f>DSUM($B$43:$X$47,W$43,$C$54:$D58)</f>
        <v>0</v>
      </c>
      <c r="X58" s="38">
        <f>DSUM($B$43:$Y$47,X$43,$C$54:$D58)</f>
        <v>0</v>
      </c>
      <c r="Y58" s="38">
        <f t="shared" si="41"/>
        <v>0</v>
      </c>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c r="B59" s="9" t="s">
        <v>83</v>
      </c>
      <c r="C59" s="55" t="s">
        <v>84</v>
      </c>
      <c r="D59" s="55" t="s">
        <v>85</v>
      </c>
      <c r="E59" s="38">
        <f>DSUM($B$43:$X$47,E$43,$C$54:$D59)</f>
        <v>0</v>
      </c>
      <c r="F59" s="38">
        <f>DSUM($B$43:$X$47,F$43,$C$54:$D59)</f>
        <v>0</v>
      </c>
      <c r="G59" s="38">
        <f>DSUM($B$43:$X$47,G$43,$C$54:$D59)</f>
        <v>0</v>
      </c>
      <c r="H59" s="38">
        <f>DSUM($B$43:$X$47,H$43,$C$54:$D59)</f>
        <v>0</v>
      </c>
      <c r="I59" s="38">
        <f>DSUM($B$43:$X$47,I$43,$C$54:$D59)</f>
        <v>0</v>
      </c>
      <c r="J59" s="38">
        <f>DSUM($B$43:$X$47,J$43,$C$54:$D59)</f>
        <v>0</v>
      </c>
      <c r="K59" s="38">
        <f>DSUM($B$43:$X$47,K$43,$C$54:$D59)</f>
        <v>0</v>
      </c>
      <c r="L59" s="38">
        <f>DSUM($B$43:$X$47,L$43,$C$54:$D59)</f>
        <v>0</v>
      </c>
      <c r="M59" s="38">
        <f>DSUM($B$43:$X$47,M$43,$C$54:$D59)</f>
        <v>0</v>
      </c>
      <c r="N59" s="38">
        <f>DSUM($B$43:$X$47,N$43,$C$54:$D59)</f>
        <v>0</v>
      </c>
      <c r="O59" s="38">
        <f>DSUM($B$43:$X$47,O$43,$C$54:$D59)</f>
        <v>0</v>
      </c>
      <c r="P59" s="38">
        <f>DSUM($B$43:$X$47,P$43,$C$54:$D59)</f>
        <v>0</v>
      </c>
      <c r="Q59" s="38">
        <f>DSUM($B$43:$X$47,Q$43,$C$54:$D59)</f>
        <v>0</v>
      </c>
      <c r="R59" s="38">
        <f>DSUM($B$43:$X$47,R$43,$C$54:$D59)</f>
        <v>0</v>
      </c>
      <c r="S59" s="38">
        <f>DSUM($B$43:$X$47,S$43,$C$54:$D59)</f>
        <v>0</v>
      </c>
      <c r="T59" s="38">
        <f>DSUM($B$43:$X$47,T$43,$C$54:$D59)</f>
        <v>0</v>
      </c>
      <c r="U59" s="38">
        <f>DSUM($B$43:$X$47,U$43,$C$54:$D59)</f>
        <v>0</v>
      </c>
      <c r="V59" s="38">
        <f>DSUM($B$43:$X$47,V$43,$C$54:$D59)</f>
        <v>0</v>
      </c>
      <c r="W59" s="38">
        <f>DSUM($B$43:$X$47,W$43,$C$54:$D59)</f>
        <v>0</v>
      </c>
      <c r="X59" s="38">
        <f>DSUM($B$43:$Y$47,X$43,$C$54:$D59)</f>
        <v>0</v>
      </c>
      <c r="Y59" s="38">
        <f t="shared" si="41"/>
        <v>0</v>
      </c>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c r="B60" s="9" t="s">
        <v>86</v>
      </c>
      <c r="C60" s="55" t="s">
        <v>87</v>
      </c>
      <c r="D60" s="55" t="s">
        <v>88</v>
      </c>
      <c r="E60" s="38">
        <f>DSUM($B$43:$X$47,E$43,$C$54:$D60)</f>
        <v>0</v>
      </c>
      <c r="F60" s="38">
        <f>DSUM($B$43:$X$47,F$43,$C$54:$D60)</f>
        <v>0</v>
      </c>
      <c r="G60" s="38">
        <f>DSUM($B$43:$X$47,G$43,$C$54:$D60)</f>
        <v>0</v>
      </c>
      <c r="H60" s="38">
        <f>DSUM($B$43:$X$47,H$43,$C$54:$D60)</f>
        <v>0</v>
      </c>
      <c r="I60" s="38">
        <f>DSUM($B$43:$X$47,I$43,$C$54:$D60)</f>
        <v>0</v>
      </c>
      <c r="J60" s="38">
        <f>DSUM($B$43:$X$47,J$43,$C$54:$D60)</f>
        <v>0</v>
      </c>
      <c r="K60" s="38">
        <f>DSUM($B$43:$X$47,K$43,$C$54:$D60)</f>
        <v>0</v>
      </c>
      <c r="L60" s="38">
        <f>DSUM($B$43:$X$47,L$43,$C$54:$D60)</f>
        <v>0</v>
      </c>
      <c r="M60" s="38">
        <f>DSUM($B$43:$X$47,M$43,$C$54:$D60)</f>
        <v>0</v>
      </c>
      <c r="N60" s="38">
        <f>DSUM($B$43:$X$47,N$43,$C$54:$D60)</f>
        <v>0</v>
      </c>
      <c r="O60" s="38">
        <f>DSUM($B$43:$X$47,O$43,$C$54:$D60)</f>
        <v>0</v>
      </c>
      <c r="P60" s="38">
        <f>DSUM($B$43:$X$47,P$43,$C$54:$D60)</f>
        <v>0</v>
      </c>
      <c r="Q60" s="38">
        <f>DSUM($B$43:$X$47,Q$43,$C$54:$D60)</f>
        <v>0</v>
      </c>
      <c r="R60" s="38">
        <f>DSUM($B$43:$X$47,R$43,$C$54:$D60)</f>
        <v>0</v>
      </c>
      <c r="S60" s="38">
        <f>DSUM($B$43:$X$47,S$43,$C$54:$D60)</f>
        <v>0</v>
      </c>
      <c r="T60" s="38">
        <f>DSUM($B$43:$X$47,T$43,$C$54:$D60)</f>
        <v>0</v>
      </c>
      <c r="U60" s="38">
        <f>DSUM($B$43:$X$47,U$43,$C$54:$D60)</f>
        <v>0</v>
      </c>
      <c r="V60" s="38">
        <f>DSUM($B$43:$X$47,V$43,$C$54:$D60)</f>
        <v>0</v>
      </c>
      <c r="W60" s="38">
        <f>DSUM($B$43:$X$47,W$43,$C$54:$D60)</f>
        <v>0</v>
      </c>
      <c r="X60" s="38">
        <f>DSUM($B$43:$Y$47,X$43,$C$54:$D60)</f>
        <v>0</v>
      </c>
      <c r="Y60" s="38">
        <f t="shared" si="41"/>
        <v>0</v>
      </c>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B61" s="9" t="s">
        <v>89</v>
      </c>
      <c r="C61" s="55" t="s">
        <v>90</v>
      </c>
      <c r="D61" s="55" t="s">
        <v>91</v>
      </c>
      <c r="E61" s="38">
        <f>DSUM($B$43:$X$47,E$43,$C$54:$D61)</f>
        <v>0</v>
      </c>
      <c r="F61" s="38">
        <f>DSUM($B$43:$X$47,F$43,$C$54:$D61)</f>
        <v>0</v>
      </c>
      <c r="G61" s="38">
        <f>DSUM($B$43:$X$47,G$43,$C$54:$D61)</f>
        <v>0</v>
      </c>
      <c r="H61" s="38">
        <f>DSUM($B$43:$X$47,H$43,$C$54:$D61)</f>
        <v>0</v>
      </c>
      <c r="I61" s="38">
        <f>DSUM($B$43:$X$47,I$43,$C$54:$D61)</f>
        <v>0</v>
      </c>
      <c r="J61" s="38">
        <f>DSUM($B$43:$X$47,J$43,$C$54:$D61)</f>
        <v>0</v>
      </c>
      <c r="K61" s="38">
        <f>DSUM($B$43:$X$47,K$43,$C$54:$D61)</f>
        <v>0</v>
      </c>
      <c r="L61" s="38">
        <f>DSUM($B$43:$X$47,L$43,$C$54:$D61)</f>
        <v>0</v>
      </c>
      <c r="M61" s="38">
        <f>DSUM($B$43:$X$47,M$43,$C$54:$D61)</f>
        <v>0</v>
      </c>
      <c r="N61" s="38">
        <f>DSUM($B$43:$X$47,N$43,$C$54:$D61)</f>
        <v>0</v>
      </c>
      <c r="O61" s="38">
        <f>DSUM($B$43:$X$47,O$43,$C$54:$D61)</f>
        <v>0</v>
      </c>
      <c r="P61" s="38">
        <f>DSUM($B$43:$X$47,P$43,$C$54:$D61)</f>
        <v>0</v>
      </c>
      <c r="Q61" s="38">
        <f>DSUM($B$43:$X$47,Q$43,$C$54:$D61)</f>
        <v>0</v>
      </c>
      <c r="R61" s="38">
        <f>DSUM($B$43:$X$47,R$43,$C$54:$D61)</f>
        <v>0</v>
      </c>
      <c r="S61" s="38">
        <f>DSUM($B$43:$X$47,S$43,$C$54:$D61)</f>
        <v>0</v>
      </c>
      <c r="T61" s="38">
        <f>DSUM($B$43:$X$47,T$43,$C$54:$D61)</f>
        <v>0</v>
      </c>
      <c r="U61" s="38">
        <f>DSUM($B$43:$X$47,U$43,$C$54:$D61)</f>
        <v>0</v>
      </c>
      <c r="V61" s="38">
        <f>DSUM($B$43:$X$47,V$43,$C$54:$D61)</f>
        <v>0</v>
      </c>
      <c r="W61" s="38">
        <f>DSUM($B$43:$X$47,W$43,$C$54:$D61)</f>
        <v>0</v>
      </c>
      <c r="X61" s="38">
        <f>DSUM($B$43:$Y$47,X$43,$C$54:$D61)</f>
        <v>0</v>
      </c>
      <c r="Y61" s="38">
        <f t="shared" si="41"/>
        <v>0</v>
      </c>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B62" s="9" t="s">
        <v>92</v>
      </c>
      <c r="C62" s="55" t="s">
        <v>93</v>
      </c>
      <c r="D62" s="55" t="s">
        <v>94</v>
      </c>
      <c r="E62" s="38">
        <f>DSUM($B$43:$X$47,E$43,$C$54:$D62)</f>
        <v>0</v>
      </c>
      <c r="F62" s="38">
        <f>DSUM($B$43:$X$47,F$43,$C$54:$D62)</f>
        <v>0</v>
      </c>
      <c r="G62" s="38">
        <f>DSUM($B$43:$X$47,G$43,$C$54:$D62)</f>
        <v>0</v>
      </c>
      <c r="H62" s="38">
        <f>DSUM($B$43:$X$47,H$43,$C$54:$D62)</f>
        <v>0</v>
      </c>
      <c r="I62" s="38">
        <f>DSUM($B$43:$X$47,I$43,$C$54:$D62)</f>
        <v>0</v>
      </c>
      <c r="J62" s="38">
        <f>DSUM($B$43:$X$47,J$43,$C$54:$D62)</f>
        <v>0</v>
      </c>
      <c r="K62" s="38">
        <f>DSUM($B$43:$X$47,K$43,$C$54:$D62)</f>
        <v>0</v>
      </c>
      <c r="L62" s="38">
        <f>DSUM($B$43:$X$47,L$43,$C$54:$D62)</f>
        <v>0</v>
      </c>
      <c r="M62" s="38">
        <f>DSUM($B$43:$X$47,M$43,$C$54:$D62)</f>
        <v>0</v>
      </c>
      <c r="N62" s="38">
        <f>DSUM($B$43:$X$47,N$43,$C$54:$D62)</f>
        <v>0</v>
      </c>
      <c r="O62" s="38">
        <f>DSUM($B$43:$X$47,O$43,$C$54:$D62)</f>
        <v>0</v>
      </c>
      <c r="P62" s="38">
        <f>DSUM($B$43:$X$47,P$43,$C$54:$D62)</f>
        <v>0</v>
      </c>
      <c r="Q62" s="38">
        <f>DSUM($B$43:$X$47,Q$43,$C$54:$D62)</f>
        <v>0</v>
      </c>
      <c r="R62" s="38">
        <f>DSUM($B$43:$X$47,R$43,$C$54:$D62)</f>
        <v>0</v>
      </c>
      <c r="S62" s="38">
        <f>DSUM($B$43:$X$47,S$43,$C$54:$D62)</f>
        <v>0</v>
      </c>
      <c r="T62" s="38">
        <f>DSUM($B$43:$X$47,T$43,$C$54:$D62)</f>
        <v>0</v>
      </c>
      <c r="U62" s="38">
        <f>DSUM($B$43:$X$47,U$43,$C$54:$D62)</f>
        <v>0</v>
      </c>
      <c r="V62" s="38">
        <f>DSUM($B$43:$X$47,V$43,$C$54:$D62)</f>
        <v>0</v>
      </c>
      <c r="W62" s="38">
        <f>DSUM($B$43:$X$47,W$43,$C$54:$D62)</f>
        <v>0</v>
      </c>
      <c r="X62" s="38">
        <f>DSUM($B$43:$Y$47,X$43,$C$54:$D62)</f>
        <v>0</v>
      </c>
      <c r="Y62" s="38">
        <f t="shared" si="41"/>
        <v>0</v>
      </c>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B63" s="9" t="s">
        <v>95</v>
      </c>
      <c r="C63" s="55" t="s">
        <v>96</v>
      </c>
      <c r="D63" s="55" t="s">
        <v>97</v>
      </c>
      <c r="E63" s="38">
        <f>DSUM($B$43:$X$47,E$43,$C$54:$D63)</f>
        <v>0</v>
      </c>
      <c r="F63" s="38">
        <f>DSUM($B$43:$X$47,F$43,$C$54:$D63)</f>
        <v>0</v>
      </c>
      <c r="G63" s="38">
        <f>DSUM($B$43:$X$47,G$43,$C$54:$D63)</f>
        <v>0</v>
      </c>
      <c r="H63" s="38">
        <f>DSUM($B$43:$X$47,H$43,$C$54:$D63)</f>
        <v>0</v>
      </c>
      <c r="I63" s="38">
        <f>DSUM($B$43:$X$47,I$43,$C$54:$D63)</f>
        <v>0</v>
      </c>
      <c r="J63" s="38">
        <f>DSUM($B$43:$X$47,J$43,$C$54:$D63)</f>
        <v>0</v>
      </c>
      <c r="K63" s="38">
        <f>DSUM($B$43:$X$47,K$43,$C$54:$D63)</f>
        <v>0</v>
      </c>
      <c r="L63" s="38">
        <f>DSUM($B$43:$X$47,L$43,$C$54:$D63)</f>
        <v>0</v>
      </c>
      <c r="M63" s="38">
        <f>DSUM($B$43:$X$47,M$43,$C$54:$D63)</f>
        <v>0</v>
      </c>
      <c r="N63" s="38">
        <f>DSUM($B$43:$X$47,N$43,$C$54:$D63)</f>
        <v>0</v>
      </c>
      <c r="O63" s="38">
        <f>DSUM($B$43:$X$47,O$43,$C$54:$D63)</f>
        <v>0</v>
      </c>
      <c r="P63" s="38">
        <f>DSUM($B$43:$X$47,P$43,$C$54:$D63)</f>
        <v>0</v>
      </c>
      <c r="Q63" s="38">
        <f>DSUM($B$43:$X$47,Q$43,$C$54:$D63)</f>
        <v>0</v>
      </c>
      <c r="R63" s="38">
        <f>DSUM($B$43:$X$47,R$43,$C$54:$D63)</f>
        <v>0</v>
      </c>
      <c r="S63" s="38">
        <f>DSUM($B$43:$X$47,S$43,$C$54:$D63)</f>
        <v>0</v>
      </c>
      <c r="T63" s="38">
        <f>DSUM($B$43:$X$47,T$43,$C$54:$D63)</f>
        <v>0</v>
      </c>
      <c r="U63" s="38">
        <f>DSUM($B$43:$X$47,U$43,$C$54:$D63)</f>
        <v>0</v>
      </c>
      <c r="V63" s="38">
        <f>DSUM($B$43:$X$47,V$43,$C$54:$D63)</f>
        <v>0</v>
      </c>
      <c r="W63" s="38">
        <f>DSUM($B$43:$X$47,W$43,$C$54:$D63)</f>
        <v>0</v>
      </c>
      <c r="X63" s="38">
        <f>DSUM($B$43:$Y$47,X$43,$C$54:$D63)</f>
        <v>0</v>
      </c>
      <c r="Y63" s="38">
        <f t="shared" si="41"/>
        <v>0</v>
      </c>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B64" s="9" t="s">
        <v>98</v>
      </c>
      <c r="C64" s="55" t="s">
        <v>99</v>
      </c>
      <c r="D64" s="55" t="s">
        <v>100</v>
      </c>
      <c r="E64" s="38">
        <f>DSUM($B$43:$X$47,E$43,$C$54:$D64)</f>
        <v>0</v>
      </c>
      <c r="F64" s="38">
        <f>DSUM($B$43:$X$47,F$43,$C$54:$D64)</f>
        <v>0</v>
      </c>
      <c r="G64" s="38">
        <f>DSUM($B$43:$X$47,G$43,$C$54:$D64)</f>
        <v>0</v>
      </c>
      <c r="H64" s="38">
        <f>DSUM($B$43:$X$47,H$43,$C$54:$D64)</f>
        <v>0</v>
      </c>
      <c r="I64" s="38">
        <f>DSUM($B$43:$X$47,I$43,$C$54:$D64)</f>
        <v>0</v>
      </c>
      <c r="J64" s="38">
        <f>DSUM($B$43:$X$47,J$43,$C$54:$D64)</f>
        <v>0</v>
      </c>
      <c r="K64" s="38">
        <f>DSUM($B$43:$X$47,K$43,$C$54:$D64)</f>
        <v>0</v>
      </c>
      <c r="L64" s="38">
        <f>DSUM($B$43:$X$47,L$43,$C$54:$D64)</f>
        <v>0</v>
      </c>
      <c r="M64" s="38">
        <f>DSUM($B$43:$X$47,M$43,$C$54:$D64)</f>
        <v>0</v>
      </c>
      <c r="N64" s="38">
        <f>DSUM($B$43:$X$47,N$43,$C$54:$D64)</f>
        <v>0</v>
      </c>
      <c r="O64" s="38">
        <f>DSUM($B$43:$X$47,O$43,$C$54:$D64)</f>
        <v>0</v>
      </c>
      <c r="P64" s="38">
        <f>DSUM($B$43:$X$47,P$43,$C$54:$D64)</f>
        <v>0</v>
      </c>
      <c r="Q64" s="38">
        <f>DSUM($B$43:$X$47,Q$43,$C$54:$D64)</f>
        <v>0</v>
      </c>
      <c r="R64" s="38">
        <f>DSUM($B$43:$X$47,R$43,$C$54:$D64)</f>
        <v>0</v>
      </c>
      <c r="S64" s="38">
        <f>DSUM($B$43:$X$47,S$43,$C$54:$D64)</f>
        <v>0</v>
      </c>
      <c r="T64" s="38">
        <f>DSUM($B$43:$X$47,T$43,$C$54:$D64)</f>
        <v>0</v>
      </c>
      <c r="U64" s="38">
        <f>DSUM($B$43:$X$47,U$43,$C$54:$D64)</f>
        <v>0</v>
      </c>
      <c r="V64" s="38">
        <f>DSUM($B$43:$X$47,V$43,$C$54:$D64)</f>
        <v>0</v>
      </c>
      <c r="W64" s="38">
        <f>DSUM($B$43:$X$47,W$43,$C$54:$D64)</f>
        <v>0</v>
      </c>
      <c r="X64" s="38">
        <f>DSUM($B$43:$Y$47,X$43,$C$54:$D64)</f>
        <v>0</v>
      </c>
      <c r="Y64" s="38">
        <f t="shared" si="41"/>
        <v>0</v>
      </c>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2:80">
      <c r="B65" s="9" t="s">
        <v>101</v>
      </c>
      <c r="C65" s="55" t="s">
        <v>102</v>
      </c>
      <c r="D65" s="55" t="s">
        <v>103</v>
      </c>
      <c r="E65" s="38">
        <f>DSUM($B$43:$X$47,E$43,$C$54:$D65)</f>
        <v>0</v>
      </c>
      <c r="F65" s="38">
        <f>DSUM($B$43:$X$47,F$43,$C$54:$D65)</f>
        <v>0</v>
      </c>
      <c r="G65" s="38">
        <f>DSUM($B$43:$X$47,G$43,$C$54:$D65)</f>
        <v>0</v>
      </c>
      <c r="H65" s="38">
        <f>DSUM($B$43:$X$47,H$43,$C$54:$D65)</f>
        <v>0</v>
      </c>
      <c r="I65" s="38">
        <f>DSUM($B$43:$X$47,I$43,$C$54:$D65)</f>
        <v>0</v>
      </c>
      <c r="J65" s="38">
        <f>DSUM($B$43:$X$47,J$43,$C$54:$D65)</f>
        <v>0</v>
      </c>
      <c r="K65" s="38">
        <f>DSUM($B$43:$X$47,K$43,$C$54:$D65)</f>
        <v>0</v>
      </c>
      <c r="L65" s="38">
        <f>DSUM($B$43:$X$47,L$43,$C$54:$D65)</f>
        <v>0</v>
      </c>
      <c r="M65" s="38">
        <f>DSUM($B$43:$X$47,M$43,$C$54:$D65)</f>
        <v>0</v>
      </c>
      <c r="N65" s="38">
        <f>DSUM($B$43:$X$47,N$43,$C$54:$D65)</f>
        <v>0</v>
      </c>
      <c r="O65" s="38">
        <f>DSUM($B$43:$X$47,O$43,$C$54:$D65)</f>
        <v>0</v>
      </c>
      <c r="P65" s="38">
        <f>DSUM($B$43:$X$47,P$43,$C$54:$D65)</f>
        <v>0</v>
      </c>
      <c r="Q65" s="38">
        <f>DSUM($B$43:$X$47,Q$43,$C$54:$D65)</f>
        <v>0</v>
      </c>
      <c r="R65" s="38">
        <f>DSUM($B$43:$X$47,R$43,$C$54:$D65)</f>
        <v>0</v>
      </c>
      <c r="S65" s="38">
        <f>DSUM($B$43:$X$47,S$43,$C$54:$D65)</f>
        <v>0</v>
      </c>
      <c r="T65" s="38">
        <f>DSUM($B$43:$X$47,T$43,$C$54:$D65)</f>
        <v>0</v>
      </c>
      <c r="U65" s="38">
        <f>DSUM($B$43:$X$47,U$43,$C$54:$D65)</f>
        <v>0</v>
      </c>
      <c r="V65" s="38">
        <f>DSUM($B$43:$X$47,V$43,$C$54:$D65)</f>
        <v>0</v>
      </c>
      <c r="W65" s="38">
        <f>DSUM($B$43:$X$47,W$43,$C$54:$D65)</f>
        <v>0</v>
      </c>
      <c r="X65" s="38">
        <f>DSUM($B$43:$Y$47,X$43,$C$54:$D65)</f>
        <v>0</v>
      </c>
      <c r="Y65" s="38">
        <f t="shared" si="41"/>
        <v>0</v>
      </c>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2:80">
      <c r="B66" s="9" t="s">
        <v>104</v>
      </c>
      <c r="C66" s="55" t="s">
        <v>105</v>
      </c>
      <c r="D66" s="55" t="s">
        <v>106</v>
      </c>
      <c r="E66" s="38">
        <f>DSUM($B$43:$X$47,E$43,$C$54:$D66)</f>
        <v>0</v>
      </c>
      <c r="F66" s="38">
        <f>DSUM($B$43:$X$47,F$43,$C$54:$D66)</f>
        <v>0</v>
      </c>
      <c r="G66" s="38">
        <f>DSUM($B$43:$X$47,G$43,$C$54:$D66)</f>
        <v>0</v>
      </c>
      <c r="H66" s="38">
        <f>DSUM($B$43:$X$47,H$43,$C$54:$D66)</f>
        <v>0</v>
      </c>
      <c r="I66" s="38">
        <f>DSUM($B$43:$X$47,I$43,$C$54:$D66)</f>
        <v>0</v>
      </c>
      <c r="J66" s="38">
        <f>DSUM($B$43:$X$47,J$43,$C$54:$D66)</f>
        <v>0</v>
      </c>
      <c r="K66" s="38">
        <f>DSUM($B$43:$X$47,K$43,$C$54:$D66)</f>
        <v>0</v>
      </c>
      <c r="L66" s="38">
        <f>DSUM($B$43:$X$47,L$43,$C$54:$D66)</f>
        <v>0</v>
      </c>
      <c r="M66" s="38">
        <f>DSUM($B$43:$X$47,M$43,$C$54:$D66)</f>
        <v>0</v>
      </c>
      <c r="N66" s="38">
        <f>DSUM($B$43:$X$47,N$43,$C$54:$D66)</f>
        <v>0</v>
      </c>
      <c r="O66" s="38">
        <f>DSUM($B$43:$X$47,O$43,$C$54:$D66)</f>
        <v>0</v>
      </c>
      <c r="P66" s="38">
        <f>DSUM($B$43:$X$47,P$43,$C$54:$D66)</f>
        <v>0</v>
      </c>
      <c r="Q66" s="38">
        <f>DSUM($B$43:$X$47,Q$43,$C$54:$D66)</f>
        <v>0</v>
      </c>
      <c r="R66" s="38">
        <f>DSUM($B$43:$X$47,R$43,$C$54:$D66)</f>
        <v>0</v>
      </c>
      <c r="S66" s="38">
        <f>DSUM($B$43:$X$47,S$43,$C$54:$D66)</f>
        <v>0</v>
      </c>
      <c r="T66" s="38">
        <f>DSUM($B$43:$X$47,T$43,$C$54:$D66)</f>
        <v>0</v>
      </c>
      <c r="U66" s="38">
        <f>DSUM($B$43:$X$47,U$43,$C$54:$D66)</f>
        <v>0</v>
      </c>
      <c r="V66" s="38">
        <f>DSUM($B$43:$X$47,V$43,$C$54:$D66)</f>
        <v>0</v>
      </c>
      <c r="W66" s="38">
        <f>DSUM($B$43:$X$47,W$43,$C$54:$D66)</f>
        <v>0</v>
      </c>
      <c r="X66" s="38">
        <f>DSUM($B$43:$Y$47,X$43,$C$54:$D66)</f>
        <v>0</v>
      </c>
      <c r="Y66" s="38">
        <f t="shared" si="41"/>
        <v>0</v>
      </c>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row>
    <row r="67" spans="2:80">
      <c r="B67" s="9" t="s">
        <v>107</v>
      </c>
      <c r="C67" s="55" t="s">
        <v>108</v>
      </c>
      <c r="D67" s="55" t="s">
        <v>109</v>
      </c>
      <c r="E67" s="38">
        <f>DSUM($B$43:$X$47,E$43,$C$54:$D67)</f>
        <v>0</v>
      </c>
      <c r="F67" s="38">
        <f>DSUM($B$43:$X$47,F$43,$C$54:$D67)</f>
        <v>0</v>
      </c>
      <c r="G67" s="38">
        <f>DSUM($B$43:$X$47,G$43,$C$54:$D67)</f>
        <v>0</v>
      </c>
      <c r="H67" s="38">
        <f>DSUM($B$43:$X$47,H$43,$C$54:$D67)</f>
        <v>0</v>
      </c>
      <c r="I67" s="38">
        <f>DSUM($B$43:$X$47,I$43,$C$54:$D67)</f>
        <v>0</v>
      </c>
      <c r="J67" s="38">
        <f>DSUM($B$43:$X$47,J$43,$C$54:$D67)</f>
        <v>0</v>
      </c>
      <c r="K67" s="38">
        <f>DSUM($B$43:$X$47,K$43,$C$54:$D67)</f>
        <v>0</v>
      </c>
      <c r="L67" s="38">
        <f>DSUM($B$43:$X$47,L$43,$C$54:$D67)</f>
        <v>0</v>
      </c>
      <c r="M67" s="38">
        <f>DSUM($B$43:$X$47,M$43,$C$54:$D67)</f>
        <v>0</v>
      </c>
      <c r="N67" s="38">
        <f>DSUM($B$43:$X$47,N$43,$C$54:$D67)</f>
        <v>0</v>
      </c>
      <c r="O67" s="38">
        <f>DSUM($B$43:$X$47,O$43,$C$54:$D67)</f>
        <v>0</v>
      </c>
      <c r="P67" s="38">
        <f>DSUM($B$43:$X$47,P$43,$C$54:$D67)</f>
        <v>0</v>
      </c>
      <c r="Q67" s="38">
        <f>DSUM($B$43:$X$47,Q$43,$C$54:$D67)</f>
        <v>0</v>
      </c>
      <c r="R67" s="38">
        <f>DSUM($B$43:$X$47,R$43,$C$54:$D67)</f>
        <v>0</v>
      </c>
      <c r="S67" s="38">
        <f>DSUM($B$43:$X$47,S$43,$C$54:$D67)</f>
        <v>0</v>
      </c>
      <c r="T67" s="38">
        <f>DSUM($B$43:$X$47,T$43,$C$54:$D67)</f>
        <v>0</v>
      </c>
      <c r="U67" s="38">
        <f>DSUM($B$43:$X$47,U$43,$C$54:$D67)</f>
        <v>0</v>
      </c>
      <c r="V67" s="38">
        <f>DSUM($B$43:$X$47,V$43,$C$54:$D67)</f>
        <v>0</v>
      </c>
      <c r="W67" s="38">
        <f>DSUM($B$43:$X$47,W$43,$C$54:$D67)</f>
        <v>0</v>
      </c>
      <c r="X67" s="38">
        <f>DSUM($B$43:$Y$47,X$43,$C$54:$D67)</f>
        <v>0</v>
      </c>
      <c r="Y67" s="38">
        <f t="shared" si="41"/>
        <v>0</v>
      </c>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row>
    <row r="68" spans="2:80">
      <c r="B68" s="9" t="s">
        <v>110</v>
      </c>
      <c r="C68" s="55" t="s">
        <v>111</v>
      </c>
      <c r="D68" s="55" t="s">
        <v>112</v>
      </c>
      <c r="E68" s="38">
        <f>DSUM($B$43:$X$47,E$43,$C$54:$D68)</f>
        <v>0</v>
      </c>
      <c r="F68" s="38">
        <f>DSUM($B$43:$X$47,F$43,$C$54:$D68)</f>
        <v>0</v>
      </c>
      <c r="G68" s="38">
        <f>DSUM($B$43:$X$47,G$43,$C$54:$D68)</f>
        <v>0</v>
      </c>
      <c r="H68" s="38">
        <f>DSUM($B$43:$X$47,H$43,$C$54:$D68)</f>
        <v>0</v>
      </c>
      <c r="I68" s="38">
        <f>DSUM($B$43:$X$47,I$43,$C$54:$D68)</f>
        <v>0</v>
      </c>
      <c r="J68" s="38">
        <f>DSUM($B$43:$X$47,J$43,$C$54:$D68)</f>
        <v>0</v>
      </c>
      <c r="K68" s="38">
        <f>DSUM($B$43:$X$47,K$43,$C$54:$D68)</f>
        <v>0</v>
      </c>
      <c r="L68" s="38">
        <f>DSUM($B$43:$X$47,L$43,$C$54:$D68)</f>
        <v>0</v>
      </c>
      <c r="M68" s="38">
        <f>DSUM($B$43:$X$47,M$43,$C$54:$D68)</f>
        <v>0</v>
      </c>
      <c r="N68" s="38">
        <f>DSUM($B$43:$X$47,N$43,$C$54:$D68)</f>
        <v>0</v>
      </c>
      <c r="O68" s="38">
        <f>DSUM($B$43:$X$47,O$43,$C$54:$D68)</f>
        <v>0</v>
      </c>
      <c r="P68" s="38">
        <f>DSUM($B$43:$X$47,P$43,$C$54:$D68)</f>
        <v>0</v>
      </c>
      <c r="Q68" s="38">
        <f>DSUM($B$43:$X$47,Q$43,$C$54:$D68)</f>
        <v>0</v>
      </c>
      <c r="R68" s="38">
        <f>DSUM($B$43:$X$47,R$43,$C$54:$D68)</f>
        <v>0</v>
      </c>
      <c r="S68" s="38">
        <f>DSUM($B$43:$X$47,S$43,$C$54:$D68)</f>
        <v>0</v>
      </c>
      <c r="T68" s="38">
        <f>DSUM($B$43:$X$47,T$43,$C$54:$D68)</f>
        <v>0</v>
      </c>
      <c r="U68" s="38">
        <f>DSUM($B$43:$X$47,U$43,$C$54:$D68)</f>
        <v>0</v>
      </c>
      <c r="V68" s="38">
        <f>DSUM($B$43:$X$47,V$43,$C$54:$D68)</f>
        <v>0</v>
      </c>
      <c r="W68" s="38">
        <f>DSUM($B$43:$X$47,W$43,$C$54:$D68)</f>
        <v>0</v>
      </c>
      <c r="X68" s="38">
        <f>DSUM($B$43:$Y$47,X$43,$C$54:$D68)</f>
        <v>0</v>
      </c>
      <c r="Y68" s="38">
        <f t="shared" si="41"/>
        <v>0</v>
      </c>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row>
    <row r="69" spans="2:80">
      <c r="B69" s="9" t="s">
        <v>113</v>
      </c>
      <c r="C69" s="55" t="s">
        <v>114</v>
      </c>
      <c r="D69" s="55" t="s">
        <v>115</v>
      </c>
      <c r="E69" s="38">
        <f>DSUM($B$43:$X$47,E$43,$C$54:$D69)</f>
        <v>0</v>
      </c>
      <c r="F69" s="38">
        <f>DSUM($B$43:$X$47,F$43,$C$54:$D69)</f>
        <v>0</v>
      </c>
      <c r="G69" s="38">
        <f>DSUM($B$43:$X$47,G$43,$C$54:$D69)</f>
        <v>0</v>
      </c>
      <c r="H69" s="38">
        <f>DSUM($B$43:$X$47,H$43,$C$54:$D69)</f>
        <v>0</v>
      </c>
      <c r="I69" s="38">
        <f>DSUM($B$43:$X$47,I$43,$C$54:$D69)</f>
        <v>0</v>
      </c>
      <c r="J69" s="38">
        <f>DSUM($B$43:$X$47,J$43,$C$54:$D69)</f>
        <v>0</v>
      </c>
      <c r="K69" s="38">
        <f>DSUM($B$43:$X$47,K$43,$C$54:$D69)</f>
        <v>0</v>
      </c>
      <c r="L69" s="38">
        <f>DSUM($B$43:$X$47,L$43,$C$54:$D69)</f>
        <v>0</v>
      </c>
      <c r="M69" s="38">
        <f>DSUM($B$43:$X$47,M$43,$C$54:$D69)</f>
        <v>0</v>
      </c>
      <c r="N69" s="38">
        <f>DSUM($B$43:$X$47,N$43,$C$54:$D69)</f>
        <v>0</v>
      </c>
      <c r="O69" s="38">
        <f>DSUM($B$43:$X$47,O$43,$C$54:$D69)</f>
        <v>0</v>
      </c>
      <c r="P69" s="38">
        <f>DSUM($B$43:$X$47,P$43,$C$54:$D69)</f>
        <v>0</v>
      </c>
      <c r="Q69" s="38">
        <f>DSUM($B$43:$X$47,Q$43,$C$54:$D69)</f>
        <v>0</v>
      </c>
      <c r="R69" s="38">
        <f>DSUM($B$43:$X$47,R$43,$C$54:$D69)</f>
        <v>0</v>
      </c>
      <c r="S69" s="38">
        <f>DSUM($B$43:$X$47,S$43,$C$54:$D69)</f>
        <v>0</v>
      </c>
      <c r="T69" s="38">
        <f>DSUM($B$43:$X$47,T$43,$C$54:$D69)</f>
        <v>0</v>
      </c>
      <c r="U69" s="38">
        <f>DSUM($B$43:$X$47,U$43,$C$54:$D69)</f>
        <v>0</v>
      </c>
      <c r="V69" s="38">
        <f>DSUM($B$43:$X$47,V$43,$C$54:$D69)</f>
        <v>0</v>
      </c>
      <c r="W69" s="38">
        <f>DSUM($B$43:$X$47,W$43,$C$54:$D69)</f>
        <v>0</v>
      </c>
      <c r="X69" s="38">
        <f>DSUM($B$43:$Y$47,X$43,$C$54:$D69)</f>
        <v>0</v>
      </c>
      <c r="Y69" s="38">
        <f t="shared" si="41"/>
        <v>0</v>
      </c>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row>
    <row r="70" spans="2:80">
      <c r="B70" s="9" t="s">
        <v>116</v>
      </c>
      <c r="C70" s="55" t="s">
        <v>117</v>
      </c>
      <c r="D70" s="55" t="s">
        <v>118</v>
      </c>
      <c r="E70" s="38">
        <f>DSUM($B$43:$X$47,E$43,$C$54:$D70)</f>
        <v>0</v>
      </c>
      <c r="F70" s="38">
        <f>DSUM($B$43:$X$47,F$43,$C$54:$D70)</f>
        <v>0</v>
      </c>
      <c r="G70" s="38">
        <f>DSUM($B$43:$X$47,G$43,$C$54:$D70)</f>
        <v>0</v>
      </c>
      <c r="H70" s="38">
        <f>DSUM($B$43:$X$47,H$43,$C$54:$D70)</f>
        <v>0</v>
      </c>
      <c r="I70" s="38">
        <f>DSUM($B$43:$X$47,I$43,$C$54:$D70)</f>
        <v>0</v>
      </c>
      <c r="J70" s="38">
        <f>DSUM($B$43:$X$47,J$43,$C$54:$D70)</f>
        <v>0</v>
      </c>
      <c r="K70" s="38">
        <f>DSUM($B$43:$X$47,K$43,$C$54:$D70)</f>
        <v>0</v>
      </c>
      <c r="L70" s="38">
        <f>DSUM($B$43:$X$47,L$43,$C$54:$D70)</f>
        <v>0</v>
      </c>
      <c r="M70" s="38">
        <f>DSUM($B$43:$X$47,M$43,$C$54:$D70)</f>
        <v>0</v>
      </c>
      <c r="N70" s="38">
        <f>DSUM($B$43:$X$47,N$43,$C$54:$D70)</f>
        <v>0</v>
      </c>
      <c r="O70" s="38">
        <f>DSUM($B$43:$X$47,O$43,$C$54:$D70)</f>
        <v>0</v>
      </c>
      <c r="P70" s="38">
        <f>DSUM($B$43:$X$47,P$43,$C$54:$D70)</f>
        <v>0</v>
      </c>
      <c r="Q70" s="38">
        <f>DSUM($B$43:$X$47,Q$43,$C$54:$D70)</f>
        <v>0</v>
      </c>
      <c r="R70" s="38">
        <f>DSUM($B$43:$X$47,R$43,$C$54:$D70)</f>
        <v>0</v>
      </c>
      <c r="S70" s="38">
        <f>DSUM($B$43:$X$47,S$43,$C$54:$D70)</f>
        <v>0</v>
      </c>
      <c r="T70" s="38">
        <f>DSUM($B$43:$X$47,T$43,$C$54:$D70)</f>
        <v>0</v>
      </c>
      <c r="U70" s="38">
        <f>DSUM($B$43:$X$47,U$43,$C$54:$D70)</f>
        <v>0</v>
      </c>
      <c r="V70" s="38">
        <f>DSUM($B$43:$X$47,V$43,$C$54:$D70)</f>
        <v>0</v>
      </c>
      <c r="W70" s="38">
        <f>DSUM($B$43:$X$47,W$43,$C$54:$D70)</f>
        <v>0</v>
      </c>
      <c r="X70" s="38">
        <f>DSUM($B$43:$Y$47,X$43,$C$54:$D70)</f>
        <v>0</v>
      </c>
      <c r="Y70" s="38">
        <f t="shared" si="41"/>
        <v>0</v>
      </c>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row>
    <row r="71" spans="2:80">
      <c r="B71" s="9" t="s">
        <v>119</v>
      </c>
      <c r="C71" s="55" t="s">
        <v>120</v>
      </c>
      <c r="D71" s="55" t="s">
        <v>121</v>
      </c>
      <c r="E71" s="38">
        <f ca="1">DSUM($B$43:$X$47,E$43,$C$54:$D71)</f>
        <v>2.1867902478646658E-4</v>
      </c>
      <c r="F71" s="38">
        <f ca="1">DSUM($B$43:$X$47,F$43,$C$54:$D71)</f>
        <v>6.2894112713183126E-4</v>
      </c>
      <c r="G71" s="38">
        <f ca="1">DSUM($B$43:$X$47,G$43,$C$54:$D71)</f>
        <v>1.3071046299507224E-3</v>
      </c>
      <c r="H71" s="38">
        <f ca="1">DSUM($B$43:$X$47,H$43,$C$54:$D71)</f>
        <v>2.3837447762027428E-3</v>
      </c>
      <c r="I71" s="38">
        <f ca="1">DSUM($B$43:$X$47,I$43,$C$54:$D71)</f>
        <v>3.9633655913183276E-3</v>
      </c>
      <c r="J71" s="38">
        <f ca="1">DSUM($B$43:$X$47,J$43,$C$54:$D71)</f>
        <v>6.033295234270577E-3</v>
      </c>
      <c r="K71" s="38">
        <f ca="1">DSUM($B$43:$X$47,K$43,$C$54:$D71)</f>
        <v>8.8575959596215482E-3</v>
      </c>
      <c r="L71" s="38">
        <f ca="1">DSUM($B$43:$X$47,L$43,$C$54:$D71)</f>
        <v>1.2680060548634313E-2</v>
      </c>
      <c r="M71" s="38">
        <f ca="1">DSUM($B$43:$X$47,M$43,$C$54:$D71)</f>
        <v>1.7298032264694736E-2</v>
      </c>
      <c r="N71" s="38">
        <f ca="1">DSUM($B$43:$X$47,N$43,$C$54:$D71)</f>
        <v>2.3273409128313955E-2</v>
      </c>
      <c r="O71" s="38">
        <f ca="1">DSUM($B$43:$X$47,O$43,$C$54:$D71)</f>
        <v>2.9824208056972779E-2</v>
      </c>
      <c r="P71" s="38">
        <f ca="1">DSUM($B$43:$X$47,P$43,$C$54:$D71)</f>
        <v>3.6197825829265264E-2</v>
      </c>
      <c r="Q71" s="38">
        <f ca="1">DSUM($B$43:$X$47,Q$43,$C$54:$D71)</f>
        <v>4.1903853997236278E-2</v>
      </c>
      <c r="R71" s="38">
        <f ca="1">DSUM($B$43:$X$47,R$43,$C$54:$D71)</f>
        <v>4.8145193116131579E-2</v>
      </c>
      <c r="S71" s="38">
        <f ca="1">DSUM($B$43:$X$47,S$43,$C$54:$D71)</f>
        <v>5.4163956927490375E-2</v>
      </c>
      <c r="T71" s="38">
        <f ca="1">DSUM($B$43:$X$47,T$43,$C$54:$D71)</f>
        <v>5.8374801670714252E-2</v>
      </c>
      <c r="U71" s="38">
        <f ca="1">DSUM($B$43:$X$47,U$43,$C$54:$D71)</f>
        <v>5.9782440459048986E-2</v>
      </c>
      <c r="V71" s="38">
        <f ca="1">DSUM($B$43:$X$47,V$43,$C$54:$D71)</f>
        <v>6.1848294892624736E-2</v>
      </c>
      <c r="W71" s="38">
        <f ca="1">DSUM($B$43:$X$47,W$43,$C$54:$D71)</f>
        <v>6.3299422543769898E-2</v>
      </c>
      <c r="X71" s="38">
        <f ca="1">DSUM($B$43:$Y$47,X$43,$C$54:$D71)</f>
        <v>6.4338033512257697E-2</v>
      </c>
      <c r="Y71" s="38">
        <f t="shared" ca="1" si="41"/>
        <v>0.59452225929043712</v>
      </c>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row>
    <row r="72" spans="2:80">
      <c r="B72" s="9" t="s">
        <v>122</v>
      </c>
      <c r="C72" s="55" t="s">
        <v>123</v>
      </c>
      <c r="D72" s="55" t="s">
        <v>124</v>
      </c>
      <c r="E72" s="38">
        <f ca="1">DSUM($B$43:$X$47,E$43,$C$54:$D72)</f>
        <v>2.1867902478646658E-4</v>
      </c>
      <c r="F72" s="38">
        <f ca="1">DSUM($B$43:$X$47,F$43,$C$54:$D72)</f>
        <v>6.2894112713183126E-4</v>
      </c>
      <c r="G72" s="38">
        <f ca="1">DSUM($B$43:$X$47,G$43,$C$54:$D72)</f>
        <v>1.3071046299507224E-3</v>
      </c>
      <c r="H72" s="38">
        <f ca="1">DSUM($B$43:$X$47,H$43,$C$54:$D72)</f>
        <v>2.3837447762027428E-3</v>
      </c>
      <c r="I72" s="38">
        <f ca="1">DSUM($B$43:$X$47,I$43,$C$54:$D72)</f>
        <v>3.9633655913183276E-3</v>
      </c>
      <c r="J72" s="38">
        <f ca="1">DSUM($B$43:$X$47,J$43,$C$54:$D72)</f>
        <v>6.033295234270577E-3</v>
      </c>
      <c r="K72" s="38">
        <f ca="1">DSUM($B$43:$X$47,K$43,$C$54:$D72)</f>
        <v>8.8575959596215482E-3</v>
      </c>
      <c r="L72" s="38">
        <f ca="1">DSUM($B$43:$X$47,L$43,$C$54:$D72)</f>
        <v>1.2680060548634313E-2</v>
      </c>
      <c r="M72" s="38">
        <f ca="1">DSUM($B$43:$X$47,M$43,$C$54:$D72)</f>
        <v>1.7298032264694736E-2</v>
      </c>
      <c r="N72" s="38">
        <f ca="1">DSUM($B$43:$X$47,N$43,$C$54:$D72)</f>
        <v>2.3273409128313955E-2</v>
      </c>
      <c r="O72" s="38">
        <f ca="1">DSUM($B$43:$X$47,O$43,$C$54:$D72)</f>
        <v>2.9824208056972779E-2</v>
      </c>
      <c r="P72" s="38">
        <f ca="1">DSUM($B$43:$X$47,P$43,$C$54:$D72)</f>
        <v>3.6197825829265264E-2</v>
      </c>
      <c r="Q72" s="38">
        <f ca="1">DSUM($B$43:$X$47,Q$43,$C$54:$D72)</f>
        <v>4.1903853997236278E-2</v>
      </c>
      <c r="R72" s="38">
        <f ca="1">DSUM($B$43:$X$47,R$43,$C$54:$D72)</f>
        <v>4.8145193116131579E-2</v>
      </c>
      <c r="S72" s="38">
        <f ca="1">DSUM($B$43:$X$47,S$43,$C$54:$D72)</f>
        <v>5.4163956927490375E-2</v>
      </c>
      <c r="T72" s="38">
        <f ca="1">DSUM($B$43:$X$47,T$43,$C$54:$D72)</f>
        <v>5.8374801670714252E-2</v>
      </c>
      <c r="U72" s="38">
        <f ca="1">DSUM($B$43:$X$47,U$43,$C$54:$D72)</f>
        <v>5.9782440459048986E-2</v>
      </c>
      <c r="V72" s="38">
        <f ca="1">DSUM($B$43:$X$47,V$43,$C$54:$D72)</f>
        <v>6.1848294892624736E-2</v>
      </c>
      <c r="W72" s="38">
        <f ca="1">DSUM($B$43:$X$47,W$43,$C$54:$D72)</f>
        <v>6.3299422543769898E-2</v>
      </c>
      <c r="X72" s="38">
        <f ca="1">DSUM($B$43:$Y$47,X$43,$C$54:$D72)</f>
        <v>6.4338033512257697E-2</v>
      </c>
      <c r="Y72" s="38">
        <f t="shared" ca="1" si="41"/>
        <v>0.59452225929043712</v>
      </c>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row>
    <row r="73" spans="2:80">
      <c r="B73" s="9" t="s">
        <v>125</v>
      </c>
      <c r="C73" s="55" t="s">
        <v>126</v>
      </c>
      <c r="D73" s="55" t="s">
        <v>127</v>
      </c>
      <c r="E73" s="38">
        <f ca="1">DSUM($B$43:$X$47,E$43,$C$54:$D73)</f>
        <v>2.1867902478646658E-4</v>
      </c>
      <c r="F73" s="38">
        <f ca="1">DSUM($B$43:$X$47,F$43,$C$54:$D73)</f>
        <v>6.2894112713183126E-4</v>
      </c>
      <c r="G73" s="38">
        <f ca="1">DSUM($B$43:$X$47,G$43,$C$54:$D73)</f>
        <v>1.3071046299507224E-3</v>
      </c>
      <c r="H73" s="38">
        <f ca="1">DSUM($B$43:$X$47,H$43,$C$54:$D73)</f>
        <v>2.3837447762027428E-3</v>
      </c>
      <c r="I73" s="38">
        <f ca="1">DSUM($B$43:$X$47,I$43,$C$54:$D73)</f>
        <v>3.9633655913183276E-3</v>
      </c>
      <c r="J73" s="38">
        <f ca="1">DSUM($B$43:$X$47,J$43,$C$54:$D73)</f>
        <v>6.033295234270577E-3</v>
      </c>
      <c r="K73" s="38">
        <f ca="1">DSUM($B$43:$X$47,K$43,$C$54:$D73)</f>
        <v>8.8575959596215482E-3</v>
      </c>
      <c r="L73" s="38">
        <f ca="1">DSUM($B$43:$X$47,L$43,$C$54:$D73)</f>
        <v>1.2680060548634313E-2</v>
      </c>
      <c r="M73" s="38">
        <f ca="1">DSUM($B$43:$X$47,M$43,$C$54:$D73)</f>
        <v>1.7298032264694736E-2</v>
      </c>
      <c r="N73" s="38">
        <f ca="1">DSUM($B$43:$X$47,N$43,$C$54:$D73)</f>
        <v>2.3273409128313955E-2</v>
      </c>
      <c r="O73" s="38">
        <f ca="1">DSUM($B$43:$X$47,O$43,$C$54:$D73)</f>
        <v>2.9824208056972779E-2</v>
      </c>
      <c r="P73" s="38">
        <f ca="1">DSUM($B$43:$X$47,P$43,$C$54:$D73)</f>
        <v>3.6197825829265264E-2</v>
      </c>
      <c r="Q73" s="38">
        <f ca="1">DSUM($B$43:$X$47,Q$43,$C$54:$D73)</f>
        <v>4.1903853997236278E-2</v>
      </c>
      <c r="R73" s="38">
        <f ca="1">DSUM($B$43:$X$47,R$43,$C$54:$D73)</f>
        <v>4.8145193116131579E-2</v>
      </c>
      <c r="S73" s="38">
        <f ca="1">DSUM($B$43:$X$47,S$43,$C$54:$D73)</f>
        <v>5.4163956927490375E-2</v>
      </c>
      <c r="T73" s="38">
        <f ca="1">DSUM($B$43:$X$47,T$43,$C$54:$D73)</f>
        <v>5.8374801670714252E-2</v>
      </c>
      <c r="U73" s="38">
        <f ca="1">DSUM($B$43:$X$47,U$43,$C$54:$D73)</f>
        <v>5.9782440459048986E-2</v>
      </c>
      <c r="V73" s="38">
        <f ca="1">DSUM($B$43:$X$47,V$43,$C$54:$D73)</f>
        <v>6.1848294892624736E-2</v>
      </c>
      <c r="W73" s="38">
        <f ca="1">DSUM($B$43:$X$47,W$43,$C$54:$D73)</f>
        <v>6.3299422543769898E-2</v>
      </c>
      <c r="X73" s="38">
        <f ca="1">DSUM($B$43:$Y$47,X$43,$C$54:$D73)</f>
        <v>6.4338033512257697E-2</v>
      </c>
      <c r="Y73" s="38">
        <f t="shared" ca="1" si="41"/>
        <v>0.59452225929043712</v>
      </c>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row>
    <row r="74" spans="2:80">
      <c r="B74" s="9" t="s">
        <v>128</v>
      </c>
      <c r="C74" s="55" t="s">
        <v>129</v>
      </c>
      <c r="D74" s="55" t="s">
        <v>130</v>
      </c>
      <c r="E74" s="38">
        <f ca="1">DSUM($B$43:$X$47,E$43,$C$54:$D74)</f>
        <v>2.1867902478646658E-4</v>
      </c>
      <c r="F74" s="38">
        <f ca="1">DSUM($B$43:$X$47,F$43,$C$54:$D74)</f>
        <v>6.2894112713183126E-4</v>
      </c>
      <c r="G74" s="38">
        <f ca="1">DSUM($B$43:$X$47,G$43,$C$54:$D74)</f>
        <v>1.3071046299507224E-3</v>
      </c>
      <c r="H74" s="38">
        <f ca="1">DSUM($B$43:$X$47,H$43,$C$54:$D74)</f>
        <v>2.3837447762027428E-3</v>
      </c>
      <c r="I74" s="38">
        <f ca="1">DSUM($B$43:$X$47,I$43,$C$54:$D74)</f>
        <v>3.9633655913183276E-3</v>
      </c>
      <c r="J74" s="38">
        <f ca="1">DSUM($B$43:$X$47,J$43,$C$54:$D74)</f>
        <v>6.033295234270577E-3</v>
      </c>
      <c r="K74" s="38">
        <f ca="1">DSUM($B$43:$X$47,K$43,$C$54:$D74)</f>
        <v>8.8575959596215482E-3</v>
      </c>
      <c r="L74" s="38">
        <f ca="1">DSUM($B$43:$X$47,L$43,$C$54:$D74)</f>
        <v>1.2680060548634313E-2</v>
      </c>
      <c r="M74" s="38">
        <f ca="1">DSUM($B$43:$X$47,M$43,$C$54:$D74)</f>
        <v>1.7298032264694736E-2</v>
      </c>
      <c r="N74" s="38">
        <f ca="1">DSUM($B$43:$X$47,N$43,$C$54:$D74)</f>
        <v>2.3273409128313955E-2</v>
      </c>
      <c r="O74" s="38">
        <f ca="1">DSUM($B$43:$X$47,O$43,$C$54:$D74)</f>
        <v>2.9824208056972779E-2</v>
      </c>
      <c r="P74" s="38">
        <f ca="1">DSUM($B$43:$X$47,P$43,$C$54:$D74)</f>
        <v>3.6197825829265264E-2</v>
      </c>
      <c r="Q74" s="38">
        <f ca="1">DSUM($B$43:$X$47,Q$43,$C$54:$D74)</f>
        <v>4.1903853997236278E-2</v>
      </c>
      <c r="R74" s="38">
        <f ca="1">DSUM($B$43:$X$47,R$43,$C$54:$D74)</f>
        <v>4.8145193116131579E-2</v>
      </c>
      <c r="S74" s="38">
        <f ca="1">DSUM($B$43:$X$47,S$43,$C$54:$D74)</f>
        <v>5.4163956927490375E-2</v>
      </c>
      <c r="T74" s="38">
        <f ca="1">DSUM($B$43:$X$47,T$43,$C$54:$D74)</f>
        <v>5.8374801670714252E-2</v>
      </c>
      <c r="U74" s="38">
        <f ca="1">DSUM($B$43:$X$47,U$43,$C$54:$D74)</f>
        <v>5.9782440459048986E-2</v>
      </c>
      <c r="V74" s="38">
        <f ca="1">DSUM($B$43:$X$47,V$43,$C$54:$D74)</f>
        <v>6.1848294892624736E-2</v>
      </c>
      <c r="W74" s="38">
        <f ca="1">DSUM($B$43:$X$47,W$43,$C$54:$D74)</f>
        <v>6.3299422543769898E-2</v>
      </c>
      <c r="X74" s="38">
        <f ca="1">DSUM($B$43:$Y$47,X$43,$C$54:$D74)</f>
        <v>6.4338033512257697E-2</v>
      </c>
      <c r="Y74" s="38">
        <f t="shared" ca="1" si="41"/>
        <v>0.59452225929043712</v>
      </c>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row>
    <row r="75" spans="2:80">
      <c r="B75" s="9" t="s">
        <v>131</v>
      </c>
      <c r="C75" s="55" t="s">
        <v>132</v>
      </c>
      <c r="D75" s="55" t="s">
        <v>133</v>
      </c>
      <c r="E75" s="38">
        <f ca="1">DSUM($B$43:$X$47,E$43,$C$54:$D75)</f>
        <v>2.1867902478646658E-4</v>
      </c>
      <c r="F75" s="38">
        <f ca="1">DSUM($B$43:$X$47,F$43,$C$54:$D75)</f>
        <v>6.2894112713183126E-4</v>
      </c>
      <c r="G75" s="38">
        <f ca="1">DSUM($B$43:$X$47,G$43,$C$54:$D75)</f>
        <v>1.3071046299507224E-3</v>
      </c>
      <c r="H75" s="38">
        <f ca="1">DSUM($B$43:$X$47,H$43,$C$54:$D75)</f>
        <v>2.3837447762027428E-3</v>
      </c>
      <c r="I75" s="38">
        <f ca="1">DSUM($B$43:$X$47,I$43,$C$54:$D75)</f>
        <v>3.9633655913183276E-3</v>
      </c>
      <c r="J75" s="38">
        <f ca="1">DSUM($B$43:$X$47,J$43,$C$54:$D75)</f>
        <v>6.033295234270577E-3</v>
      </c>
      <c r="K75" s="38">
        <f ca="1">DSUM($B$43:$X$47,K$43,$C$54:$D75)</f>
        <v>8.8575959596215482E-3</v>
      </c>
      <c r="L75" s="38">
        <f ca="1">DSUM($B$43:$X$47,L$43,$C$54:$D75)</f>
        <v>1.2680060548634313E-2</v>
      </c>
      <c r="M75" s="38">
        <f ca="1">DSUM($B$43:$X$47,M$43,$C$54:$D75)</f>
        <v>1.7298032264694736E-2</v>
      </c>
      <c r="N75" s="38">
        <f ca="1">DSUM($B$43:$X$47,N$43,$C$54:$D75)</f>
        <v>2.3273409128313955E-2</v>
      </c>
      <c r="O75" s="38">
        <f ca="1">DSUM($B$43:$X$47,O$43,$C$54:$D75)</f>
        <v>2.9824208056972779E-2</v>
      </c>
      <c r="P75" s="38">
        <f ca="1">DSUM($B$43:$X$47,P$43,$C$54:$D75)</f>
        <v>3.6197825829265264E-2</v>
      </c>
      <c r="Q75" s="38">
        <f ca="1">DSUM($B$43:$X$47,Q$43,$C$54:$D75)</f>
        <v>4.1903853997236278E-2</v>
      </c>
      <c r="R75" s="38">
        <f ca="1">DSUM($B$43:$X$47,R$43,$C$54:$D75)</f>
        <v>4.8145193116131579E-2</v>
      </c>
      <c r="S75" s="38">
        <f ca="1">DSUM($B$43:$X$47,S$43,$C$54:$D75)</f>
        <v>5.4163956927490375E-2</v>
      </c>
      <c r="T75" s="38">
        <f ca="1">DSUM($B$43:$X$47,T$43,$C$54:$D75)</f>
        <v>5.8374801670714252E-2</v>
      </c>
      <c r="U75" s="38">
        <f ca="1">DSUM($B$43:$X$47,U$43,$C$54:$D75)</f>
        <v>5.9782440459048986E-2</v>
      </c>
      <c r="V75" s="38">
        <f ca="1">DSUM($B$43:$X$47,V$43,$C$54:$D75)</f>
        <v>6.1848294892624736E-2</v>
      </c>
      <c r="W75" s="38">
        <f ca="1">DSUM($B$43:$X$47,W$43,$C$54:$D75)</f>
        <v>6.3299422543769898E-2</v>
      </c>
      <c r="X75" s="38">
        <f ca="1">DSUM($B$43:$Y$47,X$43,$C$54:$D75)</f>
        <v>6.4338033512257697E-2</v>
      </c>
      <c r="Y75" s="38">
        <f t="shared" ca="1" si="41"/>
        <v>0.59452225929043712</v>
      </c>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row>
    <row r="76" spans="2:80">
      <c r="B76" s="9" t="s">
        <v>4907</v>
      </c>
      <c r="C76" s="55" t="s">
        <v>135</v>
      </c>
      <c r="D76" s="55" t="s">
        <v>4928</v>
      </c>
      <c r="E76" s="38">
        <f ca="1">DSUM($B$43:$X$47,E$43,$C$54:$D76)</f>
        <v>2.1867902478646658E-4</v>
      </c>
      <c r="F76" s="38">
        <f ca="1">DSUM($B$43:$X$47,F$43,$C$54:$D76)</f>
        <v>6.2894112713183126E-4</v>
      </c>
      <c r="G76" s="38">
        <f ca="1">DSUM($B$43:$X$47,G$43,$C$54:$D76)</f>
        <v>1.3071046299507224E-3</v>
      </c>
      <c r="H76" s="38">
        <f ca="1">DSUM($B$43:$X$47,H$43,$C$54:$D76)</f>
        <v>2.3837447762027428E-3</v>
      </c>
      <c r="I76" s="38">
        <f ca="1">DSUM($B$43:$X$47,I$43,$C$54:$D76)</f>
        <v>3.9633655913183276E-3</v>
      </c>
      <c r="J76" s="38">
        <f ca="1">DSUM($B$43:$X$47,J$43,$C$54:$D76)</f>
        <v>6.033295234270577E-3</v>
      </c>
      <c r="K76" s="38">
        <f ca="1">DSUM($B$43:$X$47,K$43,$C$54:$D76)</f>
        <v>8.8575959596215482E-3</v>
      </c>
      <c r="L76" s="38">
        <f ca="1">DSUM($B$43:$X$47,L$43,$C$54:$D76)</f>
        <v>1.2680060548634313E-2</v>
      </c>
      <c r="M76" s="38">
        <f ca="1">DSUM($B$43:$X$47,M$43,$C$54:$D76)</f>
        <v>1.7298032264694736E-2</v>
      </c>
      <c r="N76" s="38">
        <f ca="1">DSUM($B$43:$X$47,N$43,$C$54:$D76)</f>
        <v>2.3273409128313955E-2</v>
      </c>
      <c r="O76" s="38">
        <f ca="1">DSUM($B$43:$X$47,O$43,$C$54:$D76)</f>
        <v>2.9824208056972779E-2</v>
      </c>
      <c r="P76" s="38">
        <f ca="1">DSUM($B$43:$X$47,P$43,$C$54:$D76)</f>
        <v>3.6197825829265264E-2</v>
      </c>
      <c r="Q76" s="38">
        <f ca="1">DSUM($B$43:$X$47,Q$43,$C$54:$D76)</f>
        <v>4.1903853997236278E-2</v>
      </c>
      <c r="R76" s="38">
        <f ca="1">DSUM($B$43:$X$47,R$43,$C$54:$D76)</f>
        <v>4.8145193116131579E-2</v>
      </c>
      <c r="S76" s="38">
        <f ca="1">DSUM($B$43:$X$47,S$43,$C$54:$D76)</f>
        <v>5.4163956927490375E-2</v>
      </c>
      <c r="T76" s="38">
        <f ca="1">DSUM($B$43:$X$47,T$43,$C$54:$D76)</f>
        <v>5.8374801670714252E-2</v>
      </c>
      <c r="U76" s="38">
        <f ca="1">DSUM($B$43:$X$47,U$43,$C$54:$D76)</f>
        <v>5.9782440459048986E-2</v>
      </c>
      <c r="V76" s="38">
        <f ca="1">DSUM($B$43:$X$47,V$43,$C$54:$D76)</f>
        <v>6.1848294892624736E-2</v>
      </c>
      <c r="W76" s="38">
        <f ca="1">DSUM($B$43:$X$47,W$43,$C$54:$D76)</f>
        <v>6.3299422543769898E-2</v>
      </c>
      <c r="X76" s="38">
        <f ca="1">DSUM($B$43:$Y$47,X$43,$C$54:$D76)</f>
        <v>6.4338033512257697E-2</v>
      </c>
      <c r="Y76" s="38">
        <f t="shared" ca="1" si="41"/>
        <v>0.59452225929043712</v>
      </c>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row>
    <row r="77" spans="2:80">
      <c r="B77" s="9" t="s">
        <v>4908</v>
      </c>
      <c r="C77" s="55" t="s">
        <v>4918</v>
      </c>
      <c r="D77" s="55" t="s">
        <v>4929</v>
      </c>
      <c r="E77" s="38">
        <f ca="1">DSUM($B$43:$X$47,E$43,$C$54:$D77)</f>
        <v>2.1867902478646658E-4</v>
      </c>
      <c r="F77" s="38">
        <f ca="1">DSUM($B$43:$X$47,F$43,$C$54:$D77)</f>
        <v>6.2894112713183126E-4</v>
      </c>
      <c r="G77" s="38">
        <f ca="1">DSUM($B$43:$X$47,G$43,$C$54:$D77)</f>
        <v>1.3071046299507224E-3</v>
      </c>
      <c r="H77" s="38">
        <f ca="1">DSUM($B$43:$X$47,H$43,$C$54:$D77)</f>
        <v>2.3837447762027428E-3</v>
      </c>
      <c r="I77" s="38">
        <f ca="1">DSUM($B$43:$X$47,I$43,$C$54:$D77)</f>
        <v>3.9633655913183276E-3</v>
      </c>
      <c r="J77" s="38">
        <f ca="1">DSUM($B$43:$X$47,J$43,$C$54:$D77)</f>
        <v>6.033295234270577E-3</v>
      </c>
      <c r="K77" s="38">
        <f ca="1">DSUM($B$43:$X$47,K$43,$C$54:$D77)</f>
        <v>8.8575959596215482E-3</v>
      </c>
      <c r="L77" s="38">
        <f ca="1">DSUM($B$43:$X$47,L$43,$C$54:$D77)</f>
        <v>1.2680060548634313E-2</v>
      </c>
      <c r="M77" s="38">
        <f ca="1">DSUM($B$43:$X$47,M$43,$C$54:$D77)</f>
        <v>1.7298032264694736E-2</v>
      </c>
      <c r="N77" s="38">
        <f ca="1">DSUM($B$43:$X$47,N$43,$C$54:$D77)</f>
        <v>2.3273409128313955E-2</v>
      </c>
      <c r="O77" s="38">
        <f ca="1">DSUM($B$43:$X$47,O$43,$C$54:$D77)</f>
        <v>2.9824208056972779E-2</v>
      </c>
      <c r="P77" s="38">
        <f ca="1">DSUM($B$43:$X$47,P$43,$C$54:$D77)</f>
        <v>3.6197825829265264E-2</v>
      </c>
      <c r="Q77" s="38">
        <f ca="1">DSUM($B$43:$X$47,Q$43,$C$54:$D77)</f>
        <v>4.1903853997236278E-2</v>
      </c>
      <c r="R77" s="38">
        <f ca="1">DSUM($B$43:$X$47,R$43,$C$54:$D77)</f>
        <v>4.8145193116131579E-2</v>
      </c>
      <c r="S77" s="38">
        <f ca="1">DSUM($B$43:$X$47,S$43,$C$54:$D77)</f>
        <v>5.4163956927490375E-2</v>
      </c>
      <c r="T77" s="38">
        <f ca="1">DSUM($B$43:$X$47,T$43,$C$54:$D77)</f>
        <v>5.8374801670714252E-2</v>
      </c>
      <c r="U77" s="38">
        <f ca="1">DSUM($B$43:$X$47,U$43,$C$54:$D77)</f>
        <v>5.9782440459048986E-2</v>
      </c>
      <c r="V77" s="38">
        <f ca="1">DSUM($B$43:$X$47,V$43,$C$54:$D77)</f>
        <v>6.1848294892624736E-2</v>
      </c>
      <c r="W77" s="38">
        <f ca="1">DSUM($B$43:$X$47,W$43,$C$54:$D77)</f>
        <v>6.3299422543769898E-2</v>
      </c>
      <c r="X77" s="38">
        <f ca="1">DSUM($B$43:$Y$47,X$43,$C$54:$D77)</f>
        <v>6.4338033512257697E-2</v>
      </c>
      <c r="Y77" s="38">
        <f t="shared" ca="1" si="41"/>
        <v>0.59452225929043712</v>
      </c>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row>
    <row r="78" spans="2:80">
      <c r="B78" s="9" t="s">
        <v>4909</v>
      </c>
      <c r="C78" s="55" t="s">
        <v>4919</v>
      </c>
      <c r="D78" s="55" t="s">
        <v>4930</v>
      </c>
      <c r="E78" s="38">
        <f ca="1">DSUM($B$43:$X$47,E$43,$C$54:$D78)</f>
        <v>2.1867902478646658E-4</v>
      </c>
      <c r="F78" s="38">
        <f ca="1">DSUM($B$43:$X$47,F$43,$C$54:$D78)</f>
        <v>6.2894112713183126E-4</v>
      </c>
      <c r="G78" s="38">
        <f ca="1">DSUM($B$43:$X$47,G$43,$C$54:$D78)</f>
        <v>1.3071046299507224E-3</v>
      </c>
      <c r="H78" s="38">
        <f ca="1">DSUM($B$43:$X$47,H$43,$C$54:$D78)</f>
        <v>2.3837447762027428E-3</v>
      </c>
      <c r="I78" s="38">
        <f ca="1">DSUM($B$43:$X$47,I$43,$C$54:$D78)</f>
        <v>3.9633655913183276E-3</v>
      </c>
      <c r="J78" s="38">
        <f ca="1">DSUM($B$43:$X$47,J$43,$C$54:$D78)</f>
        <v>6.033295234270577E-3</v>
      </c>
      <c r="K78" s="38">
        <f ca="1">DSUM($B$43:$X$47,K$43,$C$54:$D78)</f>
        <v>8.8575959596215482E-3</v>
      </c>
      <c r="L78" s="38">
        <f ca="1">DSUM($B$43:$X$47,L$43,$C$54:$D78)</f>
        <v>1.2680060548634313E-2</v>
      </c>
      <c r="M78" s="38">
        <f ca="1">DSUM($B$43:$X$47,M$43,$C$54:$D78)</f>
        <v>1.7298032264694736E-2</v>
      </c>
      <c r="N78" s="38">
        <f ca="1">DSUM($B$43:$X$47,N$43,$C$54:$D78)</f>
        <v>2.3273409128313955E-2</v>
      </c>
      <c r="O78" s="38">
        <f ca="1">DSUM($B$43:$X$47,O$43,$C$54:$D78)</f>
        <v>2.9824208056972779E-2</v>
      </c>
      <c r="P78" s="38">
        <f ca="1">DSUM($B$43:$X$47,P$43,$C$54:$D78)</f>
        <v>3.6197825829265264E-2</v>
      </c>
      <c r="Q78" s="38">
        <f ca="1">DSUM($B$43:$X$47,Q$43,$C$54:$D78)</f>
        <v>4.1903853997236278E-2</v>
      </c>
      <c r="R78" s="38">
        <f ca="1">DSUM($B$43:$X$47,R$43,$C$54:$D78)</f>
        <v>4.8145193116131579E-2</v>
      </c>
      <c r="S78" s="38">
        <f ca="1">DSUM($B$43:$X$47,S$43,$C$54:$D78)</f>
        <v>5.4163956927490375E-2</v>
      </c>
      <c r="T78" s="38">
        <f ca="1">DSUM($B$43:$X$47,T$43,$C$54:$D78)</f>
        <v>5.8374801670714252E-2</v>
      </c>
      <c r="U78" s="38">
        <f ca="1">DSUM($B$43:$X$47,U$43,$C$54:$D78)</f>
        <v>5.9782440459048986E-2</v>
      </c>
      <c r="V78" s="38">
        <f ca="1">DSUM($B$43:$X$47,V$43,$C$54:$D78)</f>
        <v>6.1848294892624736E-2</v>
      </c>
      <c r="W78" s="38">
        <f ca="1">DSUM($B$43:$X$47,W$43,$C$54:$D78)</f>
        <v>6.3299422543769898E-2</v>
      </c>
      <c r="X78" s="38">
        <f ca="1">DSUM($B$43:$Y$47,X$43,$C$54:$D78)</f>
        <v>6.4338033512257697E-2</v>
      </c>
      <c r="Y78" s="38">
        <f t="shared" ca="1" si="41"/>
        <v>0.59452225929043712</v>
      </c>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row>
    <row r="79" spans="2:80">
      <c r="B79" s="9" t="s">
        <v>4910</v>
      </c>
      <c r="C79" s="55" t="s">
        <v>4920</v>
      </c>
      <c r="D79" s="55" t="s">
        <v>4931</v>
      </c>
      <c r="E79" s="38">
        <f ca="1">DSUM($B$43:$X$47,E$43,$C$54:$D79)</f>
        <v>2.1867902478646658E-4</v>
      </c>
      <c r="F79" s="38">
        <f ca="1">DSUM($B$43:$X$47,F$43,$C$54:$D79)</f>
        <v>6.2894112713183126E-4</v>
      </c>
      <c r="G79" s="38">
        <f ca="1">DSUM($B$43:$X$47,G$43,$C$54:$D79)</f>
        <v>1.3071046299507224E-3</v>
      </c>
      <c r="H79" s="38">
        <f ca="1">DSUM($B$43:$X$47,H$43,$C$54:$D79)</f>
        <v>2.3837447762027428E-3</v>
      </c>
      <c r="I79" s="38">
        <f ca="1">DSUM($B$43:$X$47,I$43,$C$54:$D79)</f>
        <v>3.9633655913183276E-3</v>
      </c>
      <c r="J79" s="38">
        <f ca="1">DSUM($B$43:$X$47,J$43,$C$54:$D79)</f>
        <v>6.033295234270577E-3</v>
      </c>
      <c r="K79" s="38">
        <f ca="1">DSUM($B$43:$X$47,K$43,$C$54:$D79)</f>
        <v>8.8575959596215482E-3</v>
      </c>
      <c r="L79" s="38">
        <f ca="1">DSUM($B$43:$X$47,L$43,$C$54:$D79)</f>
        <v>1.2680060548634313E-2</v>
      </c>
      <c r="M79" s="38">
        <f ca="1">DSUM($B$43:$X$47,M$43,$C$54:$D79)</f>
        <v>1.7298032264694736E-2</v>
      </c>
      <c r="N79" s="38">
        <f ca="1">DSUM($B$43:$X$47,N$43,$C$54:$D79)</f>
        <v>2.3273409128313955E-2</v>
      </c>
      <c r="O79" s="38">
        <f ca="1">DSUM($B$43:$X$47,O$43,$C$54:$D79)</f>
        <v>2.9824208056972779E-2</v>
      </c>
      <c r="P79" s="38">
        <f ca="1">DSUM($B$43:$X$47,P$43,$C$54:$D79)</f>
        <v>3.6197825829265264E-2</v>
      </c>
      <c r="Q79" s="38">
        <f ca="1">DSUM($B$43:$X$47,Q$43,$C$54:$D79)</f>
        <v>4.1903853997236278E-2</v>
      </c>
      <c r="R79" s="38">
        <f ca="1">DSUM($B$43:$X$47,R$43,$C$54:$D79)</f>
        <v>4.8145193116131579E-2</v>
      </c>
      <c r="S79" s="38">
        <f ca="1">DSUM($B$43:$X$47,S$43,$C$54:$D79)</f>
        <v>5.4163956927490375E-2</v>
      </c>
      <c r="T79" s="38">
        <f ca="1">DSUM($B$43:$X$47,T$43,$C$54:$D79)</f>
        <v>5.8374801670714252E-2</v>
      </c>
      <c r="U79" s="38">
        <f ca="1">DSUM($B$43:$X$47,U$43,$C$54:$D79)</f>
        <v>5.9782440459048986E-2</v>
      </c>
      <c r="V79" s="38">
        <f ca="1">DSUM($B$43:$X$47,V$43,$C$54:$D79)</f>
        <v>6.1848294892624736E-2</v>
      </c>
      <c r="W79" s="38">
        <f ca="1">DSUM($B$43:$X$47,W$43,$C$54:$D79)</f>
        <v>6.3299422543769898E-2</v>
      </c>
      <c r="X79" s="38">
        <f ca="1">DSUM($B$43:$Y$47,X$43,$C$54:$D79)</f>
        <v>6.4338033512257697E-2</v>
      </c>
      <c r="Y79" s="38">
        <f t="shared" ca="1" si="41"/>
        <v>0.59452225929043712</v>
      </c>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row>
    <row r="80" spans="2:80">
      <c r="B80" s="9" t="s">
        <v>4911</v>
      </c>
      <c r="C80" s="55" t="s">
        <v>4921</v>
      </c>
      <c r="D80" s="55" t="s">
        <v>4932</v>
      </c>
      <c r="E80" s="38">
        <f ca="1">DSUM($B$43:$X$47,E$43,$C$54:$D80)</f>
        <v>2.1867902478646658E-4</v>
      </c>
      <c r="F80" s="38">
        <f ca="1">DSUM($B$43:$X$47,F$43,$C$54:$D80)</f>
        <v>6.2894112713183126E-4</v>
      </c>
      <c r="G80" s="38">
        <f ca="1">DSUM($B$43:$X$47,G$43,$C$54:$D80)</f>
        <v>1.3071046299507224E-3</v>
      </c>
      <c r="H80" s="38">
        <f ca="1">DSUM($B$43:$X$47,H$43,$C$54:$D80)</f>
        <v>2.3837447762027428E-3</v>
      </c>
      <c r="I80" s="38">
        <f ca="1">DSUM($B$43:$X$47,I$43,$C$54:$D80)</f>
        <v>3.9633655913183276E-3</v>
      </c>
      <c r="J80" s="38">
        <f ca="1">DSUM($B$43:$X$47,J$43,$C$54:$D80)</f>
        <v>6.033295234270577E-3</v>
      </c>
      <c r="K80" s="38">
        <f ca="1">DSUM($B$43:$X$47,K$43,$C$54:$D80)</f>
        <v>8.8575959596215482E-3</v>
      </c>
      <c r="L80" s="38">
        <f ca="1">DSUM($B$43:$X$47,L$43,$C$54:$D80)</f>
        <v>1.2680060548634313E-2</v>
      </c>
      <c r="M80" s="38">
        <f ca="1">DSUM($B$43:$X$47,M$43,$C$54:$D80)</f>
        <v>1.7298032264694736E-2</v>
      </c>
      <c r="N80" s="38">
        <f ca="1">DSUM($B$43:$X$47,N$43,$C$54:$D80)</f>
        <v>2.3273409128313955E-2</v>
      </c>
      <c r="O80" s="38">
        <f ca="1">DSUM($B$43:$X$47,O$43,$C$54:$D80)</f>
        <v>2.9824208056972779E-2</v>
      </c>
      <c r="P80" s="38">
        <f ca="1">DSUM($B$43:$X$47,P$43,$C$54:$D80)</f>
        <v>3.6197825829265264E-2</v>
      </c>
      <c r="Q80" s="38">
        <f ca="1">DSUM($B$43:$X$47,Q$43,$C$54:$D80)</f>
        <v>4.1903853997236278E-2</v>
      </c>
      <c r="R80" s="38">
        <f ca="1">DSUM($B$43:$X$47,R$43,$C$54:$D80)</f>
        <v>4.8145193116131579E-2</v>
      </c>
      <c r="S80" s="38">
        <f ca="1">DSUM($B$43:$X$47,S$43,$C$54:$D80)</f>
        <v>5.4163956927490375E-2</v>
      </c>
      <c r="T80" s="38">
        <f ca="1">DSUM($B$43:$X$47,T$43,$C$54:$D80)</f>
        <v>5.8374801670714252E-2</v>
      </c>
      <c r="U80" s="38">
        <f ca="1">DSUM($B$43:$X$47,U$43,$C$54:$D80)</f>
        <v>5.9782440459048986E-2</v>
      </c>
      <c r="V80" s="38">
        <f ca="1">DSUM($B$43:$X$47,V$43,$C$54:$D80)</f>
        <v>6.1848294892624736E-2</v>
      </c>
      <c r="W80" s="38">
        <f ca="1">DSUM($B$43:$X$47,W$43,$C$54:$D80)</f>
        <v>6.3299422543769898E-2</v>
      </c>
      <c r="X80" s="38">
        <f ca="1">DSUM($B$43:$Y$47,X$43,$C$54:$D80)</f>
        <v>6.4338033512257697E-2</v>
      </c>
      <c r="Y80" s="38">
        <f t="shared" ca="1" si="41"/>
        <v>0.59452225929043712</v>
      </c>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row>
    <row r="81" spans="1:80">
      <c r="B81" s="9" t="s">
        <v>4912</v>
      </c>
      <c r="C81" s="55" t="s">
        <v>4922</v>
      </c>
      <c r="D81" s="55" t="s">
        <v>4933</v>
      </c>
      <c r="E81" s="38">
        <f ca="1">DSUM($B$43:$X$47,E$43,$C$54:$D81)</f>
        <v>2.1867902478646658E-4</v>
      </c>
      <c r="F81" s="38">
        <f ca="1">DSUM($B$43:$X$47,F$43,$C$54:$D81)</f>
        <v>6.2894112713183126E-4</v>
      </c>
      <c r="G81" s="38">
        <f ca="1">DSUM($B$43:$X$47,G$43,$C$54:$D81)</f>
        <v>1.3071046299507224E-3</v>
      </c>
      <c r="H81" s="38">
        <f ca="1">DSUM($B$43:$X$47,H$43,$C$54:$D81)</f>
        <v>2.3837447762027428E-3</v>
      </c>
      <c r="I81" s="38">
        <f ca="1">DSUM($B$43:$X$47,I$43,$C$54:$D81)</f>
        <v>3.9633655913183276E-3</v>
      </c>
      <c r="J81" s="38">
        <f ca="1">DSUM($B$43:$X$47,J$43,$C$54:$D81)</f>
        <v>6.033295234270577E-3</v>
      </c>
      <c r="K81" s="38">
        <f ca="1">DSUM($B$43:$X$47,K$43,$C$54:$D81)</f>
        <v>8.8575959596215482E-3</v>
      </c>
      <c r="L81" s="38">
        <f ca="1">DSUM($B$43:$X$47,L$43,$C$54:$D81)</f>
        <v>1.2680060548634313E-2</v>
      </c>
      <c r="M81" s="38">
        <f ca="1">DSUM($B$43:$X$47,M$43,$C$54:$D81)</f>
        <v>1.7298032264694736E-2</v>
      </c>
      <c r="N81" s="38">
        <f ca="1">DSUM($B$43:$X$47,N$43,$C$54:$D81)</f>
        <v>2.3273409128313955E-2</v>
      </c>
      <c r="O81" s="38">
        <f ca="1">DSUM($B$43:$X$47,O$43,$C$54:$D81)</f>
        <v>2.9824208056972779E-2</v>
      </c>
      <c r="P81" s="38">
        <f ca="1">DSUM($B$43:$X$47,P$43,$C$54:$D81)</f>
        <v>3.6197825829265264E-2</v>
      </c>
      <c r="Q81" s="38">
        <f ca="1">DSUM($B$43:$X$47,Q$43,$C$54:$D81)</f>
        <v>4.1903853997236278E-2</v>
      </c>
      <c r="R81" s="38">
        <f ca="1">DSUM($B$43:$X$47,R$43,$C$54:$D81)</f>
        <v>4.8145193116131579E-2</v>
      </c>
      <c r="S81" s="38">
        <f ca="1">DSUM($B$43:$X$47,S$43,$C$54:$D81)</f>
        <v>5.4163956927490375E-2</v>
      </c>
      <c r="T81" s="38">
        <f ca="1">DSUM($B$43:$X$47,T$43,$C$54:$D81)</f>
        <v>5.8374801670714252E-2</v>
      </c>
      <c r="U81" s="38">
        <f ca="1">DSUM($B$43:$X$47,U$43,$C$54:$D81)</f>
        <v>5.9782440459048986E-2</v>
      </c>
      <c r="V81" s="38">
        <f ca="1">DSUM($B$43:$X$47,V$43,$C$54:$D81)</f>
        <v>6.1848294892624736E-2</v>
      </c>
      <c r="W81" s="38">
        <f ca="1">DSUM($B$43:$X$47,W$43,$C$54:$D81)</f>
        <v>6.3299422543769898E-2</v>
      </c>
      <c r="X81" s="38">
        <f ca="1">DSUM($B$43:$Y$47,X$43,$C$54:$D81)</f>
        <v>6.4338033512257697E-2</v>
      </c>
      <c r="Y81" s="38">
        <f t="shared" ca="1" si="41"/>
        <v>0.59452225929043712</v>
      </c>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row>
    <row r="82" spans="1:80">
      <c r="B82" s="9" t="s">
        <v>4913</v>
      </c>
      <c r="C82" s="55" t="s">
        <v>4923</v>
      </c>
      <c r="D82" s="55" t="s">
        <v>4934</v>
      </c>
      <c r="E82" s="38">
        <f ca="1">DSUM($B$43:$X$47,E$43,$C$54:$D82)</f>
        <v>2.1867902478646658E-4</v>
      </c>
      <c r="F82" s="38">
        <f ca="1">DSUM($B$43:$X$47,F$43,$C$54:$D82)</f>
        <v>6.2894112713183126E-4</v>
      </c>
      <c r="G82" s="38">
        <f ca="1">DSUM($B$43:$X$47,G$43,$C$54:$D82)</f>
        <v>1.3071046299507224E-3</v>
      </c>
      <c r="H82" s="38">
        <f ca="1">DSUM($B$43:$X$47,H$43,$C$54:$D82)</f>
        <v>2.3837447762027428E-3</v>
      </c>
      <c r="I82" s="38">
        <f ca="1">DSUM($B$43:$X$47,I$43,$C$54:$D82)</f>
        <v>3.9633655913183276E-3</v>
      </c>
      <c r="J82" s="38">
        <f ca="1">DSUM($B$43:$X$47,J$43,$C$54:$D82)</f>
        <v>6.033295234270577E-3</v>
      </c>
      <c r="K82" s="38">
        <f ca="1">DSUM($B$43:$X$47,K$43,$C$54:$D82)</f>
        <v>8.8575959596215482E-3</v>
      </c>
      <c r="L82" s="38">
        <f ca="1">DSUM($B$43:$X$47,L$43,$C$54:$D82)</f>
        <v>1.2680060548634313E-2</v>
      </c>
      <c r="M82" s="38">
        <f ca="1">DSUM($B$43:$X$47,M$43,$C$54:$D82)</f>
        <v>1.7298032264694736E-2</v>
      </c>
      <c r="N82" s="38">
        <f ca="1">DSUM($B$43:$X$47,N$43,$C$54:$D82)</f>
        <v>2.3273409128313955E-2</v>
      </c>
      <c r="O82" s="38">
        <f ca="1">DSUM($B$43:$X$47,O$43,$C$54:$D82)</f>
        <v>2.9824208056972779E-2</v>
      </c>
      <c r="P82" s="38">
        <f ca="1">DSUM($B$43:$X$47,P$43,$C$54:$D82)</f>
        <v>3.6197825829265264E-2</v>
      </c>
      <c r="Q82" s="38">
        <f ca="1">DSUM($B$43:$X$47,Q$43,$C$54:$D82)</f>
        <v>4.1903853997236278E-2</v>
      </c>
      <c r="R82" s="38">
        <f ca="1">DSUM($B$43:$X$47,R$43,$C$54:$D82)</f>
        <v>4.8145193116131579E-2</v>
      </c>
      <c r="S82" s="38">
        <f ca="1">DSUM($B$43:$X$47,S$43,$C$54:$D82)</f>
        <v>5.4163956927490375E-2</v>
      </c>
      <c r="T82" s="38">
        <f ca="1">DSUM($B$43:$X$47,T$43,$C$54:$D82)</f>
        <v>5.8374801670714252E-2</v>
      </c>
      <c r="U82" s="38">
        <f ca="1">DSUM($B$43:$X$47,U$43,$C$54:$D82)</f>
        <v>5.9782440459048986E-2</v>
      </c>
      <c r="V82" s="38">
        <f ca="1">DSUM($B$43:$X$47,V$43,$C$54:$D82)</f>
        <v>6.1848294892624736E-2</v>
      </c>
      <c r="W82" s="38">
        <f ca="1">DSUM($B$43:$X$47,W$43,$C$54:$D82)</f>
        <v>6.3299422543769898E-2</v>
      </c>
      <c r="X82" s="38">
        <f ca="1">DSUM($B$43:$Y$47,X$43,$C$54:$D82)</f>
        <v>6.4338033512257697E-2</v>
      </c>
      <c r="Y82" s="38">
        <f t="shared" ca="1" si="41"/>
        <v>0.59452225929043712</v>
      </c>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row>
    <row r="83" spans="1:80">
      <c r="B83" s="9" t="s">
        <v>4914</v>
      </c>
      <c r="C83" s="55" t="s">
        <v>4924</v>
      </c>
      <c r="D83" s="55" t="s">
        <v>4935</v>
      </c>
      <c r="E83" s="38">
        <f ca="1">DSUM($B$43:$X$47,E$43,$C$54:$D83)</f>
        <v>2.1867902478646658E-4</v>
      </c>
      <c r="F83" s="38">
        <f ca="1">DSUM($B$43:$X$47,F$43,$C$54:$D83)</f>
        <v>6.2894112713183126E-4</v>
      </c>
      <c r="G83" s="38">
        <f ca="1">DSUM($B$43:$X$47,G$43,$C$54:$D83)</f>
        <v>1.3071046299507224E-3</v>
      </c>
      <c r="H83" s="38">
        <f ca="1">DSUM($B$43:$X$47,H$43,$C$54:$D83)</f>
        <v>2.3837447762027428E-3</v>
      </c>
      <c r="I83" s="38">
        <f ca="1">DSUM($B$43:$X$47,I$43,$C$54:$D83)</f>
        <v>3.9633655913183276E-3</v>
      </c>
      <c r="J83" s="38">
        <f ca="1">DSUM($B$43:$X$47,J$43,$C$54:$D83)</f>
        <v>6.033295234270577E-3</v>
      </c>
      <c r="K83" s="38">
        <f ca="1">DSUM($B$43:$X$47,K$43,$C$54:$D83)</f>
        <v>8.8575959596215482E-3</v>
      </c>
      <c r="L83" s="38">
        <f ca="1">DSUM($B$43:$X$47,L$43,$C$54:$D83)</f>
        <v>1.2680060548634313E-2</v>
      </c>
      <c r="M83" s="38">
        <f ca="1">DSUM($B$43:$X$47,M$43,$C$54:$D83)</f>
        <v>1.7298032264694736E-2</v>
      </c>
      <c r="N83" s="38">
        <f ca="1">DSUM($B$43:$X$47,N$43,$C$54:$D83)</f>
        <v>2.3273409128313955E-2</v>
      </c>
      <c r="O83" s="38">
        <f ca="1">DSUM($B$43:$X$47,O$43,$C$54:$D83)</f>
        <v>2.9824208056972779E-2</v>
      </c>
      <c r="P83" s="38">
        <f ca="1">DSUM($B$43:$X$47,P$43,$C$54:$D83)</f>
        <v>3.6197825829265264E-2</v>
      </c>
      <c r="Q83" s="38">
        <f ca="1">DSUM($B$43:$X$47,Q$43,$C$54:$D83)</f>
        <v>4.1903853997236278E-2</v>
      </c>
      <c r="R83" s="38">
        <f ca="1">DSUM($B$43:$X$47,R$43,$C$54:$D83)</f>
        <v>4.8145193116131579E-2</v>
      </c>
      <c r="S83" s="38">
        <f ca="1">DSUM($B$43:$X$47,S$43,$C$54:$D83)</f>
        <v>5.4163956927490375E-2</v>
      </c>
      <c r="T83" s="38">
        <f ca="1">DSUM($B$43:$X$47,T$43,$C$54:$D83)</f>
        <v>5.8374801670714252E-2</v>
      </c>
      <c r="U83" s="38">
        <f ca="1">DSUM($B$43:$X$47,U$43,$C$54:$D83)</f>
        <v>5.9782440459048986E-2</v>
      </c>
      <c r="V83" s="38">
        <f ca="1">DSUM($B$43:$X$47,V$43,$C$54:$D83)</f>
        <v>6.1848294892624736E-2</v>
      </c>
      <c r="W83" s="38">
        <f ca="1">DSUM($B$43:$X$47,W$43,$C$54:$D83)</f>
        <v>6.3299422543769898E-2</v>
      </c>
      <c r="X83" s="38">
        <f ca="1">DSUM($B$43:$Y$47,X$43,$C$54:$D83)</f>
        <v>6.4338033512257697E-2</v>
      </c>
      <c r="Y83" s="38">
        <f t="shared" ca="1" si="41"/>
        <v>0.59452225929043712</v>
      </c>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row>
    <row r="84" spans="1:80">
      <c r="B84" s="9" t="s">
        <v>4915</v>
      </c>
      <c r="C84" s="55" t="s">
        <v>4925</v>
      </c>
      <c r="D84" s="55" t="s">
        <v>4936</v>
      </c>
      <c r="E84" s="38">
        <f ca="1">DSUM($B$43:$X$47,E$43,$C$54:$D84)</f>
        <v>2.1867902478646658E-4</v>
      </c>
      <c r="F84" s="38">
        <f ca="1">DSUM($B$43:$X$47,F$43,$C$54:$D84)</f>
        <v>6.2894112713183126E-4</v>
      </c>
      <c r="G84" s="38">
        <f ca="1">DSUM($B$43:$X$47,G$43,$C$54:$D84)</f>
        <v>1.3071046299507224E-3</v>
      </c>
      <c r="H84" s="38">
        <f ca="1">DSUM($B$43:$X$47,H$43,$C$54:$D84)</f>
        <v>2.3837447762027428E-3</v>
      </c>
      <c r="I84" s="38">
        <f ca="1">DSUM($B$43:$X$47,I$43,$C$54:$D84)</f>
        <v>3.9633655913183276E-3</v>
      </c>
      <c r="J84" s="38">
        <f ca="1">DSUM($B$43:$X$47,J$43,$C$54:$D84)</f>
        <v>6.033295234270577E-3</v>
      </c>
      <c r="K84" s="38">
        <f ca="1">DSUM($B$43:$X$47,K$43,$C$54:$D84)</f>
        <v>8.8575959596215482E-3</v>
      </c>
      <c r="L84" s="38">
        <f ca="1">DSUM($B$43:$X$47,L$43,$C$54:$D84)</f>
        <v>1.2680060548634313E-2</v>
      </c>
      <c r="M84" s="38">
        <f ca="1">DSUM($B$43:$X$47,M$43,$C$54:$D84)</f>
        <v>1.7298032264694736E-2</v>
      </c>
      <c r="N84" s="38">
        <f ca="1">DSUM($B$43:$X$47,N$43,$C$54:$D84)</f>
        <v>2.3273409128313955E-2</v>
      </c>
      <c r="O84" s="38">
        <f ca="1">DSUM($B$43:$X$47,O$43,$C$54:$D84)</f>
        <v>2.9824208056972779E-2</v>
      </c>
      <c r="P84" s="38">
        <f ca="1">DSUM($B$43:$X$47,P$43,$C$54:$D84)</f>
        <v>3.6197825829265264E-2</v>
      </c>
      <c r="Q84" s="38">
        <f ca="1">DSUM($B$43:$X$47,Q$43,$C$54:$D84)</f>
        <v>4.1903853997236278E-2</v>
      </c>
      <c r="R84" s="38">
        <f ca="1">DSUM($B$43:$X$47,R$43,$C$54:$D84)</f>
        <v>4.8145193116131579E-2</v>
      </c>
      <c r="S84" s="38">
        <f ca="1">DSUM($B$43:$X$47,S$43,$C$54:$D84)</f>
        <v>5.4163956927490375E-2</v>
      </c>
      <c r="T84" s="38">
        <f ca="1">DSUM($B$43:$X$47,T$43,$C$54:$D84)</f>
        <v>5.8374801670714252E-2</v>
      </c>
      <c r="U84" s="38">
        <f ca="1">DSUM($B$43:$X$47,U$43,$C$54:$D84)</f>
        <v>5.9782440459048986E-2</v>
      </c>
      <c r="V84" s="38">
        <f ca="1">DSUM($B$43:$X$47,V$43,$C$54:$D84)</f>
        <v>6.1848294892624736E-2</v>
      </c>
      <c r="W84" s="38">
        <f ca="1">DSUM($B$43:$X$47,W$43,$C$54:$D84)</f>
        <v>6.3299422543769898E-2</v>
      </c>
      <c r="X84" s="38">
        <f ca="1">DSUM($B$43:$Y$47,X$43,$C$54:$D84)</f>
        <v>6.4338033512257697E-2</v>
      </c>
      <c r="Y84" s="38">
        <f t="shared" ca="1" si="41"/>
        <v>0.59452225929043712</v>
      </c>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row>
    <row r="85" spans="1:80">
      <c r="B85" s="9" t="s">
        <v>4916</v>
      </c>
      <c r="C85" s="55" t="s">
        <v>4926</v>
      </c>
      <c r="D85" s="55" t="s">
        <v>4937</v>
      </c>
      <c r="E85" s="38">
        <f ca="1">DSUM($B$43:$X$47,E$43,$C$54:$D85)</f>
        <v>2.1867902478646658E-4</v>
      </c>
      <c r="F85" s="38">
        <f ca="1">DSUM($B$43:$X$47,F$43,$C$54:$D85)</f>
        <v>6.2894112713183126E-4</v>
      </c>
      <c r="G85" s="38">
        <f ca="1">DSUM($B$43:$X$47,G$43,$C$54:$D85)</f>
        <v>1.3071046299507224E-3</v>
      </c>
      <c r="H85" s="38">
        <f ca="1">DSUM($B$43:$X$47,H$43,$C$54:$D85)</f>
        <v>2.3837447762027428E-3</v>
      </c>
      <c r="I85" s="38">
        <f ca="1">DSUM($B$43:$X$47,I$43,$C$54:$D85)</f>
        <v>3.9633655913183276E-3</v>
      </c>
      <c r="J85" s="38">
        <f ca="1">DSUM($B$43:$X$47,J$43,$C$54:$D85)</f>
        <v>6.033295234270577E-3</v>
      </c>
      <c r="K85" s="38">
        <f ca="1">DSUM($B$43:$X$47,K$43,$C$54:$D85)</f>
        <v>8.8575959596215482E-3</v>
      </c>
      <c r="L85" s="38">
        <f ca="1">DSUM($B$43:$X$47,L$43,$C$54:$D85)</f>
        <v>1.2680060548634313E-2</v>
      </c>
      <c r="M85" s="38">
        <f ca="1">DSUM($B$43:$X$47,M$43,$C$54:$D85)</f>
        <v>1.7298032264694736E-2</v>
      </c>
      <c r="N85" s="38">
        <f ca="1">DSUM($B$43:$X$47,N$43,$C$54:$D85)</f>
        <v>2.3273409128313955E-2</v>
      </c>
      <c r="O85" s="38">
        <f ca="1">DSUM($B$43:$X$47,O$43,$C$54:$D85)</f>
        <v>2.9824208056972779E-2</v>
      </c>
      <c r="P85" s="38">
        <f ca="1">DSUM($B$43:$X$47,P$43,$C$54:$D85)</f>
        <v>3.6197825829265264E-2</v>
      </c>
      <c r="Q85" s="38">
        <f ca="1">DSUM($B$43:$X$47,Q$43,$C$54:$D85)</f>
        <v>4.1903853997236278E-2</v>
      </c>
      <c r="R85" s="38">
        <f ca="1">DSUM($B$43:$X$47,R$43,$C$54:$D85)</f>
        <v>4.8145193116131579E-2</v>
      </c>
      <c r="S85" s="38">
        <f ca="1">DSUM($B$43:$X$47,S$43,$C$54:$D85)</f>
        <v>5.4163956927490375E-2</v>
      </c>
      <c r="T85" s="38">
        <f ca="1">DSUM($B$43:$X$47,T$43,$C$54:$D85)</f>
        <v>5.8374801670714252E-2</v>
      </c>
      <c r="U85" s="38">
        <f ca="1">DSUM($B$43:$X$47,U$43,$C$54:$D85)</f>
        <v>5.9782440459048986E-2</v>
      </c>
      <c r="V85" s="38">
        <f ca="1">DSUM($B$43:$X$47,V$43,$C$54:$D85)</f>
        <v>6.1848294892624736E-2</v>
      </c>
      <c r="W85" s="38">
        <f ca="1">DSUM($B$43:$X$47,W$43,$C$54:$D85)</f>
        <v>6.3299422543769898E-2</v>
      </c>
      <c r="X85" s="38">
        <f ca="1">DSUM($B$43:$Y$47,X$43,$C$54:$D85)</f>
        <v>6.4338033512257697E-2</v>
      </c>
      <c r="Y85" s="38">
        <f t="shared" ca="1" si="41"/>
        <v>0.59452225929043712</v>
      </c>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row>
    <row r="86" spans="1:80">
      <c r="B86" s="9" t="s">
        <v>4917</v>
      </c>
      <c r="C86" s="55" t="s">
        <v>4927</v>
      </c>
      <c r="D86" s="55" t="s">
        <v>136</v>
      </c>
      <c r="E86" s="38">
        <f ca="1">DSUM($B$43:$X$47,E$43,$C$54:$D86)</f>
        <v>2.1867902478646658E-4</v>
      </c>
      <c r="F86" s="38">
        <f ca="1">DSUM($B$43:$X$47,F$43,$C$54:$D86)</f>
        <v>6.2894112713183126E-4</v>
      </c>
      <c r="G86" s="38">
        <f ca="1">DSUM($B$43:$X$47,G$43,$C$54:$D86)</f>
        <v>1.3071046299507224E-3</v>
      </c>
      <c r="H86" s="38">
        <f ca="1">DSUM($B$43:$X$47,H$43,$C$54:$D86)</f>
        <v>2.3837447762027428E-3</v>
      </c>
      <c r="I86" s="38">
        <f ca="1">DSUM($B$43:$X$47,I$43,$C$54:$D86)</f>
        <v>3.9633655913183276E-3</v>
      </c>
      <c r="J86" s="38">
        <f ca="1">DSUM($B$43:$X$47,J$43,$C$54:$D86)</f>
        <v>6.033295234270577E-3</v>
      </c>
      <c r="K86" s="38">
        <f ca="1">DSUM($B$43:$X$47,K$43,$C$54:$D86)</f>
        <v>8.8575959596215482E-3</v>
      </c>
      <c r="L86" s="38">
        <f ca="1">DSUM($B$43:$X$47,L$43,$C$54:$D86)</f>
        <v>1.2680060548634313E-2</v>
      </c>
      <c r="M86" s="38">
        <f ca="1">DSUM($B$43:$X$47,M$43,$C$54:$D86)</f>
        <v>1.7298032264694736E-2</v>
      </c>
      <c r="N86" s="38">
        <f ca="1">DSUM($B$43:$X$47,N$43,$C$54:$D86)</f>
        <v>2.3273409128313955E-2</v>
      </c>
      <c r="O86" s="38">
        <f ca="1">DSUM($B$43:$X$47,O$43,$C$54:$D86)</f>
        <v>2.9824208056972779E-2</v>
      </c>
      <c r="P86" s="38">
        <f ca="1">DSUM($B$43:$X$47,P$43,$C$54:$D86)</f>
        <v>3.6197825829265264E-2</v>
      </c>
      <c r="Q86" s="38">
        <f ca="1">DSUM($B$43:$X$47,Q$43,$C$54:$D86)</f>
        <v>4.1903853997236278E-2</v>
      </c>
      <c r="R86" s="38">
        <f ca="1">DSUM($B$43:$X$47,R$43,$C$54:$D86)</f>
        <v>4.8145193116131579E-2</v>
      </c>
      <c r="S86" s="38">
        <f ca="1">DSUM($B$43:$X$47,S$43,$C$54:$D86)</f>
        <v>5.4163956927490375E-2</v>
      </c>
      <c r="T86" s="38">
        <f ca="1">DSUM($B$43:$X$47,T$43,$C$54:$D86)</f>
        <v>5.8374801670714252E-2</v>
      </c>
      <c r="U86" s="38">
        <f ca="1">DSUM($B$43:$X$47,U$43,$C$54:$D86)</f>
        <v>5.9782440459048986E-2</v>
      </c>
      <c r="V86" s="38">
        <f ca="1">DSUM($B$43:$X$47,V$43,$C$54:$D86)</f>
        <v>6.1848294892624736E-2</v>
      </c>
      <c r="W86" s="38">
        <f ca="1">DSUM($B$43:$X$47,W$43,$C$54:$D86)</f>
        <v>6.3299422543769898E-2</v>
      </c>
      <c r="X86" s="38">
        <f ca="1">DSUM($B$43:$Y$47,X$43,$C$54:$D86)</f>
        <v>6.4338033512257697E-2</v>
      </c>
      <c r="Y86" s="38">
        <f ca="1">SUM(E86:X86)</f>
        <v>0.59452225929043712</v>
      </c>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row>
    <row r="87" spans="1:80" customFormat="1">
      <c r="A87" s="9"/>
      <c r="B87" s="9"/>
    </row>
    <row r="88" spans="1:80" customFormat="1">
      <c r="A88" s="9"/>
      <c r="B88" s="9"/>
    </row>
    <row r="89" spans="1:80" ht="15">
      <c r="A89" s="86" t="s">
        <v>137</v>
      </c>
      <c r="B89" s="86"/>
      <c r="E89" s="38"/>
      <c r="F89" s="38"/>
      <c r="G89" s="38"/>
      <c r="H89" s="38"/>
      <c r="I89" s="38"/>
      <c r="J89" s="38"/>
      <c r="K89" s="38"/>
      <c r="L89" s="38"/>
      <c r="M89" s="38"/>
      <c r="N89" s="38"/>
      <c r="O89" s="38"/>
      <c r="P89" s="38"/>
      <c r="Q89" s="38"/>
      <c r="R89" s="38"/>
      <c r="S89" s="38"/>
      <c r="T89" s="38"/>
      <c r="U89" s="38"/>
      <c r="V89" s="38"/>
      <c r="W89" s="38"/>
      <c r="X89" s="38"/>
      <c r="Y89" s="38"/>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row>
    <row r="90" spans="1:80" ht="15">
      <c r="C90" s="68" t="s">
        <v>138</v>
      </c>
      <c r="E90" s="79">
        <f t="shared" ref="E90:X90" si="42">E11</f>
        <v>2016</v>
      </c>
      <c r="F90" s="73">
        <f t="shared" si="42"/>
        <v>2017</v>
      </c>
      <c r="G90" s="73">
        <f t="shared" si="42"/>
        <v>2018</v>
      </c>
      <c r="H90" s="73">
        <f t="shared" si="42"/>
        <v>2019</v>
      </c>
      <c r="I90" s="73">
        <f t="shared" si="42"/>
        <v>2020</v>
      </c>
      <c r="J90" s="73">
        <f t="shared" si="42"/>
        <v>2021</v>
      </c>
      <c r="K90" s="73">
        <f t="shared" si="42"/>
        <v>2022</v>
      </c>
      <c r="L90" s="73">
        <f t="shared" si="42"/>
        <v>2023</v>
      </c>
      <c r="M90" s="73">
        <f t="shared" si="42"/>
        <v>2024</v>
      </c>
      <c r="N90" s="73">
        <f t="shared" si="42"/>
        <v>2025</v>
      </c>
      <c r="O90" s="73">
        <f t="shared" si="42"/>
        <v>2026</v>
      </c>
      <c r="P90" s="73">
        <f t="shared" si="42"/>
        <v>2027</v>
      </c>
      <c r="Q90" s="73">
        <f t="shared" si="42"/>
        <v>2028</v>
      </c>
      <c r="R90" s="73">
        <f t="shared" si="42"/>
        <v>2029</v>
      </c>
      <c r="S90" s="73">
        <f t="shared" si="42"/>
        <v>2030</v>
      </c>
      <c r="T90" s="73">
        <f t="shared" si="42"/>
        <v>2031</v>
      </c>
      <c r="U90" s="73">
        <f t="shared" si="42"/>
        <v>2032</v>
      </c>
      <c r="V90" s="73">
        <f t="shared" si="42"/>
        <v>2033</v>
      </c>
      <c r="W90" s="73">
        <f t="shared" si="42"/>
        <v>2034</v>
      </c>
      <c r="X90" s="73">
        <f t="shared" si="42"/>
        <v>2035</v>
      </c>
      <c r="Y90" s="74" t="s">
        <v>151</v>
      </c>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row>
    <row r="91" spans="1:80" ht="15">
      <c r="C91" s="68" t="str">
        <f>C8</f>
        <v>Freezer</v>
      </c>
      <c r="E91" s="80" t="str">
        <f>CONCATENATE("aMW_",E90)</f>
        <v>aMW_2016</v>
      </c>
      <c r="F91" s="75" t="str">
        <f t="shared" ref="F91" si="43">CONCATENATE("aMW_",F90)</f>
        <v>aMW_2017</v>
      </c>
      <c r="G91" s="75" t="str">
        <f t="shared" ref="G91" si="44">CONCATENATE("aMW_",G90)</f>
        <v>aMW_2018</v>
      </c>
      <c r="H91" s="75" t="str">
        <f t="shared" ref="H91" si="45">CONCATENATE("aMW_",H90)</f>
        <v>aMW_2019</v>
      </c>
      <c r="I91" s="75" t="str">
        <f t="shared" ref="I91" si="46">CONCATENATE("aMW_",I90)</f>
        <v>aMW_2020</v>
      </c>
      <c r="J91" s="75" t="str">
        <f t="shared" ref="J91" si="47">CONCATENATE("aMW_",J90)</f>
        <v>aMW_2021</v>
      </c>
      <c r="K91" s="75" t="str">
        <f t="shared" ref="K91" si="48">CONCATENATE("aMW_",K90)</f>
        <v>aMW_2022</v>
      </c>
      <c r="L91" s="75" t="str">
        <f t="shared" ref="L91" si="49">CONCATENATE("aMW_",L90)</f>
        <v>aMW_2023</v>
      </c>
      <c r="M91" s="75" t="str">
        <f t="shared" ref="M91" si="50">CONCATENATE("aMW_",M90)</f>
        <v>aMW_2024</v>
      </c>
      <c r="N91" s="75" t="str">
        <f t="shared" ref="N91" si="51">CONCATENATE("aMW_",N90)</f>
        <v>aMW_2025</v>
      </c>
      <c r="O91" s="75" t="str">
        <f t="shared" ref="O91" si="52">CONCATENATE("aMW_",O90)</f>
        <v>aMW_2026</v>
      </c>
      <c r="P91" s="75" t="str">
        <f t="shared" ref="P91" si="53">CONCATENATE("aMW_",P90)</f>
        <v>aMW_2027</v>
      </c>
      <c r="Q91" s="75" t="str">
        <f t="shared" ref="Q91" si="54">CONCATENATE("aMW_",Q90)</f>
        <v>aMW_2028</v>
      </c>
      <c r="R91" s="75" t="str">
        <f t="shared" ref="R91" si="55">CONCATENATE("aMW_",R90)</f>
        <v>aMW_2029</v>
      </c>
      <c r="S91" s="75" t="str">
        <f t="shared" ref="S91" si="56">CONCATENATE("aMW_",S90)</f>
        <v>aMW_2030</v>
      </c>
      <c r="T91" s="75" t="str">
        <f t="shared" ref="T91" si="57">CONCATENATE("aMW_",T90)</f>
        <v>aMW_2031</v>
      </c>
      <c r="U91" s="75" t="str">
        <f t="shared" ref="U91" si="58">CONCATENATE("aMW_",U90)</f>
        <v>aMW_2032</v>
      </c>
      <c r="V91" s="75" t="str">
        <f t="shared" ref="V91" si="59">CONCATENATE("aMW_",V90)</f>
        <v>aMW_2033</v>
      </c>
      <c r="W91" s="75" t="str">
        <f t="shared" ref="W91" si="60">CONCATENATE("aMW_",W90)</f>
        <v>aMW_2034</v>
      </c>
      <c r="X91" s="75" t="str">
        <f t="shared" ref="X91" si="61">CONCATENATE("aMW_",X90)</f>
        <v>aMW_2035</v>
      </c>
      <c r="Y91" s="76" t="s">
        <v>151</v>
      </c>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row>
    <row r="92" spans="1:80">
      <c r="C92" s="9" t="s">
        <v>71</v>
      </c>
      <c r="E92" s="38">
        <f t="shared" ref="E92:X92" si="62">E55</f>
        <v>0</v>
      </c>
      <c r="F92" s="38">
        <f t="shared" si="62"/>
        <v>0</v>
      </c>
      <c r="G92" s="38">
        <f t="shared" si="62"/>
        <v>0</v>
      </c>
      <c r="H92" s="38">
        <f t="shared" si="62"/>
        <v>0</v>
      </c>
      <c r="I92" s="38">
        <f t="shared" si="62"/>
        <v>0</v>
      </c>
      <c r="J92" s="38">
        <f t="shared" si="62"/>
        <v>0</v>
      </c>
      <c r="K92" s="38">
        <f t="shared" si="62"/>
        <v>0</v>
      </c>
      <c r="L92" s="38">
        <f t="shared" si="62"/>
        <v>0</v>
      </c>
      <c r="M92" s="38">
        <f t="shared" si="62"/>
        <v>0</v>
      </c>
      <c r="N92" s="38">
        <f t="shared" si="62"/>
        <v>0</v>
      </c>
      <c r="O92" s="38">
        <f t="shared" si="62"/>
        <v>0</v>
      </c>
      <c r="P92" s="38">
        <f t="shared" si="62"/>
        <v>0</v>
      </c>
      <c r="Q92" s="38">
        <f t="shared" si="62"/>
        <v>0</v>
      </c>
      <c r="R92" s="38">
        <f t="shared" si="62"/>
        <v>0</v>
      </c>
      <c r="S92" s="38">
        <f t="shared" si="62"/>
        <v>0</v>
      </c>
      <c r="T92" s="38">
        <f t="shared" si="62"/>
        <v>0</v>
      </c>
      <c r="U92" s="38">
        <f t="shared" si="62"/>
        <v>0</v>
      </c>
      <c r="V92" s="38">
        <f t="shared" si="62"/>
        <v>0</v>
      </c>
      <c r="W92" s="38">
        <f t="shared" si="62"/>
        <v>0</v>
      </c>
      <c r="X92" s="38">
        <f t="shared" si="62"/>
        <v>0</v>
      </c>
      <c r="Y92" s="38">
        <f>SUM(E92:X92)</f>
        <v>0</v>
      </c>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row>
    <row r="93" spans="1:80">
      <c r="C93" s="9" t="s">
        <v>4948</v>
      </c>
      <c r="E93" s="38">
        <f t="shared" ref="E93:X105" si="63">E56-E55</f>
        <v>0</v>
      </c>
      <c r="F93" s="38">
        <f t="shared" si="63"/>
        <v>0</v>
      </c>
      <c r="G93" s="38">
        <f t="shared" si="63"/>
        <v>0</v>
      </c>
      <c r="H93" s="38">
        <f t="shared" si="63"/>
        <v>0</v>
      </c>
      <c r="I93" s="38">
        <f t="shared" si="63"/>
        <v>0</v>
      </c>
      <c r="J93" s="38">
        <f t="shared" si="63"/>
        <v>0</v>
      </c>
      <c r="K93" s="38">
        <f t="shared" si="63"/>
        <v>0</v>
      </c>
      <c r="L93" s="38">
        <f t="shared" si="63"/>
        <v>0</v>
      </c>
      <c r="M93" s="38">
        <f t="shared" si="63"/>
        <v>0</v>
      </c>
      <c r="N93" s="38">
        <f t="shared" si="63"/>
        <v>0</v>
      </c>
      <c r="O93" s="38">
        <f t="shared" si="63"/>
        <v>0</v>
      </c>
      <c r="P93" s="38">
        <f t="shared" si="63"/>
        <v>0</v>
      </c>
      <c r="Q93" s="38">
        <f t="shared" si="63"/>
        <v>0</v>
      </c>
      <c r="R93" s="38">
        <f t="shared" si="63"/>
        <v>0</v>
      </c>
      <c r="S93" s="38">
        <f t="shared" si="63"/>
        <v>0</v>
      </c>
      <c r="T93" s="38">
        <f t="shared" si="63"/>
        <v>0</v>
      </c>
      <c r="U93" s="38">
        <f t="shared" si="63"/>
        <v>0</v>
      </c>
      <c r="V93" s="38">
        <f t="shared" si="63"/>
        <v>0</v>
      </c>
      <c r="W93" s="38">
        <f t="shared" si="63"/>
        <v>0</v>
      </c>
      <c r="X93" s="38">
        <f t="shared" si="63"/>
        <v>0</v>
      </c>
      <c r="Y93" s="38">
        <f t="shared" ref="Y93:Y123" si="64">SUM(E93:X93)</f>
        <v>0</v>
      </c>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row>
    <row r="94" spans="1:80">
      <c r="C94" s="9" t="s">
        <v>77</v>
      </c>
      <c r="E94" s="38">
        <f t="shared" si="63"/>
        <v>0</v>
      </c>
      <c r="F94" s="38">
        <f t="shared" si="63"/>
        <v>0</v>
      </c>
      <c r="G94" s="38">
        <f t="shared" si="63"/>
        <v>0</v>
      </c>
      <c r="H94" s="38">
        <f t="shared" si="63"/>
        <v>0</v>
      </c>
      <c r="I94" s="38">
        <f t="shared" si="63"/>
        <v>0</v>
      </c>
      <c r="J94" s="38">
        <f t="shared" si="63"/>
        <v>0</v>
      </c>
      <c r="K94" s="38">
        <f t="shared" si="63"/>
        <v>0</v>
      </c>
      <c r="L94" s="38">
        <f t="shared" si="63"/>
        <v>0</v>
      </c>
      <c r="M94" s="38">
        <f t="shared" si="63"/>
        <v>0</v>
      </c>
      <c r="N94" s="38">
        <f t="shared" si="63"/>
        <v>0</v>
      </c>
      <c r="O94" s="38">
        <f t="shared" si="63"/>
        <v>0</v>
      </c>
      <c r="P94" s="38">
        <f t="shared" si="63"/>
        <v>0</v>
      </c>
      <c r="Q94" s="38">
        <f t="shared" si="63"/>
        <v>0</v>
      </c>
      <c r="R94" s="38">
        <f t="shared" si="63"/>
        <v>0</v>
      </c>
      <c r="S94" s="38">
        <f t="shared" si="63"/>
        <v>0</v>
      </c>
      <c r="T94" s="38">
        <f t="shared" si="63"/>
        <v>0</v>
      </c>
      <c r="U94" s="38">
        <f t="shared" si="63"/>
        <v>0</v>
      </c>
      <c r="V94" s="38">
        <f t="shared" si="63"/>
        <v>0</v>
      </c>
      <c r="W94" s="38">
        <f t="shared" si="63"/>
        <v>0</v>
      </c>
      <c r="X94" s="38">
        <f t="shared" si="63"/>
        <v>0</v>
      </c>
      <c r="Y94" s="38">
        <f t="shared" si="64"/>
        <v>0</v>
      </c>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row>
    <row r="95" spans="1:80">
      <c r="C95" s="9" t="s">
        <v>80</v>
      </c>
      <c r="E95" s="38">
        <f t="shared" si="63"/>
        <v>0</v>
      </c>
      <c r="F95" s="38">
        <f t="shared" si="63"/>
        <v>0</v>
      </c>
      <c r="G95" s="38">
        <f t="shared" si="63"/>
        <v>0</v>
      </c>
      <c r="H95" s="38">
        <f t="shared" si="63"/>
        <v>0</v>
      </c>
      <c r="I95" s="38">
        <f t="shared" si="63"/>
        <v>0</v>
      </c>
      <c r="J95" s="38">
        <f t="shared" si="63"/>
        <v>0</v>
      </c>
      <c r="K95" s="38">
        <f t="shared" si="63"/>
        <v>0</v>
      </c>
      <c r="L95" s="38">
        <f t="shared" si="63"/>
        <v>0</v>
      </c>
      <c r="M95" s="38">
        <f t="shared" si="63"/>
        <v>0</v>
      </c>
      <c r="N95" s="38">
        <f t="shared" si="63"/>
        <v>0</v>
      </c>
      <c r="O95" s="38">
        <f t="shared" si="63"/>
        <v>0</v>
      </c>
      <c r="P95" s="38">
        <f t="shared" si="63"/>
        <v>0</v>
      </c>
      <c r="Q95" s="38">
        <f t="shared" si="63"/>
        <v>0</v>
      </c>
      <c r="R95" s="38">
        <f t="shared" si="63"/>
        <v>0</v>
      </c>
      <c r="S95" s="38">
        <f t="shared" si="63"/>
        <v>0</v>
      </c>
      <c r="T95" s="38">
        <f t="shared" si="63"/>
        <v>0</v>
      </c>
      <c r="U95" s="38">
        <f t="shared" si="63"/>
        <v>0</v>
      </c>
      <c r="V95" s="38">
        <f t="shared" si="63"/>
        <v>0</v>
      </c>
      <c r="W95" s="38">
        <f t="shared" si="63"/>
        <v>0</v>
      </c>
      <c r="X95" s="38">
        <f t="shared" si="63"/>
        <v>0</v>
      </c>
      <c r="Y95" s="38">
        <f t="shared" si="64"/>
        <v>0</v>
      </c>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row>
    <row r="96" spans="1:80">
      <c r="C96" s="9" t="s">
        <v>83</v>
      </c>
      <c r="E96" s="38">
        <f t="shared" si="63"/>
        <v>0</v>
      </c>
      <c r="F96" s="38">
        <f t="shared" si="63"/>
        <v>0</v>
      </c>
      <c r="G96" s="38">
        <f t="shared" si="63"/>
        <v>0</v>
      </c>
      <c r="H96" s="38">
        <f t="shared" si="63"/>
        <v>0</v>
      </c>
      <c r="I96" s="38">
        <f t="shared" si="63"/>
        <v>0</v>
      </c>
      <c r="J96" s="38">
        <f t="shared" si="63"/>
        <v>0</v>
      </c>
      <c r="K96" s="38">
        <f t="shared" si="63"/>
        <v>0</v>
      </c>
      <c r="L96" s="38">
        <f t="shared" si="63"/>
        <v>0</v>
      </c>
      <c r="M96" s="38">
        <f t="shared" si="63"/>
        <v>0</v>
      </c>
      <c r="N96" s="38">
        <f t="shared" si="63"/>
        <v>0</v>
      </c>
      <c r="O96" s="38">
        <f t="shared" si="63"/>
        <v>0</v>
      </c>
      <c r="P96" s="38">
        <f t="shared" si="63"/>
        <v>0</v>
      </c>
      <c r="Q96" s="38">
        <f t="shared" si="63"/>
        <v>0</v>
      </c>
      <c r="R96" s="38">
        <f t="shared" si="63"/>
        <v>0</v>
      </c>
      <c r="S96" s="38">
        <f t="shared" si="63"/>
        <v>0</v>
      </c>
      <c r="T96" s="38">
        <f t="shared" si="63"/>
        <v>0</v>
      </c>
      <c r="U96" s="38">
        <f t="shared" si="63"/>
        <v>0</v>
      </c>
      <c r="V96" s="38">
        <f t="shared" si="63"/>
        <v>0</v>
      </c>
      <c r="W96" s="38">
        <f t="shared" si="63"/>
        <v>0</v>
      </c>
      <c r="X96" s="38">
        <f t="shared" si="63"/>
        <v>0</v>
      </c>
      <c r="Y96" s="38">
        <f t="shared" si="64"/>
        <v>0</v>
      </c>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row>
    <row r="97" spans="3:80">
      <c r="C97" s="9" t="s">
        <v>86</v>
      </c>
      <c r="E97" s="38">
        <f t="shared" si="63"/>
        <v>0</v>
      </c>
      <c r="F97" s="38">
        <f t="shared" si="63"/>
        <v>0</v>
      </c>
      <c r="G97" s="38">
        <f t="shared" si="63"/>
        <v>0</v>
      </c>
      <c r="H97" s="38">
        <f t="shared" si="63"/>
        <v>0</v>
      </c>
      <c r="I97" s="38">
        <f t="shared" si="63"/>
        <v>0</v>
      </c>
      <c r="J97" s="38">
        <f t="shared" si="63"/>
        <v>0</v>
      </c>
      <c r="K97" s="38">
        <f t="shared" si="63"/>
        <v>0</v>
      </c>
      <c r="L97" s="38">
        <f t="shared" si="63"/>
        <v>0</v>
      </c>
      <c r="M97" s="38">
        <f t="shared" si="63"/>
        <v>0</v>
      </c>
      <c r="N97" s="38">
        <f t="shared" si="63"/>
        <v>0</v>
      </c>
      <c r="O97" s="38">
        <f t="shared" si="63"/>
        <v>0</v>
      </c>
      <c r="P97" s="38">
        <f t="shared" si="63"/>
        <v>0</v>
      </c>
      <c r="Q97" s="38">
        <f t="shared" si="63"/>
        <v>0</v>
      </c>
      <c r="R97" s="38">
        <f t="shared" si="63"/>
        <v>0</v>
      </c>
      <c r="S97" s="38">
        <f t="shared" si="63"/>
        <v>0</v>
      </c>
      <c r="T97" s="38">
        <f t="shared" si="63"/>
        <v>0</v>
      </c>
      <c r="U97" s="38">
        <f t="shared" si="63"/>
        <v>0</v>
      </c>
      <c r="V97" s="38">
        <f t="shared" si="63"/>
        <v>0</v>
      </c>
      <c r="W97" s="38">
        <f t="shared" si="63"/>
        <v>0</v>
      </c>
      <c r="X97" s="38">
        <f t="shared" si="63"/>
        <v>0</v>
      </c>
      <c r="Y97" s="38">
        <f t="shared" si="64"/>
        <v>0</v>
      </c>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row>
    <row r="98" spans="3:80">
      <c r="C98" s="9" t="s">
        <v>89</v>
      </c>
      <c r="E98" s="38">
        <f t="shared" si="63"/>
        <v>0</v>
      </c>
      <c r="F98" s="38">
        <f t="shared" si="63"/>
        <v>0</v>
      </c>
      <c r="G98" s="38">
        <f t="shared" si="63"/>
        <v>0</v>
      </c>
      <c r="H98" s="38">
        <f t="shared" si="63"/>
        <v>0</v>
      </c>
      <c r="I98" s="38">
        <f t="shared" si="63"/>
        <v>0</v>
      </c>
      <c r="J98" s="38">
        <f t="shared" si="63"/>
        <v>0</v>
      </c>
      <c r="K98" s="38">
        <f t="shared" si="63"/>
        <v>0</v>
      </c>
      <c r="L98" s="38">
        <f t="shared" si="63"/>
        <v>0</v>
      </c>
      <c r="M98" s="38">
        <f t="shared" si="63"/>
        <v>0</v>
      </c>
      <c r="N98" s="38">
        <f t="shared" si="63"/>
        <v>0</v>
      </c>
      <c r="O98" s="38">
        <f t="shared" si="63"/>
        <v>0</v>
      </c>
      <c r="P98" s="38">
        <f t="shared" si="63"/>
        <v>0</v>
      </c>
      <c r="Q98" s="38">
        <f t="shared" si="63"/>
        <v>0</v>
      </c>
      <c r="R98" s="38">
        <f t="shared" si="63"/>
        <v>0</v>
      </c>
      <c r="S98" s="38">
        <f t="shared" si="63"/>
        <v>0</v>
      </c>
      <c r="T98" s="38">
        <f t="shared" si="63"/>
        <v>0</v>
      </c>
      <c r="U98" s="38">
        <f t="shared" si="63"/>
        <v>0</v>
      </c>
      <c r="V98" s="38">
        <f t="shared" si="63"/>
        <v>0</v>
      </c>
      <c r="W98" s="38">
        <f t="shared" si="63"/>
        <v>0</v>
      </c>
      <c r="X98" s="38">
        <f t="shared" si="63"/>
        <v>0</v>
      </c>
      <c r="Y98" s="38">
        <f t="shared" si="64"/>
        <v>0</v>
      </c>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row>
    <row r="99" spans="3:80">
      <c r="C99" s="9" t="s">
        <v>92</v>
      </c>
      <c r="E99" s="38">
        <f t="shared" si="63"/>
        <v>0</v>
      </c>
      <c r="F99" s="38">
        <f t="shared" si="63"/>
        <v>0</v>
      </c>
      <c r="G99" s="38">
        <f t="shared" si="63"/>
        <v>0</v>
      </c>
      <c r="H99" s="38">
        <f t="shared" si="63"/>
        <v>0</v>
      </c>
      <c r="I99" s="38">
        <f t="shared" si="63"/>
        <v>0</v>
      </c>
      <c r="J99" s="38">
        <f t="shared" si="63"/>
        <v>0</v>
      </c>
      <c r="K99" s="38">
        <f t="shared" si="63"/>
        <v>0</v>
      </c>
      <c r="L99" s="38">
        <f t="shared" si="63"/>
        <v>0</v>
      </c>
      <c r="M99" s="38">
        <f t="shared" si="63"/>
        <v>0</v>
      </c>
      <c r="N99" s="38">
        <f t="shared" si="63"/>
        <v>0</v>
      </c>
      <c r="O99" s="38">
        <f t="shared" si="63"/>
        <v>0</v>
      </c>
      <c r="P99" s="38">
        <f t="shared" si="63"/>
        <v>0</v>
      </c>
      <c r="Q99" s="38">
        <f t="shared" si="63"/>
        <v>0</v>
      </c>
      <c r="R99" s="38">
        <f t="shared" si="63"/>
        <v>0</v>
      </c>
      <c r="S99" s="38">
        <f t="shared" si="63"/>
        <v>0</v>
      </c>
      <c r="T99" s="38">
        <f t="shared" si="63"/>
        <v>0</v>
      </c>
      <c r="U99" s="38">
        <f t="shared" si="63"/>
        <v>0</v>
      </c>
      <c r="V99" s="38">
        <f t="shared" si="63"/>
        <v>0</v>
      </c>
      <c r="W99" s="38">
        <f t="shared" si="63"/>
        <v>0</v>
      </c>
      <c r="X99" s="38">
        <f t="shared" si="63"/>
        <v>0</v>
      </c>
      <c r="Y99" s="38">
        <f t="shared" si="64"/>
        <v>0</v>
      </c>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row>
    <row r="100" spans="3:80">
      <c r="C100" s="9" t="s">
        <v>95</v>
      </c>
      <c r="E100" s="38">
        <f t="shared" si="63"/>
        <v>0</v>
      </c>
      <c r="F100" s="38">
        <f t="shared" si="63"/>
        <v>0</v>
      </c>
      <c r="G100" s="38">
        <f t="shared" si="63"/>
        <v>0</v>
      </c>
      <c r="H100" s="38">
        <f t="shared" si="63"/>
        <v>0</v>
      </c>
      <c r="I100" s="38">
        <f t="shared" si="63"/>
        <v>0</v>
      </c>
      <c r="J100" s="38">
        <f t="shared" si="63"/>
        <v>0</v>
      </c>
      <c r="K100" s="38">
        <f t="shared" si="63"/>
        <v>0</v>
      </c>
      <c r="L100" s="38">
        <f t="shared" si="63"/>
        <v>0</v>
      </c>
      <c r="M100" s="38">
        <f t="shared" si="63"/>
        <v>0</v>
      </c>
      <c r="N100" s="38">
        <f t="shared" si="63"/>
        <v>0</v>
      </c>
      <c r="O100" s="38">
        <f t="shared" si="63"/>
        <v>0</v>
      </c>
      <c r="P100" s="38">
        <f t="shared" si="63"/>
        <v>0</v>
      </c>
      <c r="Q100" s="38">
        <f t="shared" si="63"/>
        <v>0</v>
      </c>
      <c r="R100" s="38">
        <f t="shared" si="63"/>
        <v>0</v>
      </c>
      <c r="S100" s="38">
        <f t="shared" si="63"/>
        <v>0</v>
      </c>
      <c r="T100" s="38">
        <f t="shared" si="63"/>
        <v>0</v>
      </c>
      <c r="U100" s="38">
        <f t="shared" si="63"/>
        <v>0</v>
      </c>
      <c r="V100" s="38">
        <f t="shared" si="63"/>
        <v>0</v>
      </c>
      <c r="W100" s="38">
        <f t="shared" si="63"/>
        <v>0</v>
      </c>
      <c r="X100" s="38">
        <f t="shared" si="63"/>
        <v>0</v>
      </c>
      <c r="Y100" s="38">
        <f t="shared" si="64"/>
        <v>0</v>
      </c>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row>
    <row r="101" spans="3:80">
      <c r="C101" s="9" t="s">
        <v>98</v>
      </c>
      <c r="E101" s="38">
        <f t="shared" si="63"/>
        <v>0</v>
      </c>
      <c r="F101" s="38">
        <f t="shared" si="63"/>
        <v>0</v>
      </c>
      <c r="G101" s="38">
        <f t="shared" si="63"/>
        <v>0</v>
      </c>
      <c r="H101" s="38">
        <f t="shared" si="63"/>
        <v>0</v>
      </c>
      <c r="I101" s="38">
        <f t="shared" si="63"/>
        <v>0</v>
      </c>
      <c r="J101" s="38">
        <f t="shared" si="63"/>
        <v>0</v>
      </c>
      <c r="K101" s="38">
        <f t="shared" si="63"/>
        <v>0</v>
      </c>
      <c r="L101" s="38">
        <f t="shared" si="63"/>
        <v>0</v>
      </c>
      <c r="M101" s="38">
        <f t="shared" si="63"/>
        <v>0</v>
      </c>
      <c r="N101" s="38">
        <f t="shared" si="63"/>
        <v>0</v>
      </c>
      <c r="O101" s="38">
        <f t="shared" si="63"/>
        <v>0</v>
      </c>
      <c r="P101" s="38">
        <f t="shared" si="63"/>
        <v>0</v>
      </c>
      <c r="Q101" s="38">
        <f t="shared" si="63"/>
        <v>0</v>
      </c>
      <c r="R101" s="38">
        <f t="shared" si="63"/>
        <v>0</v>
      </c>
      <c r="S101" s="38">
        <f t="shared" si="63"/>
        <v>0</v>
      </c>
      <c r="T101" s="38">
        <f t="shared" si="63"/>
        <v>0</v>
      </c>
      <c r="U101" s="38">
        <f t="shared" si="63"/>
        <v>0</v>
      </c>
      <c r="V101" s="38">
        <f t="shared" si="63"/>
        <v>0</v>
      </c>
      <c r="W101" s="38">
        <f t="shared" si="63"/>
        <v>0</v>
      </c>
      <c r="X101" s="38">
        <f t="shared" si="63"/>
        <v>0</v>
      </c>
      <c r="Y101" s="38">
        <f t="shared" si="64"/>
        <v>0</v>
      </c>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row>
    <row r="102" spans="3:80">
      <c r="C102" s="9" t="s">
        <v>101</v>
      </c>
      <c r="E102" s="38">
        <f t="shared" si="63"/>
        <v>0</v>
      </c>
      <c r="F102" s="38">
        <f t="shared" si="63"/>
        <v>0</v>
      </c>
      <c r="G102" s="38">
        <f t="shared" si="63"/>
        <v>0</v>
      </c>
      <c r="H102" s="38">
        <f t="shared" si="63"/>
        <v>0</v>
      </c>
      <c r="I102" s="38">
        <f t="shared" si="63"/>
        <v>0</v>
      </c>
      <c r="J102" s="38">
        <f t="shared" si="63"/>
        <v>0</v>
      </c>
      <c r="K102" s="38">
        <f t="shared" si="63"/>
        <v>0</v>
      </c>
      <c r="L102" s="38">
        <f t="shared" si="63"/>
        <v>0</v>
      </c>
      <c r="M102" s="38">
        <f t="shared" si="63"/>
        <v>0</v>
      </c>
      <c r="N102" s="38">
        <f t="shared" si="63"/>
        <v>0</v>
      </c>
      <c r="O102" s="38">
        <f t="shared" si="63"/>
        <v>0</v>
      </c>
      <c r="P102" s="38">
        <f t="shared" si="63"/>
        <v>0</v>
      </c>
      <c r="Q102" s="38">
        <f t="shared" si="63"/>
        <v>0</v>
      </c>
      <c r="R102" s="38">
        <f t="shared" si="63"/>
        <v>0</v>
      </c>
      <c r="S102" s="38">
        <f t="shared" si="63"/>
        <v>0</v>
      </c>
      <c r="T102" s="38">
        <f t="shared" si="63"/>
        <v>0</v>
      </c>
      <c r="U102" s="38">
        <f t="shared" si="63"/>
        <v>0</v>
      </c>
      <c r="V102" s="38">
        <f t="shared" si="63"/>
        <v>0</v>
      </c>
      <c r="W102" s="38">
        <f t="shared" si="63"/>
        <v>0</v>
      </c>
      <c r="X102" s="38">
        <f t="shared" si="63"/>
        <v>0</v>
      </c>
      <c r="Y102" s="38">
        <f t="shared" si="64"/>
        <v>0</v>
      </c>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row>
    <row r="103" spans="3:80">
      <c r="C103" s="9" t="s">
        <v>104</v>
      </c>
      <c r="E103" s="38">
        <f t="shared" si="63"/>
        <v>0</v>
      </c>
      <c r="F103" s="38">
        <f t="shared" si="63"/>
        <v>0</v>
      </c>
      <c r="G103" s="38">
        <f t="shared" si="63"/>
        <v>0</v>
      </c>
      <c r="H103" s="38">
        <f t="shared" si="63"/>
        <v>0</v>
      </c>
      <c r="I103" s="38">
        <f t="shared" si="63"/>
        <v>0</v>
      </c>
      <c r="J103" s="38">
        <f t="shared" si="63"/>
        <v>0</v>
      </c>
      <c r="K103" s="38">
        <f t="shared" si="63"/>
        <v>0</v>
      </c>
      <c r="L103" s="38">
        <f t="shared" si="63"/>
        <v>0</v>
      </c>
      <c r="M103" s="38">
        <f t="shared" si="63"/>
        <v>0</v>
      </c>
      <c r="N103" s="38">
        <f t="shared" si="63"/>
        <v>0</v>
      </c>
      <c r="O103" s="38">
        <f t="shared" si="63"/>
        <v>0</v>
      </c>
      <c r="P103" s="38">
        <f t="shared" si="63"/>
        <v>0</v>
      </c>
      <c r="Q103" s="38">
        <f t="shared" si="63"/>
        <v>0</v>
      </c>
      <c r="R103" s="38">
        <f t="shared" si="63"/>
        <v>0</v>
      </c>
      <c r="S103" s="38">
        <f t="shared" si="63"/>
        <v>0</v>
      </c>
      <c r="T103" s="38">
        <f t="shared" si="63"/>
        <v>0</v>
      </c>
      <c r="U103" s="38">
        <f t="shared" si="63"/>
        <v>0</v>
      </c>
      <c r="V103" s="38">
        <f t="shared" si="63"/>
        <v>0</v>
      </c>
      <c r="W103" s="38">
        <f t="shared" si="63"/>
        <v>0</v>
      </c>
      <c r="X103" s="38">
        <f t="shared" si="63"/>
        <v>0</v>
      </c>
      <c r="Y103" s="38">
        <f t="shared" si="64"/>
        <v>0</v>
      </c>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row>
    <row r="104" spans="3:80">
      <c r="C104" s="9" t="s">
        <v>107</v>
      </c>
      <c r="E104" s="38">
        <f t="shared" si="63"/>
        <v>0</v>
      </c>
      <c r="F104" s="38">
        <f t="shared" si="63"/>
        <v>0</v>
      </c>
      <c r="G104" s="38">
        <f t="shared" si="63"/>
        <v>0</v>
      </c>
      <c r="H104" s="38">
        <f t="shared" si="63"/>
        <v>0</v>
      </c>
      <c r="I104" s="38">
        <f t="shared" si="63"/>
        <v>0</v>
      </c>
      <c r="J104" s="38">
        <f t="shared" si="63"/>
        <v>0</v>
      </c>
      <c r="K104" s="38">
        <f t="shared" si="63"/>
        <v>0</v>
      </c>
      <c r="L104" s="38">
        <f t="shared" si="63"/>
        <v>0</v>
      </c>
      <c r="M104" s="38">
        <f t="shared" si="63"/>
        <v>0</v>
      </c>
      <c r="N104" s="38">
        <f t="shared" si="63"/>
        <v>0</v>
      </c>
      <c r="O104" s="38">
        <f t="shared" si="63"/>
        <v>0</v>
      </c>
      <c r="P104" s="38">
        <f t="shared" si="63"/>
        <v>0</v>
      </c>
      <c r="Q104" s="38">
        <f t="shared" si="63"/>
        <v>0</v>
      </c>
      <c r="R104" s="38">
        <f t="shared" si="63"/>
        <v>0</v>
      </c>
      <c r="S104" s="38">
        <f t="shared" si="63"/>
        <v>0</v>
      </c>
      <c r="T104" s="38">
        <f t="shared" si="63"/>
        <v>0</v>
      </c>
      <c r="U104" s="38">
        <f t="shared" si="63"/>
        <v>0</v>
      </c>
      <c r="V104" s="38">
        <f t="shared" si="63"/>
        <v>0</v>
      </c>
      <c r="W104" s="38">
        <f t="shared" si="63"/>
        <v>0</v>
      </c>
      <c r="X104" s="38">
        <f t="shared" si="63"/>
        <v>0</v>
      </c>
      <c r="Y104" s="38">
        <f t="shared" si="64"/>
        <v>0</v>
      </c>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row>
    <row r="105" spans="3:80">
      <c r="C105" s="9" t="s">
        <v>110</v>
      </c>
      <c r="E105" s="38">
        <f t="shared" si="63"/>
        <v>0</v>
      </c>
      <c r="F105" s="38">
        <f t="shared" si="63"/>
        <v>0</v>
      </c>
      <c r="G105" s="38">
        <f t="shared" si="63"/>
        <v>0</v>
      </c>
      <c r="H105" s="38">
        <f t="shared" ref="H105:X105" si="65">H68-H67</f>
        <v>0</v>
      </c>
      <c r="I105" s="38">
        <f t="shared" si="65"/>
        <v>0</v>
      </c>
      <c r="J105" s="38">
        <f t="shared" si="65"/>
        <v>0</v>
      </c>
      <c r="K105" s="38">
        <f t="shared" si="65"/>
        <v>0</v>
      </c>
      <c r="L105" s="38">
        <f t="shared" si="65"/>
        <v>0</v>
      </c>
      <c r="M105" s="38">
        <f t="shared" si="65"/>
        <v>0</v>
      </c>
      <c r="N105" s="38">
        <f t="shared" si="65"/>
        <v>0</v>
      </c>
      <c r="O105" s="38">
        <f t="shared" si="65"/>
        <v>0</v>
      </c>
      <c r="P105" s="38">
        <f t="shared" si="65"/>
        <v>0</v>
      </c>
      <c r="Q105" s="38">
        <f t="shared" si="65"/>
        <v>0</v>
      </c>
      <c r="R105" s="38">
        <f t="shared" si="65"/>
        <v>0</v>
      </c>
      <c r="S105" s="38">
        <f t="shared" si="65"/>
        <v>0</v>
      </c>
      <c r="T105" s="38">
        <f t="shared" si="65"/>
        <v>0</v>
      </c>
      <c r="U105" s="38">
        <f t="shared" si="65"/>
        <v>0</v>
      </c>
      <c r="V105" s="38">
        <f t="shared" si="65"/>
        <v>0</v>
      </c>
      <c r="W105" s="38">
        <f t="shared" si="65"/>
        <v>0</v>
      </c>
      <c r="X105" s="38">
        <f t="shared" si="65"/>
        <v>0</v>
      </c>
      <c r="Y105" s="38">
        <f t="shared" si="64"/>
        <v>0</v>
      </c>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row>
    <row r="106" spans="3:80">
      <c r="C106" s="9" t="s">
        <v>113</v>
      </c>
      <c r="E106" s="38">
        <f t="shared" ref="E106:X106" si="66">E69-E68</f>
        <v>0</v>
      </c>
      <c r="F106" s="38">
        <f t="shared" si="66"/>
        <v>0</v>
      </c>
      <c r="G106" s="38">
        <f t="shared" si="66"/>
        <v>0</v>
      </c>
      <c r="H106" s="38">
        <f t="shared" si="66"/>
        <v>0</v>
      </c>
      <c r="I106" s="38">
        <f t="shared" si="66"/>
        <v>0</v>
      </c>
      <c r="J106" s="38">
        <f t="shared" si="66"/>
        <v>0</v>
      </c>
      <c r="K106" s="38">
        <f t="shared" si="66"/>
        <v>0</v>
      </c>
      <c r="L106" s="38">
        <f t="shared" si="66"/>
        <v>0</v>
      </c>
      <c r="M106" s="38">
        <f t="shared" si="66"/>
        <v>0</v>
      </c>
      <c r="N106" s="38">
        <f t="shared" si="66"/>
        <v>0</v>
      </c>
      <c r="O106" s="38">
        <f t="shared" si="66"/>
        <v>0</v>
      </c>
      <c r="P106" s="38">
        <f t="shared" si="66"/>
        <v>0</v>
      </c>
      <c r="Q106" s="38">
        <f t="shared" si="66"/>
        <v>0</v>
      </c>
      <c r="R106" s="38">
        <f t="shared" si="66"/>
        <v>0</v>
      </c>
      <c r="S106" s="38">
        <f t="shared" si="66"/>
        <v>0</v>
      </c>
      <c r="T106" s="38">
        <f t="shared" si="66"/>
        <v>0</v>
      </c>
      <c r="U106" s="38">
        <f t="shared" si="66"/>
        <v>0</v>
      </c>
      <c r="V106" s="38">
        <f t="shared" si="66"/>
        <v>0</v>
      </c>
      <c r="W106" s="38">
        <f t="shared" si="66"/>
        <v>0</v>
      </c>
      <c r="X106" s="38">
        <f t="shared" si="66"/>
        <v>0</v>
      </c>
      <c r="Y106" s="38">
        <f>SUM(E106:X106)</f>
        <v>0</v>
      </c>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row>
    <row r="107" spans="3:80">
      <c r="C107" s="9" t="s">
        <v>116</v>
      </c>
      <c r="E107" s="38">
        <f t="shared" ref="E107:X107" si="67">E70-E69</f>
        <v>0</v>
      </c>
      <c r="F107" s="38">
        <f t="shared" si="67"/>
        <v>0</v>
      </c>
      <c r="G107" s="38">
        <f t="shared" si="67"/>
        <v>0</v>
      </c>
      <c r="H107" s="38">
        <f t="shared" si="67"/>
        <v>0</v>
      </c>
      <c r="I107" s="38">
        <f t="shared" si="67"/>
        <v>0</v>
      </c>
      <c r="J107" s="38">
        <f t="shared" si="67"/>
        <v>0</v>
      </c>
      <c r="K107" s="38">
        <f t="shared" si="67"/>
        <v>0</v>
      </c>
      <c r="L107" s="38">
        <f t="shared" si="67"/>
        <v>0</v>
      </c>
      <c r="M107" s="38">
        <f t="shared" si="67"/>
        <v>0</v>
      </c>
      <c r="N107" s="38">
        <f t="shared" si="67"/>
        <v>0</v>
      </c>
      <c r="O107" s="38">
        <f t="shared" si="67"/>
        <v>0</v>
      </c>
      <c r="P107" s="38">
        <f t="shared" si="67"/>
        <v>0</v>
      </c>
      <c r="Q107" s="38">
        <f t="shared" si="67"/>
        <v>0</v>
      </c>
      <c r="R107" s="38">
        <f t="shared" si="67"/>
        <v>0</v>
      </c>
      <c r="S107" s="38">
        <f t="shared" si="67"/>
        <v>0</v>
      </c>
      <c r="T107" s="38">
        <f t="shared" si="67"/>
        <v>0</v>
      </c>
      <c r="U107" s="38">
        <f t="shared" si="67"/>
        <v>0</v>
      </c>
      <c r="V107" s="38">
        <f t="shared" si="67"/>
        <v>0</v>
      </c>
      <c r="W107" s="38">
        <f t="shared" si="67"/>
        <v>0</v>
      </c>
      <c r="X107" s="38">
        <f t="shared" si="67"/>
        <v>0</v>
      </c>
      <c r="Y107" s="38">
        <f>SUM(E107:X107)</f>
        <v>0</v>
      </c>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row>
    <row r="108" spans="3:80">
      <c r="C108" s="9" t="s">
        <v>119</v>
      </c>
      <c r="E108" s="38">
        <f t="shared" ref="E108:X108" ca="1" si="68">E71-E70</f>
        <v>2.1867902478646658E-4</v>
      </c>
      <c r="F108" s="38">
        <f t="shared" ca="1" si="68"/>
        <v>6.2894112713183126E-4</v>
      </c>
      <c r="G108" s="38">
        <f t="shared" ca="1" si="68"/>
        <v>1.3071046299507224E-3</v>
      </c>
      <c r="H108" s="38">
        <f t="shared" ca="1" si="68"/>
        <v>2.3837447762027428E-3</v>
      </c>
      <c r="I108" s="38">
        <f t="shared" ca="1" si="68"/>
        <v>3.9633655913183276E-3</v>
      </c>
      <c r="J108" s="38">
        <f t="shared" ca="1" si="68"/>
        <v>6.033295234270577E-3</v>
      </c>
      <c r="K108" s="38">
        <f t="shared" ca="1" si="68"/>
        <v>8.8575959596215482E-3</v>
      </c>
      <c r="L108" s="38">
        <f t="shared" ca="1" si="68"/>
        <v>1.2680060548634313E-2</v>
      </c>
      <c r="M108" s="38">
        <f t="shared" ca="1" si="68"/>
        <v>1.7298032264694736E-2</v>
      </c>
      <c r="N108" s="38">
        <f t="shared" ca="1" si="68"/>
        <v>2.3273409128313955E-2</v>
      </c>
      <c r="O108" s="38">
        <f t="shared" ca="1" si="68"/>
        <v>2.9824208056972779E-2</v>
      </c>
      <c r="P108" s="38">
        <f t="shared" ca="1" si="68"/>
        <v>3.6197825829265264E-2</v>
      </c>
      <c r="Q108" s="38">
        <f t="shared" ca="1" si="68"/>
        <v>4.1903853997236278E-2</v>
      </c>
      <c r="R108" s="38">
        <f t="shared" ca="1" si="68"/>
        <v>4.8145193116131579E-2</v>
      </c>
      <c r="S108" s="38">
        <f t="shared" ca="1" si="68"/>
        <v>5.4163956927490375E-2</v>
      </c>
      <c r="T108" s="38">
        <f t="shared" ca="1" si="68"/>
        <v>5.8374801670714252E-2</v>
      </c>
      <c r="U108" s="38">
        <f t="shared" ca="1" si="68"/>
        <v>5.9782440459048986E-2</v>
      </c>
      <c r="V108" s="38">
        <f t="shared" ca="1" si="68"/>
        <v>6.1848294892624736E-2</v>
      </c>
      <c r="W108" s="38">
        <f t="shared" ca="1" si="68"/>
        <v>6.3299422543769898E-2</v>
      </c>
      <c r="X108" s="38">
        <f t="shared" ca="1" si="68"/>
        <v>6.4338033512257697E-2</v>
      </c>
      <c r="Y108" s="38">
        <f t="shared" ca="1" si="64"/>
        <v>0.59452225929043712</v>
      </c>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row>
    <row r="109" spans="3:80">
      <c r="C109" s="9" t="s">
        <v>122</v>
      </c>
      <c r="E109" s="38">
        <f t="shared" ref="E109:X109" ca="1" si="69">E72-E71</f>
        <v>0</v>
      </c>
      <c r="F109" s="38">
        <f t="shared" ca="1" si="69"/>
        <v>0</v>
      </c>
      <c r="G109" s="38">
        <f t="shared" ca="1" si="69"/>
        <v>0</v>
      </c>
      <c r="H109" s="38">
        <f t="shared" ca="1" si="69"/>
        <v>0</v>
      </c>
      <c r="I109" s="38">
        <f t="shared" ca="1" si="69"/>
        <v>0</v>
      </c>
      <c r="J109" s="38">
        <f t="shared" ca="1" si="69"/>
        <v>0</v>
      </c>
      <c r="K109" s="38">
        <f t="shared" ca="1" si="69"/>
        <v>0</v>
      </c>
      <c r="L109" s="38">
        <f t="shared" ca="1" si="69"/>
        <v>0</v>
      </c>
      <c r="M109" s="38">
        <f t="shared" ca="1" si="69"/>
        <v>0</v>
      </c>
      <c r="N109" s="38">
        <f t="shared" ca="1" si="69"/>
        <v>0</v>
      </c>
      <c r="O109" s="38">
        <f t="shared" ca="1" si="69"/>
        <v>0</v>
      </c>
      <c r="P109" s="38">
        <f t="shared" ca="1" si="69"/>
        <v>0</v>
      </c>
      <c r="Q109" s="38">
        <f t="shared" ca="1" si="69"/>
        <v>0</v>
      </c>
      <c r="R109" s="38">
        <f t="shared" ca="1" si="69"/>
        <v>0</v>
      </c>
      <c r="S109" s="38">
        <f t="shared" ca="1" si="69"/>
        <v>0</v>
      </c>
      <c r="T109" s="38">
        <f t="shared" ca="1" si="69"/>
        <v>0</v>
      </c>
      <c r="U109" s="38">
        <f t="shared" ca="1" si="69"/>
        <v>0</v>
      </c>
      <c r="V109" s="38">
        <f t="shared" ca="1" si="69"/>
        <v>0</v>
      </c>
      <c r="W109" s="38">
        <f t="shared" ca="1" si="69"/>
        <v>0</v>
      </c>
      <c r="X109" s="38">
        <f t="shared" ca="1" si="69"/>
        <v>0</v>
      </c>
      <c r="Y109" s="38">
        <f t="shared" ca="1" si="64"/>
        <v>0</v>
      </c>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row>
    <row r="110" spans="3:80">
      <c r="C110" s="9" t="s">
        <v>125</v>
      </c>
      <c r="E110" s="38">
        <f t="shared" ref="E110:X110" ca="1" si="70">E73-E72</f>
        <v>0</v>
      </c>
      <c r="F110" s="38">
        <f t="shared" ca="1" si="70"/>
        <v>0</v>
      </c>
      <c r="G110" s="38">
        <f t="shared" ca="1" si="70"/>
        <v>0</v>
      </c>
      <c r="H110" s="38">
        <f t="shared" ca="1" si="70"/>
        <v>0</v>
      </c>
      <c r="I110" s="38">
        <f t="shared" ca="1" si="70"/>
        <v>0</v>
      </c>
      <c r="J110" s="38">
        <f t="shared" ca="1" si="70"/>
        <v>0</v>
      </c>
      <c r="K110" s="38">
        <f t="shared" ca="1" si="70"/>
        <v>0</v>
      </c>
      <c r="L110" s="38">
        <f t="shared" ca="1" si="70"/>
        <v>0</v>
      </c>
      <c r="M110" s="38">
        <f t="shared" ca="1" si="70"/>
        <v>0</v>
      </c>
      <c r="N110" s="38">
        <f t="shared" ca="1" si="70"/>
        <v>0</v>
      </c>
      <c r="O110" s="38">
        <f t="shared" ca="1" si="70"/>
        <v>0</v>
      </c>
      <c r="P110" s="38">
        <f t="shared" ca="1" si="70"/>
        <v>0</v>
      </c>
      <c r="Q110" s="38">
        <f t="shared" ca="1" si="70"/>
        <v>0</v>
      </c>
      <c r="R110" s="38">
        <f t="shared" ca="1" si="70"/>
        <v>0</v>
      </c>
      <c r="S110" s="38">
        <f t="shared" ca="1" si="70"/>
        <v>0</v>
      </c>
      <c r="T110" s="38">
        <f t="shared" ca="1" si="70"/>
        <v>0</v>
      </c>
      <c r="U110" s="38">
        <f t="shared" ca="1" si="70"/>
        <v>0</v>
      </c>
      <c r="V110" s="38">
        <f t="shared" ca="1" si="70"/>
        <v>0</v>
      </c>
      <c r="W110" s="38">
        <f t="shared" ca="1" si="70"/>
        <v>0</v>
      </c>
      <c r="X110" s="38">
        <f t="shared" ca="1" si="70"/>
        <v>0</v>
      </c>
      <c r="Y110" s="38">
        <f t="shared" ca="1" si="64"/>
        <v>0</v>
      </c>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row>
    <row r="111" spans="3:80">
      <c r="C111" s="9" t="s">
        <v>128</v>
      </c>
      <c r="E111" s="38">
        <f t="shared" ref="E111:X111" ca="1" si="71">E74-E73</f>
        <v>0</v>
      </c>
      <c r="F111" s="38">
        <f t="shared" ca="1" si="71"/>
        <v>0</v>
      </c>
      <c r="G111" s="38">
        <f t="shared" ca="1" si="71"/>
        <v>0</v>
      </c>
      <c r="H111" s="38">
        <f t="shared" ca="1" si="71"/>
        <v>0</v>
      </c>
      <c r="I111" s="38">
        <f t="shared" ca="1" si="71"/>
        <v>0</v>
      </c>
      <c r="J111" s="38">
        <f t="shared" ca="1" si="71"/>
        <v>0</v>
      </c>
      <c r="K111" s="38">
        <f t="shared" ca="1" si="71"/>
        <v>0</v>
      </c>
      <c r="L111" s="38">
        <f t="shared" ca="1" si="71"/>
        <v>0</v>
      </c>
      <c r="M111" s="38">
        <f t="shared" ca="1" si="71"/>
        <v>0</v>
      </c>
      <c r="N111" s="38">
        <f t="shared" ca="1" si="71"/>
        <v>0</v>
      </c>
      <c r="O111" s="38">
        <f t="shared" ca="1" si="71"/>
        <v>0</v>
      </c>
      <c r="P111" s="38">
        <f t="shared" ca="1" si="71"/>
        <v>0</v>
      </c>
      <c r="Q111" s="38">
        <f t="shared" ca="1" si="71"/>
        <v>0</v>
      </c>
      <c r="R111" s="38">
        <f t="shared" ca="1" si="71"/>
        <v>0</v>
      </c>
      <c r="S111" s="38">
        <f t="shared" ca="1" si="71"/>
        <v>0</v>
      </c>
      <c r="T111" s="38">
        <f t="shared" ca="1" si="71"/>
        <v>0</v>
      </c>
      <c r="U111" s="38">
        <f t="shared" ca="1" si="71"/>
        <v>0</v>
      </c>
      <c r="V111" s="38">
        <f t="shared" ca="1" si="71"/>
        <v>0</v>
      </c>
      <c r="W111" s="38">
        <f t="shared" ca="1" si="71"/>
        <v>0</v>
      </c>
      <c r="X111" s="38">
        <f t="shared" ca="1" si="71"/>
        <v>0</v>
      </c>
      <c r="Y111" s="38">
        <f t="shared" ca="1" si="64"/>
        <v>0</v>
      </c>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row>
    <row r="112" spans="3:80">
      <c r="C112" s="9" t="s">
        <v>131</v>
      </c>
      <c r="E112" s="38">
        <f t="shared" ref="E112:X112" ca="1" si="72">E75-E74</f>
        <v>0</v>
      </c>
      <c r="F112" s="38">
        <f t="shared" ca="1" si="72"/>
        <v>0</v>
      </c>
      <c r="G112" s="38">
        <f t="shared" ca="1" si="72"/>
        <v>0</v>
      </c>
      <c r="H112" s="38">
        <f t="shared" ca="1" si="72"/>
        <v>0</v>
      </c>
      <c r="I112" s="38">
        <f t="shared" ca="1" si="72"/>
        <v>0</v>
      </c>
      <c r="J112" s="38">
        <f t="shared" ca="1" si="72"/>
        <v>0</v>
      </c>
      <c r="K112" s="38">
        <f t="shared" ca="1" si="72"/>
        <v>0</v>
      </c>
      <c r="L112" s="38">
        <f t="shared" ca="1" si="72"/>
        <v>0</v>
      </c>
      <c r="M112" s="38">
        <f t="shared" ca="1" si="72"/>
        <v>0</v>
      </c>
      <c r="N112" s="38">
        <f t="shared" ca="1" si="72"/>
        <v>0</v>
      </c>
      <c r="O112" s="38">
        <f t="shared" ca="1" si="72"/>
        <v>0</v>
      </c>
      <c r="P112" s="38">
        <f t="shared" ca="1" si="72"/>
        <v>0</v>
      </c>
      <c r="Q112" s="38">
        <f t="shared" ca="1" si="72"/>
        <v>0</v>
      </c>
      <c r="R112" s="38">
        <f t="shared" ca="1" si="72"/>
        <v>0</v>
      </c>
      <c r="S112" s="38">
        <f t="shared" ca="1" si="72"/>
        <v>0</v>
      </c>
      <c r="T112" s="38">
        <f t="shared" ca="1" si="72"/>
        <v>0</v>
      </c>
      <c r="U112" s="38">
        <f t="shared" ca="1" si="72"/>
        <v>0</v>
      </c>
      <c r="V112" s="38">
        <f t="shared" ca="1" si="72"/>
        <v>0</v>
      </c>
      <c r="W112" s="38">
        <f t="shared" ca="1" si="72"/>
        <v>0</v>
      </c>
      <c r="X112" s="38">
        <f t="shared" ca="1" si="72"/>
        <v>0</v>
      </c>
      <c r="Y112" s="38">
        <f t="shared" ca="1" si="64"/>
        <v>0</v>
      </c>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row>
    <row r="113" spans="3:80">
      <c r="C113" s="9" t="s">
        <v>4907</v>
      </c>
      <c r="E113" s="38">
        <f t="shared" ref="E113:X113" ca="1" si="73">E76-E75</f>
        <v>0</v>
      </c>
      <c r="F113" s="38">
        <f t="shared" ca="1" si="73"/>
        <v>0</v>
      </c>
      <c r="G113" s="38">
        <f t="shared" ca="1" si="73"/>
        <v>0</v>
      </c>
      <c r="H113" s="38">
        <f t="shared" ca="1" si="73"/>
        <v>0</v>
      </c>
      <c r="I113" s="38">
        <f t="shared" ca="1" si="73"/>
        <v>0</v>
      </c>
      <c r="J113" s="38">
        <f t="shared" ca="1" si="73"/>
        <v>0</v>
      </c>
      <c r="K113" s="38">
        <f t="shared" ca="1" si="73"/>
        <v>0</v>
      </c>
      <c r="L113" s="38">
        <f t="shared" ca="1" si="73"/>
        <v>0</v>
      </c>
      <c r="M113" s="38">
        <f t="shared" ca="1" si="73"/>
        <v>0</v>
      </c>
      <c r="N113" s="38">
        <f t="shared" ca="1" si="73"/>
        <v>0</v>
      </c>
      <c r="O113" s="38">
        <f t="shared" ca="1" si="73"/>
        <v>0</v>
      </c>
      <c r="P113" s="38">
        <f t="shared" ca="1" si="73"/>
        <v>0</v>
      </c>
      <c r="Q113" s="38">
        <f t="shared" ca="1" si="73"/>
        <v>0</v>
      </c>
      <c r="R113" s="38">
        <f t="shared" ca="1" si="73"/>
        <v>0</v>
      </c>
      <c r="S113" s="38">
        <f t="shared" ca="1" si="73"/>
        <v>0</v>
      </c>
      <c r="T113" s="38">
        <f t="shared" ca="1" si="73"/>
        <v>0</v>
      </c>
      <c r="U113" s="38">
        <f t="shared" ca="1" si="73"/>
        <v>0</v>
      </c>
      <c r="V113" s="38">
        <f t="shared" ca="1" si="73"/>
        <v>0</v>
      </c>
      <c r="W113" s="38">
        <f t="shared" ca="1" si="73"/>
        <v>0</v>
      </c>
      <c r="X113" s="38">
        <f t="shared" ca="1" si="73"/>
        <v>0</v>
      </c>
      <c r="Y113" s="38">
        <f t="shared" ref="Y113:Y122" ca="1" si="74">SUM(E113:X113)</f>
        <v>0</v>
      </c>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row>
    <row r="114" spans="3:80">
      <c r="C114" s="9" t="s">
        <v>4908</v>
      </c>
      <c r="E114" s="38">
        <f t="shared" ref="E114:X114" ca="1" si="75">E77-E76</f>
        <v>0</v>
      </c>
      <c r="F114" s="38">
        <f t="shared" ca="1" si="75"/>
        <v>0</v>
      </c>
      <c r="G114" s="38">
        <f t="shared" ca="1" si="75"/>
        <v>0</v>
      </c>
      <c r="H114" s="38">
        <f t="shared" ca="1" si="75"/>
        <v>0</v>
      </c>
      <c r="I114" s="38">
        <f t="shared" ca="1" si="75"/>
        <v>0</v>
      </c>
      <c r="J114" s="38">
        <f t="shared" ca="1" si="75"/>
        <v>0</v>
      </c>
      <c r="K114" s="38">
        <f t="shared" ca="1" si="75"/>
        <v>0</v>
      </c>
      <c r="L114" s="38">
        <f t="shared" ca="1" si="75"/>
        <v>0</v>
      </c>
      <c r="M114" s="38">
        <f t="shared" ca="1" si="75"/>
        <v>0</v>
      </c>
      <c r="N114" s="38">
        <f t="shared" ca="1" si="75"/>
        <v>0</v>
      </c>
      <c r="O114" s="38">
        <f t="shared" ca="1" si="75"/>
        <v>0</v>
      </c>
      <c r="P114" s="38">
        <f t="shared" ca="1" si="75"/>
        <v>0</v>
      </c>
      <c r="Q114" s="38">
        <f t="shared" ca="1" si="75"/>
        <v>0</v>
      </c>
      <c r="R114" s="38">
        <f t="shared" ca="1" si="75"/>
        <v>0</v>
      </c>
      <c r="S114" s="38">
        <f t="shared" ca="1" si="75"/>
        <v>0</v>
      </c>
      <c r="T114" s="38">
        <f t="shared" ca="1" si="75"/>
        <v>0</v>
      </c>
      <c r="U114" s="38">
        <f t="shared" ca="1" si="75"/>
        <v>0</v>
      </c>
      <c r="V114" s="38">
        <f t="shared" ca="1" si="75"/>
        <v>0</v>
      </c>
      <c r="W114" s="38">
        <f t="shared" ca="1" si="75"/>
        <v>0</v>
      </c>
      <c r="X114" s="38">
        <f t="shared" ca="1" si="75"/>
        <v>0</v>
      </c>
      <c r="Y114" s="38">
        <f t="shared" ca="1" si="74"/>
        <v>0</v>
      </c>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row>
    <row r="115" spans="3:80">
      <c r="C115" s="9" t="s">
        <v>4909</v>
      </c>
      <c r="E115" s="38">
        <f t="shared" ref="E115:X115" ca="1" si="76">E78-E77</f>
        <v>0</v>
      </c>
      <c r="F115" s="38">
        <f t="shared" ca="1" si="76"/>
        <v>0</v>
      </c>
      <c r="G115" s="38">
        <f t="shared" ca="1" si="76"/>
        <v>0</v>
      </c>
      <c r="H115" s="38">
        <f t="shared" ca="1" si="76"/>
        <v>0</v>
      </c>
      <c r="I115" s="38">
        <f t="shared" ca="1" si="76"/>
        <v>0</v>
      </c>
      <c r="J115" s="38">
        <f t="shared" ca="1" si="76"/>
        <v>0</v>
      </c>
      <c r="K115" s="38">
        <f t="shared" ca="1" si="76"/>
        <v>0</v>
      </c>
      <c r="L115" s="38">
        <f t="shared" ca="1" si="76"/>
        <v>0</v>
      </c>
      <c r="M115" s="38">
        <f t="shared" ca="1" si="76"/>
        <v>0</v>
      </c>
      <c r="N115" s="38">
        <f t="shared" ca="1" si="76"/>
        <v>0</v>
      </c>
      <c r="O115" s="38">
        <f t="shared" ca="1" si="76"/>
        <v>0</v>
      </c>
      <c r="P115" s="38">
        <f t="shared" ca="1" si="76"/>
        <v>0</v>
      </c>
      <c r="Q115" s="38">
        <f t="shared" ca="1" si="76"/>
        <v>0</v>
      </c>
      <c r="R115" s="38">
        <f t="shared" ca="1" si="76"/>
        <v>0</v>
      </c>
      <c r="S115" s="38">
        <f t="shared" ca="1" si="76"/>
        <v>0</v>
      </c>
      <c r="T115" s="38">
        <f t="shared" ca="1" si="76"/>
        <v>0</v>
      </c>
      <c r="U115" s="38">
        <f t="shared" ca="1" si="76"/>
        <v>0</v>
      </c>
      <c r="V115" s="38">
        <f t="shared" ca="1" si="76"/>
        <v>0</v>
      </c>
      <c r="W115" s="38">
        <f t="shared" ca="1" si="76"/>
        <v>0</v>
      </c>
      <c r="X115" s="38">
        <f t="shared" ca="1" si="76"/>
        <v>0</v>
      </c>
      <c r="Y115" s="38">
        <f t="shared" ca="1" si="74"/>
        <v>0</v>
      </c>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row>
    <row r="116" spans="3:80">
      <c r="C116" s="9" t="s">
        <v>4910</v>
      </c>
      <c r="E116" s="38">
        <f t="shared" ref="E116:X116" ca="1" si="77">E79-E78</f>
        <v>0</v>
      </c>
      <c r="F116" s="38">
        <f t="shared" ca="1" si="77"/>
        <v>0</v>
      </c>
      <c r="G116" s="38">
        <f t="shared" ca="1" si="77"/>
        <v>0</v>
      </c>
      <c r="H116" s="38">
        <f t="shared" ca="1" si="77"/>
        <v>0</v>
      </c>
      <c r="I116" s="38">
        <f t="shared" ca="1" si="77"/>
        <v>0</v>
      </c>
      <c r="J116" s="38">
        <f t="shared" ca="1" si="77"/>
        <v>0</v>
      </c>
      <c r="K116" s="38">
        <f t="shared" ca="1" si="77"/>
        <v>0</v>
      </c>
      <c r="L116" s="38">
        <f t="shared" ca="1" si="77"/>
        <v>0</v>
      </c>
      <c r="M116" s="38">
        <f t="shared" ca="1" si="77"/>
        <v>0</v>
      </c>
      <c r="N116" s="38">
        <f t="shared" ca="1" si="77"/>
        <v>0</v>
      </c>
      <c r="O116" s="38">
        <f t="shared" ca="1" si="77"/>
        <v>0</v>
      </c>
      <c r="P116" s="38">
        <f t="shared" ca="1" si="77"/>
        <v>0</v>
      </c>
      <c r="Q116" s="38">
        <f t="shared" ca="1" si="77"/>
        <v>0</v>
      </c>
      <c r="R116" s="38">
        <f t="shared" ca="1" si="77"/>
        <v>0</v>
      </c>
      <c r="S116" s="38">
        <f t="shared" ca="1" si="77"/>
        <v>0</v>
      </c>
      <c r="T116" s="38">
        <f t="shared" ca="1" si="77"/>
        <v>0</v>
      </c>
      <c r="U116" s="38">
        <f t="shared" ca="1" si="77"/>
        <v>0</v>
      </c>
      <c r="V116" s="38">
        <f t="shared" ca="1" si="77"/>
        <v>0</v>
      </c>
      <c r="W116" s="38">
        <f t="shared" ca="1" si="77"/>
        <v>0</v>
      </c>
      <c r="X116" s="38">
        <f t="shared" ca="1" si="77"/>
        <v>0</v>
      </c>
      <c r="Y116" s="38">
        <f t="shared" ca="1" si="74"/>
        <v>0</v>
      </c>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row>
    <row r="117" spans="3:80">
      <c r="C117" s="9" t="s">
        <v>4911</v>
      </c>
      <c r="E117" s="38">
        <f t="shared" ref="E117:X117" ca="1" si="78">E80-E79</f>
        <v>0</v>
      </c>
      <c r="F117" s="38">
        <f t="shared" ca="1" si="78"/>
        <v>0</v>
      </c>
      <c r="G117" s="38">
        <f t="shared" ca="1" si="78"/>
        <v>0</v>
      </c>
      <c r="H117" s="38">
        <f t="shared" ca="1" si="78"/>
        <v>0</v>
      </c>
      <c r="I117" s="38">
        <f t="shared" ca="1" si="78"/>
        <v>0</v>
      </c>
      <c r="J117" s="38">
        <f t="shared" ca="1" si="78"/>
        <v>0</v>
      </c>
      <c r="K117" s="38">
        <f t="shared" ca="1" si="78"/>
        <v>0</v>
      </c>
      <c r="L117" s="38">
        <f t="shared" ca="1" si="78"/>
        <v>0</v>
      </c>
      <c r="M117" s="38">
        <f t="shared" ca="1" si="78"/>
        <v>0</v>
      </c>
      <c r="N117" s="38">
        <f t="shared" ca="1" si="78"/>
        <v>0</v>
      </c>
      <c r="O117" s="38">
        <f t="shared" ca="1" si="78"/>
        <v>0</v>
      </c>
      <c r="P117" s="38">
        <f t="shared" ca="1" si="78"/>
        <v>0</v>
      </c>
      <c r="Q117" s="38">
        <f t="shared" ca="1" si="78"/>
        <v>0</v>
      </c>
      <c r="R117" s="38">
        <f t="shared" ca="1" si="78"/>
        <v>0</v>
      </c>
      <c r="S117" s="38">
        <f t="shared" ca="1" si="78"/>
        <v>0</v>
      </c>
      <c r="T117" s="38">
        <f t="shared" ca="1" si="78"/>
        <v>0</v>
      </c>
      <c r="U117" s="38">
        <f t="shared" ca="1" si="78"/>
        <v>0</v>
      </c>
      <c r="V117" s="38">
        <f t="shared" ca="1" si="78"/>
        <v>0</v>
      </c>
      <c r="W117" s="38">
        <f t="shared" ca="1" si="78"/>
        <v>0</v>
      </c>
      <c r="X117" s="38">
        <f t="shared" ca="1" si="78"/>
        <v>0</v>
      </c>
      <c r="Y117" s="38">
        <f t="shared" ca="1" si="74"/>
        <v>0</v>
      </c>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row>
    <row r="118" spans="3:80">
      <c r="C118" s="9" t="s">
        <v>4912</v>
      </c>
      <c r="E118" s="38">
        <f t="shared" ref="E118:X118" ca="1" si="79">E81-E80</f>
        <v>0</v>
      </c>
      <c r="F118" s="38">
        <f t="shared" ca="1" si="79"/>
        <v>0</v>
      </c>
      <c r="G118" s="38">
        <f t="shared" ca="1" si="79"/>
        <v>0</v>
      </c>
      <c r="H118" s="38">
        <f t="shared" ca="1" si="79"/>
        <v>0</v>
      </c>
      <c r="I118" s="38">
        <f t="shared" ca="1" si="79"/>
        <v>0</v>
      </c>
      <c r="J118" s="38">
        <f t="shared" ca="1" si="79"/>
        <v>0</v>
      </c>
      <c r="K118" s="38">
        <f t="shared" ca="1" si="79"/>
        <v>0</v>
      </c>
      <c r="L118" s="38">
        <f t="shared" ca="1" si="79"/>
        <v>0</v>
      </c>
      <c r="M118" s="38">
        <f t="shared" ca="1" si="79"/>
        <v>0</v>
      </c>
      <c r="N118" s="38">
        <f t="shared" ca="1" si="79"/>
        <v>0</v>
      </c>
      <c r="O118" s="38">
        <f t="shared" ca="1" si="79"/>
        <v>0</v>
      </c>
      <c r="P118" s="38">
        <f t="shared" ca="1" si="79"/>
        <v>0</v>
      </c>
      <c r="Q118" s="38">
        <f t="shared" ca="1" si="79"/>
        <v>0</v>
      </c>
      <c r="R118" s="38">
        <f t="shared" ca="1" si="79"/>
        <v>0</v>
      </c>
      <c r="S118" s="38">
        <f t="shared" ca="1" si="79"/>
        <v>0</v>
      </c>
      <c r="T118" s="38">
        <f t="shared" ca="1" si="79"/>
        <v>0</v>
      </c>
      <c r="U118" s="38">
        <f t="shared" ca="1" si="79"/>
        <v>0</v>
      </c>
      <c r="V118" s="38">
        <f t="shared" ca="1" si="79"/>
        <v>0</v>
      </c>
      <c r="W118" s="38">
        <f t="shared" ca="1" si="79"/>
        <v>0</v>
      </c>
      <c r="X118" s="38">
        <f t="shared" ca="1" si="79"/>
        <v>0</v>
      </c>
      <c r="Y118" s="38">
        <f t="shared" ca="1" si="74"/>
        <v>0</v>
      </c>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row>
    <row r="119" spans="3:80">
      <c r="C119" s="9" t="s">
        <v>4913</v>
      </c>
      <c r="E119" s="38">
        <f t="shared" ref="E119:X119" ca="1" si="80">E82-E81</f>
        <v>0</v>
      </c>
      <c r="F119" s="38">
        <f t="shared" ca="1" si="80"/>
        <v>0</v>
      </c>
      <c r="G119" s="38">
        <f t="shared" ca="1" si="80"/>
        <v>0</v>
      </c>
      <c r="H119" s="38">
        <f t="shared" ca="1" si="80"/>
        <v>0</v>
      </c>
      <c r="I119" s="38">
        <f t="shared" ca="1" si="80"/>
        <v>0</v>
      </c>
      <c r="J119" s="38">
        <f t="shared" ca="1" si="80"/>
        <v>0</v>
      </c>
      <c r="K119" s="38">
        <f t="shared" ca="1" si="80"/>
        <v>0</v>
      </c>
      <c r="L119" s="38">
        <f t="shared" ca="1" si="80"/>
        <v>0</v>
      </c>
      <c r="M119" s="38">
        <f t="shared" ca="1" si="80"/>
        <v>0</v>
      </c>
      <c r="N119" s="38">
        <f t="shared" ca="1" si="80"/>
        <v>0</v>
      </c>
      <c r="O119" s="38">
        <f t="shared" ca="1" si="80"/>
        <v>0</v>
      </c>
      <c r="P119" s="38">
        <f t="shared" ca="1" si="80"/>
        <v>0</v>
      </c>
      <c r="Q119" s="38">
        <f t="shared" ca="1" si="80"/>
        <v>0</v>
      </c>
      <c r="R119" s="38">
        <f t="shared" ca="1" si="80"/>
        <v>0</v>
      </c>
      <c r="S119" s="38">
        <f t="shared" ca="1" si="80"/>
        <v>0</v>
      </c>
      <c r="T119" s="38">
        <f t="shared" ca="1" si="80"/>
        <v>0</v>
      </c>
      <c r="U119" s="38">
        <f t="shared" ca="1" si="80"/>
        <v>0</v>
      </c>
      <c r="V119" s="38">
        <f t="shared" ca="1" si="80"/>
        <v>0</v>
      </c>
      <c r="W119" s="38">
        <f t="shared" ca="1" si="80"/>
        <v>0</v>
      </c>
      <c r="X119" s="38">
        <f t="shared" ca="1" si="80"/>
        <v>0</v>
      </c>
      <c r="Y119" s="38">
        <f t="shared" ca="1" si="74"/>
        <v>0</v>
      </c>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row>
    <row r="120" spans="3:80">
      <c r="C120" s="9" t="s">
        <v>4914</v>
      </c>
      <c r="E120" s="38">
        <f t="shared" ref="E120:X120" ca="1" si="81">E83-E82</f>
        <v>0</v>
      </c>
      <c r="F120" s="38">
        <f t="shared" ca="1" si="81"/>
        <v>0</v>
      </c>
      <c r="G120" s="38">
        <f t="shared" ca="1" si="81"/>
        <v>0</v>
      </c>
      <c r="H120" s="38">
        <f t="shared" ca="1" si="81"/>
        <v>0</v>
      </c>
      <c r="I120" s="38">
        <f t="shared" ca="1" si="81"/>
        <v>0</v>
      </c>
      <c r="J120" s="38">
        <f t="shared" ca="1" si="81"/>
        <v>0</v>
      </c>
      <c r="K120" s="38">
        <f t="shared" ca="1" si="81"/>
        <v>0</v>
      </c>
      <c r="L120" s="38">
        <f t="shared" ca="1" si="81"/>
        <v>0</v>
      </c>
      <c r="M120" s="38">
        <f t="shared" ca="1" si="81"/>
        <v>0</v>
      </c>
      <c r="N120" s="38">
        <f t="shared" ca="1" si="81"/>
        <v>0</v>
      </c>
      <c r="O120" s="38">
        <f t="shared" ca="1" si="81"/>
        <v>0</v>
      </c>
      <c r="P120" s="38">
        <f t="shared" ca="1" si="81"/>
        <v>0</v>
      </c>
      <c r="Q120" s="38">
        <f t="shared" ca="1" si="81"/>
        <v>0</v>
      </c>
      <c r="R120" s="38">
        <f t="shared" ca="1" si="81"/>
        <v>0</v>
      </c>
      <c r="S120" s="38">
        <f t="shared" ca="1" si="81"/>
        <v>0</v>
      </c>
      <c r="T120" s="38">
        <f t="shared" ca="1" si="81"/>
        <v>0</v>
      </c>
      <c r="U120" s="38">
        <f t="shared" ca="1" si="81"/>
        <v>0</v>
      </c>
      <c r="V120" s="38">
        <f t="shared" ca="1" si="81"/>
        <v>0</v>
      </c>
      <c r="W120" s="38">
        <f t="shared" ca="1" si="81"/>
        <v>0</v>
      </c>
      <c r="X120" s="38">
        <f t="shared" ca="1" si="81"/>
        <v>0</v>
      </c>
      <c r="Y120" s="38">
        <f t="shared" ca="1" si="74"/>
        <v>0</v>
      </c>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row>
    <row r="121" spans="3:80">
      <c r="C121" s="9" t="s">
        <v>4915</v>
      </c>
      <c r="E121" s="38">
        <f t="shared" ref="E121:X121" ca="1" si="82">E84-E83</f>
        <v>0</v>
      </c>
      <c r="F121" s="38">
        <f t="shared" ca="1" si="82"/>
        <v>0</v>
      </c>
      <c r="G121" s="38">
        <f t="shared" ca="1" si="82"/>
        <v>0</v>
      </c>
      <c r="H121" s="38">
        <f t="shared" ca="1" si="82"/>
        <v>0</v>
      </c>
      <c r="I121" s="38">
        <f t="shared" ca="1" si="82"/>
        <v>0</v>
      </c>
      <c r="J121" s="38">
        <f t="shared" ca="1" si="82"/>
        <v>0</v>
      </c>
      <c r="K121" s="38">
        <f t="shared" ca="1" si="82"/>
        <v>0</v>
      </c>
      <c r="L121" s="38">
        <f t="shared" ca="1" si="82"/>
        <v>0</v>
      </c>
      <c r="M121" s="38">
        <f t="shared" ca="1" si="82"/>
        <v>0</v>
      </c>
      <c r="N121" s="38">
        <f t="shared" ca="1" si="82"/>
        <v>0</v>
      </c>
      <c r="O121" s="38">
        <f t="shared" ca="1" si="82"/>
        <v>0</v>
      </c>
      <c r="P121" s="38">
        <f t="shared" ca="1" si="82"/>
        <v>0</v>
      </c>
      <c r="Q121" s="38">
        <f t="shared" ca="1" si="82"/>
        <v>0</v>
      </c>
      <c r="R121" s="38">
        <f t="shared" ca="1" si="82"/>
        <v>0</v>
      </c>
      <c r="S121" s="38">
        <f t="shared" ca="1" si="82"/>
        <v>0</v>
      </c>
      <c r="T121" s="38">
        <f t="shared" ca="1" si="82"/>
        <v>0</v>
      </c>
      <c r="U121" s="38">
        <f t="shared" ca="1" si="82"/>
        <v>0</v>
      </c>
      <c r="V121" s="38">
        <f t="shared" ca="1" si="82"/>
        <v>0</v>
      </c>
      <c r="W121" s="38">
        <f t="shared" ca="1" si="82"/>
        <v>0</v>
      </c>
      <c r="X121" s="38">
        <f t="shared" ca="1" si="82"/>
        <v>0</v>
      </c>
      <c r="Y121" s="38">
        <f t="shared" ca="1" si="74"/>
        <v>0</v>
      </c>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row>
    <row r="122" spans="3:80">
      <c r="C122" s="9" t="s">
        <v>4916</v>
      </c>
      <c r="E122" s="38">
        <f t="shared" ref="E122:X122" ca="1" si="83">E85-E84</f>
        <v>0</v>
      </c>
      <c r="F122" s="38">
        <f t="shared" ca="1" si="83"/>
        <v>0</v>
      </c>
      <c r="G122" s="38">
        <f t="shared" ca="1" si="83"/>
        <v>0</v>
      </c>
      <c r="H122" s="38">
        <f t="shared" ca="1" si="83"/>
        <v>0</v>
      </c>
      <c r="I122" s="38">
        <f t="shared" ca="1" si="83"/>
        <v>0</v>
      </c>
      <c r="J122" s="38">
        <f t="shared" ca="1" si="83"/>
        <v>0</v>
      </c>
      <c r="K122" s="38">
        <f t="shared" ca="1" si="83"/>
        <v>0</v>
      </c>
      <c r="L122" s="38">
        <f t="shared" ca="1" si="83"/>
        <v>0</v>
      </c>
      <c r="M122" s="38">
        <f t="shared" ca="1" si="83"/>
        <v>0</v>
      </c>
      <c r="N122" s="38">
        <f t="shared" ca="1" si="83"/>
        <v>0</v>
      </c>
      <c r="O122" s="38">
        <f t="shared" ca="1" si="83"/>
        <v>0</v>
      </c>
      <c r="P122" s="38">
        <f t="shared" ca="1" si="83"/>
        <v>0</v>
      </c>
      <c r="Q122" s="38">
        <f t="shared" ca="1" si="83"/>
        <v>0</v>
      </c>
      <c r="R122" s="38">
        <f t="shared" ca="1" si="83"/>
        <v>0</v>
      </c>
      <c r="S122" s="38">
        <f t="shared" ca="1" si="83"/>
        <v>0</v>
      </c>
      <c r="T122" s="38">
        <f t="shared" ca="1" si="83"/>
        <v>0</v>
      </c>
      <c r="U122" s="38">
        <f t="shared" ca="1" si="83"/>
        <v>0</v>
      </c>
      <c r="V122" s="38">
        <f t="shared" ca="1" si="83"/>
        <v>0</v>
      </c>
      <c r="W122" s="38">
        <f t="shared" ca="1" si="83"/>
        <v>0</v>
      </c>
      <c r="X122" s="38">
        <f t="shared" ca="1" si="83"/>
        <v>0</v>
      </c>
      <c r="Y122" s="38">
        <f t="shared" ca="1" si="74"/>
        <v>0</v>
      </c>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row>
    <row r="123" spans="3:80">
      <c r="C123" s="9" t="s">
        <v>4917</v>
      </c>
      <c r="E123" s="38">
        <f t="shared" ref="E123:X123" ca="1" si="84">E86-E75</f>
        <v>0</v>
      </c>
      <c r="F123" s="38">
        <f t="shared" ca="1" si="84"/>
        <v>0</v>
      </c>
      <c r="G123" s="38">
        <f t="shared" ca="1" si="84"/>
        <v>0</v>
      </c>
      <c r="H123" s="38">
        <f t="shared" ca="1" si="84"/>
        <v>0</v>
      </c>
      <c r="I123" s="38">
        <f t="shared" ca="1" si="84"/>
        <v>0</v>
      </c>
      <c r="J123" s="38">
        <f t="shared" ca="1" si="84"/>
        <v>0</v>
      </c>
      <c r="K123" s="38">
        <f t="shared" ca="1" si="84"/>
        <v>0</v>
      </c>
      <c r="L123" s="38">
        <f t="shared" ca="1" si="84"/>
        <v>0</v>
      </c>
      <c r="M123" s="38">
        <f t="shared" ca="1" si="84"/>
        <v>0</v>
      </c>
      <c r="N123" s="38">
        <f t="shared" ca="1" si="84"/>
        <v>0</v>
      </c>
      <c r="O123" s="38">
        <f t="shared" ca="1" si="84"/>
        <v>0</v>
      </c>
      <c r="P123" s="38">
        <f t="shared" ca="1" si="84"/>
        <v>0</v>
      </c>
      <c r="Q123" s="38">
        <f t="shared" ca="1" si="84"/>
        <v>0</v>
      </c>
      <c r="R123" s="38">
        <f t="shared" ca="1" si="84"/>
        <v>0</v>
      </c>
      <c r="S123" s="38">
        <f t="shared" ca="1" si="84"/>
        <v>0</v>
      </c>
      <c r="T123" s="38">
        <f t="shared" ca="1" si="84"/>
        <v>0</v>
      </c>
      <c r="U123" s="38">
        <f t="shared" ca="1" si="84"/>
        <v>0</v>
      </c>
      <c r="V123" s="38">
        <f t="shared" ca="1" si="84"/>
        <v>0</v>
      </c>
      <c r="W123" s="38">
        <f t="shared" ca="1" si="84"/>
        <v>0</v>
      </c>
      <c r="X123" s="38">
        <f t="shared" ca="1" si="84"/>
        <v>0</v>
      </c>
      <c r="Y123" s="38">
        <f t="shared" ca="1" si="64"/>
        <v>0</v>
      </c>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row>
    <row r="124" spans="3:80">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row>
    <row r="125" spans="3:80" ht="15">
      <c r="C125" s="81" t="s">
        <v>139</v>
      </c>
      <c r="D125" s="81"/>
      <c r="E125" s="82">
        <f t="shared" ref="E125:X125" ca="1" si="85">SUM(E92:E123)</f>
        <v>2.1867902478646658E-4</v>
      </c>
      <c r="F125" s="82">
        <f t="shared" ca="1" si="85"/>
        <v>6.2894112713183126E-4</v>
      </c>
      <c r="G125" s="82">
        <f t="shared" ca="1" si="85"/>
        <v>1.3071046299507224E-3</v>
      </c>
      <c r="H125" s="82">
        <f t="shared" ca="1" si="85"/>
        <v>2.3837447762027428E-3</v>
      </c>
      <c r="I125" s="82">
        <f t="shared" ca="1" si="85"/>
        <v>3.9633655913183276E-3</v>
      </c>
      <c r="J125" s="82">
        <f t="shared" ca="1" si="85"/>
        <v>6.033295234270577E-3</v>
      </c>
      <c r="K125" s="82">
        <f t="shared" ca="1" si="85"/>
        <v>8.8575959596215482E-3</v>
      </c>
      <c r="L125" s="82">
        <f t="shared" ca="1" si="85"/>
        <v>1.2680060548634313E-2</v>
      </c>
      <c r="M125" s="82">
        <f t="shared" ca="1" si="85"/>
        <v>1.7298032264694736E-2</v>
      </c>
      <c r="N125" s="82">
        <f t="shared" ca="1" si="85"/>
        <v>2.3273409128313955E-2</v>
      </c>
      <c r="O125" s="82">
        <f t="shared" ca="1" si="85"/>
        <v>2.9824208056972779E-2</v>
      </c>
      <c r="P125" s="82">
        <f t="shared" ca="1" si="85"/>
        <v>3.6197825829265264E-2</v>
      </c>
      <c r="Q125" s="82">
        <f t="shared" ca="1" si="85"/>
        <v>4.1903853997236278E-2</v>
      </c>
      <c r="R125" s="82">
        <f t="shared" ca="1" si="85"/>
        <v>4.8145193116131579E-2</v>
      </c>
      <c r="S125" s="82">
        <f t="shared" ca="1" si="85"/>
        <v>5.4163956927490375E-2</v>
      </c>
      <c r="T125" s="82">
        <f t="shared" ca="1" si="85"/>
        <v>5.8374801670714252E-2</v>
      </c>
      <c r="U125" s="82">
        <f t="shared" ca="1" si="85"/>
        <v>5.9782440459048986E-2</v>
      </c>
      <c r="V125" s="82">
        <f t="shared" ca="1" si="85"/>
        <v>6.1848294892624736E-2</v>
      </c>
      <c r="W125" s="82">
        <f t="shared" ca="1" si="85"/>
        <v>6.3299422543769898E-2</v>
      </c>
      <c r="X125" s="82">
        <f t="shared" ca="1" si="85"/>
        <v>6.4338033512257697E-2</v>
      </c>
      <c r="Y125" s="82"/>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row>
    <row r="126" spans="3:80" ht="15">
      <c r="C126" s="81" t="s">
        <v>140</v>
      </c>
      <c r="D126" s="81"/>
      <c r="E126" s="82">
        <f ca="1">E125</f>
        <v>2.1867902478646658E-4</v>
      </c>
      <c r="F126" s="82">
        <f t="shared" ref="F126:X126" ca="1" si="86">E126+F125</f>
        <v>8.4762015191829781E-4</v>
      </c>
      <c r="G126" s="82">
        <f t="shared" ca="1" si="86"/>
        <v>2.1547247818690203E-3</v>
      </c>
      <c r="H126" s="82">
        <f t="shared" ca="1" si="86"/>
        <v>4.5384695580717631E-3</v>
      </c>
      <c r="I126" s="82">
        <f t="shared" ca="1" si="86"/>
        <v>8.5018351493900898E-3</v>
      </c>
      <c r="J126" s="82">
        <f t="shared" ca="1" si="86"/>
        <v>1.4535130383660666E-2</v>
      </c>
      <c r="K126" s="82">
        <f t="shared" ca="1" si="86"/>
        <v>2.3392726343282214E-2</v>
      </c>
      <c r="L126" s="82">
        <f t="shared" ca="1" si="86"/>
        <v>3.6072786891916529E-2</v>
      </c>
      <c r="M126" s="82">
        <f t="shared" ca="1" si="86"/>
        <v>5.3370819156611266E-2</v>
      </c>
      <c r="N126" s="82">
        <f t="shared" ca="1" si="86"/>
        <v>7.6644228284925217E-2</v>
      </c>
      <c r="O126" s="82">
        <f t="shared" ca="1" si="86"/>
        <v>0.106468436341898</v>
      </c>
      <c r="P126" s="82">
        <f t="shared" ca="1" si="86"/>
        <v>0.14266626217116327</v>
      </c>
      <c r="Q126" s="82">
        <f t="shared" ca="1" si="86"/>
        <v>0.18457011616839955</v>
      </c>
      <c r="R126" s="82">
        <f t="shared" ca="1" si="86"/>
        <v>0.23271530928453113</v>
      </c>
      <c r="S126" s="82">
        <f t="shared" ca="1" si="86"/>
        <v>0.28687926621202153</v>
      </c>
      <c r="T126" s="82">
        <f t="shared" ca="1" si="86"/>
        <v>0.34525406788273577</v>
      </c>
      <c r="U126" s="82">
        <f t="shared" ca="1" si="86"/>
        <v>0.40503650834178473</v>
      </c>
      <c r="V126" s="82">
        <f t="shared" ca="1" si="86"/>
        <v>0.46688480323440945</v>
      </c>
      <c r="W126" s="82">
        <f t="shared" ca="1" si="86"/>
        <v>0.53018422577817936</v>
      </c>
      <c r="X126" s="82">
        <f t="shared" ca="1" si="86"/>
        <v>0.59452225929043712</v>
      </c>
      <c r="Y126" s="82">
        <f ca="1">SUM(Y92:Y123)</f>
        <v>0.59452225929043712</v>
      </c>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row>
    <row r="128" spans="3:80">
      <c r="E128" s="44"/>
      <c r="F128" s="44"/>
      <c r="G128" s="44"/>
      <c r="H128" s="44"/>
      <c r="I128" s="44"/>
      <c r="J128" s="44"/>
      <c r="K128" s="44"/>
      <c r="L128" s="44"/>
      <c r="M128" s="44"/>
      <c r="N128" s="44"/>
      <c r="O128" s="44"/>
      <c r="P128" s="44"/>
      <c r="Q128" s="44"/>
      <c r="R128" s="44"/>
      <c r="S128" s="44"/>
      <c r="T128" s="44"/>
      <c r="U128" s="44"/>
      <c r="V128" s="44"/>
      <c r="W128" s="44"/>
      <c r="X128" s="44"/>
      <c r="Y128" s="44"/>
    </row>
    <row r="129" spans="1:27">
      <c r="A129" s="9" t="s">
        <v>141</v>
      </c>
      <c r="E129" s="44"/>
      <c r="F129" s="44"/>
      <c r="G129" s="44"/>
      <c r="H129" s="44"/>
      <c r="I129" s="44"/>
      <c r="J129" s="44"/>
      <c r="K129" s="44"/>
      <c r="L129" s="44"/>
      <c r="M129" s="44"/>
      <c r="N129" s="44"/>
      <c r="O129" s="44"/>
      <c r="P129" s="44"/>
      <c r="Q129" s="44"/>
      <c r="R129" s="44"/>
      <c r="S129" s="44"/>
      <c r="T129" s="44"/>
      <c r="U129" s="44"/>
      <c r="V129" s="44"/>
      <c r="W129" s="44"/>
      <c r="X129" s="44"/>
      <c r="Y129" s="44"/>
    </row>
    <row r="130" spans="1:27" customFormat="1"/>
    <row r="131" spans="1:27" customFormat="1"/>
    <row r="132" spans="1:27" customFormat="1"/>
    <row r="133" spans="1:27" ht="15">
      <c r="A133" s="86" t="s">
        <v>142</v>
      </c>
      <c r="B133" s="86"/>
      <c r="E133" s="44"/>
      <c r="F133" s="44"/>
      <c r="G133" s="44"/>
      <c r="H133" s="44"/>
      <c r="I133" s="44"/>
      <c r="J133" s="44"/>
      <c r="K133" s="44"/>
      <c r="L133" s="44"/>
      <c r="M133" s="44"/>
      <c r="N133" s="44"/>
      <c r="O133" s="44"/>
      <c r="P133" s="44"/>
      <c r="Q133" s="44"/>
      <c r="R133" s="44"/>
      <c r="S133" s="44"/>
      <c r="T133" s="44"/>
      <c r="U133" s="44"/>
      <c r="V133" s="44"/>
      <c r="W133" s="44"/>
      <c r="X133" s="44"/>
      <c r="Y133" s="44"/>
      <c r="AA133" s="44"/>
    </row>
    <row r="134" spans="1:27">
      <c r="A134" s="9" t="s">
        <v>143</v>
      </c>
      <c r="C134"/>
      <c r="E134" s="44" t="s">
        <v>144</v>
      </c>
      <c r="F134" s="44"/>
      <c r="G134" s="44"/>
      <c r="H134" s="44"/>
      <c r="I134" s="44"/>
      <c r="J134" s="44"/>
      <c r="K134" s="44"/>
      <c r="L134" s="44"/>
      <c r="M134" s="44"/>
      <c r="N134" s="44"/>
      <c r="O134" s="44"/>
      <c r="P134" s="44"/>
      <c r="Q134" s="44"/>
      <c r="R134" s="44"/>
      <c r="S134" s="44"/>
      <c r="T134" s="44"/>
      <c r="U134" s="44"/>
      <c r="V134" s="44"/>
      <c r="W134" s="44"/>
      <c r="X134" s="44"/>
      <c r="Y134" s="44"/>
      <c r="AA134" s="44"/>
    </row>
    <row r="135" spans="1:27" ht="15">
      <c r="E135" s="83">
        <v>2015</v>
      </c>
      <c r="F135" s="84">
        <v>2016</v>
      </c>
      <c r="G135" s="84">
        <v>2017</v>
      </c>
      <c r="H135" s="84">
        <v>2018</v>
      </c>
      <c r="I135" s="84">
        <v>2019</v>
      </c>
      <c r="J135" s="84">
        <v>2020</v>
      </c>
      <c r="K135" s="84">
        <v>2021</v>
      </c>
      <c r="L135" s="84">
        <v>2022</v>
      </c>
      <c r="M135" s="84">
        <v>2023</v>
      </c>
      <c r="N135" s="84">
        <v>2024</v>
      </c>
      <c r="O135" s="84">
        <v>2025</v>
      </c>
      <c r="P135" s="84">
        <v>2026</v>
      </c>
      <c r="Q135" s="84">
        <v>2027</v>
      </c>
      <c r="R135" s="84">
        <v>2028</v>
      </c>
      <c r="S135" s="84">
        <v>2029</v>
      </c>
      <c r="T135" s="84">
        <v>2030</v>
      </c>
      <c r="U135" s="84">
        <v>2031</v>
      </c>
      <c r="V135" s="84">
        <v>2032</v>
      </c>
      <c r="W135" s="84">
        <v>2033</v>
      </c>
      <c r="X135" s="84">
        <v>2034</v>
      </c>
      <c r="Y135" s="85"/>
      <c r="AA135" s="44"/>
    </row>
    <row r="136" spans="1:27">
      <c r="C136" s="9" t="str">
        <f>C13</f>
        <v>Single Family</v>
      </c>
      <c r="E136" s="44">
        <f ca="1">E13-E33/$B23</f>
        <v>62549.120499431883</v>
      </c>
      <c r="F136" s="44">
        <f t="shared" ref="F136:X139" ca="1" si="87">F13-F33/$B23</f>
        <v>59569.81744327402</v>
      </c>
      <c r="G136" s="44">
        <f t="shared" ca="1" si="87"/>
        <v>56022.808149614968</v>
      </c>
      <c r="H136" s="44">
        <f t="shared" ca="1" si="87"/>
        <v>53508.433789645096</v>
      </c>
      <c r="I136" s="44">
        <f t="shared" ca="1" si="87"/>
        <v>51048.354182347721</v>
      </c>
      <c r="J136" s="44">
        <f t="shared" ca="1" si="87"/>
        <v>47244.290611046279</v>
      </c>
      <c r="K136" s="44">
        <f t="shared" ca="1" si="87"/>
        <v>44083.720766307553</v>
      </c>
      <c r="L136" s="44">
        <f t="shared" ca="1" si="87"/>
        <v>41493.311500542259</v>
      </c>
      <c r="M136" s="44">
        <f t="shared" ca="1" si="87"/>
        <v>38152.697484773715</v>
      </c>
      <c r="N136" s="44">
        <f t="shared" ca="1" si="87"/>
        <v>35334.960924044331</v>
      </c>
      <c r="O136" s="44">
        <f t="shared" ca="1" si="87"/>
        <v>31632.302121134129</v>
      </c>
      <c r="P136" s="44">
        <f t="shared" ca="1" si="87"/>
        <v>27078.715378213121</v>
      </c>
      <c r="Q136" s="44">
        <f t="shared" ca="1" si="87"/>
        <v>22306.910583167821</v>
      </c>
      <c r="R136" s="44">
        <f t="shared" ca="1" si="87"/>
        <v>18504.050144304099</v>
      </c>
      <c r="S136" s="44">
        <f t="shared" ca="1" si="87"/>
        <v>15316.849054206614</v>
      </c>
      <c r="T136" s="44">
        <f t="shared" ca="1" si="87"/>
        <v>12493.148865120391</v>
      </c>
      <c r="U136" s="44">
        <f t="shared" ca="1" si="87"/>
        <v>10086.327023708232</v>
      </c>
      <c r="V136" s="44">
        <f t="shared" ca="1" si="87"/>
        <v>8715.5927180513827</v>
      </c>
      <c r="W136" s="44">
        <f t="shared" ca="1" si="87"/>
        <v>7906.3861271070637</v>
      </c>
      <c r="X136" s="44">
        <f t="shared" ca="1" si="87"/>
        <v>7558.5543777348357</v>
      </c>
      <c r="Y136" s="44"/>
      <c r="AA136" s="44">
        <f t="shared" ref="AA136:AA139" ca="1" si="88">SUM(E136:Y136)</f>
        <v>650606.35174377542</v>
      </c>
    </row>
    <row r="137" spans="1:27">
      <c r="C137" s="9" t="str">
        <f>C14</f>
        <v>Multifamily - Low Rise</v>
      </c>
      <c r="E137" s="44">
        <f t="shared" ref="E137:T139" ca="1" si="89">E14-E34/$B24</f>
        <v>23229.602054959232</v>
      </c>
      <c r="F137" s="44">
        <f t="shared" ca="1" si="89"/>
        <v>22866.955779586202</v>
      </c>
      <c r="G137" s="44">
        <f t="shared" ca="1" si="89"/>
        <v>22486.013623848386</v>
      </c>
      <c r="H137" s="44">
        <f t="shared" ca="1" si="89"/>
        <v>21492.746132703247</v>
      </c>
      <c r="I137" s="44">
        <f t="shared" ca="1" si="89"/>
        <v>19861.097902304835</v>
      </c>
      <c r="J137" s="44">
        <f t="shared" ca="1" si="89"/>
        <v>18598.822709357977</v>
      </c>
      <c r="K137" s="44">
        <f t="shared" ca="1" si="89"/>
        <v>17689.670640145541</v>
      </c>
      <c r="L137" s="44">
        <f t="shared" ca="1" si="89"/>
        <v>17041.306118244371</v>
      </c>
      <c r="M137" s="44">
        <f t="shared" ca="1" si="89"/>
        <v>16217.76147599413</v>
      </c>
      <c r="N137" s="44">
        <f t="shared" ca="1" si="89"/>
        <v>15158.854112383404</v>
      </c>
      <c r="O137" s="44">
        <f t="shared" ca="1" si="89"/>
        <v>13532.547726616587</v>
      </c>
      <c r="P137" s="44">
        <f t="shared" ca="1" si="89"/>
        <v>11738.372140945932</v>
      </c>
      <c r="Q137" s="44">
        <f t="shared" ca="1" si="89"/>
        <v>9948.8681902781882</v>
      </c>
      <c r="R137" s="44">
        <f t="shared" ca="1" si="89"/>
        <v>8154.5014695413192</v>
      </c>
      <c r="S137" s="44">
        <f t="shared" ca="1" si="89"/>
        <v>6591.666267406199</v>
      </c>
      <c r="T137" s="44">
        <f t="shared" ca="1" si="89"/>
        <v>5289.0311995770571</v>
      </c>
      <c r="U137" s="44">
        <f t="shared" ca="1" si="87"/>
        <v>4340.8934274343101</v>
      </c>
      <c r="V137" s="44">
        <f t="shared" ca="1" si="87"/>
        <v>3709.7592763635512</v>
      </c>
      <c r="W137" s="44">
        <f t="shared" ca="1" si="87"/>
        <v>3292.167648273984</v>
      </c>
      <c r="X137" s="44">
        <f t="shared" ca="1" si="87"/>
        <v>3114.2836824399565</v>
      </c>
      <c r="Y137" s="44"/>
      <c r="AA137" s="9">
        <f t="shared" ca="1" si="88"/>
        <v>264354.92157840444</v>
      </c>
    </row>
    <row r="138" spans="1:27">
      <c r="C138" s="9" t="str">
        <f>C15</f>
        <v>Multifamily - High Rise</v>
      </c>
      <c r="E138" s="44">
        <f t="shared" ca="1" si="89"/>
        <v>5214.846912508061</v>
      </c>
      <c r="F138" s="44">
        <f t="shared" ca="1" si="87"/>
        <v>5205.7001312570483</v>
      </c>
      <c r="G138" s="44">
        <f t="shared" ca="1" si="87"/>
        <v>5196.0234511930357</v>
      </c>
      <c r="H138" s="44">
        <f t="shared" ca="1" si="87"/>
        <v>4851.9756942037475</v>
      </c>
      <c r="I138" s="44">
        <f t="shared" ca="1" si="87"/>
        <v>4396.7875598462888</v>
      </c>
      <c r="J138" s="44">
        <f t="shared" ca="1" si="87"/>
        <v>4179.0125963478049</v>
      </c>
      <c r="K138" s="44">
        <f t="shared" ca="1" si="87"/>
        <v>3986.4006972653183</v>
      </c>
      <c r="L138" s="44">
        <f t="shared" ca="1" si="87"/>
        <v>3888.0275526745363</v>
      </c>
      <c r="M138" s="44">
        <f t="shared" ca="1" si="87"/>
        <v>3674.1201202542243</v>
      </c>
      <c r="N138" s="44">
        <f t="shared" ca="1" si="87"/>
        <v>3433.8662485661243</v>
      </c>
      <c r="O138" s="44">
        <f t="shared" ca="1" si="87"/>
        <v>3028.5648677457416</v>
      </c>
      <c r="P138" s="44">
        <f t="shared" ca="1" si="87"/>
        <v>2621.9486181892157</v>
      </c>
      <c r="Q138" s="44">
        <f t="shared" ca="1" si="87"/>
        <v>2203.0651116167096</v>
      </c>
      <c r="R138" s="44">
        <f t="shared" ca="1" si="87"/>
        <v>1819.8695648345165</v>
      </c>
      <c r="S138" s="44">
        <f t="shared" ca="1" si="87"/>
        <v>1478.0939490098676</v>
      </c>
      <c r="T138" s="44">
        <f t="shared" ca="1" si="87"/>
        <v>1185.1553250060961</v>
      </c>
      <c r="U138" s="44">
        <f t="shared" ca="1" si="87"/>
        <v>973.86561465992008</v>
      </c>
      <c r="V138" s="44">
        <f t="shared" ca="1" si="87"/>
        <v>823.5444594183241</v>
      </c>
      <c r="W138" s="44">
        <f t="shared" ca="1" si="87"/>
        <v>742.34514705567517</v>
      </c>
      <c r="X138" s="44">
        <f t="shared" ca="1" si="87"/>
        <v>701.68978318423888</v>
      </c>
      <c r="Y138" s="44"/>
      <c r="AA138" s="44">
        <f t="shared" ca="1" si="88"/>
        <v>59604.903404836485</v>
      </c>
    </row>
    <row r="139" spans="1:27">
      <c r="C139" s="9" t="str">
        <f>C16</f>
        <v>Manufactured</v>
      </c>
      <c r="E139" s="44">
        <f t="shared" ca="1" si="89"/>
        <v>1865.5002214444073</v>
      </c>
      <c r="F139" s="44">
        <f t="shared" ca="1" si="87"/>
        <v>1869.4952107969261</v>
      </c>
      <c r="G139" s="44">
        <f t="shared" ca="1" si="87"/>
        <v>1921.3136222361338</v>
      </c>
      <c r="H139" s="44">
        <f t="shared" ca="1" si="87"/>
        <v>1966.9122858438716</v>
      </c>
      <c r="I139" s="44">
        <f t="shared" ca="1" si="87"/>
        <v>1869.4503321190177</v>
      </c>
      <c r="J139" s="44">
        <f t="shared" ca="1" si="87"/>
        <v>1787.1824610840154</v>
      </c>
      <c r="K139" s="44">
        <f t="shared" ca="1" si="87"/>
        <v>1721.0965560418254</v>
      </c>
      <c r="L139" s="44">
        <f t="shared" ca="1" si="87"/>
        <v>1636.919551490432</v>
      </c>
      <c r="M139" s="44">
        <f t="shared" ca="1" si="87"/>
        <v>1529.1631078268745</v>
      </c>
      <c r="N139" s="44">
        <f t="shared" ca="1" si="87"/>
        <v>1392.3781583146492</v>
      </c>
      <c r="O139" s="44">
        <f t="shared" ca="1" si="87"/>
        <v>1231.148741813872</v>
      </c>
      <c r="P139" s="44">
        <f t="shared" ca="1" si="87"/>
        <v>1066.5042014964672</v>
      </c>
      <c r="Q139" s="44">
        <f t="shared" ca="1" si="87"/>
        <v>903.75593935477059</v>
      </c>
      <c r="R139" s="44">
        <f t="shared" ca="1" si="87"/>
        <v>749.74022072327261</v>
      </c>
      <c r="S139" s="44">
        <f t="shared" ca="1" si="87"/>
        <v>613.66624289133301</v>
      </c>
      <c r="T139" s="44">
        <f t="shared" ca="1" si="87"/>
        <v>502.43215076748083</v>
      </c>
      <c r="U139" s="44">
        <f t="shared" ca="1" si="87"/>
        <v>419.23059022843972</v>
      </c>
      <c r="V139" s="44">
        <f t="shared" ca="1" si="87"/>
        <v>362.9179692408286</v>
      </c>
      <c r="W139" s="44">
        <f t="shared" ca="1" si="87"/>
        <v>328.48831916095969</v>
      </c>
      <c r="X139" s="44">
        <f t="shared" ca="1" si="87"/>
        <v>311.95611200163353</v>
      </c>
      <c r="Y139" s="44"/>
      <c r="AA139" s="44">
        <f t="shared" ca="1" si="88"/>
        <v>24049.25199487721</v>
      </c>
    </row>
    <row r="140" spans="1:27">
      <c r="E140" s="44"/>
      <c r="F140" s="44"/>
      <c r="G140" s="44"/>
      <c r="H140" s="44"/>
      <c r="I140" s="44"/>
      <c r="J140" s="44"/>
      <c r="K140" s="44"/>
      <c r="L140" s="44"/>
      <c r="M140" s="44"/>
      <c r="N140" s="44"/>
      <c r="O140" s="44"/>
      <c r="P140" s="44"/>
      <c r="Q140" s="44"/>
      <c r="R140" s="44"/>
      <c r="S140" s="44"/>
      <c r="T140" s="44"/>
      <c r="U140" s="44"/>
      <c r="V140" s="44"/>
      <c r="W140" s="44"/>
      <c r="X140" s="44"/>
      <c r="Y140" s="44"/>
    </row>
    <row r="141" spans="1:27">
      <c r="C141" s="9" t="s">
        <v>145</v>
      </c>
      <c r="E141" s="44">
        <f t="shared" ref="E141:X141" ca="1" si="90">SUM(E136:E139)</f>
        <v>92859.069688343588</v>
      </c>
      <c r="F141" s="44">
        <f t="shared" ca="1" si="90"/>
        <v>89511.968564914205</v>
      </c>
      <c r="G141" s="44">
        <f t="shared" ca="1" si="90"/>
        <v>85626.158846892518</v>
      </c>
      <c r="H141" s="44">
        <f t="shared" ca="1" si="90"/>
        <v>81820.067902395967</v>
      </c>
      <c r="I141" s="44">
        <f t="shared" ca="1" si="90"/>
        <v>77175.689976617854</v>
      </c>
      <c r="J141" s="44">
        <f t="shared" ca="1" si="90"/>
        <v>71809.308377836074</v>
      </c>
      <c r="K141" s="44">
        <f t="shared" ca="1" si="90"/>
        <v>67480.88865976024</v>
      </c>
      <c r="L141" s="44">
        <f t="shared" ca="1" si="90"/>
        <v>64059.564722951603</v>
      </c>
      <c r="M141" s="44">
        <f t="shared" ca="1" si="90"/>
        <v>59573.742188848941</v>
      </c>
      <c r="N141" s="44">
        <f t="shared" ca="1" si="90"/>
        <v>55320.059443308513</v>
      </c>
      <c r="O141" s="44">
        <f t="shared" ca="1" si="90"/>
        <v>49424.563457310331</v>
      </c>
      <c r="P141" s="44">
        <f t="shared" ca="1" si="90"/>
        <v>42505.54033884473</v>
      </c>
      <c r="Q141" s="44">
        <f t="shared" ca="1" si="90"/>
        <v>35362.599824417484</v>
      </c>
      <c r="R141" s="44">
        <f t="shared" ca="1" si="90"/>
        <v>29228.161399403209</v>
      </c>
      <c r="S141" s="44">
        <f t="shared" ca="1" si="90"/>
        <v>24000.275513514014</v>
      </c>
      <c r="T141" s="44">
        <f t="shared" ca="1" si="90"/>
        <v>19469.767540471024</v>
      </c>
      <c r="U141" s="44">
        <f t="shared" ca="1" si="90"/>
        <v>15820.316656030904</v>
      </c>
      <c r="V141" s="44">
        <f t="shared" ca="1" si="90"/>
        <v>13611.814423074087</v>
      </c>
      <c r="W141" s="44">
        <f t="shared" ca="1" si="90"/>
        <v>12269.387241597684</v>
      </c>
      <c r="X141" s="44">
        <f t="shared" ca="1" si="90"/>
        <v>11686.483955360665</v>
      </c>
      <c r="Y141" s="44"/>
      <c r="AA141" s="44">
        <f ca="1">SUM(E141:Y141)</f>
        <v>998615.42872189393</v>
      </c>
    </row>
  </sheetData>
  <mergeCells count="1">
    <mergeCell ref="B1:T6"/>
  </mergeCells>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sheetPr codeName="Sheet2"/>
  <dimension ref="A1:CA231"/>
  <sheetViews>
    <sheetView topLeftCell="B1" zoomScaleNormal="100" workbookViewId="0">
      <selection activeCell="E13" sqref="E13:X16"/>
    </sheetView>
  </sheetViews>
  <sheetFormatPr defaultRowHeight="12.75"/>
  <cols>
    <col min="1" max="1" width="35" style="9" customWidth="1"/>
    <col min="2" max="4" width="20.7109375" style="9" customWidth="1"/>
    <col min="5" max="5" width="19.85546875" style="9" customWidth="1"/>
    <col min="6" max="6" width="9.28515625" style="9" bestFit="1" customWidth="1"/>
    <col min="7" max="29" width="9.140625" style="9"/>
    <col min="30" max="30" width="21.7109375" style="9" customWidth="1"/>
    <col min="31" max="31" width="35.85546875" style="9" customWidth="1"/>
    <col min="32" max="32" width="35.28515625" style="9" customWidth="1"/>
    <col min="33" max="33" width="15" style="9" customWidth="1"/>
    <col min="34" max="34" width="17.7109375" style="9" customWidth="1"/>
    <col min="35" max="35" width="15.140625" style="9" customWidth="1"/>
    <col min="36" max="36" width="15.7109375" style="9" customWidth="1"/>
    <col min="37" max="37" width="21.28515625" style="9" customWidth="1"/>
    <col min="38" max="38" width="17.7109375" style="9" bestFit="1" customWidth="1"/>
    <col min="39" max="39" width="15.42578125" style="9" bestFit="1" customWidth="1"/>
    <col min="40" max="40" width="14.28515625" style="9" bestFit="1" customWidth="1"/>
    <col min="41" max="41" width="14.28515625" style="9" customWidth="1"/>
    <col min="42" max="42" width="12.5703125" style="9" customWidth="1"/>
    <col min="43" max="43" width="14" style="9" bestFit="1" customWidth="1"/>
    <col min="44" max="45" width="10.85546875" style="9" bestFit="1" customWidth="1"/>
    <col min="46" max="46" width="13.42578125" style="9" customWidth="1"/>
    <col min="47" max="47" width="11.85546875" style="9" bestFit="1" customWidth="1"/>
    <col min="48" max="48" width="11" style="9" bestFit="1" customWidth="1"/>
    <col min="49" max="49" width="14.28515625" style="9" bestFit="1" customWidth="1"/>
    <col min="50" max="50" width="10.7109375" style="9" customWidth="1"/>
    <col min="51" max="51" width="13.85546875" style="9" bestFit="1" customWidth="1"/>
    <col min="52" max="52" width="11.7109375" style="9" bestFit="1" customWidth="1"/>
    <col min="53" max="53" width="15.28515625" style="9" bestFit="1" customWidth="1"/>
    <col min="54" max="56" width="12.28515625" style="9" bestFit="1" customWidth="1"/>
    <col min="57" max="57" width="12.5703125" style="9" bestFit="1" customWidth="1"/>
    <col min="58" max="60" width="14.28515625" style="9" bestFit="1" customWidth="1"/>
    <col min="61" max="61" width="13.7109375" style="9" bestFit="1" customWidth="1"/>
    <col min="62" max="62" width="14" style="9" bestFit="1" customWidth="1"/>
    <col min="63" max="63" width="12.85546875" style="9" bestFit="1" customWidth="1"/>
    <col min="64" max="64" width="15.28515625" style="9" bestFit="1" customWidth="1"/>
    <col min="65" max="65" width="12.28515625" style="9" bestFit="1" customWidth="1"/>
    <col min="66" max="66" width="10.85546875" style="9" bestFit="1" customWidth="1"/>
    <col min="67" max="67" width="12.28515625" style="9" bestFit="1" customWidth="1"/>
    <col min="68" max="68" width="12.5703125" style="9" bestFit="1" customWidth="1"/>
    <col min="69" max="16384" width="9.140625" style="9"/>
  </cols>
  <sheetData>
    <row r="1" spans="1:68" ht="12.75" customHeight="1">
      <c r="A1" s="52" t="s">
        <v>55</v>
      </c>
      <c r="B1" s="493" t="s">
        <v>4721</v>
      </c>
      <c r="C1" s="493"/>
      <c r="D1" s="493"/>
      <c r="E1" s="493"/>
      <c r="F1" s="493"/>
      <c r="G1" s="493"/>
      <c r="H1" s="493"/>
      <c r="I1" s="493"/>
      <c r="J1" s="493"/>
      <c r="K1" s="493"/>
      <c r="L1" s="493"/>
      <c r="M1" s="493"/>
      <c r="N1" s="493"/>
      <c r="O1" s="493"/>
      <c r="P1" s="493"/>
      <c r="Q1" s="493"/>
      <c r="R1" s="493"/>
      <c r="S1" s="493"/>
      <c r="T1" s="493"/>
      <c r="U1" s="493"/>
      <c r="V1" s="56"/>
      <c r="W1" s="56"/>
      <c r="X1" s="56"/>
      <c r="Y1" s="56"/>
      <c r="Z1" s="56"/>
    </row>
    <row r="2" spans="1:68" ht="12.75" customHeight="1">
      <c r="A2" s="53" t="s">
        <v>158</v>
      </c>
      <c r="B2" s="493"/>
      <c r="C2" s="493"/>
      <c r="D2" s="493"/>
      <c r="E2" s="493"/>
      <c r="F2" s="493"/>
      <c r="G2" s="493"/>
      <c r="H2" s="493"/>
      <c r="I2" s="493"/>
      <c r="J2" s="493"/>
      <c r="K2" s="493"/>
      <c r="L2" s="493"/>
      <c r="M2" s="493"/>
      <c r="N2" s="493"/>
      <c r="O2" s="493"/>
      <c r="P2" s="493"/>
      <c r="Q2" s="493"/>
      <c r="R2" s="493"/>
      <c r="S2" s="493"/>
      <c r="T2" s="493"/>
      <c r="U2" s="493"/>
      <c r="V2" s="57"/>
      <c r="W2" s="57"/>
      <c r="X2" s="57"/>
      <c r="Y2" s="57"/>
    </row>
    <row r="3" spans="1:68">
      <c r="B3" s="493"/>
      <c r="C3" s="493"/>
      <c r="D3" s="493"/>
      <c r="E3" s="493"/>
      <c r="F3" s="493"/>
      <c r="G3" s="493"/>
      <c r="H3" s="493"/>
      <c r="I3" s="493"/>
      <c r="J3" s="493"/>
      <c r="K3" s="493"/>
      <c r="L3" s="493"/>
      <c r="M3" s="493"/>
      <c r="N3" s="493"/>
      <c r="O3" s="493"/>
      <c r="P3" s="493"/>
      <c r="Q3" s="493"/>
      <c r="R3" s="493"/>
      <c r="S3" s="493"/>
      <c r="T3" s="493"/>
      <c r="U3" s="493"/>
      <c r="V3" s="57"/>
      <c r="W3" s="57"/>
      <c r="X3" s="57"/>
      <c r="Y3" s="57"/>
      <c r="Z3" s="57"/>
    </row>
    <row r="4" spans="1:68">
      <c r="B4" s="493"/>
      <c r="C4" s="493"/>
      <c r="D4" s="493"/>
      <c r="E4" s="493"/>
      <c r="F4" s="493"/>
      <c r="G4" s="493"/>
      <c r="H4" s="493"/>
      <c r="I4" s="493"/>
      <c r="J4" s="493"/>
      <c r="K4" s="493"/>
      <c r="L4" s="493"/>
      <c r="M4" s="493"/>
      <c r="N4" s="493"/>
      <c r="O4" s="493"/>
      <c r="P4" s="493"/>
      <c r="Q4" s="493"/>
      <c r="R4" s="493"/>
      <c r="S4" s="493"/>
      <c r="T4" s="493"/>
      <c r="U4" s="493"/>
      <c r="V4" s="57"/>
      <c r="W4" s="57"/>
      <c r="X4" s="57"/>
      <c r="Y4" s="57"/>
      <c r="Z4" s="57"/>
    </row>
    <row r="5" spans="1:68">
      <c r="B5" s="493"/>
      <c r="C5" s="493"/>
      <c r="D5" s="493"/>
      <c r="E5" s="493"/>
      <c r="F5" s="493"/>
      <c r="G5" s="493"/>
      <c r="H5" s="493"/>
      <c r="I5" s="493"/>
      <c r="J5" s="493"/>
      <c r="K5" s="493"/>
      <c r="L5" s="493"/>
      <c r="M5" s="493"/>
      <c r="N5" s="493"/>
      <c r="O5" s="493"/>
      <c r="P5" s="493"/>
      <c r="Q5" s="493"/>
      <c r="R5" s="493"/>
      <c r="S5" s="493"/>
      <c r="T5" s="493"/>
      <c r="U5" s="493"/>
      <c r="V5" s="57"/>
      <c r="W5" s="57"/>
      <c r="X5" s="57"/>
      <c r="Y5" s="57"/>
      <c r="Z5" s="57"/>
    </row>
    <row r="6" spans="1:68">
      <c r="B6" s="493"/>
      <c r="C6" s="493"/>
      <c r="D6" s="493"/>
      <c r="E6" s="493"/>
      <c r="F6" s="493"/>
      <c r="G6" s="493"/>
      <c r="H6" s="493"/>
      <c r="I6" s="493"/>
      <c r="J6" s="493"/>
      <c r="K6" s="493"/>
      <c r="L6" s="493"/>
      <c r="M6" s="493"/>
      <c r="N6" s="493"/>
      <c r="O6" s="493"/>
      <c r="P6" s="493"/>
      <c r="Q6" s="493"/>
      <c r="R6" s="493"/>
      <c r="S6" s="493"/>
      <c r="T6" s="493"/>
      <c r="U6" s="493"/>
      <c r="V6" s="57"/>
      <c r="W6" s="57"/>
      <c r="X6" s="57"/>
      <c r="Y6" s="57"/>
      <c r="Z6" s="57"/>
    </row>
    <row r="7" spans="1:68">
      <c r="A7" s="286"/>
      <c r="B7" s="286" t="s">
        <v>50</v>
      </c>
      <c r="C7" s="433" t="s">
        <v>146</v>
      </c>
      <c r="D7" s="433" t="s">
        <v>4723</v>
      </c>
    </row>
    <row r="8" spans="1:68">
      <c r="A8" s="286" t="s">
        <v>4982</v>
      </c>
      <c r="B8" s="286" t="s">
        <v>58</v>
      </c>
      <c r="C8" s="433" t="str">
        <f>[2]MLIST!$B$25</f>
        <v>Refrigerator</v>
      </c>
      <c r="D8" s="433" t="str">
        <f>[1]!switch_ForecastState</f>
        <v>Region</v>
      </c>
      <c r="F8" s="56"/>
    </row>
    <row r="9" spans="1:68">
      <c r="A9" s="286" t="str">
        <f>INDEX([2]ACHIEV!$A$19:$B$100,MATCH(CONCATENATE($C$8," - ",$C$7),[2]ACHIEV!$B$19:$B$100,0),1)</f>
        <v>Refrigeration</v>
      </c>
      <c r="B9" s="490" t="s">
        <v>59</v>
      </c>
      <c r="C9" s="433">
        <f>[2]FILES!$H$4</f>
        <v>2035</v>
      </c>
      <c r="D9" s="433" t="str">
        <f>[1]!switch_ForecastScenario</f>
        <v>Base</v>
      </c>
    </row>
    <row r="10" spans="1:68">
      <c r="A10" s="286"/>
      <c r="B10" s="286" t="s">
        <v>4988</v>
      </c>
      <c r="C10" s="492">
        <f ca="1">MIN(SUM(E94:X94),Y94)</f>
        <v>46.92250786263611</v>
      </c>
      <c r="D10" s="434"/>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row>
    <row r="11" spans="1:68" ht="15">
      <c r="A11" s="86" t="s">
        <v>147</v>
      </c>
      <c r="E11" s="79">
        <v>2016</v>
      </c>
      <c r="F11" s="73">
        <v>2017</v>
      </c>
      <c r="G11" s="73">
        <v>2018</v>
      </c>
      <c r="H11" s="73">
        <v>2019</v>
      </c>
      <c r="I11" s="73">
        <v>2020</v>
      </c>
      <c r="J11" s="73">
        <v>2021</v>
      </c>
      <c r="K11" s="73">
        <v>2022</v>
      </c>
      <c r="L11" s="73">
        <v>2023</v>
      </c>
      <c r="M11" s="73">
        <v>2024</v>
      </c>
      <c r="N11" s="73">
        <v>2025</v>
      </c>
      <c r="O11" s="73">
        <v>2026</v>
      </c>
      <c r="P11" s="73">
        <v>2027</v>
      </c>
      <c r="Q11" s="73">
        <v>2028</v>
      </c>
      <c r="R11" s="73">
        <v>2029</v>
      </c>
      <c r="S11" s="73">
        <v>2030</v>
      </c>
      <c r="T11" s="73">
        <v>2031</v>
      </c>
      <c r="U11" s="73">
        <v>2032</v>
      </c>
      <c r="V11" s="73">
        <v>2033</v>
      </c>
      <c r="W11" s="73">
        <v>2034</v>
      </c>
      <c r="X11" s="73">
        <v>2035</v>
      </c>
      <c r="Y11" s="73"/>
    </row>
    <row r="12" spans="1:68" ht="15">
      <c r="E12" s="80" t="str">
        <f>CONCATENATE("HOMES_",E11)</f>
        <v>HOMES_2016</v>
      </c>
      <c r="F12" s="75" t="str">
        <f t="shared" ref="F12:X12" si="0">CONCATENATE("HOMES_",F11)</f>
        <v>HOMES_2017</v>
      </c>
      <c r="G12" s="75" t="str">
        <f t="shared" si="0"/>
        <v>HOMES_2018</v>
      </c>
      <c r="H12" s="75" t="str">
        <f t="shared" si="0"/>
        <v>HOMES_2019</v>
      </c>
      <c r="I12" s="75" t="str">
        <f t="shared" si="0"/>
        <v>HOMES_2020</v>
      </c>
      <c r="J12" s="75" t="str">
        <f t="shared" si="0"/>
        <v>HOMES_2021</v>
      </c>
      <c r="K12" s="75" t="str">
        <f t="shared" si="0"/>
        <v>HOMES_2022</v>
      </c>
      <c r="L12" s="75" t="str">
        <f t="shared" si="0"/>
        <v>HOMES_2023</v>
      </c>
      <c r="M12" s="75" t="str">
        <f t="shared" si="0"/>
        <v>HOMES_2024</v>
      </c>
      <c r="N12" s="75" t="str">
        <f t="shared" si="0"/>
        <v>HOMES_2025</v>
      </c>
      <c r="O12" s="75" t="str">
        <f t="shared" si="0"/>
        <v>HOMES_2026</v>
      </c>
      <c r="P12" s="75" t="str">
        <f t="shared" si="0"/>
        <v>HOMES_2027</v>
      </c>
      <c r="Q12" s="75" t="str">
        <f t="shared" si="0"/>
        <v>HOMES_2028</v>
      </c>
      <c r="R12" s="75" t="str">
        <f t="shared" si="0"/>
        <v>HOMES_2029</v>
      </c>
      <c r="S12" s="75" t="str">
        <f t="shared" si="0"/>
        <v>HOMES_2030</v>
      </c>
      <c r="T12" s="75" t="str">
        <f t="shared" si="0"/>
        <v>HOMES_2031</v>
      </c>
      <c r="U12" s="75" t="str">
        <f t="shared" si="0"/>
        <v>HOMES_2032</v>
      </c>
      <c r="V12" s="75" t="str">
        <f t="shared" si="0"/>
        <v>HOMES_2033</v>
      </c>
      <c r="W12" s="75" t="str">
        <f t="shared" si="0"/>
        <v>HOMES_2034</v>
      </c>
      <c r="X12" s="75" t="str">
        <f t="shared" si="0"/>
        <v>HOMES_2035</v>
      </c>
      <c r="Y12" s="76"/>
    </row>
    <row r="13" spans="1:68">
      <c r="C13" s="9" t="s">
        <v>51</v>
      </c>
      <c r="E13" s="44">
        <f ca="1">INDEX([1]!tbl_Forecast,MATCH($D$8&amp;$C13&amp;$D$7,[1]!rng_ForecastRowLookup,0),MATCH(E$11,[1]!rng_ForecastColumnLookup,0))</f>
        <v>4203528.2719999999</v>
      </c>
      <c r="F13" s="44">
        <f ca="1">INDEX([1]!tbl_Forecast,MATCH($D$8&amp;$C13&amp;$D$7,[1]!rng_ForecastRowLookup,0),MATCH(F$11,[1]!rng_ForecastColumnLookup,0))</f>
        <v>4193982.9785983553</v>
      </c>
      <c r="G13" s="44">
        <f ca="1">INDEX([1]!tbl_Forecast,MATCH($D$8&amp;$C13&amp;$D$7,[1]!rng_ForecastRowLookup,0),MATCH(G$11,[1]!rng_ForecastColumnLookup,0))</f>
        <v>4184459.3604704877</v>
      </c>
      <c r="H13" s="44">
        <f ca="1">INDEX([1]!tbl_Forecast,MATCH($D$8&amp;$C13&amp;$D$7,[1]!rng_ForecastRowLookup,0),MATCH(H$11,[1]!rng_ForecastColumnLookup,0))</f>
        <v>4174957.36839659</v>
      </c>
      <c r="I13" s="44">
        <f ca="1">INDEX([1]!tbl_Forecast,MATCH($D$8&amp;$C13&amp;$D$7,[1]!rng_ForecastRowLookup,0),MATCH(I$11,[1]!rng_ForecastColumnLookup,0))</f>
        <v>4165476.9532686244</v>
      </c>
      <c r="J13" s="44">
        <f ca="1">INDEX([1]!tbl_Forecast,MATCH($D$8&amp;$C13&amp;$D$7,[1]!rng_ForecastRowLookup,0),MATCH(J$11,[1]!rng_ForecastColumnLookup,0))</f>
        <v>4156018.0660900641</v>
      </c>
      <c r="K13" s="44">
        <f ca="1">INDEX([1]!tbl_Forecast,MATCH($D$8&amp;$C13&amp;$D$7,[1]!rng_ForecastRowLookup,0),MATCH(K$11,[1]!rng_ForecastColumnLookup,0))</f>
        <v>4146580.6579756448</v>
      </c>
      <c r="L13" s="44">
        <f ca="1">INDEX([1]!tbl_Forecast,MATCH($D$8&amp;$C13&amp;$D$7,[1]!rng_ForecastRowLookup,0),MATCH(L$11,[1]!rng_ForecastColumnLookup,0))</f>
        <v>4137164.6801511091</v>
      </c>
      <c r="M13" s="44">
        <f ca="1">INDEX([1]!tbl_Forecast,MATCH($D$8&amp;$C13&amp;$D$7,[1]!rng_ForecastRowLookup,0),MATCH(M$11,[1]!rng_ForecastColumnLookup,0))</f>
        <v>4127770.0839529554</v>
      </c>
      <c r="N13" s="44">
        <f ca="1">INDEX([1]!tbl_Forecast,MATCH($D$8&amp;$C13&amp;$D$7,[1]!rng_ForecastRowLookup,0),MATCH(N$11,[1]!rng_ForecastColumnLookup,0))</f>
        <v>4118396.8208281873</v>
      </c>
      <c r="O13" s="44">
        <f ca="1">INDEX([1]!tbl_Forecast,MATCH($D$8&amp;$C13&amp;$D$7,[1]!rng_ForecastRowLookup,0),MATCH(O$11,[1]!rng_ForecastColumnLookup,0))</f>
        <v>4109044.8423340586</v>
      </c>
      <c r="P13" s="44">
        <f ca="1">INDEX([1]!tbl_Forecast,MATCH($D$8&amp;$C13&amp;$D$7,[1]!rng_ForecastRowLookup,0),MATCH(P$11,[1]!rng_ForecastColumnLookup,0))</f>
        <v>4099714.1001378288</v>
      </c>
      <c r="Q13" s="44">
        <f ca="1">INDEX([1]!tbl_Forecast,MATCH($D$8&amp;$C13&amp;$D$7,[1]!rng_ForecastRowLookup,0),MATCH(Q$11,[1]!rng_ForecastColumnLookup,0))</f>
        <v>4090404.5460165106</v>
      </c>
      <c r="R13" s="44">
        <f ca="1">INDEX([1]!tbl_Forecast,MATCH($D$8&amp;$C13&amp;$D$7,[1]!rng_ForecastRowLookup,0),MATCH(R$11,[1]!rng_ForecastColumnLookup,0))</f>
        <v>4081116.1318566194</v>
      </c>
      <c r="S13" s="44">
        <f ca="1">INDEX([1]!tbl_Forecast,MATCH($D$8&amp;$C13&amp;$D$7,[1]!rng_ForecastRowLookup,0),MATCH(S$11,[1]!rng_ForecastColumnLookup,0))</f>
        <v>4071848.8096539262</v>
      </c>
      <c r="T13" s="44">
        <f ca="1">INDEX([1]!tbl_Forecast,MATCH($D$8&amp;$C13&amp;$D$7,[1]!rng_ForecastRowLookup,0),MATCH(T$11,[1]!rng_ForecastColumnLookup,0))</f>
        <v>4062602.5315132081</v>
      </c>
      <c r="U13" s="44">
        <f ca="1">INDEX([1]!tbl_Forecast,MATCH($D$8&amp;$C13&amp;$D$7,[1]!rng_ForecastRowLookup,0),MATCH(U$11,[1]!rng_ForecastColumnLookup,0))</f>
        <v>4053377.2496480034</v>
      </c>
      <c r="V13" s="44">
        <f ca="1">INDEX([1]!tbl_Forecast,MATCH($D$8&amp;$C13&amp;$D$7,[1]!rng_ForecastRowLookup,0),MATCH(V$11,[1]!rng_ForecastColumnLookup,0))</f>
        <v>4044172.9163803621</v>
      </c>
      <c r="W13" s="44">
        <f ca="1">INDEX([1]!tbl_Forecast,MATCH($D$8&amp;$C13&amp;$D$7,[1]!rng_ForecastRowLookup,0),MATCH(W$11,[1]!rng_ForecastColumnLookup,0))</f>
        <v>4034989.4841406001</v>
      </c>
      <c r="X13" s="44">
        <f ca="1">INDEX([1]!tbl_Forecast,MATCH($D$8&amp;$C13&amp;$D$7,[1]!rng_ForecastRowLookup,0),MATCH(X$11,[1]!rng_ForecastColumnLookup,0))</f>
        <v>4025826.9054670548</v>
      </c>
      <c r="Y13" s="44"/>
    </row>
    <row r="14" spans="1:68">
      <c r="C14" s="9" t="s">
        <v>52</v>
      </c>
      <c r="E14" s="44">
        <f ca="1">INDEX([1]!tbl_Forecast,MATCH($D$8&amp;$C14&amp;$D$7,[1]!rng_ForecastRowLookup,0),MATCH(E$11,[1]!rng_ForecastColumnLookup,0))</f>
        <v>926243.25609262148</v>
      </c>
      <c r="F14" s="44">
        <f ca="1">INDEX([1]!tbl_Forecast,MATCH($D$8&amp;$C14&amp;$D$7,[1]!rng_ForecastRowLookup,0),MATCH(F$11,[1]!rng_ForecastColumnLookup,0))</f>
        <v>924139.92640956037</v>
      </c>
      <c r="G14" s="44">
        <f ca="1">INDEX([1]!tbl_Forecast,MATCH($D$8&amp;$C14&amp;$D$7,[1]!rng_ForecastRowLookup,0),MATCH(G$11,[1]!rng_ForecastColumnLookup,0))</f>
        <v>922041.3730050053</v>
      </c>
      <c r="H14" s="44">
        <f ca="1">INDEX([1]!tbl_Forecast,MATCH($D$8&amp;$C14&amp;$D$7,[1]!rng_ForecastRowLookup,0),MATCH(H$11,[1]!rng_ForecastColumnLookup,0))</f>
        <v>919947.58503289847</v>
      </c>
      <c r="I14" s="44">
        <f ca="1">INDEX([1]!tbl_Forecast,MATCH($D$8&amp;$C14&amp;$D$7,[1]!rng_ForecastRowLookup,0),MATCH(I$11,[1]!rng_ForecastColumnLookup,0))</f>
        <v>917858.55167181045</v>
      </c>
      <c r="J14" s="44">
        <f ca="1">INDEX([1]!tbl_Forecast,MATCH($D$8&amp;$C14&amp;$D$7,[1]!rng_ForecastRowLookup,0),MATCH(J$11,[1]!rng_ForecastColumnLookup,0))</f>
        <v>915774.26212488639</v>
      </c>
      <c r="K14" s="44">
        <f ca="1">INDEX([1]!tbl_Forecast,MATCH($D$8&amp;$C14&amp;$D$7,[1]!rng_ForecastRowLookup,0),MATCH(K$11,[1]!rng_ForecastColumnLookup,0))</f>
        <v>913694.70561978838</v>
      </c>
      <c r="L14" s="44">
        <f ca="1">INDEX([1]!tbl_Forecast,MATCH($D$8&amp;$C14&amp;$D$7,[1]!rng_ForecastRowLookup,0),MATCH(L$11,[1]!rng_ForecastColumnLookup,0))</f>
        <v>911619.87140864041</v>
      </c>
      <c r="M14" s="44">
        <f ca="1">INDEX([1]!tbl_Forecast,MATCH($D$8&amp;$C14&amp;$D$7,[1]!rng_ForecastRowLookup,0),MATCH(M$11,[1]!rng_ForecastColumnLookup,0))</f>
        <v>909549.74876797362</v>
      </c>
      <c r="N14" s="44">
        <f ca="1">INDEX([1]!tbl_Forecast,MATCH($D$8&amp;$C14&amp;$D$7,[1]!rng_ForecastRowLookup,0),MATCH(N$11,[1]!rng_ForecastColumnLookup,0))</f>
        <v>907484.32699866977</v>
      </c>
      <c r="O14" s="44">
        <f ca="1">INDEX([1]!tbl_Forecast,MATCH($D$8&amp;$C14&amp;$D$7,[1]!rng_ForecastRowLookup,0),MATCH(O$11,[1]!rng_ForecastColumnLookup,0))</f>
        <v>905423.59542590659</v>
      </c>
      <c r="P14" s="44">
        <f ca="1">INDEX([1]!tbl_Forecast,MATCH($D$8&amp;$C14&amp;$D$7,[1]!rng_ForecastRowLookup,0),MATCH(P$11,[1]!rng_ForecastColumnLookup,0))</f>
        <v>903367.54339910217</v>
      </c>
      <c r="Q14" s="44">
        <f ca="1">INDEX([1]!tbl_Forecast,MATCH($D$8&amp;$C14&amp;$D$7,[1]!rng_ForecastRowLookup,0),MATCH(Q$11,[1]!rng_ForecastColumnLookup,0))</f>
        <v>901316.16029185988</v>
      </c>
      <c r="R14" s="44">
        <f ca="1">INDEX([1]!tbl_Forecast,MATCH($D$8&amp;$C14&amp;$D$7,[1]!rng_ForecastRowLookup,0),MATCH(R$11,[1]!rng_ForecastColumnLookup,0))</f>
        <v>899269.43550191447</v>
      </c>
      <c r="S14" s="44">
        <f ca="1">INDEX([1]!tbl_Forecast,MATCH($D$8&amp;$C14&amp;$D$7,[1]!rng_ForecastRowLookup,0),MATCH(S$11,[1]!rng_ForecastColumnLookup,0))</f>
        <v>897227.35845107585</v>
      </c>
      <c r="T14" s="44">
        <f ca="1">INDEX([1]!tbl_Forecast,MATCH($D$8&amp;$C14&amp;$D$7,[1]!rng_ForecastRowLookup,0),MATCH(T$11,[1]!rng_ForecastColumnLookup,0))</f>
        <v>895189.9185851753</v>
      </c>
      <c r="U14" s="44">
        <f ca="1">INDEX([1]!tbl_Forecast,MATCH($D$8&amp;$C14&amp;$D$7,[1]!rng_ForecastRowLookup,0),MATCH(U$11,[1]!rng_ForecastColumnLookup,0))</f>
        <v>893157.10537401051</v>
      </c>
      <c r="V14" s="44">
        <f ca="1">INDEX([1]!tbl_Forecast,MATCH($D$8&amp;$C14&amp;$D$7,[1]!rng_ForecastRowLookup,0),MATCH(V$11,[1]!rng_ForecastColumnLookup,0))</f>
        <v>891128.90831129183</v>
      </c>
      <c r="W14" s="44">
        <f ca="1">INDEX([1]!tbl_Forecast,MATCH($D$8&amp;$C14&amp;$D$7,[1]!rng_ForecastRowLookup,0),MATCH(W$11,[1]!rng_ForecastColumnLookup,0))</f>
        <v>889105.31691458682</v>
      </c>
      <c r="X14" s="44">
        <f ca="1">INDEX([1]!tbl_Forecast,MATCH($D$8&amp;$C14&amp;$D$7,[1]!rng_ForecastRowLookup,0),MATCH(X$11,[1]!rng_ForecastColumnLookup,0))</f>
        <v>887086.32072526717</v>
      </c>
      <c r="Y14" s="44"/>
    </row>
    <row r="15" spans="1:68">
      <c r="C15" s="9" t="s">
        <v>53</v>
      </c>
      <c r="E15" s="44">
        <f ca="1">INDEX([1]!tbl_Forecast,MATCH($D$8&amp;$C15&amp;$D$7,[1]!rng_ForecastRowLookup,0),MATCH(E$11,[1]!rng_ForecastColumnLookup,0))</f>
        <v>211180.07985625503</v>
      </c>
      <c r="F15" s="44">
        <f ca="1">INDEX([1]!tbl_Forecast,MATCH($D$8&amp;$C15&amp;$D$7,[1]!rng_ForecastRowLookup,0),MATCH(F$11,[1]!rng_ForecastColumnLookup,0))</f>
        <v>210700.52836963299</v>
      </c>
      <c r="G15" s="44">
        <f ca="1">INDEX([1]!tbl_Forecast,MATCH($D$8&amp;$C15&amp;$D$7,[1]!rng_ForecastRowLookup,0),MATCH(G$11,[1]!rng_ForecastColumnLookup,0))</f>
        <v>210222.06585706791</v>
      </c>
      <c r="H15" s="44">
        <f ca="1">INDEX([1]!tbl_Forecast,MATCH($D$8&amp;$C15&amp;$D$7,[1]!rng_ForecastRowLookup,0),MATCH(H$11,[1]!rng_ForecastColumnLookup,0))</f>
        <v>209744.68984569819</v>
      </c>
      <c r="I15" s="44">
        <f ca="1">INDEX([1]!tbl_Forecast,MATCH($D$8&amp;$C15&amp;$D$7,[1]!rng_ForecastRowLookup,0),MATCH(I$11,[1]!rng_ForecastColumnLookup,0))</f>
        <v>209268.39786827751</v>
      </c>
      <c r="J15" s="44">
        <f ca="1">INDEX([1]!tbl_Forecast,MATCH($D$8&amp;$C15&amp;$D$7,[1]!rng_ForecastRowLookup,0),MATCH(J$11,[1]!rng_ForecastColumnLookup,0))</f>
        <v>208793.18746316229</v>
      </c>
      <c r="K15" s="44">
        <f ca="1">INDEX([1]!tbl_Forecast,MATCH($D$8&amp;$C15&amp;$D$7,[1]!rng_ForecastRowLookup,0),MATCH(K$11,[1]!rng_ForecastColumnLookup,0))</f>
        <v>208319.05617429892</v>
      </c>
      <c r="L15" s="44">
        <f ca="1">INDEX([1]!tbl_Forecast,MATCH($D$8&amp;$C15&amp;$D$7,[1]!rng_ForecastRowLookup,0),MATCH(L$11,[1]!rng_ForecastColumnLookup,0))</f>
        <v>207846.00155121088</v>
      </c>
      <c r="M15" s="44">
        <f ca="1">INDEX([1]!tbl_Forecast,MATCH($D$8&amp;$C15&amp;$D$7,[1]!rng_ForecastRowLookup,0),MATCH(M$11,[1]!rng_ForecastColumnLookup,0))</f>
        <v>207374.0211489865</v>
      </c>
      <c r="N15" s="44">
        <f ca="1">INDEX([1]!tbl_Forecast,MATCH($D$8&amp;$C15&amp;$D$7,[1]!rng_ForecastRowLookup,0),MATCH(N$11,[1]!rng_ForecastColumnLookup,0))</f>
        <v>206903.11252826577</v>
      </c>
      <c r="O15" s="44">
        <f ca="1">INDEX([1]!tbl_Forecast,MATCH($D$8&amp;$C15&amp;$D$7,[1]!rng_ForecastRowLookup,0),MATCH(O$11,[1]!rng_ForecastColumnLookup,0))</f>
        <v>206433.27325522827</v>
      </c>
      <c r="P15" s="44">
        <f ca="1">INDEX([1]!tbl_Forecast,MATCH($D$8&amp;$C15&amp;$D$7,[1]!rng_ForecastRowLookup,0),MATCH(P$11,[1]!rng_ForecastColumnLookup,0))</f>
        <v>205964.50090158021</v>
      </c>
      <c r="Q15" s="44">
        <f ca="1">INDEX([1]!tbl_Forecast,MATCH($D$8&amp;$C15&amp;$D$7,[1]!rng_ForecastRowLookup,0),MATCH(Q$11,[1]!rng_ForecastColumnLookup,0))</f>
        <v>205496.79304454199</v>
      </c>
      <c r="R15" s="44">
        <f ca="1">INDEX([1]!tbl_Forecast,MATCH($D$8&amp;$C15&amp;$D$7,[1]!rng_ForecastRowLookup,0),MATCH(R$11,[1]!rng_ForecastColumnLookup,0))</f>
        <v>205030.14726683579</v>
      </c>
      <c r="S15" s="44">
        <f ca="1">INDEX([1]!tbl_Forecast,MATCH($D$8&amp;$C15&amp;$D$7,[1]!rng_ForecastRowLookup,0),MATCH(S$11,[1]!rng_ForecastColumnLookup,0))</f>
        <v>204564.56115667295</v>
      </c>
      <c r="T15" s="44">
        <f ca="1">INDEX([1]!tbl_Forecast,MATCH($D$8&amp;$C15&amp;$D$7,[1]!rng_ForecastRowLookup,0),MATCH(T$11,[1]!rng_ForecastColumnLookup,0))</f>
        <v>204100.03230774152</v>
      </c>
      <c r="U15" s="44">
        <f ca="1">INDEX([1]!tbl_Forecast,MATCH($D$8&amp;$C15&amp;$D$7,[1]!rng_ForecastRowLookup,0),MATCH(U$11,[1]!rng_ForecastColumnLookup,0))</f>
        <v>203636.55831919383</v>
      </c>
      <c r="V15" s="44">
        <f ca="1">INDEX([1]!tbl_Forecast,MATCH($D$8&amp;$C15&amp;$D$7,[1]!rng_ForecastRowLookup,0),MATCH(V$11,[1]!rng_ForecastColumnLookup,0))</f>
        <v>203174.13679563423</v>
      </c>
      <c r="W15" s="44">
        <f ca="1">INDEX([1]!tbl_Forecast,MATCH($D$8&amp;$C15&amp;$D$7,[1]!rng_ForecastRowLookup,0),MATCH(W$11,[1]!rng_ForecastColumnLookup,0))</f>
        <v>202712.76534710638</v>
      </c>
      <c r="X15" s="44">
        <f ca="1">INDEX([1]!tbl_Forecast,MATCH($D$8&amp;$C15&amp;$D$7,[1]!rng_ForecastRowLookup,0),MATCH(X$11,[1]!rng_ForecastColumnLookup,0))</f>
        <v>202252.44158908122</v>
      </c>
      <c r="Y15" s="44"/>
    </row>
    <row r="16" spans="1:68">
      <c r="C16" s="9" t="s">
        <v>54</v>
      </c>
      <c r="E16" s="44">
        <f ca="1">INDEX([1]!tbl_Forecast,MATCH($D$8&amp;$C16&amp;$D$7,[1]!rng_ForecastRowLookup,0),MATCH(E$11,[1]!rng_ForecastColumnLookup,0))</f>
        <v>572006.3278356482</v>
      </c>
      <c r="F16" s="44">
        <f ca="1">INDEX([1]!tbl_Forecast,MATCH($D$8&amp;$C16&amp;$D$7,[1]!rng_ForecastRowLookup,0),MATCH(F$11,[1]!rng_ForecastColumnLookup,0))</f>
        <v>565893.30394507048</v>
      </c>
      <c r="G16" s="44">
        <f ca="1">INDEX([1]!tbl_Forecast,MATCH($D$8&amp;$C16&amp;$D$7,[1]!rng_ForecastRowLookup,0),MATCH(G$11,[1]!rng_ForecastColumnLookup,0))</f>
        <v>559845.60985814757</v>
      </c>
      <c r="H16" s="44">
        <f ca="1">INDEX([1]!tbl_Forecast,MATCH($D$8&amp;$C16&amp;$D$7,[1]!rng_ForecastRowLookup,0),MATCH(H$11,[1]!rng_ForecastColumnLookup,0))</f>
        <v>553862.54739615123</v>
      </c>
      <c r="I16" s="44">
        <f ca="1">INDEX([1]!tbl_Forecast,MATCH($D$8&amp;$C16&amp;$D$7,[1]!rng_ForecastRowLookup,0),MATCH(I$11,[1]!rng_ForecastColumnLookup,0))</f>
        <v>547943.42584177968</v>
      </c>
      <c r="J16" s="44">
        <f ca="1">INDEX([1]!tbl_Forecast,MATCH($D$8&amp;$C16&amp;$D$7,[1]!rng_ForecastRowLookup,0),MATCH(J$11,[1]!rng_ForecastColumnLookup,0))</f>
        <v>542087.56185941794</v>
      </c>
      <c r="K16" s="44">
        <f ca="1">INDEX([1]!tbl_Forecast,MATCH($D$8&amp;$C16&amp;$D$7,[1]!rng_ForecastRowLookup,0),MATCH(K$11,[1]!rng_ForecastColumnLookup,0))</f>
        <v>536294.27941624937</v>
      </c>
      <c r="L16" s="44">
        <f ca="1">INDEX([1]!tbl_Forecast,MATCH($D$8&amp;$C16&amp;$D$7,[1]!rng_ForecastRowLookup,0),MATCH(L$11,[1]!rng_ForecastColumnLookup,0))</f>
        <v>530562.90970421082</v>
      </c>
      <c r="M16" s="44">
        <f ca="1">INDEX([1]!tbl_Forecast,MATCH($D$8&amp;$C16&amp;$D$7,[1]!rng_ForecastRowLookup,0),MATCH(M$11,[1]!rng_ForecastColumnLookup,0))</f>
        <v>524892.79106278194</v>
      </c>
      <c r="N16" s="44">
        <f ca="1">INDEX([1]!tbl_Forecast,MATCH($D$8&amp;$C16&amp;$D$7,[1]!rng_ForecastRowLookup,0),MATCH(N$11,[1]!rng_ForecastColumnLookup,0))</f>
        <v>519283.26890259917</v>
      </c>
      <c r="O16" s="44">
        <f ca="1">INDEX([1]!tbl_Forecast,MATCH($D$8&amp;$C16&amp;$D$7,[1]!rng_ForecastRowLookup,0),MATCH(O$11,[1]!rng_ForecastColumnLookup,0))</f>
        <v>513733.69562988722</v>
      </c>
      <c r="P16" s="44">
        <f ca="1">INDEX([1]!tbl_Forecast,MATCH($D$8&amp;$C16&amp;$D$7,[1]!rng_ForecastRowLookup,0),MATCH(P$11,[1]!rng_ForecastColumnLookup,0))</f>
        <v>508243.4305716962</v>
      </c>
      <c r="Q16" s="44">
        <f ca="1">INDEX([1]!tbl_Forecast,MATCH($D$8&amp;$C16&amp;$D$7,[1]!rng_ForecastRowLookup,0),MATCH(Q$11,[1]!rng_ForecastColumnLookup,0))</f>
        <v>502811.8399019395</v>
      </c>
      <c r="R16" s="44">
        <f ca="1">INDEX([1]!tbl_Forecast,MATCH($D$8&amp;$C16&amp;$D$7,[1]!rng_ForecastRowLookup,0),MATCH(R$11,[1]!rng_ForecastColumnLookup,0))</f>
        <v>497438.2965682213</v>
      </c>
      <c r="S16" s="44">
        <f ca="1">INDEX([1]!tbl_Forecast,MATCH($D$8&amp;$C16&amp;$D$7,[1]!rng_ForecastRowLookup,0),MATCH(S$11,[1]!rng_ForecastColumnLookup,0))</f>
        <v>492122.18021944637</v>
      </c>
      <c r="T16" s="44">
        <f ca="1">INDEX([1]!tbl_Forecast,MATCH($D$8&amp;$C16&amp;$D$7,[1]!rng_ForecastRowLookup,0),MATCH(T$11,[1]!rng_ForecastColumnLookup,0))</f>
        <v>486862.87713420321</v>
      </c>
      <c r="U16" s="44">
        <f ca="1">INDEX([1]!tbl_Forecast,MATCH($D$8&amp;$C16&amp;$D$7,[1]!rng_ForecastRowLookup,0),MATCH(U$11,[1]!rng_ForecastColumnLookup,0))</f>
        <v>481659.78014991269</v>
      </c>
      <c r="V16" s="44">
        <f ca="1">INDEX([1]!tbl_Forecast,MATCH($D$8&amp;$C16&amp;$D$7,[1]!rng_ForecastRowLookup,0),MATCH(V$11,[1]!rng_ForecastColumnLookup,0))</f>
        <v>476512.28859273402</v>
      </c>
      <c r="W16" s="44">
        <f ca="1">INDEX([1]!tbl_Forecast,MATCH($D$8&amp;$C16&amp;$D$7,[1]!rng_ForecastRowLookup,0),MATCH(W$11,[1]!rng_ForecastColumnLookup,0))</f>
        <v>471419.80820821953</v>
      </c>
      <c r="X16" s="44">
        <f ca="1">INDEX([1]!tbl_Forecast,MATCH($D$8&amp;$C16&amp;$D$7,[1]!rng_ForecastRowLookup,0),MATCH(X$11,[1]!rng_ForecastColumnLookup,0))</f>
        <v>466381.75109271082</v>
      </c>
      <c r="Y16" s="44"/>
    </row>
    <row r="17" spans="1:32">
      <c r="E17" s="44"/>
      <c r="F17" s="44"/>
      <c r="G17" s="44"/>
      <c r="H17" s="44"/>
      <c r="I17" s="44"/>
      <c r="J17" s="44"/>
      <c r="K17" s="44"/>
      <c r="L17" s="44"/>
      <c r="M17" s="44"/>
      <c r="N17" s="44"/>
      <c r="O17" s="44"/>
      <c r="P17" s="44"/>
      <c r="Q17" s="44"/>
      <c r="R17" s="44"/>
      <c r="S17" s="44"/>
      <c r="T17" s="44"/>
      <c r="U17" s="44"/>
      <c r="V17" s="44"/>
      <c r="W17" s="44"/>
      <c r="X17" s="44"/>
      <c r="Y17" s="44"/>
    </row>
    <row r="18" spans="1:32">
      <c r="B18" s="9" t="s">
        <v>61</v>
      </c>
      <c r="C18" s="9" t="s">
        <v>62</v>
      </c>
      <c r="E18" s="44">
        <f t="shared" ref="E18:X18" ca="1" si="1">SUM(E13:E16)</f>
        <v>5912957.9357845243</v>
      </c>
      <c r="F18" s="44">
        <f t="shared" ca="1" si="1"/>
        <v>5894716.7373226183</v>
      </c>
      <c r="G18" s="44">
        <f t="shared" ca="1" si="1"/>
        <v>5876568.4091907088</v>
      </c>
      <c r="H18" s="44">
        <f t="shared" ca="1" si="1"/>
        <v>5858512.1906713378</v>
      </c>
      <c r="I18" s="44">
        <f t="shared" ca="1" si="1"/>
        <v>5840547.3286504922</v>
      </c>
      <c r="J18" s="44">
        <f t="shared" ca="1" si="1"/>
        <v>5822673.077537531</v>
      </c>
      <c r="K18" s="44">
        <f t="shared" ca="1" si="1"/>
        <v>5804888.6991859814</v>
      </c>
      <c r="L18" s="44">
        <f t="shared" ca="1" si="1"/>
        <v>5787193.462815172</v>
      </c>
      <c r="M18" s="44">
        <f t="shared" ca="1" si="1"/>
        <v>5769586.6449326966</v>
      </c>
      <c r="N18" s="44">
        <f t="shared" ca="1" si="1"/>
        <v>5752067.5292577213</v>
      </c>
      <c r="O18" s="44">
        <f t="shared" ca="1" si="1"/>
        <v>5734635.406645081</v>
      </c>
      <c r="P18" s="44">
        <f t="shared" ca="1" si="1"/>
        <v>5717289.5750102066</v>
      </c>
      <c r="Q18" s="44">
        <f t="shared" ca="1" si="1"/>
        <v>5700029.3392548524</v>
      </c>
      <c r="R18" s="44">
        <f t="shared" ca="1" si="1"/>
        <v>5682854.0111935912</v>
      </c>
      <c r="S18" s="44">
        <f t="shared" ca="1" si="1"/>
        <v>5665762.9094811222</v>
      </c>
      <c r="T18" s="44">
        <f t="shared" ca="1" si="1"/>
        <v>5648755.3595403275</v>
      </c>
      <c r="U18" s="44">
        <f t="shared" ca="1" si="1"/>
        <v>5631830.6934911208</v>
      </c>
      <c r="V18" s="44">
        <f t="shared" ca="1" si="1"/>
        <v>5614988.250080023</v>
      </c>
      <c r="W18" s="44">
        <f t="shared" ca="1" si="1"/>
        <v>5598227.3746105134</v>
      </c>
      <c r="X18" s="44">
        <f t="shared" ca="1" si="1"/>
        <v>5581547.4188741138</v>
      </c>
      <c r="Y18" s="44"/>
      <c r="Z18" s="44"/>
    </row>
    <row r="19" spans="1:32">
      <c r="E19" s="44"/>
      <c r="F19" s="44"/>
      <c r="G19" s="44"/>
      <c r="H19" s="44"/>
      <c r="I19" s="44"/>
      <c r="J19" s="44"/>
      <c r="K19" s="44"/>
      <c r="L19" s="44"/>
      <c r="M19" s="44"/>
      <c r="N19" s="44"/>
      <c r="O19" s="44"/>
      <c r="P19" s="44"/>
      <c r="Q19" s="44"/>
      <c r="R19" s="44"/>
      <c r="S19" s="44"/>
      <c r="T19" s="44"/>
      <c r="U19" s="44"/>
      <c r="V19" s="44"/>
      <c r="W19" s="44"/>
      <c r="X19" s="44"/>
      <c r="Y19" s="44"/>
    </row>
    <row r="20" spans="1:32">
      <c r="E20" s="44"/>
      <c r="F20" s="44"/>
      <c r="G20" s="44"/>
      <c r="H20" s="44"/>
      <c r="I20" s="44"/>
      <c r="J20" s="44"/>
      <c r="K20" s="44"/>
      <c r="L20" s="44"/>
      <c r="M20" s="44"/>
      <c r="N20" s="44"/>
      <c r="O20" s="44"/>
      <c r="P20" s="44"/>
      <c r="Q20" s="44"/>
      <c r="R20" s="44"/>
      <c r="S20" s="44"/>
      <c r="T20" s="44"/>
      <c r="U20" s="44"/>
      <c r="V20" s="44"/>
      <c r="W20" s="44"/>
      <c r="X20" s="44"/>
      <c r="Y20" s="44"/>
    </row>
    <row r="21" spans="1:32" ht="15">
      <c r="A21" s="86" t="s">
        <v>148</v>
      </c>
      <c r="E21" s="44"/>
      <c r="F21" s="44"/>
      <c r="G21" s="44"/>
      <c r="H21" s="44"/>
      <c r="I21" s="44"/>
      <c r="J21" s="44"/>
      <c r="K21" s="44"/>
      <c r="L21" s="44"/>
      <c r="M21" s="44"/>
      <c r="N21" s="44"/>
      <c r="O21" s="44"/>
      <c r="P21" s="44"/>
      <c r="Q21" s="44"/>
      <c r="R21" s="44"/>
      <c r="S21" s="44"/>
      <c r="T21" s="44"/>
      <c r="U21" s="44"/>
      <c r="V21" s="44"/>
      <c r="W21" s="44"/>
      <c r="X21" s="44"/>
      <c r="Y21" s="44"/>
    </row>
    <row r="22" spans="1:32" ht="15">
      <c r="A22" s="9" t="s">
        <v>157</v>
      </c>
      <c r="E22" s="68">
        <v>1</v>
      </c>
      <c r="F22" s="68">
        <v>2</v>
      </c>
      <c r="G22" s="68">
        <v>3</v>
      </c>
      <c r="H22" s="68">
        <v>4</v>
      </c>
      <c r="I22" s="68">
        <v>5</v>
      </c>
      <c r="J22" s="68">
        <v>6</v>
      </c>
      <c r="K22" s="68">
        <v>7</v>
      </c>
      <c r="L22" s="68">
        <v>8</v>
      </c>
      <c r="M22" s="68">
        <v>9</v>
      </c>
      <c r="N22" s="68">
        <v>10</v>
      </c>
      <c r="O22" s="68">
        <v>11</v>
      </c>
      <c r="P22" s="68">
        <v>12</v>
      </c>
      <c r="Q22" s="68">
        <v>13</v>
      </c>
      <c r="R22" s="68">
        <v>14</v>
      </c>
      <c r="S22" s="68">
        <v>15</v>
      </c>
      <c r="T22" s="68">
        <v>16</v>
      </c>
      <c r="U22" s="68">
        <v>17</v>
      </c>
      <c r="V22" s="68">
        <v>18</v>
      </c>
      <c r="W22" s="68">
        <v>19</v>
      </c>
      <c r="X22" s="68">
        <v>20</v>
      </c>
      <c r="Y22" s="68"/>
    </row>
    <row r="23" spans="1:32">
      <c r="C23" s="9" t="str">
        <f>C13</f>
        <v>Single Family</v>
      </c>
      <c r="E23" s="63">
        <f>IF(E$22&lt;=1/$C$43,0,INDEX('SC-New'!$E144:$Y144,1,ROUND(E$22-1/$C$43,0)))</f>
        <v>0</v>
      </c>
      <c r="F23" s="63">
        <f>IF(F$22&lt;=1/$C$43,0,INDEX('SC-New'!$E144:$Y144,1,ROUND(F$22-1/$C$43,0)))</f>
        <v>0</v>
      </c>
      <c r="G23" s="63">
        <f>IF(G$22&lt;=1/$C$43,0,INDEX('SC-New'!$E144:$Y144,1,ROUND(G$22-1/$C$43,0)))</f>
        <v>0</v>
      </c>
      <c r="H23" s="63">
        <f>IF(H$22&lt;=1/$C$43,0,INDEX('SC-New'!$E144:$Y144,1,ROUND(H$22-1/$C$43,0)))</f>
        <v>0</v>
      </c>
      <c r="I23" s="63">
        <f>IF(I$22&lt;=1/$C$43,0,INDEX('SC-New'!$E144:$Y144,1,ROUND(I$22-1/$C$43,0)))</f>
        <v>0</v>
      </c>
      <c r="J23" s="63">
        <f>IF(J$22&lt;=1/$C$43,0,INDEX('SC-New'!$E144:$Y144,1,ROUND(J$22-1/$C$43,0)))</f>
        <v>0</v>
      </c>
      <c r="K23" s="63">
        <f>IF(K$22&lt;=1/$C$43,0,INDEX('SC-New'!$E144:$Y144,1,ROUND(K$22-1/$C$43,0)))</f>
        <v>0</v>
      </c>
      <c r="L23" s="63">
        <f>IF(L$22&lt;=1/$C$43,0,INDEX('SC-New'!$E144:$Y144,1,ROUND(L$22-1/$C$43,0)))</f>
        <v>0</v>
      </c>
      <c r="M23" s="63">
        <f>IF(M$22&lt;=1/$C$43,0,INDEX('SC-New'!$E144:$Y144,1,ROUND(M$22-1/$C$43,0)))</f>
        <v>0</v>
      </c>
      <c r="N23" s="63">
        <f>IF(N$22&lt;=1/$C$43,0,INDEX('SC-New'!$E144:$Y144,1,ROUND(N$22-1/$C$43,0)))</f>
        <v>0</v>
      </c>
      <c r="O23" s="63">
        <f>IF(O$22&lt;=1/$C$43,0,INDEX('SC-New'!$E144:$Y144,1,ROUND(O$22-1/$C$43,0)))</f>
        <v>0</v>
      </c>
      <c r="P23" s="63">
        <f>IF(P$22&lt;=1/$C$43,0,INDEX('SC-New'!$E144:$Y144,1,ROUND(P$22-1/$C$43,0)))</f>
        <v>0</v>
      </c>
      <c r="Q23" s="63">
        <f>IF(Q$22&lt;=1/$C$43,0,INDEX('SC-New'!$E144:$Y144,1,ROUND(Q$22-1/$C$43,0)))</f>
        <v>0</v>
      </c>
      <c r="R23" s="63">
        <f>IF(R$22&lt;=1/$C$43,0,INDEX('SC-New'!$E144:$Y144,1,ROUND(R$22-1/$C$43,0)))</f>
        <v>0</v>
      </c>
      <c r="S23" s="63">
        <f>IF(S$22&lt;=1/$C$43,0,INDEX('SC-New'!$E144:$Y144,1,ROUND(S$22-1/$C$43,0)))</f>
        <v>0</v>
      </c>
      <c r="T23" s="63">
        <f ca="1">IF(T$22&lt;=1/$C$43,0,INDEX('SC-New'!$E144:$Y144,1,ROUND(T$22-1/$C$43,0)))</f>
        <v>62549.120499431883</v>
      </c>
      <c r="U23" s="63">
        <f ca="1">IF(U$22&lt;=1/$C$43,0,INDEX('SC-New'!$E144:$Y144,1,ROUND(U$22-1/$C$43,0)))</f>
        <v>59569.81744327402</v>
      </c>
      <c r="V23" s="63">
        <f ca="1">IF(V$22&lt;=1/$C$43,0,INDEX('SC-New'!$E144:$Y144,1,ROUND(V$22-1/$C$43,0)))</f>
        <v>56022.808149614968</v>
      </c>
      <c r="W23" s="63">
        <f ca="1">IF(W$22&lt;=1/$C$43,0,INDEX('SC-New'!$E144:$Y144,1,ROUND(W$22-1/$C$43,0)))</f>
        <v>53508.433789645096</v>
      </c>
      <c r="X23" s="63">
        <f ca="1">IF(X$22&lt;=1/$C$43,0,INDEX('SC-New'!$E144:$Y144,1,ROUND(X$22-1/$C$43,0)))</f>
        <v>51048.354182347721</v>
      </c>
      <c r="Y23" s="63"/>
      <c r="Z23" s="44"/>
      <c r="AB23" s="44"/>
      <c r="AC23" s="44"/>
      <c r="AD23" s="44"/>
      <c r="AE23" s="44"/>
      <c r="AF23" s="44"/>
    </row>
    <row r="24" spans="1:32">
      <c r="C24" s="9" t="str">
        <f>C14</f>
        <v>Multifamily - Low Rise</v>
      </c>
      <c r="E24" s="63">
        <f>IF(E$22&lt;=1/$C$43,0,INDEX('SC-New'!$E145:$Y145,1,ROUND(E$22-1/$C$43,0)))</f>
        <v>0</v>
      </c>
      <c r="F24" s="63">
        <f>IF(F$22&lt;=1/$C$43,0,INDEX('SC-New'!$E145:$Y145,1,ROUND(F$22-1/$C$43,0)))</f>
        <v>0</v>
      </c>
      <c r="G24" s="63">
        <f>IF(G$22&lt;=1/$C$43,0,INDEX('SC-New'!$E145:$Y145,1,ROUND(G$22-1/$C$43,0)))</f>
        <v>0</v>
      </c>
      <c r="H24" s="63">
        <f>IF(H$22&lt;=1/$C$43,0,INDEX('SC-New'!$E145:$Y145,1,ROUND(H$22-1/$C$43,0)))</f>
        <v>0</v>
      </c>
      <c r="I24" s="63">
        <f>IF(I$22&lt;=1/$C$43,0,INDEX('SC-New'!$E145:$Y145,1,ROUND(I$22-1/$C$43,0)))</f>
        <v>0</v>
      </c>
      <c r="J24" s="63">
        <f>IF(J$22&lt;=1/$C$43,0,INDEX('SC-New'!$E145:$Y145,1,ROUND(J$22-1/$C$43,0)))</f>
        <v>0</v>
      </c>
      <c r="K24" s="63">
        <f>IF(K$22&lt;=1/$C$43,0,INDEX('SC-New'!$E145:$Y145,1,ROUND(K$22-1/$C$43,0)))</f>
        <v>0</v>
      </c>
      <c r="L24" s="63">
        <f>IF(L$22&lt;=1/$C$43,0,INDEX('SC-New'!$E145:$Y145,1,ROUND(L$22-1/$C$43,0)))</f>
        <v>0</v>
      </c>
      <c r="M24" s="63">
        <f>IF(M$22&lt;=1/$C$43,0,INDEX('SC-New'!$E145:$Y145,1,ROUND(M$22-1/$C$43,0)))</f>
        <v>0</v>
      </c>
      <c r="N24" s="63">
        <f>IF(N$22&lt;=1/$C$43,0,INDEX('SC-New'!$E145:$Y145,1,ROUND(N$22-1/$C$43,0)))</f>
        <v>0</v>
      </c>
      <c r="O24" s="63">
        <f>IF(O$22&lt;=1/$C$43,0,INDEX('SC-New'!$E145:$Y145,1,ROUND(O$22-1/$C$43,0)))</f>
        <v>0</v>
      </c>
      <c r="P24" s="63">
        <f>IF(P$22&lt;=1/$C$43,0,INDEX('SC-New'!$E145:$Y145,1,ROUND(P$22-1/$C$43,0)))</f>
        <v>0</v>
      </c>
      <c r="Q24" s="63">
        <f>IF(Q$22&lt;=1/$C$43,0,INDEX('SC-New'!$E145:$Y145,1,ROUND(Q$22-1/$C$43,0)))</f>
        <v>0</v>
      </c>
      <c r="R24" s="63">
        <f>IF(R$22&lt;=1/$C$43,0,INDEX('SC-New'!$E145:$Y145,1,ROUND(R$22-1/$C$43,0)))</f>
        <v>0</v>
      </c>
      <c r="S24" s="63">
        <f>IF(S$22&lt;=1/$C$43,0,INDEX('SC-New'!$E145:$Y145,1,ROUND(S$22-1/$C$43,0)))</f>
        <v>0</v>
      </c>
      <c r="T24" s="63">
        <f ca="1">IF(T$22&lt;=1/$C$43,0,INDEX('SC-New'!$E145:$Y145,1,ROUND(T$22-1/$C$43,0)))</f>
        <v>23229.602054959232</v>
      </c>
      <c r="U24" s="63">
        <f ca="1">IF(U$22&lt;=1/$C$43,0,INDEX('SC-New'!$E145:$Y145,1,ROUND(U$22-1/$C$43,0)))</f>
        <v>22866.955779586202</v>
      </c>
      <c r="V24" s="63">
        <f ca="1">IF(V$22&lt;=1/$C$43,0,INDEX('SC-New'!$E145:$Y145,1,ROUND(V$22-1/$C$43,0)))</f>
        <v>22486.013623848386</v>
      </c>
      <c r="W24" s="63">
        <f ca="1">IF(W$22&lt;=1/$C$43,0,INDEX('SC-New'!$E145:$Y145,1,ROUND(W$22-1/$C$43,0)))</f>
        <v>21492.746132703247</v>
      </c>
      <c r="X24" s="63">
        <f ca="1">IF(X$22&lt;=1/$C$43,0,INDEX('SC-New'!$E145:$Y145,1,ROUND(X$22-1/$C$43,0)))</f>
        <v>19861.097902304835</v>
      </c>
      <c r="Y24" s="63"/>
      <c r="Z24" s="44"/>
      <c r="AB24" s="44"/>
      <c r="AC24" s="44"/>
      <c r="AD24" s="44"/>
      <c r="AE24" s="44"/>
      <c r="AF24" s="44"/>
    </row>
    <row r="25" spans="1:32">
      <c r="C25" s="9" t="str">
        <f>C15</f>
        <v>Multifamily - High Rise</v>
      </c>
      <c r="E25" s="63">
        <f>IF(E$22&lt;=1/$C$43,0,INDEX('SC-New'!$E146:$Y146,1,ROUND(E$22-1/$C$43,0)))</f>
        <v>0</v>
      </c>
      <c r="F25" s="63">
        <f>IF(F$22&lt;=1/$C$43,0,INDEX('SC-New'!$E146:$Y146,1,ROUND(F$22-1/$C$43,0)))</f>
        <v>0</v>
      </c>
      <c r="G25" s="63">
        <f>IF(G$22&lt;=1/$C$43,0,INDEX('SC-New'!$E146:$Y146,1,ROUND(G$22-1/$C$43,0)))</f>
        <v>0</v>
      </c>
      <c r="H25" s="63">
        <f>IF(H$22&lt;=1/$C$43,0,INDEX('SC-New'!$E146:$Y146,1,ROUND(H$22-1/$C$43,0)))</f>
        <v>0</v>
      </c>
      <c r="I25" s="63">
        <f>IF(I$22&lt;=1/$C$43,0,INDEX('SC-New'!$E146:$Y146,1,ROUND(I$22-1/$C$43,0)))</f>
        <v>0</v>
      </c>
      <c r="J25" s="63">
        <f>IF(J$22&lt;=1/$C$43,0,INDEX('SC-New'!$E146:$Y146,1,ROUND(J$22-1/$C$43,0)))</f>
        <v>0</v>
      </c>
      <c r="K25" s="63">
        <f>IF(K$22&lt;=1/$C$43,0,INDEX('SC-New'!$E146:$Y146,1,ROUND(K$22-1/$C$43,0)))</f>
        <v>0</v>
      </c>
      <c r="L25" s="63">
        <f>IF(L$22&lt;=1/$C$43,0,INDEX('SC-New'!$E146:$Y146,1,ROUND(L$22-1/$C$43,0)))</f>
        <v>0</v>
      </c>
      <c r="M25" s="63">
        <f>IF(M$22&lt;=1/$C$43,0,INDEX('SC-New'!$E146:$Y146,1,ROUND(M$22-1/$C$43,0)))</f>
        <v>0</v>
      </c>
      <c r="N25" s="63">
        <f>IF(N$22&lt;=1/$C$43,0,INDEX('SC-New'!$E146:$Y146,1,ROUND(N$22-1/$C$43,0)))</f>
        <v>0</v>
      </c>
      <c r="O25" s="63">
        <f>IF(O$22&lt;=1/$C$43,0,INDEX('SC-New'!$E146:$Y146,1,ROUND(O$22-1/$C$43,0)))</f>
        <v>0</v>
      </c>
      <c r="P25" s="63">
        <f>IF(P$22&lt;=1/$C$43,0,INDEX('SC-New'!$E146:$Y146,1,ROUND(P$22-1/$C$43,0)))</f>
        <v>0</v>
      </c>
      <c r="Q25" s="63">
        <f>IF(Q$22&lt;=1/$C$43,0,INDEX('SC-New'!$E146:$Y146,1,ROUND(Q$22-1/$C$43,0)))</f>
        <v>0</v>
      </c>
      <c r="R25" s="63">
        <f>IF(R$22&lt;=1/$C$43,0,INDEX('SC-New'!$E146:$Y146,1,ROUND(R$22-1/$C$43,0)))</f>
        <v>0</v>
      </c>
      <c r="S25" s="63">
        <f>IF(S$22&lt;=1/$C$43,0,INDEX('SC-New'!$E146:$Y146,1,ROUND(S$22-1/$C$43,0)))</f>
        <v>0</v>
      </c>
      <c r="T25" s="63">
        <f ca="1">IF(T$22&lt;=1/$C$43,0,INDEX('SC-New'!$E146:$Y146,1,ROUND(T$22-1/$C$43,0)))</f>
        <v>5214.846912508061</v>
      </c>
      <c r="U25" s="63">
        <f ca="1">IF(U$22&lt;=1/$C$43,0,INDEX('SC-New'!$E146:$Y146,1,ROUND(U$22-1/$C$43,0)))</f>
        <v>5205.7001312570483</v>
      </c>
      <c r="V25" s="63">
        <f ca="1">IF(V$22&lt;=1/$C$43,0,INDEX('SC-New'!$E146:$Y146,1,ROUND(V$22-1/$C$43,0)))</f>
        <v>5196.0234511930357</v>
      </c>
      <c r="W25" s="63">
        <f ca="1">IF(W$22&lt;=1/$C$43,0,INDEX('SC-New'!$E146:$Y146,1,ROUND(W$22-1/$C$43,0)))</f>
        <v>4851.9756942037475</v>
      </c>
      <c r="X25" s="63">
        <f ca="1">IF(X$22&lt;=1/$C$43,0,INDEX('SC-New'!$E146:$Y146,1,ROUND(X$22-1/$C$43,0)))</f>
        <v>4396.7875598462888</v>
      </c>
      <c r="Y25" s="63"/>
      <c r="Z25" s="44"/>
      <c r="AB25" s="44"/>
      <c r="AC25" s="44"/>
      <c r="AD25" s="44"/>
      <c r="AE25" s="44"/>
      <c r="AF25" s="44"/>
    </row>
    <row r="26" spans="1:32">
      <c r="C26" s="9" t="str">
        <f>C16</f>
        <v>Manufactured</v>
      </c>
      <c r="E26" s="63">
        <f>IF(E$22&lt;=1/$C$43,0,INDEX('SC-New'!$E147:$Y147,1,ROUND(E$22-1/$C$43,0)))</f>
        <v>0</v>
      </c>
      <c r="F26" s="63">
        <f>IF(F$22&lt;=1/$C$43,0,INDEX('SC-New'!$E147:$Y147,1,ROUND(F$22-1/$C$43,0)))</f>
        <v>0</v>
      </c>
      <c r="G26" s="63">
        <f>IF(G$22&lt;=1/$C$43,0,INDEX('SC-New'!$E147:$Y147,1,ROUND(G$22-1/$C$43,0)))</f>
        <v>0</v>
      </c>
      <c r="H26" s="63">
        <f>IF(H$22&lt;=1/$C$43,0,INDEX('SC-New'!$E147:$Y147,1,ROUND(H$22-1/$C$43,0)))</f>
        <v>0</v>
      </c>
      <c r="I26" s="63">
        <f>IF(I$22&lt;=1/$C$43,0,INDEX('SC-New'!$E147:$Y147,1,ROUND(I$22-1/$C$43,0)))</f>
        <v>0</v>
      </c>
      <c r="J26" s="63">
        <f>IF(J$22&lt;=1/$C$43,0,INDEX('SC-New'!$E147:$Y147,1,ROUND(J$22-1/$C$43,0)))</f>
        <v>0</v>
      </c>
      <c r="K26" s="63">
        <f>IF(K$22&lt;=1/$C$43,0,INDEX('SC-New'!$E147:$Y147,1,ROUND(K$22-1/$C$43,0)))</f>
        <v>0</v>
      </c>
      <c r="L26" s="63">
        <f>IF(L$22&lt;=1/$C$43,0,INDEX('SC-New'!$E147:$Y147,1,ROUND(L$22-1/$C$43,0)))</f>
        <v>0</v>
      </c>
      <c r="M26" s="63">
        <f>IF(M$22&lt;=1/$C$43,0,INDEX('SC-New'!$E147:$Y147,1,ROUND(M$22-1/$C$43,0)))</f>
        <v>0</v>
      </c>
      <c r="N26" s="63">
        <f>IF(N$22&lt;=1/$C$43,0,INDEX('SC-New'!$E147:$Y147,1,ROUND(N$22-1/$C$43,0)))</f>
        <v>0</v>
      </c>
      <c r="O26" s="63">
        <f>IF(O$22&lt;=1/$C$43,0,INDEX('SC-New'!$E147:$Y147,1,ROUND(O$22-1/$C$43,0)))</f>
        <v>0</v>
      </c>
      <c r="P26" s="63">
        <f>IF(P$22&lt;=1/$C$43,0,INDEX('SC-New'!$E147:$Y147,1,ROUND(P$22-1/$C$43,0)))</f>
        <v>0</v>
      </c>
      <c r="Q26" s="63">
        <f>IF(Q$22&lt;=1/$C$43,0,INDEX('SC-New'!$E147:$Y147,1,ROUND(Q$22-1/$C$43,0)))</f>
        <v>0</v>
      </c>
      <c r="R26" s="63">
        <f>IF(R$22&lt;=1/$C$43,0,INDEX('SC-New'!$E147:$Y147,1,ROUND(R$22-1/$C$43,0)))</f>
        <v>0</v>
      </c>
      <c r="S26" s="63">
        <f>IF(S$22&lt;=1/$C$43,0,INDEX('SC-New'!$E147:$Y147,1,ROUND(S$22-1/$C$43,0)))</f>
        <v>0</v>
      </c>
      <c r="T26" s="63">
        <f ca="1">IF(T$22&lt;=1/$C$43,0,INDEX('SC-New'!$E147:$Y147,1,ROUND(T$22-1/$C$43,0)))</f>
        <v>1865.5002214444073</v>
      </c>
      <c r="U26" s="63">
        <f ca="1">IF(U$22&lt;=1/$C$43,0,INDEX('SC-New'!$E147:$Y147,1,ROUND(U$22-1/$C$43,0)))</f>
        <v>1869.4952107969261</v>
      </c>
      <c r="V26" s="63">
        <f ca="1">IF(V$22&lt;=1/$C$43,0,INDEX('SC-New'!$E147:$Y147,1,ROUND(V$22-1/$C$43,0)))</f>
        <v>1921.3136222361338</v>
      </c>
      <c r="W26" s="63">
        <f ca="1">IF(W$22&lt;=1/$C$43,0,INDEX('SC-New'!$E147:$Y147,1,ROUND(W$22-1/$C$43,0)))</f>
        <v>1966.9122858438716</v>
      </c>
      <c r="X26" s="63">
        <f ca="1">IF(X$22&lt;=1/$C$43,0,INDEX('SC-New'!$E147:$Y147,1,ROUND(X$22-1/$C$43,0)))</f>
        <v>1869.4503321190177</v>
      </c>
      <c r="Y26" s="63"/>
      <c r="Z26" s="44"/>
      <c r="AB26" s="44"/>
      <c r="AC26" s="44"/>
      <c r="AD26" s="44"/>
      <c r="AE26" s="44"/>
      <c r="AF26" s="44"/>
    </row>
    <row r="27" spans="1:32">
      <c r="E27" s="44"/>
      <c r="F27" s="44"/>
      <c r="G27" s="44"/>
      <c r="H27" s="44"/>
      <c r="I27" s="44"/>
      <c r="J27" s="44"/>
      <c r="K27" s="44"/>
      <c r="L27" s="44"/>
      <c r="M27" s="44"/>
      <c r="N27" s="44"/>
      <c r="O27" s="44"/>
      <c r="P27" s="44"/>
      <c r="Q27" s="44"/>
      <c r="R27" s="44"/>
      <c r="S27" s="44"/>
      <c r="T27" s="44"/>
      <c r="U27" s="44"/>
      <c r="V27" s="44"/>
      <c r="W27" s="44"/>
      <c r="X27" s="44"/>
      <c r="Y27" s="44"/>
      <c r="Z27" s="44"/>
      <c r="AB27" s="44"/>
      <c r="AC27" s="44"/>
      <c r="AD27" s="44"/>
      <c r="AE27" s="44"/>
      <c r="AF27" s="44"/>
    </row>
    <row r="28" spans="1:32">
      <c r="C28" s="9" t="s">
        <v>149</v>
      </c>
      <c r="E28" s="44">
        <f t="shared" ref="E28:X28" si="2">SUM(E23:E26)</f>
        <v>0</v>
      </c>
      <c r="F28" s="44">
        <f t="shared" si="2"/>
        <v>0</v>
      </c>
      <c r="G28" s="44">
        <f t="shared" si="2"/>
        <v>0</v>
      </c>
      <c r="H28" s="44">
        <f t="shared" si="2"/>
        <v>0</v>
      </c>
      <c r="I28" s="44">
        <f t="shared" si="2"/>
        <v>0</v>
      </c>
      <c r="J28" s="44">
        <f t="shared" si="2"/>
        <v>0</v>
      </c>
      <c r="K28" s="44">
        <f t="shared" si="2"/>
        <v>0</v>
      </c>
      <c r="L28" s="44">
        <f t="shared" si="2"/>
        <v>0</v>
      </c>
      <c r="M28" s="44">
        <f t="shared" si="2"/>
        <v>0</v>
      </c>
      <c r="N28" s="44">
        <f t="shared" si="2"/>
        <v>0</v>
      </c>
      <c r="O28" s="44">
        <f t="shared" si="2"/>
        <v>0</v>
      </c>
      <c r="P28" s="44">
        <f t="shared" si="2"/>
        <v>0</v>
      </c>
      <c r="Q28" s="44">
        <f t="shared" si="2"/>
        <v>0</v>
      </c>
      <c r="R28" s="44">
        <f t="shared" si="2"/>
        <v>0</v>
      </c>
      <c r="S28" s="44">
        <f t="shared" si="2"/>
        <v>0</v>
      </c>
      <c r="T28" s="44">
        <f t="shared" ca="1" si="2"/>
        <v>92859.069688343588</v>
      </c>
      <c r="U28" s="44">
        <f t="shared" ca="1" si="2"/>
        <v>89511.968564914205</v>
      </c>
      <c r="V28" s="44">
        <f t="shared" ca="1" si="2"/>
        <v>85626.158846892518</v>
      </c>
      <c r="W28" s="44">
        <f t="shared" ca="1" si="2"/>
        <v>81820.067902395967</v>
      </c>
      <c r="X28" s="44">
        <f t="shared" ca="1" si="2"/>
        <v>77175.689976617854</v>
      </c>
      <c r="Y28" s="44"/>
      <c r="Z28" s="44"/>
      <c r="AB28" s="44"/>
      <c r="AC28" s="44"/>
      <c r="AD28" s="44"/>
      <c r="AE28" s="44"/>
      <c r="AF28" s="44"/>
    </row>
    <row r="29" spans="1:32">
      <c r="E29" s="44"/>
      <c r="F29" s="44"/>
      <c r="G29" s="44"/>
      <c r="H29" s="44"/>
      <c r="I29" s="44"/>
      <c r="J29" s="44"/>
      <c r="K29" s="44"/>
      <c r="L29" s="44"/>
      <c r="M29" s="44"/>
      <c r="N29" s="44"/>
      <c r="O29" s="44"/>
      <c r="P29" s="44"/>
      <c r="Q29" s="44"/>
      <c r="R29" s="44"/>
      <c r="S29" s="44"/>
      <c r="T29" s="44"/>
      <c r="U29" s="44"/>
      <c r="V29" s="44"/>
      <c r="W29" s="44"/>
      <c r="X29" s="44"/>
      <c r="Y29" s="44"/>
    </row>
    <row r="30" spans="1:32">
      <c r="E30" s="44"/>
      <c r="F30" s="44"/>
      <c r="G30" s="44"/>
      <c r="H30" s="44"/>
      <c r="I30" s="44"/>
      <c r="J30" s="44"/>
      <c r="K30" s="44"/>
      <c r="L30" s="44"/>
      <c r="M30" s="44"/>
      <c r="N30" s="44"/>
      <c r="O30" s="44"/>
      <c r="P30" s="44"/>
      <c r="Q30" s="44"/>
      <c r="R30" s="44"/>
      <c r="S30" s="44"/>
      <c r="T30" s="44"/>
      <c r="U30" s="44"/>
      <c r="V30" s="44"/>
      <c r="W30" s="44"/>
      <c r="X30" s="44"/>
      <c r="Y30" s="44"/>
    </row>
    <row r="31" spans="1:32" ht="15">
      <c r="A31" s="86" t="s">
        <v>150</v>
      </c>
      <c r="E31" s="44"/>
      <c r="F31" s="44"/>
      <c r="G31" s="44"/>
      <c r="H31" s="44"/>
      <c r="I31" s="44"/>
      <c r="J31" s="44"/>
      <c r="K31" s="44"/>
      <c r="L31" s="44"/>
      <c r="M31" s="44"/>
      <c r="N31" s="44"/>
      <c r="O31" s="44"/>
      <c r="P31" s="44"/>
      <c r="Q31" s="44"/>
      <c r="R31" s="44"/>
      <c r="S31" s="44"/>
      <c r="T31" s="44"/>
      <c r="U31" s="44"/>
      <c r="V31" s="44"/>
      <c r="W31" s="44"/>
      <c r="X31" s="44"/>
      <c r="Y31" s="44"/>
      <c r="Z31" s="58">
        <v>0.85</v>
      </c>
    </row>
    <row r="32" spans="1:32">
      <c r="E32" s="44">
        <v>2</v>
      </c>
      <c r="F32" s="44">
        <v>3</v>
      </c>
      <c r="G32" s="44">
        <v>4</v>
      </c>
      <c r="H32" s="44">
        <v>5</v>
      </c>
      <c r="I32" s="44">
        <v>6</v>
      </c>
      <c r="J32" s="44">
        <v>7</v>
      </c>
      <c r="K32" s="44">
        <v>8</v>
      </c>
      <c r="L32" s="44">
        <v>9</v>
      </c>
      <c r="M32" s="44">
        <v>10</v>
      </c>
      <c r="N32" s="44">
        <v>11</v>
      </c>
      <c r="O32" s="44">
        <v>12</v>
      </c>
      <c r="P32" s="44">
        <v>13</v>
      </c>
      <c r="Q32" s="44">
        <v>14</v>
      </c>
      <c r="R32" s="44">
        <v>15</v>
      </c>
      <c r="S32" s="44">
        <v>16</v>
      </c>
      <c r="T32" s="44">
        <v>17</v>
      </c>
      <c r="U32" s="44">
        <v>18</v>
      </c>
      <c r="V32" s="44">
        <v>19</v>
      </c>
      <c r="W32" s="44">
        <v>20</v>
      </c>
      <c r="X32" s="44">
        <v>21</v>
      </c>
      <c r="Y32" s="44"/>
      <c r="Z32" s="59" t="s">
        <v>151</v>
      </c>
    </row>
    <row r="33" spans="1:30">
      <c r="C33" s="9" t="str">
        <f>C13</f>
        <v>Single Family</v>
      </c>
      <c r="E33" s="44">
        <f ca="1">SUM(E13,E23)</f>
        <v>4203528.2719999999</v>
      </c>
      <c r="F33" s="44">
        <f t="shared" ref="F33:X36" ca="1" si="3">SUM(F13,F23)</f>
        <v>4193982.9785983553</v>
      </c>
      <c r="G33" s="44">
        <f t="shared" ca="1" si="3"/>
        <v>4184459.3604704877</v>
      </c>
      <c r="H33" s="44">
        <f t="shared" ca="1" si="3"/>
        <v>4174957.36839659</v>
      </c>
      <c r="I33" s="44">
        <f t="shared" ca="1" si="3"/>
        <v>4165476.9532686244</v>
      </c>
      <c r="J33" s="44">
        <f ca="1">SUM(J13,J23)</f>
        <v>4156018.0660900641</v>
      </c>
      <c r="K33" s="44">
        <f t="shared" ca="1" si="3"/>
        <v>4146580.6579756448</v>
      </c>
      <c r="L33" s="44">
        <f t="shared" ca="1" si="3"/>
        <v>4137164.6801511091</v>
      </c>
      <c r="M33" s="44">
        <f t="shared" ca="1" si="3"/>
        <v>4127770.0839529554</v>
      </c>
      <c r="N33" s="44">
        <f t="shared" ca="1" si="3"/>
        <v>4118396.8208281873</v>
      </c>
      <c r="O33" s="44">
        <f t="shared" ca="1" si="3"/>
        <v>4109044.8423340586</v>
      </c>
      <c r="P33" s="44">
        <f t="shared" ca="1" si="3"/>
        <v>4099714.1001378288</v>
      </c>
      <c r="Q33" s="44">
        <f t="shared" ca="1" si="3"/>
        <v>4090404.5460165106</v>
      </c>
      <c r="R33" s="44">
        <f t="shared" ca="1" si="3"/>
        <v>4081116.1318566194</v>
      </c>
      <c r="S33" s="44">
        <f ca="1">SUM(S13,S23)</f>
        <v>4071848.8096539262</v>
      </c>
      <c r="T33" s="44">
        <f t="shared" ca="1" si="3"/>
        <v>4125151.6520126401</v>
      </c>
      <c r="U33" s="44">
        <f t="shared" ca="1" si="3"/>
        <v>4112947.0670912773</v>
      </c>
      <c r="V33" s="44">
        <f t="shared" ca="1" si="3"/>
        <v>4100195.724529977</v>
      </c>
      <c r="W33" s="44">
        <f t="shared" ca="1" si="3"/>
        <v>4088497.9179302454</v>
      </c>
      <c r="X33" s="44">
        <f t="shared" ca="1" si="3"/>
        <v>4076875.2596494025</v>
      </c>
      <c r="Y33" s="44"/>
      <c r="Z33" s="60">
        <f ca="1">INDEX(E33:Y33,1,MATCH($C$9,$E$11:$Y$11,0))*$Z$31*A43*B43</f>
        <v>4446521.6381703392</v>
      </c>
    </row>
    <row r="34" spans="1:30">
      <c r="C34" s="9" t="str">
        <f>C14</f>
        <v>Multifamily - Low Rise</v>
      </c>
      <c r="E34" s="44">
        <f ca="1">SUM(E14,E24)</f>
        <v>926243.25609262148</v>
      </c>
      <c r="F34" s="44">
        <f t="shared" ca="1" si="3"/>
        <v>924139.92640956037</v>
      </c>
      <c r="G34" s="44">
        <f t="shared" ca="1" si="3"/>
        <v>922041.3730050053</v>
      </c>
      <c r="H34" s="44">
        <f t="shared" ca="1" si="3"/>
        <v>919947.58503289847</v>
      </c>
      <c r="I34" s="44">
        <f t="shared" ca="1" si="3"/>
        <v>917858.55167181045</v>
      </c>
      <c r="J34" s="44">
        <f t="shared" ca="1" si="3"/>
        <v>915774.26212488639</v>
      </c>
      <c r="K34" s="44">
        <f t="shared" ca="1" si="3"/>
        <v>913694.70561978838</v>
      </c>
      <c r="L34" s="44">
        <f t="shared" ca="1" si="3"/>
        <v>911619.87140864041</v>
      </c>
      <c r="M34" s="44">
        <f t="shared" ca="1" si="3"/>
        <v>909549.74876797362</v>
      </c>
      <c r="N34" s="44">
        <f t="shared" ca="1" si="3"/>
        <v>907484.32699866977</v>
      </c>
      <c r="O34" s="44">
        <f t="shared" ca="1" si="3"/>
        <v>905423.59542590659</v>
      </c>
      <c r="P34" s="44">
        <f t="shared" ca="1" si="3"/>
        <v>903367.54339910217</v>
      </c>
      <c r="Q34" s="44">
        <f t="shared" ca="1" si="3"/>
        <v>901316.16029185988</v>
      </c>
      <c r="R34" s="44">
        <f t="shared" ca="1" si="3"/>
        <v>899269.43550191447</v>
      </c>
      <c r="S34" s="44">
        <f t="shared" ca="1" si="3"/>
        <v>897227.35845107585</v>
      </c>
      <c r="T34" s="44">
        <f t="shared" ca="1" si="3"/>
        <v>918419.52064013458</v>
      </c>
      <c r="U34" s="44">
        <f t="shared" ca="1" si="3"/>
        <v>916024.06115359673</v>
      </c>
      <c r="V34" s="44">
        <f t="shared" ca="1" si="3"/>
        <v>913614.92193514027</v>
      </c>
      <c r="W34" s="44">
        <f t="shared" ca="1" si="3"/>
        <v>910598.06304729008</v>
      </c>
      <c r="X34" s="44">
        <f t="shared" ca="1" si="3"/>
        <v>906947.41862757201</v>
      </c>
      <c r="Y34" s="44"/>
      <c r="Z34" s="60">
        <f ca="1">INDEX(E34:Y34,1,MATCH($C$9,$E$11:$Y$11,0))*$Z$31*A44*B44</f>
        <v>789114.21933350619</v>
      </c>
    </row>
    <row r="35" spans="1:30">
      <c r="C35" s="9" t="str">
        <f>C15</f>
        <v>Multifamily - High Rise</v>
      </c>
      <c r="E35" s="44">
        <f ca="1">SUM(E15,E25)</f>
        <v>211180.07985625503</v>
      </c>
      <c r="F35" s="44">
        <f t="shared" ca="1" si="3"/>
        <v>210700.52836963299</v>
      </c>
      <c r="G35" s="44">
        <f t="shared" ca="1" si="3"/>
        <v>210222.06585706791</v>
      </c>
      <c r="H35" s="44">
        <f t="shared" ca="1" si="3"/>
        <v>209744.68984569819</v>
      </c>
      <c r="I35" s="44">
        <f t="shared" ca="1" si="3"/>
        <v>209268.39786827751</v>
      </c>
      <c r="J35" s="44">
        <f t="shared" ca="1" si="3"/>
        <v>208793.18746316229</v>
      </c>
      <c r="K35" s="44">
        <f t="shared" ca="1" si="3"/>
        <v>208319.05617429892</v>
      </c>
      <c r="L35" s="44">
        <f t="shared" ca="1" si="3"/>
        <v>207846.00155121088</v>
      </c>
      <c r="M35" s="44">
        <f t="shared" ca="1" si="3"/>
        <v>207374.0211489865</v>
      </c>
      <c r="N35" s="44">
        <f t="shared" ca="1" si="3"/>
        <v>206903.11252826577</v>
      </c>
      <c r="O35" s="44">
        <f t="shared" ca="1" si="3"/>
        <v>206433.27325522827</v>
      </c>
      <c r="P35" s="44">
        <f t="shared" ca="1" si="3"/>
        <v>205964.50090158021</v>
      </c>
      <c r="Q35" s="44">
        <f t="shared" ca="1" si="3"/>
        <v>205496.79304454199</v>
      </c>
      <c r="R35" s="44">
        <f t="shared" ca="1" si="3"/>
        <v>205030.14726683579</v>
      </c>
      <c r="S35" s="44">
        <f t="shared" ca="1" si="3"/>
        <v>204564.56115667295</v>
      </c>
      <c r="T35" s="44">
        <f t="shared" ca="1" si="3"/>
        <v>209314.8792202496</v>
      </c>
      <c r="U35" s="44">
        <f t="shared" ca="1" si="3"/>
        <v>208842.25845045087</v>
      </c>
      <c r="V35" s="44">
        <f t="shared" ca="1" si="3"/>
        <v>208370.16024682726</v>
      </c>
      <c r="W35" s="44">
        <f t="shared" ca="1" si="3"/>
        <v>207564.74104131013</v>
      </c>
      <c r="X35" s="44">
        <f t="shared" ca="1" si="3"/>
        <v>206649.22914892752</v>
      </c>
      <c r="Y35" s="44"/>
      <c r="Z35" s="60">
        <f t="shared" ref="Z35:Z36" ca="1" si="4">INDEX(E35:Y35,1,MATCH($C$9,$E$11:$Y$11,0))*$Z$31*A45*B45</f>
        <v>179800.77101105859</v>
      </c>
    </row>
    <row r="36" spans="1:30">
      <c r="C36" s="9" t="str">
        <f>C16</f>
        <v>Manufactured</v>
      </c>
      <c r="E36" s="44">
        <f ca="1">SUM(E16,E26)</f>
        <v>572006.3278356482</v>
      </c>
      <c r="F36" s="44">
        <f t="shared" ca="1" si="3"/>
        <v>565893.30394507048</v>
      </c>
      <c r="G36" s="44">
        <f t="shared" ca="1" si="3"/>
        <v>559845.60985814757</v>
      </c>
      <c r="H36" s="44">
        <f t="shared" ca="1" si="3"/>
        <v>553862.54739615123</v>
      </c>
      <c r="I36" s="44">
        <f t="shared" ca="1" si="3"/>
        <v>547943.42584177968</v>
      </c>
      <c r="J36" s="44">
        <f t="shared" ca="1" si="3"/>
        <v>542087.56185941794</v>
      </c>
      <c r="K36" s="44">
        <f t="shared" ca="1" si="3"/>
        <v>536294.27941624937</v>
      </c>
      <c r="L36" s="44">
        <f t="shared" ca="1" si="3"/>
        <v>530562.90970421082</v>
      </c>
      <c r="M36" s="44">
        <f t="shared" ca="1" si="3"/>
        <v>524892.79106278194</v>
      </c>
      <c r="N36" s="44">
        <f t="shared" ca="1" si="3"/>
        <v>519283.26890259917</v>
      </c>
      <c r="O36" s="44">
        <f t="shared" ca="1" si="3"/>
        <v>513733.69562988722</v>
      </c>
      <c r="P36" s="44">
        <f t="shared" ca="1" si="3"/>
        <v>508243.4305716962</v>
      </c>
      <c r="Q36" s="44">
        <f t="shared" ca="1" si="3"/>
        <v>502811.8399019395</v>
      </c>
      <c r="R36" s="44">
        <f t="shared" ca="1" si="3"/>
        <v>497438.2965682213</v>
      </c>
      <c r="S36" s="44">
        <f t="shared" ca="1" si="3"/>
        <v>492122.18021944637</v>
      </c>
      <c r="T36" s="44">
        <f t="shared" ca="1" si="3"/>
        <v>488728.37735564762</v>
      </c>
      <c r="U36" s="44">
        <f t="shared" ca="1" si="3"/>
        <v>483529.27536070964</v>
      </c>
      <c r="V36" s="44">
        <f t="shared" ca="1" si="3"/>
        <v>478433.60221497016</v>
      </c>
      <c r="W36" s="44">
        <f t="shared" ca="1" si="3"/>
        <v>473386.7204940634</v>
      </c>
      <c r="X36" s="44">
        <f t="shared" ca="1" si="3"/>
        <v>468251.20142482984</v>
      </c>
      <c r="Y36" s="44"/>
      <c r="Z36" s="60">
        <f t="shared" ca="1" si="4"/>
        <v>476172.80516111327</v>
      </c>
    </row>
    <row r="37" spans="1:30">
      <c r="E37" s="44"/>
      <c r="F37" s="44"/>
      <c r="G37" s="44"/>
      <c r="H37" s="44"/>
      <c r="I37" s="44"/>
      <c r="J37" s="44"/>
      <c r="K37" s="44"/>
      <c r="L37" s="44"/>
      <c r="M37" s="44"/>
      <c r="N37" s="44"/>
      <c r="O37" s="44"/>
      <c r="P37" s="44"/>
      <c r="Q37" s="44"/>
      <c r="R37" s="44"/>
      <c r="S37" s="44"/>
      <c r="T37" s="44"/>
      <c r="U37" s="44"/>
      <c r="V37" s="44"/>
      <c r="W37" s="44"/>
      <c r="X37" s="44"/>
      <c r="Y37" s="44"/>
    </row>
    <row r="38" spans="1:30">
      <c r="E38" s="44">
        <f t="shared" ref="E38:Z38" ca="1" si="5">SUM(E33:E36)</f>
        <v>5912957.9357845243</v>
      </c>
      <c r="F38" s="44">
        <f t="shared" ca="1" si="5"/>
        <v>5894716.7373226183</v>
      </c>
      <c r="G38" s="44">
        <f t="shared" ca="1" si="5"/>
        <v>5876568.4091907088</v>
      </c>
      <c r="H38" s="44">
        <f t="shared" ca="1" si="5"/>
        <v>5858512.1906713378</v>
      </c>
      <c r="I38" s="44">
        <f t="shared" ca="1" si="5"/>
        <v>5840547.3286504922</v>
      </c>
      <c r="J38" s="44">
        <f t="shared" ca="1" si="5"/>
        <v>5822673.077537531</v>
      </c>
      <c r="K38" s="44">
        <f t="shared" ca="1" si="5"/>
        <v>5804888.6991859814</v>
      </c>
      <c r="L38" s="44">
        <f t="shared" ca="1" si="5"/>
        <v>5787193.462815172</v>
      </c>
      <c r="M38" s="44">
        <f t="shared" ca="1" si="5"/>
        <v>5769586.6449326966</v>
      </c>
      <c r="N38" s="44">
        <f t="shared" ca="1" si="5"/>
        <v>5752067.5292577213</v>
      </c>
      <c r="O38" s="44">
        <f t="shared" ca="1" si="5"/>
        <v>5734635.406645081</v>
      </c>
      <c r="P38" s="44">
        <f t="shared" ca="1" si="5"/>
        <v>5717289.5750102066</v>
      </c>
      <c r="Q38" s="44">
        <f t="shared" ca="1" si="5"/>
        <v>5700029.3392548524</v>
      </c>
      <c r="R38" s="44">
        <f t="shared" ca="1" si="5"/>
        <v>5682854.0111935912</v>
      </c>
      <c r="S38" s="44">
        <f t="shared" ca="1" si="5"/>
        <v>5665762.9094811222</v>
      </c>
      <c r="T38" s="44">
        <f t="shared" ca="1" si="5"/>
        <v>5741614.4292286718</v>
      </c>
      <c r="U38" s="44">
        <f t="shared" ca="1" si="5"/>
        <v>5721342.6620560354</v>
      </c>
      <c r="V38" s="44">
        <f t="shared" ca="1" si="5"/>
        <v>5700614.4089269154</v>
      </c>
      <c r="W38" s="44">
        <f t="shared" ca="1" si="5"/>
        <v>5680047.442512909</v>
      </c>
      <c r="X38" s="44">
        <f t="shared" ca="1" si="5"/>
        <v>5658723.1088507315</v>
      </c>
      <c r="Y38" s="44"/>
      <c r="Z38" s="44">
        <f t="shared" ca="1" si="5"/>
        <v>5891609.4336760165</v>
      </c>
    </row>
    <row r="39" spans="1:30">
      <c r="E39" s="44"/>
      <c r="F39" s="44"/>
      <c r="G39" s="44"/>
      <c r="H39" s="44"/>
      <c r="I39" s="44"/>
      <c r="J39" s="44"/>
      <c r="K39" s="44"/>
      <c r="L39" s="44"/>
      <c r="M39" s="44"/>
      <c r="N39" s="44"/>
      <c r="O39" s="44"/>
      <c r="P39" s="44"/>
      <c r="Q39" s="44"/>
      <c r="R39" s="44"/>
      <c r="S39" s="44"/>
      <c r="T39" s="44"/>
      <c r="U39" s="44"/>
      <c r="V39" s="44"/>
      <c r="W39" s="44"/>
      <c r="X39" s="44"/>
      <c r="Y39" s="44"/>
    </row>
    <row r="40" spans="1:30">
      <c r="E40" s="44"/>
      <c r="F40" s="44"/>
      <c r="G40" s="44"/>
      <c r="H40" s="44"/>
      <c r="I40" s="44"/>
      <c r="J40" s="44"/>
      <c r="K40" s="44"/>
      <c r="L40" s="44"/>
      <c r="M40" s="44"/>
      <c r="N40" s="44"/>
      <c r="O40" s="44"/>
      <c r="P40" s="44"/>
      <c r="Q40" s="44"/>
      <c r="R40" s="44"/>
      <c r="S40" s="44"/>
      <c r="T40" s="44"/>
      <c r="U40" s="44"/>
      <c r="V40" s="44"/>
      <c r="W40" s="44"/>
      <c r="X40" s="44"/>
      <c r="Y40" s="44"/>
    </row>
    <row r="41" spans="1:30" ht="15">
      <c r="A41" s="67" t="s">
        <v>155</v>
      </c>
      <c r="B41" s="67"/>
      <c r="E41" s="56"/>
      <c r="F41" s="56"/>
      <c r="G41" s="44"/>
      <c r="H41" s="44"/>
      <c r="I41" s="44"/>
      <c r="J41" s="44"/>
      <c r="K41" s="44"/>
      <c r="L41" s="44"/>
      <c r="M41" s="44"/>
      <c r="N41" s="44"/>
      <c r="O41" s="44"/>
      <c r="P41" s="44"/>
      <c r="Q41" s="44"/>
      <c r="R41" s="44"/>
      <c r="S41" s="44"/>
      <c r="T41" s="44"/>
      <c r="U41" s="44"/>
      <c r="V41" s="44"/>
      <c r="W41" s="44"/>
      <c r="X41" s="44"/>
      <c r="Y41" s="44"/>
    </row>
    <row r="42" spans="1:30" ht="15">
      <c r="A42" s="68" t="s">
        <v>63</v>
      </c>
      <c r="B42" s="68" t="s">
        <v>153</v>
      </c>
      <c r="C42" s="68" t="s">
        <v>152</v>
      </c>
      <c r="D42" s="68" t="str">
        <f>CONCATENATE(C8," - ",C7)</f>
        <v>Refrigerator - NR</v>
      </c>
      <c r="E42" s="83">
        <v>2015</v>
      </c>
      <c r="F42" s="84">
        <v>2016</v>
      </c>
      <c r="G42" s="84">
        <v>2017</v>
      </c>
      <c r="H42" s="84">
        <v>2018</v>
      </c>
      <c r="I42" s="84">
        <v>2019</v>
      </c>
      <c r="J42" s="84">
        <v>2020</v>
      </c>
      <c r="K42" s="84">
        <v>2021</v>
      </c>
      <c r="L42" s="84">
        <v>2022</v>
      </c>
      <c r="M42" s="84">
        <v>2023</v>
      </c>
      <c r="N42" s="84">
        <v>2024</v>
      </c>
      <c r="O42" s="84">
        <v>2025</v>
      </c>
      <c r="P42" s="84">
        <v>2026</v>
      </c>
      <c r="Q42" s="84">
        <v>2027</v>
      </c>
      <c r="R42" s="84">
        <v>2028</v>
      </c>
      <c r="S42" s="84">
        <v>2029</v>
      </c>
      <c r="T42" s="84">
        <v>2030</v>
      </c>
      <c r="U42" s="84">
        <v>2031</v>
      </c>
      <c r="V42" s="84">
        <v>2032</v>
      </c>
      <c r="W42" s="84">
        <v>2033</v>
      </c>
      <c r="X42" s="84">
        <v>2034</v>
      </c>
      <c r="Y42" s="85"/>
    </row>
    <row r="43" spans="1:30">
      <c r="A43" s="69">
        <f>INDEX([2]!ResApplic,MATCH($D$42,[2]APPLIC!$B$9:$B$120,0)+1,MATCH($D43,[2]APPLIC!$C$8:$F$8,0)+1)</f>
        <v>1</v>
      </c>
      <c r="B43" s="69">
        <f>VLOOKUP($C$8,[2]!ExistingSat,MATCH($D43,[2]SATS!$C$10:$F$10,0)+1,FALSE)</f>
        <v>1.2831400506742725</v>
      </c>
      <c r="C43" s="69">
        <f>VLOOKUP($D$42,[2]TURN!$B$10:$G$76,6,FALSE)</f>
        <v>6.5789473684210523E-2</v>
      </c>
      <c r="D43" s="9" t="str">
        <f>C13</f>
        <v>Single Family</v>
      </c>
      <c r="E43" s="44">
        <f ca="1">E13*$C43*$A43*$B43</f>
        <v>354849.70262794849</v>
      </c>
      <c r="F43" s="44">
        <f t="shared" ref="F43:X45" ca="1" si="6">F13*$C43*$A43*$B43</f>
        <v>354043.91655827168</v>
      </c>
      <c r="G43" s="44">
        <f t="shared" ca="1" si="6"/>
        <v>353239.96025253524</v>
      </c>
      <c r="H43" s="44">
        <f t="shared" ca="1" si="6"/>
        <v>352437.82955574524</v>
      </c>
      <c r="I43" s="44">
        <f t="shared" ca="1" si="6"/>
        <v>351637.52032234322</v>
      </c>
      <c r="J43" s="44">
        <f t="shared" ca="1" si="6"/>
        <v>350839.02841618395</v>
      </c>
      <c r="K43" s="44">
        <f t="shared" ca="1" si="6"/>
        <v>350042.34971051494</v>
      </c>
      <c r="L43" s="44">
        <f t="shared" ca="1" si="6"/>
        <v>349247.48008795426</v>
      </c>
      <c r="M43" s="44">
        <f t="shared" ca="1" si="6"/>
        <v>348454.41544046981</v>
      </c>
      <c r="N43" s="44">
        <f t="shared" ca="1" si="6"/>
        <v>347663.15166935808</v>
      </c>
      <c r="O43" s="44">
        <f t="shared" ca="1" si="6"/>
        <v>346873.68468522251</v>
      </c>
      <c r="P43" s="44">
        <f t="shared" ca="1" si="6"/>
        <v>346086.01040795282</v>
      </c>
      <c r="Q43" s="44">
        <f t="shared" ca="1" si="6"/>
        <v>345300.12476670393</v>
      </c>
      <c r="R43" s="44">
        <f t="shared" ca="1" si="6"/>
        <v>344516.02369987452</v>
      </c>
      <c r="S43" s="44">
        <f t="shared" ca="1" si="6"/>
        <v>343733.70315508649</v>
      </c>
      <c r="T43" s="44">
        <f t="shared" ca="1" si="6"/>
        <v>342953.15908916347</v>
      </c>
      <c r="U43" s="44">
        <f t="shared" ca="1" si="6"/>
        <v>342174.38746811065</v>
      </c>
      <c r="V43" s="44">
        <f t="shared" ca="1" si="6"/>
        <v>341397.38426709332</v>
      </c>
      <c r="W43" s="44">
        <f t="shared" ca="1" si="6"/>
        <v>340622.14547041617</v>
      </c>
      <c r="X43" s="44">
        <f t="shared" ca="1" si="6"/>
        <v>339848.667071503</v>
      </c>
      <c r="Y43" s="44"/>
      <c r="Z43" s="44">
        <f ca="1">X13*A43*B43*$Z$31</f>
        <v>4390844.7785638189</v>
      </c>
      <c r="AD43" s="44"/>
    </row>
    <row r="44" spans="1:30">
      <c r="A44" s="69">
        <f>INDEX([2]!ResApplic,MATCH($D$42,[2]APPLIC!$B$9:$B$120,0)+1,MATCH($D44,[2]APPLIC!$C$8:$F$8,0)+1)</f>
        <v>1</v>
      </c>
      <c r="B44" s="69">
        <f>VLOOKUP($C$8,[2]!ExistingSat,MATCH($D44,[2]SATS!$C$10:$F$10,0)+1,FALSE)</f>
        <v>1.0236201688615751</v>
      </c>
      <c r="C44" s="69">
        <f>VLOOKUP($D$42,[2]TURN!$B$10:$G$76,6,FALSE)</f>
        <v>6.5789473684210523E-2</v>
      </c>
      <c r="D44" s="9" t="str">
        <f>C14</f>
        <v>Multifamily - Low Rise</v>
      </c>
      <c r="E44" s="44">
        <f t="shared" ref="E44:T45" ca="1" si="7">E14*$C44*$A44*$B44</f>
        <v>62376.399882133184</v>
      </c>
      <c r="F44" s="44">
        <f t="shared" ca="1" si="7"/>
        <v>62234.754442307749</v>
      </c>
      <c r="G44" s="44">
        <f t="shared" ca="1" si="7"/>
        <v>62093.43065346987</v>
      </c>
      <c r="H44" s="44">
        <f t="shared" ca="1" si="7"/>
        <v>61952.427785208798</v>
      </c>
      <c r="I44" s="44">
        <f t="shared" ca="1" si="7"/>
        <v>61811.745108772324</v>
      </c>
      <c r="J44" s="44">
        <f t="shared" ca="1" si="7"/>
        <v>61671.381897063191</v>
      </c>
      <c r="K44" s="44">
        <f t="shared" ca="1" si="7"/>
        <v>61531.337424635189</v>
      </c>
      <c r="L44" s="44">
        <f t="shared" ca="1" si="7"/>
        <v>61391.610967689463</v>
      </c>
      <c r="M44" s="44">
        <f t="shared" ca="1" si="7"/>
        <v>61252.201804070814</v>
      </c>
      <c r="N44" s="44">
        <f t="shared" ca="1" si="7"/>
        <v>61113.109213263888</v>
      </c>
      <c r="O44" s="44">
        <f t="shared" ca="1" si="7"/>
        <v>60974.332476389536</v>
      </c>
      <c r="P44" s="44">
        <f t="shared" ca="1" si="7"/>
        <v>60835.870876201006</v>
      </c>
      <c r="Q44" s="44">
        <f t="shared" ca="1" si="7"/>
        <v>60697.723697080262</v>
      </c>
      <c r="R44" s="44">
        <f t="shared" ca="1" si="7"/>
        <v>60559.890225034404</v>
      </c>
      <c r="S44" s="44">
        <f t="shared" ca="1" si="7"/>
        <v>60422.369747691788</v>
      </c>
      <c r="T44" s="44">
        <f t="shared" ca="1" si="7"/>
        <v>60285.161554298473</v>
      </c>
      <c r="U44" s="44">
        <f t="shared" ca="1" si="6"/>
        <v>60148.264935714491</v>
      </c>
      <c r="V44" s="44">
        <f t="shared" ca="1" si="6"/>
        <v>60011.679184410241</v>
      </c>
      <c r="W44" s="44">
        <f t="shared" ca="1" si="6"/>
        <v>59875.403594462732</v>
      </c>
      <c r="X44" s="44">
        <f t="shared" ca="1" si="6"/>
        <v>59739.437461552065</v>
      </c>
      <c r="Y44" s="44"/>
      <c r="Z44" s="44">
        <f t="shared" ref="Z44:Z46" ca="1" si="8">X14*A44*B44*$Z$31</f>
        <v>771833.53200325265</v>
      </c>
      <c r="AD44" s="44"/>
    </row>
    <row r="45" spans="1:30">
      <c r="A45" s="69">
        <f>INDEX([2]!ResApplic,MATCH($D$42,[2]APPLIC!$B$9:$B$120,0)+1,MATCH($D45,[2]APPLIC!$C$8:$F$8,0)+1)</f>
        <v>1</v>
      </c>
      <c r="B45" s="69">
        <f>VLOOKUP($C$8,[2]!ExistingSat,MATCH($D45,[2]SATS!$C$10:$F$10,0)+1,FALSE)</f>
        <v>1.0236201688615751</v>
      </c>
      <c r="C45" s="69">
        <f>VLOOKUP($D$42,[2]TURN!$B$10:$G$76,6,FALSE)</f>
        <v>6.5789473684210523E-2</v>
      </c>
      <c r="D45" s="9" t="str">
        <f>C15</f>
        <v>Multifamily - High Rise</v>
      </c>
      <c r="E45" s="44">
        <f t="shared" ca="1" si="7"/>
        <v>14221.591381753993</v>
      </c>
      <c r="F45" s="44">
        <f t="shared" ca="1" si="6"/>
        <v>14189.2967387465</v>
      </c>
      <c r="G45" s="44">
        <f t="shared" ca="1" si="6"/>
        <v>14157.07543098954</v>
      </c>
      <c r="H45" s="44">
        <f t="shared" ca="1" si="6"/>
        <v>14124.927291952125</v>
      </c>
      <c r="I45" s="44">
        <f t="shared" ca="1" si="6"/>
        <v>14092.852155481414</v>
      </c>
      <c r="J45" s="44">
        <f t="shared" ca="1" si="6"/>
        <v>14060.849855801887</v>
      </c>
      <c r="K45" s="44">
        <f t="shared" ca="1" si="6"/>
        <v>14028.92022751446</v>
      </c>
      <c r="L45" s="44">
        <f t="shared" ca="1" si="6"/>
        <v>13997.063105595636</v>
      </c>
      <c r="M45" s="44">
        <f t="shared" ca="1" si="6"/>
        <v>13965.278325396672</v>
      </c>
      <c r="N45" s="44">
        <f t="shared" ca="1" si="6"/>
        <v>13933.56572264269</v>
      </c>
      <c r="O45" s="44">
        <f t="shared" ca="1" si="6"/>
        <v>13901.925133431871</v>
      </c>
      <c r="P45" s="44">
        <f t="shared" ca="1" si="6"/>
        <v>13870.356394234575</v>
      </c>
      <c r="Q45" s="44">
        <f t="shared" ca="1" si="6"/>
        <v>13838.859341892514</v>
      </c>
      <c r="R45" s="44">
        <f t="shared" ca="1" si="6"/>
        <v>13807.433813617898</v>
      </c>
      <c r="S45" s="44">
        <f t="shared" ca="1" si="6"/>
        <v>13776.079646992603</v>
      </c>
      <c r="T45" s="44">
        <f t="shared" ca="1" si="6"/>
        <v>13744.796679967323</v>
      </c>
      <c r="U45" s="44">
        <f t="shared" ca="1" si="6"/>
        <v>13713.584750860737</v>
      </c>
      <c r="V45" s="44">
        <f t="shared" ca="1" si="6"/>
        <v>13682.443698358675</v>
      </c>
      <c r="W45" s="44">
        <f t="shared" ca="1" si="6"/>
        <v>13651.373361513282</v>
      </c>
      <c r="X45" s="44">
        <f t="shared" ca="1" si="6"/>
        <v>13620.373579742181</v>
      </c>
      <c r="Y45" s="44"/>
      <c r="Z45" s="44">
        <f t="shared" ca="1" si="8"/>
        <v>175975.226650269</v>
      </c>
      <c r="AD45" s="44"/>
    </row>
    <row r="46" spans="1:30">
      <c r="A46" s="69">
        <f>INDEX([2]!ResApplic,MATCH($D$42,[2]APPLIC!$B$9:$B$120,0)+1,MATCH($D46,[2]APPLIC!$C$8:$F$8,0)+1)</f>
        <v>1</v>
      </c>
      <c r="B46" s="69">
        <f>VLOOKUP($C$8,[2]!ExistingSat,MATCH($D46,[2]SATS!$C$10:$F$10,0)+1,FALSE)</f>
        <v>1.1963734390534748</v>
      </c>
      <c r="C46" s="69">
        <f>VLOOKUP($D$42,[2]TURN!$B$10:$G$76,6,FALSE)</f>
        <v>6.5789473684210523E-2</v>
      </c>
      <c r="D46" s="9" t="str">
        <f>C16</f>
        <v>Manufactured</v>
      </c>
      <c r="E46" s="44">
        <f ca="1">E16*$C46*$A46*$B46</f>
        <v>45021.91957849235</v>
      </c>
      <c r="F46" s="44">
        <f t="shared" ref="F46:X46" ca="1" si="9">F16*$C46*$A46*$B46</f>
        <v>44540.770932769563</v>
      </c>
      <c r="G46" s="44">
        <f t="shared" ca="1" si="9"/>
        <v>44064.764316117231</v>
      </c>
      <c r="H46" s="44">
        <f t="shared" ca="1" si="9"/>
        <v>43593.844775740239</v>
      </c>
      <c r="I46" s="44">
        <f t="shared" ca="1" si="9"/>
        <v>43127.957946123199</v>
      </c>
      <c r="J46" s="44">
        <f t="shared" ca="1" si="9"/>
        <v>42667.050042754279</v>
      </c>
      <c r="K46" s="44">
        <f t="shared" ca="1" si="9"/>
        <v>42211.067855916015</v>
      </c>
      <c r="L46" s="44">
        <f t="shared" ca="1" si="9"/>
        <v>41759.958744542426</v>
      </c>
      <c r="M46" s="44">
        <f t="shared" ca="1" si="9"/>
        <v>41313.670630141933</v>
      </c>
      <c r="N46" s="44">
        <f t="shared" ca="1" si="9"/>
        <v>40872.15199078506</v>
      </c>
      <c r="O46" s="44">
        <f t="shared" ca="1" si="9"/>
        <v>40435.351855156528</v>
      </c>
      <c r="P46" s="44">
        <f t="shared" ca="1" si="9"/>
        <v>40003.219796670797</v>
      </c>
      <c r="Q46" s="44">
        <f t="shared" ca="1" si="9"/>
        <v>39575.705927650561</v>
      </c>
      <c r="R46" s="44">
        <f t="shared" ca="1" si="9"/>
        <v>39152.760893567451</v>
      </c>
      <c r="S46" s="44">
        <f t="shared" ca="1" si="9"/>
        <v>38734.335867344271</v>
      </c>
      <c r="T46" s="44">
        <f t="shared" ca="1" si="9"/>
        <v>38320.382543718166</v>
      </c>
      <c r="U46" s="44">
        <f t="shared" ca="1" si="9"/>
        <v>37910.853133663921</v>
      </c>
      <c r="V46" s="44">
        <f t="shared" ca="1" si="9"/>
        <v>37505.700358877039</v>
      </c>
      <c r="W46" s="44">
        <f t="shared" ca="1" si="9"/>
        <v>37104.877446315601</v>
      </c>
      <c r="X46" s="44">
        <f t="shared" ca="1" si="9"/>
        <v>36708.338122800531</v>
      </c>
      <c r="Y46" s="44"/>
      <c r="Z46" s="44">
        <f t="shared" ca="1" si="8"/>
        <v>474271.72854658286</v>
      </c>
      <c r="AD46" s="44"/>
    </row>
    <row r="47" spans="1:30">
      <c r="E47" s="44"/>
      <c r="F47" s="44"/>
      <c r="G47" s="44"/>
      <c r="H47" s="44"/>
      <c r="I47" s="44"/>
      <c r="J47" s="44"/>
      <c r="K47" s="44"/>
      <c r="L47" s="44"/>
      <c r="M47" s="44"/>
      <c r="N47" s="44"/>
      <c r="O47" s="44"/>
      <c r="P47" s="44"/>
      <c r="Q47" s="44"/>
      <c r="R47" s="44"/>
      <c r="S47" s="44"/>
      <c r="T47" s="44"/>
      <c r="U47" s="44"/>
      <c r="V47" s="44"/>
      <c r="W47" s="44"/>
      <c r="X47" s="44"/>
      <c r="Y47" s="44"/>
    </row>
    <row r="48" spans="1:30">
      <c r="E48" s="44">
        <f t="shared" ref="E48:X48" ca="1" si="10">SUM(E43:E46)</f>
        <v>476469.61347032798</v>
      </c>
      <c r="F48" s="44">
        <f t="shared" ca="1" si="10"/>
        <v>475008.73867209553</v>
      </c>
      <c r="G48" s="44">
        <f t="shared" ca="1" si="10"/>
        <v>473555.23065311188</v>
      </c>
      <c r="H48" s="44">
        <f t="shared" ca="1" si="10"/>
        <v>472109.0294086464</v>
      </c>
      <c r="I48" s="44">
        <f t="shared" ca="1" si="10"/>
        <v>470670.07553272013</v>
      </c>
      <c r="J48" s="44">
        <f t="shared" ca="1" si="10"/>
        <v>469238.3102118033</v>
      </c>
      <c r="K48" s="44">
        <f t="shared" ca="1" si="10"/>
        <v>467813.67521858064</v>
      </c>
      <c r="L48" s="44">
        <f t="shared" ca="1" si="10"/>
        <v>466396.11290578183</v>
      </c>
      <c r="M48" s="44">
        <f t="shared" ca="1" si="10"/>
        <v>464985.56620007916</v>
      </c>
      <c r="N48" s="44">
        <f t="shared" ca="1" si="10"/>
        <v>463581.97859604971</v>
      </c>
      <c r="O48" s="44">
        <f t="shared" ca="1" si="10"/>
        <v>462185.29415020044</v>
      </c>
      <c r="P48" s="44">
        <f t="shared" ca="1" si="10"/>
        <v>460795.4574750592</v>
      </c>
      <c r="Q48" s="44">
        <f t="shared" ca="1" si="10"/>
        <v>459412.4137333273</v>
      </c>
      <c r="R48" s="44">
        <f t="shared" ca="1" si="10"/>
        <v>458036.10863209428</v>
      </c>
      <c r="S48" s="44">
        <f t="shared" ca="1" si="10"/>
        <v>456666.48841711518</v>
      </c>
      <c r="T48" s="44">
        <f t="shared" ca="1" si="10"/>
        <v>455303.49986714742</v>
      </c>
      <c r="U48" s="44">
        <f t="shared" ca="1" si="10"/>
        <v>453947.09028834983</v>
      </c>
      <c r="V48" s="44">
        <f t="shared" ca="1" si="10"/>
        <v>452597.20750873926</v>
      </c>
      <c r="W48" s="44">
        <f t="shared" ca="1" si="10"/>
        <v>451253.79987270781</v>
      </c>
      <c r="X48" s="44">
        <f t="shared" ca="1" si="10"/>
        <v>449916.81623559777</v>
      </c>
      <c r="Y48" s="44"/>
      <c r="Z48" s="44">
        <f ca="1">SUM(E48:X48)</f>
        <v>9259942.5070495363</v>
      </c>
      <c r="AD48" s="44"/>
    </row>
    <row r="49" spans="1:30">
      <c r="E49" s="44"/>
      <c r="F49" s="44"/>
      <c r="G49" s="44"/>
      <c r="H49" s="44"/>
      <c r="I49" s="44"/>
      <c r="J49" s="44"/>
      <c r="K49" s="44"/>
      <c r="L49" s="44"/>
      <c r="M49" s="44"/>
      <c r="N49" s="44"/>
      <c r="O49" s="44"/>
      <c r="P49" s="44"/>
      <c r="Q49" s="44"/>
      <c r="R49" s="44"/>
      <c r="S49" s="44"/>
      <c r="T49" s="44"/>
      <c r="U49" s="44"/>
      <c r="V49" s="44"/>
      <c r="W49" s="44"/>
      <c r="X49" s="44"/>
      <c r="Y49" s="44"/>
      <c r="Z49" s="44"/>
      <c r="AD49" s="44"/>
    </row>
    <row r="50" spans="1:30" ht="15">
      <c r="A50" s="68" t="s">
        <v>63</v>
      </c>
      <c r="B50" s="68" t="s">
        <v>153</v>
      </c>
      <c r="C50" s="68" t="s">
        <v>152</v>
      </c>
      <c r="D50" s="68" t="str">
        <f>CONCATENATE(C8," - ","NEW")</f>
        <v>Refrigerator - NEW</v>
      </c>
      <c r="E50" s="83">
        <v>2015</v>
      </c>
      <c r="F50" s="84">
        <v>2016</v>
      </c>
      <c r="G50" s="84">
        <v>2017</v>
      </c>
      <c r="H50" s="84">
        <v>2018</v>
      </c>
      <c r="I50" s="84">
        <v>2019</v>
      </c>
      <c r="J50" s="84">
        <v>2020</v>
      </c>
      <c r="K50" s="84">
        <v>2021</v>
      </c>
      <c r="L50" s="84">
        <v>2022</v>
      </c>
      <c r="M50" s="84">
        <v>2023</v>
      </c>
      <c r="N50" s="84">
        <v>2024</v>
      </c>
      <c r="O50" s="84">
        <v>2025</v>
      </c>
      <c r="P50" s="84">
        <v>2026</v>
      </c>
      <c r="Q50" s="84">
        <v>2027</v>
      </c>
      <c r="R50" s="84">
        <v>2028</v>
      </c>
      <c r="S50" s="84">
        <v>2029</v>
      </c>
      <c r="T50" s="84">
        <v>2030</v>
      </c>
      <c r="U50" s="84">
        <v>2031</v>
      </c>
      <c r="V50" s="84">
        <v>2032</v>
      </c>
      <c r="W50" s="84">
        <v>2033</v>
      </c>
      <c r="X50" s="84">
        <v>2034</v>
      </c>
      <c r="Y50" s="85"/>
    </row>
    <row r="51" spans="1:30">
      <c r="A51" s="69">
        <f>INDEX([2]!ResApplic,MATCH($D$50,[2]APPLIC!$B$9:$B$120,0)+1,MATCH($D51,[2]APPLIC!$C$8:$F$8,0)+1)</f>
        <v>1</v>
      </c>
      <c r="B51" s="69">
        <f>VLOOKUP($C$8,[2]!ExistingSat,MATCH($D51,[2]SATS!$C$10:$F$10,0)+1,FALSE)</f>
        <v>1.2831400506742725</v>
      </c>
      <c r="C51" s="69">
        <f>VLOOKUP($D$50,[2]TURN!$B$10:$G$76,6,FALSE)</f>
        <v>1</v>
      </c>
      <c r="D51" s="9" t="str">
        <f>D43</f>
        <v>Single Family</v>
      </c>
      <c r="E51" s="44">
        <f>E23*$C51*$A51*$B51</f>
        <v>0</v>
      </c>
      <c r="F51" s="44">
        <f t="shared" ref="F51:X54" si="11">F23*$C51*$A51*$B51</f>
        <v>0</v>
      </c>
      <c r="G51" s="44">
        <f t="shared" si="11"/>
        <v>0</v>
      </c>
      <c r="H51" s="44">
        <f t="shared" si="11"/>
        <v>0</v>
      </c>
      <c r="I51" s="44">
        <f t="shared" si="11"/>
        <v>0</v>
      </c>
      <c r="J51" s="44">
        <f t="shared" si="11"/>
        <v>0</v>
      </c>
      <c r="K51" s="44">
        <f t="shared" si="11"/>
        <v>0</v>
      </c>
      <c r="L51" s="44">
        <f t="shared" si="11"/>
        <v>0</v>
      </c>
      <c r="M51" s="44">
        <f t="shared" si="11"/>
        <v>0</v>
      </c>
      <c r="N51" s="44">
        <f t="shared" si="11"/>
        <v>0</v>
      </c>
      <c r="O51" s="44">
        <f t="shared" si="11"/>
        <v>0</v>
      </c>
      <c r="P51" s="44">
        <f t="shared" si="11"/>
        <v>0</v>
      </c>
      <c r="Q51" s="44">
        <f t="shared" si="11"/>
        <v>0</v>
      </c>
      <c r="R51" s="44">
        <f t="shared" si="11"/>
        <v>0</v>
      </c>
      <c r="S51" s="44">
        <f t="shared" si="11"/>
        <v>0</v>
      </c>
      <c r="T51" s="44">
        <f t="shared" ca="1" si="11"/>
        <v>80259.281647272204</v>
      </c>
      <c r="U51" s="44">
        <f t="shared" ca="1" si="11"/>
        <v>76436.418572819792</v>
      </c>
      <c r="V51" s="44">
        <f t="shared" ca="1" si="11"/>
        <v>71885.108888011993</v>
      </c>
      <c r="W51" s="44">
        <f t="shared" ca="1" si="11"/>
        <v>68658.814444346164</v>
      </c>
      <c r="X51" s="44">
        <f t="shared" ca="1" si="11"/>
        <v>65502.187772375866</v>
      </c>
      <c r="Y51" s="44"/>
      <c r="Z51" s="44">
        <f ca="1">SUM(E23:X23)*A51*B51*$Z$31</f>
        <v>308330.53962610214</v>
      </c>
      <c r="AD51" s="44"/>
    </row>
    <row r="52" spans="1:30">
      <c r="A52" s="69">
        <f>INDEX([2]!ResApplic,MATCH($D$50,[2]APPLIC!$B$9:$B$120,0)+1,MATCH($D52,[2]APPLIC!$C$8:$F$8,0)+1)</f>
        <v>1</v>
      </c>
      <c r="B52" s="69">
        <f>VLOOKUP($C$8,[2]!ExistingSat,MATCH($D52,[2]SATS!$C$10:$F$10,0)+1,FALSE)</f>
        <v>1.0236201688615751</v>
      </c>
      <c r="C52" s="69">
        <f>VLOOKUP($D$50,[2]TURN!$B$10:$G$76,6,FALSE)</f>
        <v>1</v>
      </c>
      <c r="D52" s="9" t="str">
        <f t="shared" ref="D52:D54" si="12">D44</f>
        <v>Multifamily - Low Rise</v>
      </c>
      <c r="E52" s="44">
        <f t="shared" ref="E52:T54" si="13">E24*$C52*$A52*$B52</f>
        <v>0</v>
      </c>
      <c r="F52" s="44">
        <f t="shared" si="13"/>
        <v>0</v>
      </c>
      <c r="G52" s="44">
        <f t="shared" si="13"/>
        <v>0</v>
      </c>
      <c r="H52" s="44">
        <f t="shared" si="13"/>
        <v>0</v>
      </c>
      <c r="I52" s="44">
        <f t="shared" si="13"/>
        <v>0</v>
      </c>
      <c r="J52" s="44">
        <f t="shared" si="13"/>
        <v>0</v>
      </c>
      <c r="K52" s="44">
        <f t="shared" si="13"/>
        <v>0</v>
      </c>
      <c r="L52" s="44">
        <f t="shared" si="13"/>
        <v>0</v>
      </c>
      <c r="M52" s="44">
        <f t="shared" si="13"/>
        <v>0</v>
      </c>
      <c r="N52" s="44">
        <f t="shared" si="13"/>
        <v>0</v>
      </c>
      <c r="O52" s="44">
        <f t="shared" si="13"/>
        <v>0</v>
      </c>
      <c r="P52" s="44">
        <f t="shared" si="13"/>
        <v>0</v>
      </c>
      <c r="Q52" s="44">
        <f t="shared" si="13"/>
        <v>0</v>
      </c>
      <c r="R52" s="44">
        <f t="shared" si="13"/>
        <v>0</v>
      </c>
      <c r="S52" s="44">
        <f t="shared" si="13"/>
        <v>0</v>
      </c>
      <c r="T52" s="44">
        <f t="shared" ca="1" si="13"/>
        <v>23778.289178084564</v>
      </c>
      <c r="U52" s="44">
        <f t="shared" ca="1" si="11"/>
        <v>23407.0771364502</v>
      </c>
      <c r="V52" s="44">
        <f t="shared" ca="1" si="11"/>
        <v>23017.137062667363</v>
      </c>
      <c r="W52" s="44">
        <f t="shared" ca="1" si="11"/>
        <v>22000.408425656664</v>
      </c>
      <c r="X52" s="44">
        <f t="shared" ca="1" si="11"/>
        <v>20330.220388533551</v>
      </c>
      <c r="Y52" s="44"/>
      <c r="Z52" s="44">
        <f t="shared" ref="Z52:Z54" ca="1" si="14">SUM(E24:X24)*A52*B52*$Z$31</f>
        <v>95653.162362683492</v>
      </c>
      <c r="AD52" s="44"/>
    </row>
    <row r="53" spans="1:30">
      <c r="A53" s="69">
        <f>INDEX([2]!ResApplic,MATCH($D$50,[2]APPLIC!$B$9:$B$120,0)+1,MATCH($D53,[2]APPLIC!$C$8:$F$8,0)+1)</f>
        <v>1</v>
      </c>
      <c r="B53" s="69">
        <f>VLOOKUP($C$8,[2]!ExistingSat,MATCH($D53,[2]SATS!$C$10:$F$10,0)+1,FALSE)</f>
        <v>1.0236201688615751</v>
      </c>
      <c r="C53" s="69">
        <f>VLOOKUP($D$50,[2]TURN!$B$10:$G$76,6,FALSE)</f>
        <v>1</v>
      </c>
      <c r="D53" s="9" t="str">
        <f t="shared" si="12"/>
        <v>Multifamily - High Rise</v>
      </c>
      <c r="E53" s="44">
        <f t="shared" si="13"/>
        <v>0</v>
      </c>
      <c r="F53" s="44">
        <f t="shared" si="11"/>
        <v>0</v>
      </c>
      <c r="G53" s="44">
        <f t="shared" si="11"/>
        <v>0</v>
      </c>
      <c r="H53" s="44">
        <f t="shared" si="11"/>
        <v>0</v>
      </c>
      <c r="I53" s="44">
        <f t="shared" si="11"/>
        <v>0</v>
      </c>
      <c r="J53" s="44">
        <f t="shared" si="11"/>
        <v>0</v>
      </c>
      <c r="K53" s="44">
        <f t="shared" si="11"/>
        <v>0</v>
      </c>
      <c r="L53" s="44">
        <f t="shared" si="11"/>
        <v>0</v>
      </c>
      <c r="M53" s="44">
        <f t="shared" si="11"/>
        <v>0</v>
      </c>
      <c r="N53" s="44">
        <f t="shared" si="11"/>
        <v>0</v>
      </c>
      <c r="O53" s="44">
        <f t="shared" si="11"/>
        <v>0</v>
      </c>
      <c r="P53" s="44">
        <f t="shared" si="11"/>
        <v>0</v>
      </c>
      <c r="Q53" s="44">
        <f t="shared" si="11"/>
        <v>0</v>
      </c>
      <c r="R53" s="44">
        <f t="shared" si="11"/>
        <v>0</v>
      </c>
      <c r="S53" s="44">
        <f t="shared" si="11"/>
        <v>0</v>
      </c>
      <c r="T53" s="44">
        <f t="shared" ca="1" si="11"/>
        <v>5338.0224771687654</v>
      </c>
      <c r="U53" s="44">
        <f t="shared" ca="1" si="11"/>
        <v>5328.6596474000635</v>
      </c>
      <c r="V53" s="44">
        <f t="shared" ca="1" si="11"/>
        <v>5318.75440251892</v>
      </c>
      <c r="W53" s="44">
        <f t="shared" ca="1" si="11"/>
        <v>4966.5801794130984</v>
      </c>
      <c r="X53" s="44">
        <f t="shared" ca="1" si="11"/>
        <v>4500.6404244583309</v>
      </c>
      <c r="Y53" s="44"/>
      <c r="Z53" s="44">
        <f t="shared" ca="1" si="14"/>
        <v>21634.758561315299</v>
      </c>
      <c r="AD53" s="44"/>
    </row>
    <row r="54" spans="1:30">
      <c r="A54" s="69">
        <f>INDEX([2]!ResApplic,MATCH($D$50,[2]APPLIC!$B$9:$B$120,0)+1,MATCH($D54,[2]APPLIC!$C$8:$F$8,0)+1)</f>
        <v>1</v>
      </c>
      <c r="B54" s="69">
        <f>VLOOKUP($C$8,[2]!ExistingSat,MATCH($D54,[2]SATS!$C$10:$F$10,0)+1,FALSE)</f>
        <v>1.1963734390534748</v>
      </c>
      <c r="C54" s="69">
        <f>VLOOKUP($D$50,[2]TURN!$B$10:$G$76,6,FALSE)</f>
        <v>1</v>
      </c>
      <c r="D54" s="9" t="str">
        <f t="shared" si="12"/>
        <v>Manufactured</v>
      </c>
      <c r="E54" s="44">
        <f t="shared" si="13"/>
        <v>0</v>
      </c>
      <c r="F54" s="44">
        <f t="shared" si="11"/>
        <v>0</v>
      </c>
      <c r="G54" s="44">
        <f t="shared" si="11"/>
        <v>0</v>
      </c>
      <c r="H54" s="44">
        <f t="shared" si="11"/>
        <v>0</v>
      </c>
      <c r="I54" s="44">
        <f t="shared" si="11"/>
        <v>0</v>
      </c>
      <c r="J54" s="44">
        <f t="shared" si="11"/>
        <v>0</v>
      </c>
      <c r="K54" s="44">
        <f t="shared" si="11"/>
        <v>0</v>
      </c>
      <c r="L54" s="44">
        <f t="shared" si="11"/>
        <v>0</v>
      </c>
      <c r="M54" s="44">
        <f t="shared" si="11"/>
        <v>0</v>
      </c>
      <c r="N54" s="44">
        <f t="shared" si="11"/>
        <v>0</v>
      </c>
      <c r="O54" s="44">
        <f t="shared" si="11"/>
        <v>0</v>
      </c>
      <c r="P54" s="44">
        <f t="shared" si="11"/>
        <v>0</v>
      </c>
      <c r="Q54" s="44">
        <f t="shared" si="11"/>
        <v>0</v>
      </c>
      <c r="R54" s="44">
        <f t="shared" si="11"/>
        <v>0</v>
      </c>
      <c r="S54" s="44">
        <f t="shared" si="11"/>
        <v>0</v>
      </c>
      <c r="T54" s="44">
        <f t="shared" ca="1" si="11"/>
        <v>2231.8349154844645</v>
      </c>
      <c r="U54" s="44">
        <f t="shared" ca="1" si="11"/>
        <v>2236.6144146351194</v>
      </c>
      <c r="V54" s="44">
        <f t="shared" ca="1" si="11"/>
        <v>2298.6085857349321</v>
      </c>
      <c r="W54" s="44">
        <f t="shared" ca="1" si="11"/>
        <v>2353.1616157315639</v>
      </c>
      <c r="X54" s="44">
        <f t="shared" ca="1" si="11"/>
        <v>2236.5607229768898</v>
      </c>
      <c r="Y54" s="44"/>
      <c r="Z54" s="44">
        <f t="shared" ca="1" si="14"/>
        <v>9653.2632163785238</v>
      </c>
      <c r="AD54" s="44"/>
    </row>
    <row r="55" spans="1:30">
      <c r="E55" s="44"/>
      <c r="F55" s="44"/>
      <c r="G55" s="44"/>
      <c r="H55" s="44"/>
      <c r="I55" s="44"/>
      <c r="J55" s="44"/>
      <c r="K55" s="44"/>
      <c r="L55" s="44"/>
      <c r="M55" s="44"/>
      <c r="N55" s="44"/>
      <c r="O55" s="44"/>
      <c r="P55" s="44"/>
      <c r="Q55" s="44"/>
      <c r="R55" s="44"/>
      <c r="S55" s="44"/>
      <c r="T55" s="44"/>
      <c r="U55" s="44"/>
      <c r="V55" s="44"/>
      <c r="W55" s="44"/>
      <c r="X55" s="44"/>
      <c r="Y55" s="44"/>
    </row>
    <row r="56" spans="1:30">
      <c r="E56" s="44">
        <f t="shared" ref="E56:X56" si="15">SUM(E51:E54)</f>
        <v>0</v>
      </c>
      <c r="F56" s="44">
        <f t="shared" si="15"/>
        <v>0</v>
      </c>
      <c r="G56" s="44">
        <f t="shared" si="15"/>
        <v>0</v>
      </c>
      <c r="H56" s="44">
        <f t="shared" si="15"/>
        <v>0</v>
      </c>
      <c r="I56" s="44">
        <f t="shared" si="15"/>
        <v>0</v>
      </c>
      <c r="J56" s="44">
        <f t="shared" si="15"/>
        <v>0</v>
      </c>
      <c r="K56" s="44">
        <f t="shared" si="15"/>
        <v>0</v>
      </c>
      <c r="L56" s="44">
        <f t="shared" si="15"/>
        <v>0</v>
      </c>
      <c r="M56" s="44">
        <f t="shared" si="15"/>
        <v>0</v>
      </c>
      <c r="N56" s="44">
        <f t="shared" si="15"/>
        <v>0</v>
      </c>
      <c r="O56" s="44">
        <f t="shared" si="15"/>
        <v>0</v>
      </c>
      <c r="P56" s="44">
        <f t="shared" si="15"/>
        <v>0</v>
      </c>
      <c r="Q56" s="44">
        <f t="shared" si="15"/>
        <v>0</v>
      </c>
      <c r="R56" s="44">
        <f t="shared" si="15"/>
        <v>0</v>
      </c>
      <c r="S56" s="44">
        <f t="shared" si="15"/>
        <v>0</v>
      </c>
      <c r="T56" s="44">
        <f t="shared" ca="1" si="15"/>
        <v>111607.42821801</v>
      </c>
      <c r="U56" s="44">
        <f t="shared" ca="1" si="15"/>
        <v>107408.76977130517</v>
      </c>
      <c r="V56" s="44">
        <f t="shared" ca="1" si="15"/>
        <v>102519.6089389332</v>
      </c>
      <c r="W56" s="44">
        <f t="shared" ca="1" si="15"/>
        <v>97978.964665147476</v>
      </c>
      <c r="X56" s="44">
        <f t="shared" ca="1" si="15"/>
        <v>92569.609308344632</v>
      </c>
      <c r="Y56" s="44"/>
      <c r="Z56" s="44">
        <f ca="1">SUM(E56:X56)</f>
        <v>512084.38090174051</v>
      </c>
      <c r="AD56" s="44"/>
    </row>
    <row r="57" spans="1:30">
      <c r="E57" s="44"/>
      <c r="F57" s="44"/>
      <c r="G57" s="44"/>
      <c r="H57" s="44"/>
      <c r="I57" s="44"/>
      <c r="J57" s="44"/>
      <c r="K57" s="44"/>
      <c r="L57" s="44"/>
      <c r="M57" s="44"/>
      <c r="N57" s="44"/>
      <c r="O57" s="44"/>
      <c r="P57" s="44"/>
      <c r="Q57" s="44"/>
      <c r="R57" s="44"/>
      <c r="S57" s="44"/>
      <c r="T57" s="44"/>
      <c r="U57" s="44"/>
      <c r="V57" s="44"/>
      <c r="W57" s="44"/>
      <c r="X57" s="44"/>
      <c r="Y57" s="44"/>
      <c r="Z57" s="44"/>
      <c r="AD57" s="44"/>
    </row>
    <row r="58" spans="1:30" ht="15.75" thickBot="1">
      <c r="E58" s="68" t="s">
        <v>64</v>
      </c>
      <c r="F58" s="44"/>
      <c r="G58" s="44"/>
      <c r="H58" s="44"/>
      <c r="I58" s="44"/>
      <c r="J58" s="44"/>
      <c r="K58" s="44"/>
      <c r="L58" s="44"/>
      <c r="M58" s="44"/>
      <c r="N58" s="44"/>
      <c r="O58" s="44"/>
      <c r="P58" s="44"/>
      <c r="Q58" s="44"/>
      <c r="R58" s="44"/>
      <c r="S58" s="44"/>
      <c r="T58" s="44"/>
      <c r="U58" s="44"/>
      <c r="V58" s="44"/>
      <c r="W58" s="44"/>
      <c r="X58" s="44"/>
      <c r="Y58" s="44"/>
    </row>
    <row r="59" spans="1:30" ht="15.75" thickBot="1">
      <c r="A59" s="86" t="s">
        <v>156</v>
      </c>
      <c r="D59" s="68" t="str">
        <f>D42</f>
        <v>Refrigerator - NR</v>
      </c>
      <c r="E59" s="71">
        <f>VLOOKUP($D$42,[2]ACHIEV!$B$9:$X$100,MATCH(E$11,$E$11:$Y$11,0)+2,FALSE)</f>
        <v>2.5643970768378654E-3</v>
      </c>
      <c r="F59" s="71">
        <f>VLOOKUP($D$42,[2]ACHIEV!$B$9:$X$100,MATCH(F$11,$E$11:$Y$11,0)+2,FALSE)</f>
        <v>7.6904586297764643E-3</v>
      </c>
      <c r="G59" s="71">
        <f>VLOOKUP($D$42,[2]ACHIEV!$B$9:$X$100,MATCH(G$11,$E$11:$Y$11,0)+2,FALSE)</f>
        <v>1.6792013047419844E-2</v>
      </c>
      <c r="H59" s="71">
        <f>VLOOKUP($D$42,[2]ACHIEV!$B$9:$X$100,MATCH(H$11,$E$11:$Y$11,0)+2,FALSE)</f>
        <v>3.15969387774655E-2</v>
      </c>
      <c r="I59" s="71">
        <f>VLOOKUP($D$42,[2]ACHIEV!$B$9:$X$100,MATCH(I$11,$E$11:$Y$11,0)+2,FALSE)</f>
        <v>5.406874819795171E-2</v>
      </c>
      <c r="J59" s="71">
        <f>VLOOKUP($D$42,[2]ACHIEV!$B$9:$X$100,MATCH(J$11,$E$11:$Y$11,0)+2,FALSE)</f>
        <v>8.6253181011834101E-2</v>
      </c>
      <c r="K59" s="71">
        <f>VLOOKUP($D$42,[2]ACHIEV!$B$9:$X$100,MATCH(K$11,$E$11:$Y$11,0)+2,FALSE)</f>
        <v>0.1300328481838382</v>
      </c>
      <c r="L59" s="71">
        <f>VLOOKUP($D$42,[2]ACHIEV!$B$9:$X$100,MATCH(L$11,$E$11:$Y$11,0)+2,FALSE)</f>
        <v>0.18678710893858319</v>
      </c>
      <c r="M59" s="71">
        <f>VLOOKUP($D$42,[2]ACHIEV!$B$9:$X$100,MATCH(M$11,$E$11:$Y$11,0)+2,FALSE)</f>
        <v>0.2569823480072907</v>
      </c>
      <c r="N59" s="71">
        <f>VLOOKUP($D$42,[2]ACHIEV!$B$9:$X$100,MATCH(N$11,$E$11:$Y$11,0)+2,FALSE)</f>
        <v>0.33975920985004748</v>
      </c>
      <c r="O59" s="71">
        <f>VLOOKUP($D$42,[2]ACHIEV!$B$9:$X$100,MATCH(O$11,$E$11:$Y$11,0)+2,FALSE)</f>
        <v>0.43262946935754232</v>
      </c>
      <c r="P59" s="71">
        <f>VLOOKUP($D$42,[2]ACHIEV!$B$9:$X$100,MATCH(P$11,$E$11:$Y$11,0)+2,FALSE)</f>
        <v>0.53142594003645804</v>
      </c>
      <c r="Q59" s="71">
        <f>VLOOKUP($D$42,[2]ACHIEV!$B$9:$X$100,MATCH(Q$11,$E$11:$Y$11,0)+2,FALSE)</f>
        <v>0.63063487292644704</v>
      </c>
      <c r="R59" s="71">
        <f>VLOOKUP($D$42,[2]ACHIEV!$B$9:$X$100,MATCH(R$11,$E$11:$Y$11,0)+2,FALSE)</f>
        <v>0.7241560234206913</v>
      </c>
      <c r="S59" s="71">
        <f>VLOOKUP($D$42,[2]ACHIEV!$B$9:$X$100,MATCH(S$11,$E$11:$Y$11,0)+2,FALSE)</f>
        <v>0.80638203131755359</v>
      </c>
      <c r="T59" s="71">
        <f>VLOOKUP($D$42,[2]ACHIEV!$B$9:$X$100,MATCH(T$11,$E$11:$Y$11,0)+2,FALSE)</f>
        <v>0.87331559734491926</v>
      </c>
      <c r="U59" s="71">
        <f>VLOOKUP($D$42,[2]ACHIEV!$B$9:$X$100,MATCH(U$11,$E$11:$Y$11,0)+2,FALSE)</f>
        <v>0.92334516248836807</v>
      </c>
      <c r="V59" s="71">
        <f>VLOOKUP($D$42,[2]ACHIEV!$B$9:$X$100,MATCH(V$11,$E$11:$Y$11,0)+2,FALSE)</f>
        <v>0.95737002770730018</v>
      </c>
      <c r="W59" s="71">
        <f>VLOOKUP($D$42,[2]ACHIEV!$B$9:$X$100,MATCH(W$11,$E$11:$Y$11,0)+2,FALSE)</f>
        <v>0.97821608704807483</v>
      </c>
      <c r="X59" s="71">
        <f>VLOOKUP($D$42,[2]ACHIEV!$B$9:$X$100,MATCH(X$11,$E$11:$Y$11,0)+2,FALSE)</f>
        <v>0.98821608704807484</v>
      </c>
      <c r="Y59" s="463"/>
      <c r="Z59" s="462">
        <v>0.85</v>
      </c>
    </row>
    <row r="60" spans="1:30">
      <c r="D60" s="9" t="str">
        <f>C23</f>
        <v>Single Family</v>
      </c>
      <c r="E60" s="44">
        <f ca="1">(E43+E51)*E$59*$Z$59</f>
        <v>773.47920911551239</v>
      </c>
      <c r="F60" s="44">
        <f t="shared" ref="F60:X60" ca="1" si="16">(F43+F51)*F$59*$Z$59</f>
        <v>2314.3460794031062</v>
      </c>
      <c r="G60" s="44">
        <f t="shared" ca="1" si="16"/>
        <v>5041.8685182160425</v>
      </c>
      <c r="H60" s="44">
        <f t="shared" ca="1" si="16"/>
        <v>9465.5630448353477</v>
      </c>
      <c r="I60" s="44">
        <f t="shared" ca="1" si="16"/>
        <v>16160.710461771767</v>
      </c>
      <c r="J60" s="44">
        <f t="shared" ca="1" si="16"/>
        <v>25721.834890397553</v>
      </c>
      <c r="K60" s="44">
        <f t="shared" ca="1" si="16"/>
        <v>38689.453160148179</v>
      </c>
      <c r="L60" s="44">
        <f t="shared" ca="1" si="16"/>
        <v>55449.688043257222</v>
      </c>
      <c r="M60" s="44">
        <f t="shared" ca="1" si="16"/>
        <v>76114.638775389889</v>
      </c>
      <c r="N60" s="44">
        <f t="shared" ca="1" si="16"/>
        <v>100403.49404938456</v>
      </c>
      <c r="O60" s="44">
        <f t="shared" ca="1" si="16"/>
        <v>127557.61141854378</v>
      </c>
      <c r="P60" s="44">
        <f t="shared" ca="1" si="16"/>
        <v>156331.22090233667</v>
      </c>
      <c r="Q60" s="44">
        <f t="shared" ca="1" si="16"/>
        <v>185094.55525817614</v>
      </c>
      <c r="R60" s="44">
        <f t="shared" ca="1" si="16"/>
        <v>212060.85066812829</v>
      </c>
      <c r="S60" s="44">
        <f t="shared" ca="1" si="16"/>
        <v>235603.57951512808</v>
      </c>
      <c r="T60" s="44">
        <f t="shared" ca="1" si="16"/>
        <v>314158.32166271034</v>
      </c>
      <c r="U60" s="44">
        <f t="shared" ca="1" si="16"/>
        <v>328543.92331476224</v>
      </c>
      <c r="V60" s="44">
        <f t="shared" ca="1" si="16"/>
        <v>336314.63113441848</v>
      </c>
      <c r="W60" s="44">
        <f t="shared" ca="1" si="16"/>
        <v>340310.43624443398</v>
      </c>
      <c r="X60" s="44">
        <f t="shared" ca="1" si="16"/>
        <v>340488.10030709865</v>
      </c>
      <c r="Y60" s="44"/>
    </row>
    <row r="61" spans="1:30">
      <c r="D61" s="9" t="str">
        <f>C24</f>
        <v>Multifamily - Low Rise</v>
      </c>
      <c r="E61" s="44">
        <f t="shared" ref="E61:X61" ca="1" si="17">(E44+E52)*E$59*$Z$59</f>
        <v>135.96417889320028</v>
      </c>
      <c r="F61" s="44">
        <f t="shared" ca="1" si="17"/>
        <v>406.82173371693506</v>
      </c>
      <c r="G61" s="44">
        <f t="shared" ca="1" si="17"/>
        <v>886.27264303830657</v>
      </c>
      <c r="H61" s="44">
        <f t="shared" ca="1" si="17"/>
        <v>1663.8810076679058</v>
      </c>
      <c r="I61" s="44">
        <f t="shared" ca="1" si="17"/>
        <v>2840.7711296678563</v>
      </c>
      <c r="J61" s="44">
        <f t="shared" ca="1" si="17"/>
        <v>4521.4499361147391</v>
      </c>
      <c r="K61" s="44">
        <f t="shared" ca="1" si="17"/>
        <v>6800.9307992031927</v>
      </c>
      <c r="L61" s="44">
        <f t="shared" ca="1" si="17"/>
        <v>9747.0872968763906</v>
      </c>
      <c r="M61" s="44">
        <f t="shared" ca="1" si="17"/>
        <v>13379.624444192546</v>
      </c>
      <c r="N61" s="44">
        <f t="shared" ca="1" si="17"/>
        <v>17649.180443111465</v>
      </c>
      <c r="O61" s="44">
        <f t="shared" ca="1" si="17"/>
        <v>22422.399138137149</v>
      </c>
      <c r="P61" s="44">
        <f t="shared" ca="1" si="17"/>
        <v>27480.295888073444</v>
      </c>
      <c r="Q61" s="44">
        <f t="shared" ca="1" si="17"/>
        <v>32536.386080037882</v>
      </c>
      <c r="R61" s="44">
        <f t="shared" ca="1" si="17"/>
        <v>37276.58789153133</v>
      </c>
      <c r="S61" s="44">
        <f t="shared" ca="1" si="17"/>
        <v>41414.986266039406</v>
      </c>
      <c r="T61" s="44">
        <f t="shared" ca="1" si="17"/>
        <v>62401.83428754234</v>
      </c>
      <c r="U61" s="44">
        <f t="shared" ca="1" si="17"/>
        <v>65577.857767034977</v>
      </c>
      <c r="V61" s="44">
        <f t="shared" ca="1" si="17"/>
        <v>67565.905094323665</v>
      </c>
      <c r="W61" s="44">
        <f t="shared" ca="1" si="17"/>
        <v>68078.40098947419</v>
      </c>
      <c r="X61" s="44">
        <f t="shared" ca="1" si="17"/>
        <v>67257.2053761063</v>
      </c>
      <c r="Y61" s="44"/>
    </row>
    <row r="62" spans="1:30">
      <c r="D62" s="9" t="str">
        <f>C25</f>
        <v>Multifamily - High Rise</v>
      </c>
      <c r="E62" s="44">
        <f t="shared" ref="E62:X62" ca="1" si="18">(E45+E53)*E$59*$Z$59</f>
        <v>30.999336262249642</v>
      </c>
      <c r="F62" s="44">
        <f t="shared" ca="1" si="18"/>
        <v>92.753869621709256</v>
      </c>
      <c r="G62" s="44">
        <f t="shared" ca="1" si="18"/>
        <v>202.06692604791075</v>
      </c>
      <c r="H62" s="44">
        <f t="shared" ca="1" si="18"/>
        <v>379.35879344796842</v>
      </c>
      <c r="I62" s="44">
        <f t="shared" ca="1" si="18"/>
        <v>647.68544339783273</v>
      </c>
      <c r="J62" s="44">
        <f t="shared" ca="1" si="18"/>
        <v>1030.8740736237964</v>
      </c>
      <c r="K62" s="44">
        <f t="shared" ca="1" si="18"/>
        <v>1550.5873860084298</v>
      </c>
      <c r="L62" s="44">
        <f t="shared" ca="1" si="18"/>
        <v>2222.3003084563484</v>
      </c>
      <c r="M62" s="44">
        <f t="shared" ca="1" si="18"/>
        <v>3050.5055124403971</v>
      </c>
      <c r="N62" s="44">
        <f t="shared" ca="1" si="18"/>
        <v>4023.948688270968</v>
      </c>
      <c r="O62" s="44">
        <f t="shared" ca="1" si="18"/>
        <v>5112.2251194961746</v>
      </c>
      <c r="P62" s="44">
        <f t="shared" ca="1" si="18"/>
        <v>6265.4071076297842</v>
      </c>
      <c r="Q62" s="44">
        <f t="shared" ca="1" si="18"/>
        <v>7418.177207143156</v>
      </c>
      <c r="R62" s="44">
        <f t="shared" ca="1" si="18"/>
        <v>8498.9259094968384</v>
      </c>
      <c r="S62" s="44">
        <f t="shared" ca="1" si="18"/>
        <v>9442.4656259341555</v>
      </c>
      <c r="T62" s="44">
        <f t="shared" ca="1" si="18"/>
        <v>14165.525069553465</v>
      </c>
      <c r="U62" s="44">
        <f t="shared" ca="1" si="18"/>
        <v>14945.179610847035</v>
      </c>
      <c r="V62" s="44">
        <f t="shared" ca="1" si="18"/>
        <v>15462.50091946272</v>
      </c>
      <c r="W62" s="44">
        <f t="shared" ca="1" si="18"/>
        <v>15480.524412400675</v>
      </c>
      <c r="X62" s="44">
        <f t="shared" ca="1" si="18"/>
        <v>15221.355919688238</v>
      </c>
      <c r="Y62" s="44"/>
    </row>
    <row r="63" spans="1:30">
      <c r="D63" s="9" t="str">
        <f>C26</f>
        <v>Manufactured</v>
      </c>
      <c r="E63" s="44">
        <f t="shared" ref="E63:X63" ca="1" si="19">(E46+E54)*E$59*$Z$59</f>
        <v>98.135967116607958</v>
      </c>
      <c r="F63" s="44">
        <f t="shared" ca="1" si="19"/>
        <v>291.15811276729227</v>
      </c>
      <c r="G63" s="44">
        <f t="shared" ca="1" si="19"/>
        <v>628.9456827285627</v>
      </c>
      <c r="H63" s="44">
        <f t="shared" ca="1" si="19"/>
        <v>1170.8172377853887</v>
      </c>
      <c r="I63" s="44">
        <f t="shared" ca="1" si="19"/>
        <v>1982.0934937086679</v>
      </c>
      <c r="J63" s="44">
        <f t="shared" ca="1" si="19"/>
        <v>3128.1434719918684</v>
      </c>
      <c r="K63" s="44">
        <f t="shared" ca="1" si="19"/>
        <v>4665.5015714581168</v>
      </c>
      <c r="L63" s="44">
        <f t="shared" ca="1" si="19"/>
        <v>6630.1886687944479</v>
      </c>
      <c r="M63" s="44">
        <f t="shared" ca="1" si="19"/>
        <v>9024.3514708336606</v>
      </c>
      <c r="N63" s="44">
        <f t="shared" ca="1" si="19"/>
        <v>11803.686555471151</v>
      </c>
      <c r="O63" s="44">
        <f t="shared" ca="1" si="19"/>
        <v>14869.496093924601</v>
      </c>
      <c r="P63" s="44">
        <f t="shared" ca="1" si="19"/>
        <v>18069.936382191201</v>
      </c>
      <c r="Q63" s="44">
        <f t="shared" ca="1" si="19"/>
        <v>21214.147236859597</v>
      </c>
      <c r="R63" s="44">
        <f t="shared" ca="1" si="19"/>
        <v>24099.801489432914</v>
      </c>
      <c r="S63" s="44">
        <f t="shared" ca="1" si="19"/>
        <v>26549.471572678627</v>
      </c>
      <c r="T63" s="44">
        <f t="shared" ca="1" si="19"/>
        <v>30102.651411937914</v>
      </c>
      <c r="U63" s="44">
        <f t="shared" ca="1" si="19"/>
        <v>31509.474454848565</v>
      </c>
      <c r="V63" s="44">
        <f t="shared" ca="1" si="19"/>
        <v>32391.334503597132</v>
      </c>
      <c r="W63" s="44">
        <f t="shared" ca="1" si="19"/>
        <v>32808.715287785992</v>
      </c>
      <c r="X63" s="44">
        <f t="shared" ca="1" si="19"/>
        <v>32713.079215678659</v>
      </c>
      <c r="Y63" s="44"/>
    </row>
    <row r="65" spans="1:29">
      <c r="E65" s="44">
        <f t="shared" ref="E65:X65" ca="1" si="20">SUM(E60:E63)</f>
        <v>1038.5786913875704</v>
      </c>
      <c r="F65" s="44">
        <f t="shared" ca="1" si="20"/>
        <v>3105.0797955090425</v>
      </c>
      <c r="G65" s="44">
        <f t="shared" ca="1" si="20"/>
        <v>6759.1537700308227</v>
      </c>
      <c r="H65" s="44">
        <f t="shared" ca="1" si="20"/>
        <v>12679.62008373661</v>
      </c>
      <c r="I65" s="44">
        <f t="shared" ca="1" si="20"/>
        <v>21631.260528546125</v>
      </c>
      <c r="J65" s="44">
        <f t="shared" ca="1" si="20"/>
        <v>34402.302372127953</v>
      </c>
      <c r="K65" s="44">
        <f t="shared" ca="1" si="20"/>
        <v>51706.472916817918</v>
      </c>
      <c r="L65" s="44">
        <f t="shared" ca="1" si="20"/>
        <v>74049.264317384412</v>
      </c>
      <c r="M65" s="44">
        <f t="shared" ca="1" si="20"/>
        <v>101569.1202028565</v>
      </c>
      <c r="N65" s="44">
        <f t="shared" ca="1" si="20"/>
        <v>133880.30973623815</v>
      </c>
      <c r="O65" s="44">
        <f t="shared" ca="1" si="20"/>
        <v>169961.7317701017</v>
      </c>
      <c r="P65" s="44">
        <f t="shared" ca="1" si="20"/>
        <v>208146.86028023111</v>
      </c>
      <c r="Q65" s="44">
        <f t="shared" ca="1" si="20"/>
        <v>246263.2657822168</v>
      </c>
      <c r="R65" s="44">
        <f t="shared" ca="1" si="20"/>
        <v>281936.16595858935</v>
      </c>
      <c r="S65" s="44">
        <f t="shared" ca="1" si="20"/>
        <v>313010.50297978026</v>
      </c>
      <c r="T65" s="44">
        <f t="shared" ca="1" si="20"/>
        <v>420828.33243174403</v>
      </c>
      <c r="U65" s="44">
        <f t="shared" ca="1" si="20"/>
        <v>440576.4351474928</v>
      </c>
      <c r="V65" s="44">
        <f t="shared" ca="1" si="20"/>
        <v>451734.37165180198</v>
      </c>
      <c r="W65" s="44">
        <f t="shared" ca="1" si="20"/>
        <v>456678.07693409483</v>
      </c>
      <c r="X65" s="44">
        <f t="shared" ca="1" si="20"/>
        <v>455679.74081857188</v>
      </c>
      <c r="Y65" s="44"/>
    </row>
    <row r="66" spans="1:29">
      <c r="E66" s="44"/>
      <c r="F66" s="44"/>
      <c r="G66" s="44"/>
      <c r="H66" s="44"/>
      <c r="I66" s="44"/>
      <c r="J66" s="44"/>
      <c r="K66" s="44"/>
      <c r="L66" s="44"/>
      <c r="M66" s="44"/>
      <c r="N66" s="44"/>
      <c r="O66" s="44"/>
      <c r="P66" s="44"/>
      <c r="Q66" s="44"/>
      <c r="R66" s="44"/>
      <c r="S66" s="44"/>
      <c r="T66" s="44"/>
      <c r="U66" s="44"/>
      <c r="V66" s="44"/>
      <c r="W66" s="44"/>
      <c r="X66" s="44"/>
      <c r="Y66" s="44"/>
    </row>
    <row r="68" spans="1:29" ht="15">
      <c r="A68" s="86" t="s">
        <v>154</v>
      </c>
      <c r="D68" s="68" t="str">
        <f>D42</f>
        <v>Refrigerator - NR</v>
      </c>
      <c r="E68" s="68">
        <v>1</v>
      </c>
      <c r="F68" s="68">
        <v>2</v>
      </c>
      <c r="G68" s="68">
        <v>3</v>
      </c>
      <c r="H68" s="68">
        <v>4</v>
      </c>
      <c r="I68" s="68">
        <v>5</v>
      </c>
      <c r="J68" s="68">
        <v>6</v>
      </c>
      <c r="K68" s="68">
        <v>7</v>
      </c>
      <c r="L68" s="68">
        <v>8</v>
      </c>
      <c r="M68" s="68">
        <v>9</v>
      </c>
      <c r="N68" s="68">
        <v>10</v>
      </c>
      <c r="O68" s="68">
        <v>11</v>
      </c>
      <c r="P68" s="68">
        <v>12</v>
      </c>
      <c r="Q68" s="68">
        <v>13</v>
      </c>
      <c r="R68" s="68">
        <v>14</v>
      </c>
      <c r="S68" s="68">
        <v>15</v>
      </c>
      <c r="T68" s="68">
        <v>16</v>
      </c>
      <c r="U68" s="68">
        <v>17</v>
      </c>
      <c r="V68" s="68">
        <v>18</v>
      </c>
      <c r="W68" s="68">
        <v>19</v>
      </c>
      <c r="X68" s="68">
        <v>20</v>
      </c>
      <c r="Y68" s="68"/>
    </row>
    <row r="69" spans="1:29">
      <c r="D69" s="9" t="str">
        <f>C13</f>
        <v>Single Family</v>
      </c>
      <c r="E69" s="44">
        <f ca="1">E60</f>
        <v>773.47920911551239</v>
      </c>
      <c r="F69" s="44">
        <f ca="1">E69+F60</f>
        <v>3087.8252885186184</v>
      </c>
      <c r="G69" s="44">
        <f t="shared" ref="G69:X72" ca="1" si="21">F69+G60</f>
        <v>8129.6938067346609</v>
      </c>
      <c r="H69" s="44">
        <f t="shared" ca="1" si="21"/>
        <v>17595.256851570008</v>
      </c>
      <c r="I69" s="44">
        <f t="shared" ca="1" si="21"/>
        <v>33755.967313341775</v>
      </c>
      <c r="J69" s="44">
        <f t="shared" ca="1" si="21"/>
        <v>59477.802203739324</v>
      </c>
      <c r="K69" s="44">
        <f t="shared" ca="1" si="21"/>
        <v>98167.255363887496</v>
      </c>
      <c r="L69" s="44">
        <f t="shared" ca="1" si="21"/>
        <v>153616.94340714472</v>
      </c>
      <c r="M69" s="44">
        <f t="shared" ca="1" si="21"/>
        <v>229731.58218253462</v>
      </c>
      <c r="N69" s="44">
        <f t="shared" ca="1" si="21"/>
        <v>330135.07623191917</v>
      </c>
      <c r="O69" s="44">
        <f t="shared" ca="1" si="21"/>
        <v>457692.68765046296</v>
      </c>
      <c r="P69" s="44">
        <f t="shared" ca="1" si="21"/>
        <v>614023.90855279961</v>
      </c>
      <c r="Q69" s="44">
        <f t="shared" ca="1" si="21"/>
        <v>799118.46381097578</v>
      </c>
      <c r="R69" s="44">
        <f t="shared" ca="1" si="21"/>
        <v>1011179.314479104</v>
      </c>
      <c r="S69" s="44">
        <f t="shared" ca="1" si="21"/>
        <v>1246782.8939942322</v>
      </c>
      <c r="T69" s="44">
        <f t="shared" ca="1" si="21"/>
        <v>1560941.2156569425</v>
      </c>
      <c r="U69" s="44">
        <f t="shared" ca="1" si="21"/>
        <v>1889485.1389717048</v>
      </c>
      <c r="V69" s="44">
        <f t="shared" ca="1" si="21"/>
        <v>2225799.7701061233</v>
      </c>
      <c r="W69" s="44">
        <f t="shared" ca="1" si="21"/>
        <v>2566110.2063505575</v>
      </c>
      <c r="X69" s="44">
        <f t="shared" ca="1" si="21"/>
        <v>2906598.3066576561</v>
      </c>
      <c r="Y69" s="44"/>
    </row>
    <row r="70" spans="1:29">
      <c r="D70" s="9" t="str">
        <f>C14</f>
        <v>Multifamily - Low Rise</v>
      </c>
      <c r="E70" s="44">
        <f t="shared" ref="E70:E72" ca="1" si="22">E61</f>
        <v>135.96417889320028</v>
      </c>
      <c r="F70" s="44">
        <f t="shared" ref="F70:U72" ca="1" si="23">E70+F61</f>
        <v>542.78591261013537</v>
      </c>
      <c r="G70" s="44">
        <f t="shared" ca="1" si="23"/>
        <v>1429.0585556484421</v>
      </c>
      <c r="H70" s="44">
        <f t="shared" ca="1" si="23"/>
        <v>3092.9395633163476</v>
      </c>
      <c r="I70" s="44">
        <f t="shared" ca="1" si="23"/>
        <v>5933.7106929842039</v>
      </c>
      <c r="J70" s="44">
        <f t="shared" ca="1" si="23"/>
        <v>10455.160629098944</v>
      </c>
      <c r="K70" s="44">
        <f t="shared" ca="1" si="23"/>
        <v>17256.091428302138</v>
      </c>
      <c r="L70" s="44">
        <f t="shared" ca="1" si="23"/>
        <v>27003.178725178528</v>
      </c>
      <c r="M70" s="44">
        <f t="shared" ca="1" si="23"/>
        <v>40382.803169371073</v>
      </c>
      <c r="N70" s="44">
        <f t="shared" ca="1" si="23"/>
        <v>58031.983612482538</v>
      </c>
      <c r="O70" s="44">
        <f t="shared" ca="1" si="23"/>
        <v>80454.382750619683</v>
      </c>
      <c r="P70" s="44">
        <f t="shared" ca="1" si="23"/>
        <v>107934.67863869312</v>
      </c>
      <c r="Q70" s="44">
        <f t="shared" ca="1" si="23"/>
        <v>140471.06471873101</v>
      </c>
      <c r="R70" s="44">
        <f t="shared" ca="1" si="23"/>
        <v>177747.65261026233</v>
      </c>
      <c r="S70" s="44">
        <f t="shared" ca="1" si="23"/>
        <v>219162.63887630173</v>
      </c>
      <c r="T70" s="44">
        <f t="shared" ca="1" si="23"/>
        <v>281564.47316384409</v>
      </c>
      <c r="U70" s="44">
        <f t="shared" ca="1" si="23"/>
        <v>347142.33093087905</v>
      </c>
      <c r="V70" s="44">
        <f t="shared" ca="1" si="21"/>
        <v>414708.23602520273</v>
      </c>
      <c r="W70" s="44">
        <f t="shared" ca="1" si="21"/>
        <v>482786.63701467693</v>
      </c>
      <c r="X70" s="44">
        <f t="shared" ca="1" si="21"/>
        <v>550043.84239078325</v>
      </c>
      <c r="Y70" s="44"/>
    </row>
    <row r="71" spans="1:29">
      <c r="D71" s="9" t="str">
        <f>C15</f>
        <v>Multifamily - High Rise</v>
      </c>
      <c r="E71" s="44">
        <f ca="1">E62</f>
        <v>30.999336262249642</v>
      </c>
      <c r="F71" s="44">
        <f t="shared" ca="1" si="23"/>
        <v>123.7532058839589</v>
      </c>
      <c r="G71" s="44">
        <f t="shared" ca="1" si="21"/>
        <v>325.82013193186964</v>
      </c>
      <c r="H71" s="44">
        <f t="shared" ca="1" si="21"/>
        <v>705.17892537983812</v>
      </c>
      <c r="I71" s="44">
        <f t="shared" ca="1" si="21"/>
        <v>1352.8643687776707</v>
      </c>
      <c r="J71" s="44">
        <f t="shared" ca="1" si="21"/>
        <v>2383.7384424014672</v>
      </c>
      <c r="K71" s="44">
        <f t="shared" ca="1" si="21"/>
        <v>3934.325828409897</v>
      </c>
      <c r="L71" s="44">
        <f t="shared" ca="1" si="21"/>
        <v>6156.6261368662454</v>
      </c>
      <c r="M71" s="44">
        <f t="shared" ca="1" si="21"/>
        <v>9207.1316493066424</v>
      </c>
      <c r="N71" s="44">
        <f t="shared" ca="1" si="21"/>
        <v>13231.08033757761</v>
      </c>
      <c r="O71" s="44">
        <f t="shared" ca="1" si="21"/>
        <v>18343.305457073784</v>
      </c>
      <c r="P71" s="44">
        <f t="shared" ca="1" si="21"/>
        <v>24608.712564703568</v>
      </c>
      <c r="Q71" s="44">
        <f t="shared" ca="1" si="21"/>
        <v>32026.889771846723</v>
      </c>
      <c r="R71" s="44">
        <f t="shared" ca="1" si="21"/>
        <v>40525.815681343563</v>
      </c>
      <c r="S71" s="44">
        <f t="shared" ca="1" si="21"/>
        <v>49968.281307277721</v>
      </c>
      <c r="T71" s="44">
        <f t="shared" ca="1" si="21"/>
        <v>64133.806376831184</v>
      </c>
      <c r="U71" s="44">
        <f t="shared" ca="1" si="21"/>
        <v>79078.985987678214</v>
      </c>
      <c r="V71" s="44">
        <f t="shared" ca="1" si="21"/>
        <v>94541.486907140934</v>
      </c>
      <c r="W71" s="44">
        <f t="shared" ca="1" si="21"/>
        <v>110022.01131954161</v>
      </c>
      <c r="X71" s="44">
        <f t="shared" ca="1" si="21"/>
        <v>125243.36723922985</v>
      </c>
      <c r="Y71" s="44"/>
    </row>
    <row r="72" spans="1:29">
      <c r="D72" s="9" t="str">
        <f>C16</f>
        <v>Manufactured</v>
      </c>
      <c r="E72" s="44">
        <f t="shared" ca="1" si="22"/>
        <v>98.135967116607958</v>
      </c>
      <c r="F72" s="44">
        <f t="shared" ca="1" si="23"/>
        <v>389.29407988390022</v>
      </c>
      <c r="G72" s="44">
        <f t="shared" ca="1" si="21"/>
        <v>1018.239762612463</v>
      </c>
      <c r="H72" s="44">
        <f t="shared" ca="1" si="21"/>
        <v>2189.0570003978519</v>
      </c>
      <c r="I72" s="44">
        <f t="shared" ca="1" si="21"/>
        <v>4171.1504941065195</v>
      </c>
      <c r="J72" s="44">
        <f t="shared" ca="1" si="21"/>
        <v>7299.2939660983884</v>
      </c>
      <c r="K72" s="44">
        <f t="shared" ca="1" si="21"/>
        <v>11964.795537556505</v>
      </c>
      <c r="L72" s="44">
        <f t="shared" ca="1" si="21"/>
        <v>18594.984206350953</v>
      </c>
      <c r="M72" s="44">
        <f t="shared" ca="1" si="21"/>
        <v>27619.335677184616</v>
      </c>
      <c r="N72" s="44">
        <f t="shared" ca="1" si="21"/>
        <v>39423.02223265577</v>
      </c>
      <c r="O72" s="44">
        <f t="shared" ca="1" si="21"/>
        <v>54292.518326580372</v>
      </c>
      <c r="P72" s="44">
        <f t="shared" ca="1" si="21"/>
        <v>72362.454708771576</v>
      </c>
      <c r="Q72" s="44">
        <f t="shared" ca="1" si="21"/>
        <v>93576.601945631177</v>
      </c>
      <c r="R72" s="44">
        <f t="shared" ca="1" si="21"/>
        <v>117676.40343506409</v>
      </c>
      <c r="S72" s="44">
        <f t="shared" ca="1" si="21"/>
        <v>144225.87500774272</v>
      </c>
      <c r="T72" s="44">
        <f t="shared" ca="1" si="21"/>
        <v>174328.52641968062</v>
      </c>
      <c r="U72" s="44">
        <f t="shared" ca="1" si="21"/>
        <v>205838.00087452919</v>
      </c>
      <c r="V72" s="44">
        <f t="shared" ca="1" si="21"/>
        <v>238229.33537812633</v>
      </c>
      <c r="W72" s="44">
        <f t="shared" ca="1" si="21"/>
        <v>271038.05066591233</v>
      </c>
      <c r="X72" s="44">
        <f t="shared" ca="1" si="21"/>
        <v>303751.12988159101</v>
      </c>
      <c r="Y72" s="44"/>
    </row>
    <row r="74" spans="1:29">
      <c r="E74" s="44">
        <f t="shared" ref="E74:X74" ca="1" si="24">SUM(E69:E72)</f>
        <v>1038.5786913875704</v>
      </c>
      <c r="F74" s="44">
        <f t="shared" ca="1" si="24"/>
        <v>4143.6584868966129</v>
      </c>
      <c r="G74" s="44">
        <f t="shared" ca="1" si="24"/>
        <v>10902.812256927438</v>
      </c>
      <c r="H74" s="44">
        <f t="shared" ca="1" si="24"/>
        <v>23582.432340664047</v>
      </c>
      <c r="I74" s="44">
        <f t="shared" ca="1" si="24"/>
        <v>45213.692869210172</v>
      </c>
      <c r="J74" s="44">
        <f t="shared" ca="1" si="24"/>
        <v>79615.995241338111</v>
      </c>
      <c r="K74" s="44">
        <f t="shared" ca="1" si="24"/>
        <v>131322.46815815603</v>
      </c>
      <c r="L74" s="44">
        <f t="shared" ca="1" si="24"/>
        <v>205371.73247554046</v>
      </c>
      <c r="M74" s="44">
        <f t="shared" ca="1" si="24"/>
        <v>306940.85267839697</v>
      </c>
      <c r="N74" s="44">
        <f t="shared" ca="1" si="24"/>
        <v>440821.16241463512</v>
      </c>
      <c r="O74" s="44">
        <f t="shared" ca="1" si="24"/>
        <v>610782.89418473677</v>
      </c>
      <c r="P74" s="44">
        <f t="shared" ca="1" si="24"/>
        <v>818929.75446496787</v>
      </c>
      <c r="Q74" s="44">
        <f t="shared" ca="1" si="24"/>
        <v>1065193.0202471847</v>
      </c>
      <c r="R74" s="44">
        <f t="shared" ca="1" si="24"/>
        <v>1347129.1862057741</v>
      </c>
      <c r="S74" s="44">
        <f t="shared" ca="1" si="24"/>
        <v>1660139.6891855544</v>
      </c>
      <c r="T74" s="44">
        <f t="shared" ca="1" si="24"/>
        <v>2080968.0216172982</v>
      </c>
      <c r="U74" s="44">
        <f t="shared" ca="1" si="24"/>
        <v>2521544.4567647912</v>
      </c>
      <c r="V74" s="44">
        <f t="shared" ca="1" si="24"/>
        <v>2973278.8284165929</v>
      </c>
      <c r="W74" s="44">
        <f t="shared" ca="1" si="24"/>
        <v>3429956.9053506879</v>
      </c>
      <c r="X74" s="44">
        <f t="shared" ca="1" si="24"/>
        <v>3885636.6461692601</v>
      </c>
      <c r="Y74" s="44"/>
    </row>
    <row r="75" spans="1:29">
      <c r="E75" s="44"/>
      <c r="F75" s="44"/>
      <c r="G75" s="44"/>
      <c r="H75" s="44"/>
      <c r="I75" s="44"/>
      <c r="J75" s="44"/>
      <c r="K75" s="44"/>
      <c r="L75" s="44"/>
      <c r="M75" s="44"/>
      <c r="N75" s="44"/>
      <c r="O75" s="44"/>
      <c r="P75" s="44"/>
      <c r="Q75" s="44"/>
      <c r="R75" s="44"/>
      <c r="S75" s="44"/>
      <c r="T75" s="44"/>
      <c r="U75" s="44"/>
      <c r="V75" s="44"/>
      <c r="W75" s="44"/>
      <c r="X75" s="44"/>
      <c r="Y75" s="44"/>
    </row>
    <row r="77" spans="1:29" customFormat="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spans="1:29" customFormat="1" ht="15">
      <c r="A78" s="86" t="s">
        <v>65</v>
      </c>
      <c r="B78" s="9"/>
      <c r="C78" s="9"/>
      <c r="D78" s="72" t="s">
        <v>146</v>
      </c>
      <c r="E78" s="9" t="s">
        <v>4720</v>
      </c>
      <c r="F78" s="9"/>
      <c r="G78" s="9"/>
      <c r="H78" s="9"/>
      <c r="I78" s="9"/>
      <c r="J78" s="9"/>
      <c r="K78" s="9"/>
      <c r="L78" s="9"/>
      <c r="M78" s="9"/>
      <c r="N78" s="9"/>
      <c r="O78" s="9"/>
      <c r="P78" s="9"/>
      <c r="Q78" s="9"/>
      <c r="R78" s="9"/>
      <c r="S78" s="9"/>
      <c r="T78" s="9"/>
      <c r="U78" s="9"/>
      <c r="V78" s="9"/>
      <c r="W78" s="9"/>
      <c r="X78" s="9"/>
      <c r="Y78" s="9"/>
      <c r="Z78" s="9"/>
      <c r="AA78" s="9"/>
      <c r="AB78" s="9"/>
      <c r="AC78" s="9"/>
    </row>
    <row r="79" spans="1:29" customFormat="1" ht="15">
      <c r="A79" s="68" t="s">
        <v>66</v>
      </c>
      <c r="B79" s="68" t="s">
        <v>24</v>
      </c>
      <c r="C79" s="68"/>
      <c r="D79" s="68">
        <v>1</v>
      </c>
      <c r="E79" s="79">
        <f t="shared" ref="E79:X79" si="25">E11</f>
        <v>2016</v>
      </c>
      <c r="F79" s="73">
        <f t="shared" si="25"/>
        <v>2017</v>
      </c>
      <c r="G79" s="73">
        <f t="shared" si="25"/>
        <v>2018</v>
      </c>
      <c r="H79" s="73">
        <f t="shared" si="25"/>
        <v>2019</v>
      </c>
      <c r="I79" s="73">
        <f t="shared" si="25"/>
        <v>2020</v>
      </c>
      <c r="J79" s="73">
        <f t="shared" si="25"/>
        <v>2021</v>
      </c>
      <c r="K79" s="73">
        <f t="shared" si="25"/>
        <v>2022</v>
      </c>
      <c r="L79" s="73">
        <f t="shared" si="25"/>
        <v>2023</v>
      </c>
      <c r="M79" s="73">
        <f t="shared" si="25"/>
        <v>2024</v>
      </c>
      <c r="N79" s="73">
        <f t="shared" si="25"/>
        <v>2025</v>
      </c>
      <c r="O79" s="73">
        <f t="shared" si="25"/>
        <v>2026</v>
      </c>
      <c r="P79" s="73">
        <f t="shared" si="25"/>
        <v>2027</v>
      </c>
      <c r="Q79" s="73">
        <f t="shared" si="25"/>
        <v>2028</v>
      </c>
      <c r="R79" s="73">
        <f t="shared" si="25"/>
        <v>2029</v>
      </c>
      <c r="S79" s="73">
        <f t="shared" si="25"/>
        <v>2030</v>
      </c>
      <c r="T79" s="73">
        <f t="shared" si="25"/>
        <v>2031</v>
      </c>
      <c r="U79" s="73">
        <f t="shared" si="25"/>
        <v>2032</v>
      </c>
      <c r="V79" s="73">
        <f t="shared" si="25"/>
        <v>2033</v>
      </c>
      <c r="W79" s="73">
        <f t="shared" si="25"/>
        <v>2034</v>
      </c>
      <c r="X79" s="73">
        <f t="shared" si="25"/>
        <v>2035</v>
      </c>
      <c r="Y79" s="74" t="s">
        <v>151</v>
      </c>
      <c r="Z79" s="9"/>
      <c r="AA79" s="9"/>
      <c r="AB79" s="9"/>
      <c r="AC79" s="9"/>
    </row>
    <row r="80" spans="1:29" customFormat="1" ht="15">
      <c r="A80" s="68" t="s">
        <v>46</v>
      </c>
      <c r="B80" s="68" t="s">
        <v>67</v>
      </c>
      <c r="C80" s="68" t="s">
        <v>68</v>
      </c>
      <c r="D80" s="68" t="s">
        <v>69</v>
      </c>
      <c r="E80" s="80" t="str">
        <f t="shared" ref="E80" si="26">CONCATENATE("aMW_",E79)</f>
        <v>aMW_2016</v>
      </c>
      <c r="F80" s="75" t="str">
        <f t="shared" ref="F80" si="27">CONCATENATE("aMW_",F79)</f>
        <v>aMW_2017</v>
      </c>
      <c r="G80" s="75" t="str">
        <f t="shared" ref="G80" si="28">CONCATENATE("aMW_",G79)</f>
        <v>aMW_2018</v>
      </c>
      <c r="H80" s="75" t="str">
        <f t="shared" ref="H80" si="29">CONCATENATE("aMW_",H79)</f>
        <v>aMW_2019</v>
      </c>
      <c r="I80" s="75" t="str">
        <f t="shared" ref="I80" si="30">CONCATENATE("aMW_",I79)</f>
        <v>aMW_2020</v>
      </c>
      <c r="J80" s="75" t="str">
        <f t="shared" ref="J80" si="31">CONCATENATE("aMW_",J79)</f>
        <v>aMW_2021</v>
      </c>
      <c r="K80" s="75" t="str">
        <f t="shared" ref="K80" si="32">CONCATENATE("aMW_",K79)</f>
        <v>aMW_2022</v>
      </c>
      <c r="L80" s="75" t="str">
        <f t="shared" ref="L80" si="33">CONCATENATE("aMW_",L79)</f>
        <v>aMW_2023</v>
      </c>
      <c r="M80" s="75" t="str">
        <f t="shared" ref="M80" si="34">CONCATENATE("aMW_",M79)</f>
        <v>aMW_2024</v>
      </c>
      <c r="N80" s="75" t="str">
        <f t="shared" ref="N80" si="35">CONCATENATE("aMW_",N79)</f>
        <v>aMW_2025</v>
      </c>
      <c r="O80" s="75" t="str">
        <f t="shared" ref="O80" si="36">CONCATENATE("aMW_",O79)</f>
        <v>aMW_2026</v>
      </c>
      <c r="P80" s="75" t="str">
        <f t="shared" ref="P80" si="37">CONCATENATE("aMW_",P79)</f>
        <v>aMW_2027</v>
      </c>
      <c r="Q80" s="75" t="str">
        <f t="shared" ref="Q80" si="38">CONCATENATE("aMW_",Q79)</f>
        <v>aMW_2028</v>
      </c>
      <c r="R80" s="75" t="str">
        <f t="shared" ref="R80" si="39">CONCATENATE("aMW_",R79)</f>
        <v>aMW_2029</v>
      </c>
      <c r="S80" s="75" t="str">
        <f t="shared" ref="S80" si="40">CONCATENATE("aMW_",S79)</f>
        <v>aMW_2030</v>
      </c>
      <c r="T80" s="75" t="str">
        <f t="shared" ref="T80" si="41">CONCATENATE("aMW_",T79)</f>
        <v>aMW_2031</v>
      </c>
      <c r="U80" s="75" t="str">
        <f t="shared" ref="U80" si="42">CONCATENATE("aMW_",U79)</f>
        <v>aMW_2032</v>
      </c>
      <c r="V80" s="75" t="str">
        <f t="shared" ref="V80" si="43">CONCATENATE("aMW_",V79)</f>
        <v>aMW_2033</v>
      </c>
      <c r="W80" s="75" t="str">
        <f t="shared" ref="W80" si="44">CONCATENATE("aMW_",W79)</f>
        <v>aMW_2034</v>
      </c>
      <c r="X80" s="75" t="str">
        <f t="shared" ref="X80" si="45">CONCATENATE("aMW_",X79)</f>
        <v>aMW_2035</v>
      </c>
      <c r="Y80" s="76" t="s">
        <v>151</v>
      </c>
      <c r="Z80" s="9"/>
      <c r="AA80" s="9"/>
      <c r="AB80" s="61"/>
      <c r="AC80" s="61"/>
    </row>
    <row r="81" spans="1:29" customFormat="1">
      <c r="A81" s="77">
        <f t="shared" ref="A81:A92" si="46">VLOOKUP($D81,MeasureOutput,3,FALSE)</f>
        <v>10.2023264489233</v>
      </c>
      <c r="B81" s="77">
        <f t="shared" ref="B81:B92" si="47">VLOOKUP($D81,MeasureOutput,11,FALSE)</f>
        <v>311.29143633214102</v>
      </c>
      <c r="C81" s="9" t="str">
        <f>C13</f>
        <v>Single Family</v>
      </c>
      <c r="D81" t="s">
        <v>4683</v>
      </c>
      <c r="E81" s="38">
        <f t="shared" ref="E81:N92" ca="1" si="48">VLOOKUP($C81,$D$60:$Z$63,E$32,FALSE)*$D$79*$A81/8760/1000</f>
        <v>9.0083189416112648E-4</v>
      </c>
      <c r="F81" s="38">
        <f t="shared" ca="1" si="48"/>
        <v>2.695401166421947E-3</v>
      </c>
      <c r="G81" s="38">
        <f t="shared" ca="1" si="48"/>
        <v>5.8720078236745733E-3</v>
      </c>
      <c r="H81" s="38">
        <f t="shared" ca="1" si="48"/>
        <v>1.102405984089893E-2</v>
      </c>
      <c r="I81" s="38">
        <f t="shared" ca="1" si="48"/>
        <v>1.8821557508849947E-2</v>
      </c>
      <c r="J81" s="38">
        <f t="shared" ca="1" si="48"/>
        <v>2.9956912833006975E-2</v>
      </c>
      <c r="K81" s="38">
        <f t="shared" ca="1" si="48"/>
        <v>4.5059638272849194E-2</v>
      </c>
      <c r="L81" s="38">
        <f t="shared" ca="1" si="48"/>
        <v>6.457943138222251E-2</v>
      </c>
      <c r="M81" s="38">
        <f t="shared" ca="1" si="48"/>
        <v>8.8646848439315432E-2</v>
      </c>
      <c r="N81" s="38">
        <f t="shared" ca="1" si="48"/>
        <v>0.11693484279730014</v>
      </c>
      <c r="O81" s="38">
        <f t="shared" ref="O81:X92" ca="1" si="49">VLOOKUP($C81,$D$60:$Z$63,O$32,FALSE)*$D$79*$A81/8760/1000</f>
        <v>0.14855986218457648</v>
      </c>
      <c r="P81" s="38">
        <f t="shared" ca="1" si="49"/>
        <v>0.18207102166716671</v>
      </c>
      <c r="Q81" s="38">
        <f t="shared" ca="1" si="49"/>
        <v>0.2155702142308431</v>
      </c>
      <c r="R81" s="38">
        <f t="shared" ca="1" si="49"/>
        <v>0.2469764869352305</v>
      </c>
      <c r="S81" s="38">
        <f t="shared" ca="1" si="49"/>
        <v>0.27439550579317296</v>
      </c>
      <c r="T81" s="38">
        <f t="shared" ca="1" si="49"/>
        <v>0.36588421852155517</v>
      </c>
      <c r="U81" s="38">
        <f t="shared" ca="1" si="49"/>
        <v>0.3826383970852999</v>
      </c>
      <c r="V81" s="38">
        <f t="shared" ca="1" si="49"/>
        <v>0.39168854524915081</v>
      </c>
      <c r="W81" s="38">
        <f t="shared" ca="1" si="49"/>
        <v>0.39634225622616609</v>
      </c>
      <c r="X81" s="38">
        <f t="shared" ca="1" si="49"/>
        <v>0.396549172523603</v>
      </c>
      <c r="Y81" s="38">
        <f ca="1">(VLOOKUP(C81,$D$51:$Z$54,$X$32+2,FALSE)+VLOOKUP(C81,$D$43:$Z$46,$X$32+2,FALSE))*A81*$D$79/8760/1000</f>
        <v>5.4728904836639947</v>
      </c>
      <c r="Z81" s="9"/>
      <c r="AA81" s="44">
        <f ca="1">SUM(E81:X81)</f>
        <v>3.3851672123754657</v>
      </c>
      <c r="AB81" s="38"/>
      <c r="AC81" s="62"/>
    </row>
    <row r="82" spans="1:29" customFormat="1">
      <c r="A82" s="77">
        <f t="shared" si="46"/>
        <v>34.837179731806977</v>
      </c>
      <c r="B82" s="77">
        <f t="shared" si="47"/>
        <v>315.46947603880625</v>
      </c>
      <c r="C82" s="9" t="str">
        <f>C81</f>
        <v>Single Family</v>
      </c>
      <c r="D82" t="s">
        <v>4684</v>
      </c>
      <c r="E82" s="38">
        <f t="shared" ca="1" si="48"/>
        <v>3.0760084733759152E-3</v>
      </c>
      <c r="F82" s="38">
        <f t="shared" ca="1" si="48"/>
        <v>9.2038002659553461E-3</v>
      </c>
      <c r="G82" s="38">
        <f t="shared" ca="1" si="48"/>
        <v>2.0050739697857489E-2</v>
      </c>
      <c r="H82" s="38">
        <f t="shared" ca="1" si="48"/>
        <v>3.7643096010922278E-2</v>
      </c>
      <c r="I82" s="38">
        <f t="shared" ca="1" si="48"/>
        <v>6.4268672939547522E-2</v>
      </c>
      <c r="J82" s="38">
        <f t="shared" ca="1" si="48"/>
        <v>0.10229180195304145</v>
      </c>
      <c r="K82" s="38">
        <f t="shared" ca="1" si="48"/>
        <v>0.15386203578372254</v>
      </c>
      <c r="L82" s="38">
        <f t="shared" ca="1" si="48"/>
        <v>0.22051492562050001</v>
      </c>
      <c r="M82" s="38">
        <f t="shared" ca="1" si="48"/>
        <v>0.30269627297258239</v>
      </c>
      <c r="N82" s="38">
        <f t="shared" ca="1" si="48"/>
        <v>0.39928933423513951</v>
      </c>
      <c r="O82" s="38">
        <f t="shared" ca="1" si="49"/>
        <v>0.50727710446892726</v>
      </c>
      <c r="P82" s="38">
        <f t="shared" ca="1" si="49"/>
        <v>0.62170534706250258</v>
      </c>
      <c r="Q82" s="38">
        <f t="shared" ca="1" si="49"/>
        <v>0.73609272704428774</v>
      </c>
      <c r="R82" s="38">
        <f t="shared" ca="1" si="49"/>
        <v>0.84333355808281563</v>
      </c>
      <c r="S82" s="38">
        <f t="shared" ca="1" si="49"/>
        <v>0.93695938870155171</v>
      </c>
      <c r="T82" s="38">
        <f t="shared" ca="1" si="49"/>
        <v>1.2493595794528163</v>
      </c>
      <c r="U82" s="38">
        <f t="shared" ca="1" si="49"/>
        <v>1.3065689162453629</v>
      </c>
      <c r="V82" s="38">
        <f t="shared" ca="1" si="49"/>
        <v>1.3374718323363131</v>
      </c>
      <c r="W82" s="38">
        <f t="shared" ca="1" si="49"/>
        <v>1.3533625379060485</v>
      </c>
      <c r="X82" s="38">
        <f t="shared" ca="1" si="49"/>
        <v>1.3540690807009039</v>
      </c>
      <c r="Y82" s="38">
        <f t="shared" ref="Y82:Y92" ca="1" si="50">(VLOOKUP(C82,$D$51:$Z$54,$X$32+2,FALSE)+VLOOKUP(C82,$D$43:$Z$46,$X$32+2,FALSE))*A82*$D$79/8760/1000</f>
        <v>18.687901272951315</v>
      </c>
      <c r="Z82" s="9"/>
      <c r="AA82" s="44">
        <f t="shared" ref="AA82:AA92" ca="1" si="51">SUM(E82:X82)</f>
        <v>11.559096759954175</v>
      </c>
      <c r="AB82" s="38"/>
      <c r="AC82" s="62"/>
    </row>
    <row r="83" spans="1:29" customFormat="1">
      <c r="A83" s="77">
        <f t="shared" si="46"/>
        <v>60.745261234907062</v>
      </c>
      <c r="B83" s="77">
        <f t="shared" si="47"/>
        <v>170.87222615492539</v>
      </c>
      <c r="C83" s="9" t="str">
        <f>C81</f>
        <v>Single Family</v>
      </c>
      <c r="D83" t="s">
        <v>4685</v>
      </c>
      <c r="E83" s="38">
        <f t="shared" ca="1" si="48"/>
        <v>5.3636069198049214E-3</v>
      </c>
      <c r="F83" s="38">
        <f t="shared" ca="1" si="48"/>
        <v>1.6048579586909206E-2</v>
      </c>
      <c r="G83" s="38">
        <f t="shared" ca="1" si="48"/>
        <v>3.4962285416790785E-2</v>
      </c>
      <c r="H83" s="38">
        <f t="shared" ca="1" si="48"/>
        <v>6.5637910946804282E-2</v>
      </c>
      <c r="I83" s="38">
        <f t="shared" ca="1" si="48"/>
        <v>0.11206467793858693</v>
      </c>
      <c r="J83" s="38">
        <f t="shared" ca="1" si="48"/>
        <v>0.178365248842277</v>
      </c>
      <c r="K83" s="38">
        <f t="shared" ca="1" si="48"/>
        <v>0.268287778453071</v>
      </c>
      <c r="L83" s="38">
        <f t="shared" ca="1" si="48"/>
        <v>0.38450979287463044</v>
      </c>
      <c r="M83" s="38">
        <f t="shared" ca="1" si="48"/>
        <v>0.52780863198763073</v>
      </c>
      <c r="N83" s="38">
        <f t="shared" ca="1" si="48"/>
        <v>0.69623704051681534</v>
      </c>
      <c r="O83" s="38">
        <f t="shared" ca="1" si="49"/>
        <v>0.88453429544751216</v>
      </c>
      <c r="P83" s="38">
        <f t="shared" ca="1" si="49"/>
        <v>1.0840617411968498</v>
      </c>
      <c r="Q83" s="38">
        <f t="shared" ca="1" si="49"/>
        <v>1.2835179351959876</v>
      </c>
      <c r="R83" s="38">
        <f t="shared" ca="1" si="49"/>
        <v>1.4705127593073137</v>
      </c>
      <c r="S83" s="38">
        <f t="shared" ca="1" si="49"/>
        <v>1.6337672357905997</v>
      </c>
      <c r="T83" s="38">
        <f t="shared" ca="1" si="49"/>
        <v>2.1784964975480938</v>
      </c>
      <c r="U83" s="38">
        <f t="shared" ca="1" si="49"/>
        <v>2.2782518777279117</v>
      </c>
      <c r="V83" s="38">
        <f t="shared" ca="1" si="49"/>
        <v>2.3321370006143449</v>
      </c>
      <c r="W83" s="38">
        <f t="shared" ca="1" si="49"/>
        <v>2.3598454738165895</v>
      </c>
      <c r="X83" s="38">
        <f t="shared" ca="1" si="49"/>
        <v>2.3610774658141489</v>
      </c>
      <c r="Y83" s="38">
        <f ca="1">(VLOOKUP(C83,$D$51:$Z$54,$X$32+2,FALSE)+VLOOKUP(C83,$D$43:$Z$46,$X$32+2,FALSE))*A83*$D$79/8760/1000</f>
        <v>32.58591692831898</v>
      </c>
      <c r="Z83" s="9"/>
      <c r="AA83" s="44">
        <f t="shared" ca="1" si="51"/>
        <v>20.155487835942672</v>
      </c>
      <c r="AB83" s="38"/>
      <c r="AC83" s="62"/>
    </row>
    <row r="84" spans="1:29" customFormat="1">
      <c r="A84" s="77">
        <f t="shared" si="46"/>
        <v>10.2023264489233</v>
      </c>
      <c r="B84" s="77">
        <f t="shared" si="47"/>
        <v>311.29143633214102</v>
      </c>
      <c r="C84" s="9" t="str">
        <f>C14</f>
        <v>Multifamily - Low Rise</v>
      </c>
      <c r="D84" t="s">
        <v>4683</v>
      </c>
      <c r="E84" s="38">
        <f t="shared" ca="1" si="48"/>
        <v>1.5835056374751555E-4</v>
      </c>
      <c r="F84" s="38">
        <f t="shared" ca="1" si="48"/>
        <v>4.7380458149510481E-4</v>
      </c>
      <c r="G84" s="38">
        <f t="shared" ca="1" si="48"/>
        <v>1.0321966697519262E-3</v>
      </c>
      <c r="H84" s="38">
        <f t="shared" ca="1" si="48"/>
        <v>1.937837581323222E-3</v>
      </c>
      <c r="I84" s="38">
        <f t="shared" ca="1" si="48"/>
        <v>3.3085016474369965E-3</v>
      </c>
      <c r="J84" s="38">
        <f t="shared" ca="1" si="48"/>
        <v>5.2659027706285352E-3</v>
      </c>
      <c r="K84" s="38">
        <f t="shared" ca="1" si="48"/>
        <v>7.9206981929232662E-3</v>
      </c>
      <c r="L84" s="38">
        <f t="shared" ca="1" si="48"/>
        <v>1.1351936818366017E-2</v>
      </c>
      <c r="M84" s="38">
        <f t="shared" ca="1" si="48"/>
        <v>1.5582568075758713E-2</v>
      </c>
      <c r="N84" s="38">
        <f t="shared" ca="1" si="48"/>
        <v>2.0555102789563462E-2</v>
      </c>
      <c r="O84" s="38">
        <f t="shared" ca="1" si="49"/>
        <v>2.6114227828234207E-2</v>
      </c>
      <c r="P84" s="38">
        <f t="shared" ca="1" si="49"/>
        <v>3.2004902918165511E-2</v>
      </c>
      <c r="Q84" s="38">
        <f t="shared" ca="1" si="49"/>
        <v>3.7893474001912147E-2</v>
      </c>
      <c r="R84" s="38">
        <f t="shared" ca="1" si="49"/>
        <v>4.3414145955637452E-2</v>
      </c>
      <c r="S84" s="38">
        <f t="shared" ca="1" si="49"/>
        <v>4.8233928055229344E-2</v>
      </c>
      <c r="T84" s="38">
        <f t="shared" ca="1" si="49"/>
        <v>7.2676242512913478E-2</v>
      </c>
      <c r="U84" s="38">
        <f t="shared" ca="1" si="49"/>
        <v>7.6375195520588024E-2</v>
      </c>
      <c r="V84" s="38">
        <f t="shared" ca="1" si="49"/>
        <v>7.8690573126627833E-2</v>
      </c>
      <c r="W84" s="38">
        <f t="shared" ca="1" si="49"/>
        <v>7.9287451029145958E-2</v>
      </c>
      <c r="X84" s="38">
        <f t="shared" ca="1" si="49"/>
        <v>7.8331046265903606E-2</v>
      </c>
      <c r="Y84" s="38">
        <f t="shared" ca="1" si="50"/>
        <v>1.0103176308240449</v>
      </c>
      <c r="Z84" s="9"/>
      <c r="AA84" s="44">
        <f t="shared" ca="1" si="51"/>
        <v>0.64060808690535231</v>
      </c>
      <c r="AB84" s="38"/>
      <c r="AC84" s="62"/>
    </row>
    <row r="85" spans="1:29" customFormat="1">
      <c r="A85" s="77">
        <f t="shared" si="46"/>
        <v>34.837179731806977</v>
      </c>
      <c r="B85" s="77">
        <f t="shared" si="47"/>
        <v>315.46947603880625</v>
      </c>
      <c r="C85" s="9" t="str">
        <f>C84</f>
        <v>Multifamily - Low Rise</v>
      </c>
      <c r="D85" t="s">
        <v>4684</v>
      </c>
      <c r="E85" s="38">
        <f t="shared" ca="1" si="48"/>
        <v>5.4070873712214326E-4</v>
      </c>
      <c r="F85" s="38">
        <f t="shared" ca="1" si="48"/>
        <v>1.617867791815318E-3</v>
      </c>
      <c r="G85" s="38">
        <f t="shared" ca="1" si="48"/>
        <v>3.5245707028435038E-3</v>
      </c>
      <c r="H85" s="38">
        <f t="shared" ca="1" si="48"/>
        <v>6.6170001959437149E-3</v>
      </c>
      <c r="I85" s="38">
        <f t="shared" ca="1" si="48"/>
        <v>1.1297312148535098E-2</v>
      </c>
      <c r="J85" s="38">
        <f t="shared" ca="1" si="48"/>
        <v>1.7981114620182231E-2</v>
      </c>
      <c r="K85" s="38">
        <f t="shared" ca="1" si="48"/>
        <v>2.7046261255185305E-2</v>
      </c>
      <c r="L85" s="38">
        <f t="shared" ca="1" si="48"/>
        <v>3.8762674888458387E-2</v>
      </c>
      <c r="M85" s="38">
        <f t="shared" ca="1" si="48"/>
        <v>5.3208719350047236E-2</v>
      </c>
      <c r="N85" s="38">
        <f t="shared" ca="1" si="48"/>
        <v>7.0188090321434568E-2</v>
      </c>
      <c r="O85" s="38">
        <f t="shared" ca="1" si="49"/>
        <v>8.9170450775524851E-2</v>
      </c>
      <c r="P85" s="38">
        <f t="shared" ca="1" si="49"/>
        <v>0.10928493229863594</v>
      </c>
      <c r="Q85" s="38">
        <f t="shared" ca="1" si="49"/>
        <v>0.12939222941709388</v>
      </c>
      <c r="R85" s="38">
        <f t="shared" ca="1" si="49"/>
        <v>0.14824328677691515</v>
      </c>
      <c r="S85" s="38">
        <f t="shared" ca="1" si="49"/>
        <v>0.1647010639429603</v>
      </c>
      <c r="T85" s="38">
        <f t="shared" ca="1" si="49"/>
        <v>0.24816254756501685</v>
      </c>
      <c r="U85" s="38">
        <f t="shared" ca="1" si="49"/>
        <v>0.26079310701564745</v>
      </c>
      <c r="V85" s="38">
        <f t="shared" ca="1" si="49"/>
        <v>0.26869926706771302</v>
      </c>
      <c r="W85" s="38">
        <f t="shared" ca="1" si="49"/>
        <v>0.27073738483154552</v>
      </c>
      <c r="X85" s="38">
        <f t="shared" ca="1" si="49"/>
        <v>0.26747161551900339</v>
      </c>
      <c r="Y85" s="38">
        <f t="shared" ca="1" si="50"/>
        <v>3.4498618591983132</v>
      </c>
      <c r="Z85" s="9"/>
      <c r="AA85" s="44">
        <f t="shared" ca="1" si="51"/>
        <v>2.1874402052216242</v>
      </c>
      <c r="AB85" s="38"/>
      <c r="AC85" s="62"/>
    </row>
    <row r="86" spans="1:29" customFormat="1">
      <c r="A86" s="77">
        <f t="shared" si="46"/>
        <v>60.745261234907062</v>
      </c>
      <c r="B86" s="77">
        <f t="shared" si="47"/>
        <v>170.87222615492539</v>
      </c>
      <c r="C86" s="9" t="str">
        <f>C84</f>
        <v>Multifamily - Low Rise</v>
      </c>
      <c r="D86" t="s">
        <v>4685</v>
      </c>
      <c r="E86" s="38">
        <f t="shared" ca="1" si="48"/>
        <v>9.4282871751793249E-4</v>
      </c>
      <c r="F86" s="38">
        <f t="shared" ca="1" si="48"/>
        <v>2.8210607866065089E-3</v>
      </c>
      <c r="G86" s="38">
        <f t="shared" ca="1" si="48"/>
        <v>6.1457606423188892E-3</v>
      </c>
      <c r="H86" s="38">
        <f t="shared" ca="1" si="48"/>
        <v>1.1538000739108144E-2</v>
      </c>
      <c r="I86" s="38">
        <f t="shared" ca="1" si="48"/>
        <v>1.9699016481764382E-2</v>
      </c>
      <c r="J86" s="38">
        <f t="shared" ca="1" si="48"/>
        <v>3.1353499718018686E-2</v>
      </c>
      <c r="K86" s="38">
        <f t="shared" ca="1" si="48"/>
        <v>4.7160310278324569E-2</v>
      </c>
      <c r="L86" s="38">
        <f t="shared" ca="1" si="48"/>
        <v>6.7590110060296846E-2</v>
      </c>
      <c r="M86" s="38">
        <f t="shared" ca="1" si="48"/>
        <v>9.2779541334180871E-2</v>
      </c>
      <c r="N86" s="38">
        <f t="shared" ca="1" si="48"/>
        <v>0.12238631011402039</v>
      </c>
      <c r="O86" s="38">
        <f t="shared" ca="1" si="49"/>
        <v>0.15548567273510228</v>
      </c>
      <c r="P86" s="38">
        <f t="shared" ca="1" si="49"/>
        <v>0.19055910417049812</v>
      </c>
      <c r="Q86" s="38">
        <f t="shared" ca="1" si="49"/>
        <v>0.22562000822736245</v>
      </c>
      <c r="R86" s="38">
        <f t="shared" ca="1" si="49"/>
        <v>0.25849041888322422</v>
      </c>
      <c r="S86" s="38">
        <f t="shared" ca="1" si="49"/>
        <v>0.28718768947153556</v>
      </c>
      <c r="T86" s="38">
        <f t="shared" ca="1" si="49"/>
        <v>0.43271869010663699</v>
      </c>
      <c r="U86" s="38">
        <f t="shared" ca="1" si="49"/>
        <v>0.45474247731553868</v>
      </c>
      <c r="V86" s="38">
        <f t="shared" ca="1" si="49"/>
        <v>0.46852837391867913</v>
      </c>
      <c r="W86" s="38">
        <f t="shared" ca="1" si="49"/>
        <v>0.47208222061191385</v>
      </c>
      <c r="X86" s="38">
        <f t="shared" ca="1" si="49"/>
        <v>0.46638772950928908</v>
      </c>
      <c r="Y86" s="38">
        <f t="shared" ca="1" si="50"/>
        <v>6.0154915373361613</v>
      </c>
      <c r="Z86" s="9"/>
      <c r="AA86" s="44">
        <f t="shared" ca="1" si="51"/>
        <v>3.8142188238219377</v>
      </c>
      <c r="AB86" s="38"/>
      <c r="AC86" s="62"/>
    </row>
    <row r="87" spans="1:29" customFormat="1">
      <c r="A87" s="77">
        <f t="shared" si="46"/>
        <v>10.2023264489233</v>
      </c>
      <c r="B87" s="77">
        <f t="shared" si="47"/>
        <v>311.29143633214102</v>
      </c>
      <c r="C87" s="9" t="str">
        <f>C15</f>
        <v>Multifamily - High Rise</v>
      </c>
      <c r="D87" t="s">
        <v>4683</v>
      </c>
      <c r="E87" s="38">
        <f t="shared" ca="1" si="48"/>
        <v>3.6103350256554415E-5</v>
      </c>
      <c r="F87" s="38">
        <f t="shared" ca="1" si="48"/>
        <v>1.0802571430154655E-4</v>
      </c>
      <c r="G87" s="38">
        <f t="shared" ca="1" si="48"/>
        <v>2.3533707124100784E-4</v>
      </c>
      <c r="H87" s="38">
        <f t="shared" ca="1" si="48"/>
        <v>4.4181989178377159E-4</v>
      </c>
      <c r="I87" s="38">
        <f t="shared" ca="1" si="48"/>
        <v>7.5432629335163513E-4</v>
      </c>
      <c r="J87" s="38">
        <f t="shared" ca="1" si="48"/>
        <v>1.2006066012375987E-3</v>
      </c>
      <c r="K87" s="38">
        <f t="shared" ca="1" si="48"/>
        <v>1.8058902625160554E-3</v>
      </c>
      <c r="L87" s="38">
        <f t="shared" ca="1" si="48"/>
        <v>2.588200138631805E-3</v>
      </c>
      <c r="M87" s="38">
        <f t="shared" ca="1" si="48"/>
        <v>3.5527686155430345E-3</v>
      </c>
      <c r="N87" s="38">
        <f t="shared" ca="1" si="48"/>
        <v>4.6864883711709038E-3</v>
      </c>
      <c r="O87" s="38">
        <f t="shared" ca="1" si="49"/>
        <v>5.9539485787084359E-3</v>
      </c>
      <c r="P87" s="38">
        <f t="shared" ca="1" si="49"/>
        <v>7.2970009871510706E-3</v>
      </c>
      <c r="Q87" s="38">
        <f t="shared" ca="1" si="49"/>
        <v>8.6395736898671905E-3</v>
      </c>
      <c r="R87" s="38">
        <f t="shared" ca="1" si="49"/>
        <v>9.8982667344633679E-3</v>
      </c>
      <c r="S87" s="38">
        <f t="shared" ca="1" si="49"/>
        <v>1.0997159451885518E-2</v>
      </c>
      <c r="T87" s="38">
        <f t="shared" ca="1" si="49"/>
        <v>1.649786656164285E-2</v>
      </c>
      <c r="U87" s="38">
        <f t="shared" ca="1" si="49"/>
        <v>1.7405890551102046E-2</v>
      </c>
      <c r="V87" s="38">
        <f t="shared" ca="1" si="49"/>
        <v>1.8008388367252895E-2</v>
      </c>
      <c r="W87" s="38">
        <f t="shared" ca="1" si="49"/>
        <v>1.8029379412766919E-2</v>
      </c>
      <c r="X87" s="38">
        <f t="shared" ca="1" si="49"/>
        <v>1.7727539051131343E-2</v>
      </c>
      <c r="Y87" s="38">
        <f t="shared" ca="1" si="50"/>
        <v>0.23014629893784119</v>
      </c>
      <c r="Z87" s="9"/>
      <c r="AA87" s="44">
        <f t="shared" ca="1" si="51"/>
        <v>0.14586457969600555</v>
      </c>
      <c r="AB87" s="38"/>
      <c r="AC87" s="62"/>
    </row>
    <row r="88" spans="1:29" customFormat="1">
      <c r="A88" s="77">
        <f t="shared" si="46"/>
        <v>34.837179731806977</v>
      </c>
      <c r="B88" s="77">
        <f t="shared" si="47"/>
        <v>315.46947603880625</v>
      </c>
      <c r="C88" s="9" t="str">
        <f>C87</f>
        <v>Multifamily - High Rise</v>
      </c>
      <c r="D88" t="s">
        <v>4684</v>
      </c>
      <c r="E88" s="38">
        <f t="shared" ca="1" si="48"/>
        <v>1.2327961745830051E-4</v>
      </c>
      <c r="F88" s="38">
        <f t="shared" ca="1" si="48"/>
        <v>3.6886794826850191E-4</v>
      </c>
      <c r="G88" s="38">
        <f t="shared" ca="1" si="48"/>
        <v>8.0358924892520733E-4</v>
      </c>
      <c r="H88" s="38">
        <f t="shared" ca="1" si="48"/>
        <v>1.5086518801584834E-3</v>
      </c>
      <c r="I88" s="38">
        <f t="shared" ca="1" si="48"/>
        <v>2.5757459133933097E-3</v>
      </c>
      <c r="J88" s="38">
        <f t="shared" ca="1" si="48"/>
        <v>4.0996284684580156E-3</v>
      </c>
      <c r="K88" s="38">
        <f t="shared" ca="1" si="48"/>
        <v>6.1664487963753924E-3</v>
      </c>
      <c r="L88" s="38">
        <f t="shared" ca="1" si="48"/>
        <v>8.8377483177789831E-3</v>
      </c>
      <c r="M88" s="38">
        <f t="shared" ca="1" si="48"/>
        <v>1.2131393699743613E-2</v>
      </c>
      <c r="N88" s="38">
        <f t="shared" ca="1" si="48"/>
        <v>1.6002628274527926E-2</v>
      </c>
      <c r="O88" s="38">
        <f t="shared" ca="1" si="49"/>
        <v>2.0330537136683403E-2</v>
      </c>
      <c r="P88" s="38">
        <f t="shared" ca="1" si="49"/>
        <v>2.4916565468200876E-2</v>
      </c>
      <c r="Q88" s="38">
        <f t="shared" ca="1" si="49"/>
        <v>2.9500955781694066E-2</v>
      </c>
      <c r="R88" s="38">
        <f t="shared" ca="1" si="49"/>
        <v>3.3798928017859872E-2</v>
      </c>
      <c r="S88" s="38">
        <f t="shared" ca="1" si="49"/>
        <v>3.7551241109826196E-2</v>
      </c>
      <c r="T88" s="38">
        <f t="shared" ca="1" si="49"/>
        <v>5.6334125895371186E-2</v>
      </c>
      <c r="U88" s="38">
        <f t="shared" ca="1" si="49"/>
        <v>5.9434692720001743E-2</v>
      </c>
      <c r="V88" s="38">
        <f t="shared" ca="1" si="49"/>
        <v>6.149200041490336E-2</v>
      </c>
      <c r="W88" s="38">
        <f t="shared" ca="1" si="49"/>
        <v>6.1563677088747479E-2</v>
      </c>
      <c r="X88" s="38">
        <f t="shared" ca="1" si="49"/>
        <v>6.053300364566018E-2</v>
      </c>
      <c r="Y88" s="38">
        <f t="shared" ca="1" si="50"/>
        <v>0.78586467712507768</v>
      </c>
      <c r="Z88" s="9"/>
      <c r="AA88" s="44">
        <f t="shared" ca="1" si="51"/>
        <v>0.49807370944403612</v>
      </c>
      <c r="AB88" s="38"/>
      <c r="AC88" s="62"/>
    </row>
    <row r="89" spans="1:29" customFormat="1">
      <c r="A89" s="77">
        <f t="shared" si="46"/>
        <v>60.745261234907062</v>
      </c>
      <c r="B89" s="77">
        <f t="shared" si="47"/>
        <v>170.87222615492539</v>
      </c>
      <c r="C89" s="9" t="str">
        <f>C87</f>
        <v>Multifamily - High Rise</v>
      </c>
      <c r="D89" t="s">
        <v>4685</v>
      </c>
      <c r="E89" s="38">
        <f t="shared" ca="1" si="48"/>
        <v>2.1496150449304587E-4</v>
      </c>
      <c r="F89" s="38">
        <f t="shared" ca="1" si="48"/>
        <v>6.4319155715973056E-4</v>
      </c>
      <c r="G89" s="38">
        <f t="shared" ca="1" si="48"/>
        <v>1.4012109828441762E-3</v>
      </c>
      <c r="H89" s="38">
        <f t="shared" ca="1" si="48"/>
        <v>2.6306220330771682E-3</v>
      </c>
      <c r="I89" s="38">
        <f t="shared" ca="1" si="48"/>
        <v>4.491303819320544E-3</v>
      </c>
      <c r="J89" s="38">
        <f t="shared" ca="1" si="48"/>
        <v>7.1484834363664757E-3</v>
      </c>
      <c r="K89" s="38">
        <f t="shared" ca="1" si="48"/>
        <v>1.0752378519478738E-2</v>
      </c>
      <c r="L89" s="38">
        <f t="shared" ca="1" si="48"/>
        <v>1.5410298262510894E-2</v>
      </c>
      <c r="M89" s="38">
        <f t="shared" ca="1" si="48"/>
        <v>2.1153396604077165E-2</v>
      </c>
      <c r="N89" s="38">
        <f t="shared" ca="1" si="48"/>
        <v>2.7903631765397435E-2</v>
      </c>
      <c r="O89" s="38">
        <f t="shared" ca="1" si="49"/>
        <v>3.5450165567973639E-2</v>
      </c>
      <c r="P89" s="38">
        <f t="shared" ca="1" si="49"/>
        <v>4.3446779851143223E-2</v>
      </c>
      <c r="Q89" s="38">
        <f t="shared" ca="1" si="49"/>
        <v>5.1440537937756201E-2</v>
      </c>
      <c r="R89" s="38">
        <f t="shared" ca="1" si="49"/>
        <v>5.893487152836821E-2</v>
      </c>
      <c r="S89" s="38">
        <f t="shared" ca="1" si="49"/>
        <v>6.5477744423401887E-2</v>
      </c>
      <c r="T89" s="38">
        <f t="shared" ca="1" si="49"/>
        <v>9.8229283205439527E-2</v>
      </c>
      <c r="U89" s="38">
        <f t="shared" ca="1" si="49"/>
        <v>0.10363571229035501</v>
      </c>
      <c r="V89" s="38">
        <f t="shared" ca="1" si="49"/>
        <v>0.10722302028513168</v>
      </c>
      <c r="W89" s="38">
        <f t="shared" ca="1" si="49"/>
        <v>0.10734800222427343</v>
      </c>
      <c r="X89" s="38">
        <f t="shared" ca="1" si="49"/>
        <v>0.10555082667705035</v>
      </c>
      <c r="Y89" s="38">
        <f t="shared" ca="1" si="50"/>
        <v>1.3703048144182433</v>
      </c>
      <c r="Z89" s="9"/>
      <c r="AA89" s="44">
        <f t="shared" ca="1" si="51"/>
        <v>0.86848642247561858</v>
      </c>
      <c r="AB89" s="38"/>
      <c r="AC89" s="62"/>
    </row>
    <row r="90" spans="1:29" customFormat="1">
      <c r="A90" s="77">
        <f t="shared" si="46"/>
        <v>10.2023264489233</v>
      </c>
      <c r="B90" s="77">
        <f t="shared" si="47"/>
        <v>311.29143633214102</v>
      </c>
      <c r="C90" s="9" t="str">
        <f>C16</f>
        <v>Manufactured</v>
      </c>
      <c r="D90" t="s">
        <v>4683</v>
      </c>
      <c r="E90" s="38">
        <f t="shared" ca="1" si="48"/>
        <v>1.1429396950963888E-4</v>
      </c>
      <c r="F90" s="38">
        <f t="shared" ca="1" si="48"/>
        <v>3.3909704505757286E-4</v>
      </c>
      <c r="G90" s="38">
        <f t="shared" ca="1" si="48"/>
        <v>7.3250104724175086E-4</v>
      </c>
      <c r="H90" s="38">
        <f t="shared" ca="1" si="48"/>
        <v>1.3635912867480814E-3</v>
      </c>
      <c r="I90" s="38">
        <f t="shared" ca="1" si="48"/>
        <v>2.3084434788930058E-3</v>
      </c>
      <c r="J90" s="38">
        <f t="shared" ca="1" si="48"/>
        <v>3.6431895982111189E-3</v>
      </c>
      <c r="K90" s="38">
        <f t="shared" ca="1" si="48"/>
        <v>5.4336723835594018E-3</v>
      </c>
      <c r="L90" s="38">
        <f t="shared" ca="1" si="48"/>
        <v>7.7218435179215936E-3</v>
      </c>
      <c r="M90" s="38">
        <f t="shared" ca="1" si="48"/>
        <v>1.0510203161560061E-2</v>
      </c>
      <c r="N90" s="38">
        <f t="shared" ca="1" si="48"/>
        <v>1.3747153372110009E-2</v>
      </c>
      <c r="O90" s="38">
        <f t="shared" ca="1" si="49"/>
        <v>1.7317745808357151E-2</v>
      </c>
      <c r="P90" s="38">
        <f t="shared" ca="1" si="49"/>
        <v>2.1045135831323142E-2</v>
      </c>
      <c r="Q90" s="38">
        <f t="shared" ca="1" si="49"/>
        <v>2.4707038292918468E-2</v>
      </c>
      <c r="R90" s="38">
        <f t="shared" ca="1" si="49"/>
        <v>2.8067813030758282E-2</v>
      </c>
      <c r="S90" s="38">
        <f t="shared" ca="1" si="49"/>
        <v>3.0920819181606898E-2</v>
      </c>
      <c r="T90" s="38">
        <f t="shared" ca="1" si="49"/>
        <v>3.5059027018576772E-2</v>
      </c>
      <c r="U90" s="38">
        <f t="shared" ca="1" si="49"/>
        <v>3.6697482262828152E-2</v>
      </c>
      <c r="V90" s="38">
        <f t="shared" ca="1" si="49"/>
        <v>3.772453980844416E-2</v>
      </c>
      <c r="W90" s="38">
        <f t="shared" ca="1" si="49"/>
        <v>3.8210641978969548E-2</v>
      </c>
      <c r="X90" s="38">
        <f t="shared" ca="1" si="49"/>
        <v>3.8099259510027558E-2</v>
      </c>
      <c r="Y90" s="38">
        <f t="shared" ca="1" si="50"/>
        <v>0.56360282451578203</v>
      </c>
      <c r="Z90" s="9"/>
      <c r="AA90" s="44">
        <f t="shared" ca="1" si="51"/>
        <v>0.35376349158462239</v>
      </c>
      <c r="AB90" s="38"/>
      <c r="AC90" s="62"/>
    </row>
    <row r="91" spans="1:29" customFormat="1">
      <c r="A91" s="77">
        <f t="shared" si="46"/>
        <v>34.837179731806977</v>
      </c>
      <c r="B91" s="77">
        <f t="shared" si="47"/>
        <v>315.46947603880625</v>
      </c>
      <c r="C91" s="9" t="str">
        <f>C90</f>
        <v>Manufactured</v>
      </c>
      <c r="D91" t="s">
        <v>4684</v>
      </c>
      <c r="E91" s="38">
        <f t="shared" ca="1" si="48"/>
        <v>3.9027172655205146E-4</v>
      </c>
      <c r="F91" s="38">
        <f t="shared" ca="1" si="48"/>
        <v>1.157891267676699E-3</v>
      </c>
      <c r="G91" s="38">
        <f t="shared" ca="1" si="48"/>
        <v>2.5012207523697474E-3</v>
      </c>
      <c r="H91" s="38">
        <f t="shared" ca="1" si="48"/>
        <v>4.6561610212131708E-3</v>
      </c>
      <c r="I91" s="38">
        <f t="shared" ca="1" si="48"/>
        <v>7.882482566846356E-3</v>
      </c>
      <c r="J91" s="38">
        <f t="shared" ca="1" si="48"/>
        <v>1.2440147986376646E-2</v>
      </c>
      <c r="K91" s="38">
        <f t="shared" ca="1" si="48"/>
        <v>1.8553985934236794E-2</v>
      </c>
      <c r="L91" s="38">
        <f t="shared" ca="1" si="48"/>
        <v>2.6367245925865548E-2</v>
      </c>
      <c r="M91" s="38">
        <f t="shared" ca="1" si="48"/>
        <v>3.5888465085893703E-2</v>
      </c>
      <c r="N91" s="38">
        <f t="shared" ca="1" si="48"/>
        <v>4.6941455482975125E-2</v>
      </c>
      <c r="O91" s="38">
        <f t="shared" ca="1" si="49"/>
        <v>5.913371095267729E-2</v>
      </c>
      <c r="P91" s="38">
        <f t="shared" ca="1" si="49"/>
        <v>7.1861372316063113E-2</v>
      </c>
      <c r="Q91" s="38">
        <f t="shared" ca="1" si="49"/>
        <v>8.4365417825056396E-2</v>
      </c>
      <c r="R91" s="38">
        <f t="shared" ca="1" si="49"/>
        <v>9.5841223286329214E-2</v>
      </c>
      <c r="S91" s="38">
        <f t="shared" ca="1" si="49"/>
        <v>0.10558318641117641</v>
      </c>
      <c r="T91" s="38">
        <f t="shared" ca="1" si="49"/>
        <v>0.11971363900018425</v>
      </c>
      <c r="U91" s="38">
        <f t="shared" ca="1" si="49"/>
        <v>0.12530835899981052</v>
      </c>
      <c r="V91" s="38">
        <f t="shared" ca="1" si="49"/>
        <v>0.12881538149028468</v>
      </c>
      <c r="W91" s="38">
        <f t="shared" ca="1" si="49"/>
        <v>0.13047524101030639</v>
      </c>
      <c r="X91" s="38">
        <f t="shared" ca="1" si="49"/>
        <v>0.13009491098372566</v>
      </c>
      <c r="Y91" s="38">
        <f t="shared" ca="1" si="50"/>
        <v>1.9244956523698056</v>
      </c>
      <c r="Z91" s="9"/>
      <c r="AA91" s="44">
        <f t="shared" ca="1" si="51"/>
        <v>1.2079717700256198</v>
      </c>
      <c r="AB91" s="38"/>
      <c r="AC91" s="62"/>
    </row>
    <row r="92" spans="1:29" customFormat="1">
      <c r="A92" s="77">
        <f t="shared" si="46"/>
        <v>60.745261234907062</v>
      </c>
      <c r="B92" s="77">
        <f t="shared" si="47"/>
        <v>170.87222615492539</v>
      </c>
      <c r="C92" s="9" t="str">
        <f>C90</f>
        <v>Manufactured</v>
      </c>
      <c r="D92" t="s">
        <v>4685</v>
      </c>
      <c r="E92" s="38">
        <f t="shared" ca="1" si="48"/>
        <v>6.8051312317792239E-4</v>
      </c>
      <c r="F92" s="38">
        <f t="shared" ca="1" si="48"/>
        <v>2.0190040662912902E-3</v>
      </c>
      <c r="G92" s="38">
        <f t="shared" ca="1" si="48"/>
        <v>4.3613549999901276E-3</v>
      </c>
      <c r="H92" s="38">
        <f t="shared" ca="1" si="48"/>
        <v>8.1189039917358152E-3</v>
      </c>
      <c r="I92" s="38">
        <f t="shared" ca="1" si="48"/>
        <v>1.3744610395815371E-2</v>
      </c>
      <c r="J92" s="38">
        <f t="shared" ca="1" si="48"/>
        <v>2.1691768537262009E-2</v>
      </c>
      <c r="K92" s="38">
        <f t="shared" ca="1" si="48"/>
        <v>3.2352410017133869E-2</v>
      </c>
      <c r="L92" s="38">
        <f t="shared" ca="1" si="48"/>
        <v>4.5976317662401761E-2</v>
      </c>
      <c r="M92" s="38">
        <f t="shared" ca="1" si="48"/>
        <v>6.2578377576644806E-2</v>
      </c>
      <c r="N92" s="38">
        <f t="shared" ca="1" si="48"/>
        <v>8.1851372528202668E-2</v>
      </c>
      <c r="O92" s="38">
        <f t="shared" ca="1" si="49"/>
        <v>0.10311089322567125</v>
      </c>
      <c r="P92" s="38">
        <f t="shared" ca="1" si="49"/>
        <v>0.12530399612264337</v>
      </c>
      <c r="Q92" s="38">
        <f t="shared" ca="1" si="49"/>
        <v>0.14710718216653174</v>
      </c>
      <c r="R92" s="38">
        <f t="shared" ca="1" si="49"/>
        <v>0.16711743575171287</v>
      </c>
      <c r="S92" s="38">
        <f t="shared" ca="1" si="49"/>
        <v>0.18410440483231758</v>
      </c>
      <c r="T92" s="38">
        <f t="shared" ca="1" si="49"/>
        <v>0.20874354153898542</v>
      </c>
      <c r="U92" s="38">
        <f t="shared" ca="1" si="49"/>
        <v>0.21849900195598251</v>
      </c>
      <c r="V92" s="38">
        <f t="shared" ca="1" si="49"/>
        <v>0.22461416394614911</v>
      </c>
      <c r="W92" s="38">
        <f t="shared" ca="1" si="49"/>
        <v>0.22750844531258552</v>
      </c>
      <c r="X92" s="38">
        <f t="shared" ca="1" si="49"/>
        <v>0.22684526743774072</v>
      </c>
      <c r="Y92" s="38">
        <f t="shared" ca="1" si="50"/>
        <v>3.3557248907238968</v>
      </c>
      <c r="Z92" s="9"/>
      <c r="AA92" s="44">
        <f t="shared" ca="1" si="51"/>
        <v>2.1063289651889758</v>
      </c>
      <c r="AB92" s="38"/>
      <c r="AC92" s="62"/>
    </row>
    <row r="93" spans="1:29" customFormat="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spans="1:29" customFormat="1">
      <c r="A94" s="9"/>
      <c r="B94" s="78">
        <f ca="1">SUMPRODUCT(B81:B92,AA81:AA92)/SUM(AA81:AA92)</f>
        <v>232.03380133178095</v>
      </c>
      <c r="C94" s="9"/>
      <c r="D94" s="62"/>
      <c r="E94" s="44">
        <f ca="1">SUM(E81:E92)</f>
        <v>1.2541758597177067E-2</v>
      </c>
      <c r="F94" s="44">
        <f t="shared" ref="F94:X94" ca="1" si="52">SUM(F81:F92)</f>
        <v>3.749659177795877E-2</v>
      </c>
      <c r="G94" s="44">
        <f t="shared" ca="1" si="52"/>
        <v>8.1622775055849195E-2</v>
      </c>
      <c r="H94" s="44">
        <f t="shared" ca="1" si="52"/>
        <v>0.15311765541971706</v>
      </c>
      <c r="I94" s="44">
        <f t="shared" ca="1" si="52"/>
        <v>0.2612166511323411</v>
      </c>
      <c r="J94" s="44">
        <f t="shared" ca="1" si="52"/>
        <v>0.41543830536506682</v>
      </c>
      <c r="K94" s="44">
        <f t="shared" ca="1" si="52"/>
        <v>0.62440150814937623</v>
      </c>
      <c r="L94" s="44">
        <f t="shared" ca="1" si="52"/>
        <v>0.89421052546958479</v>
      </c>
      <c r="M94" s="44">
        <f t="shared" ca="1" si="52"/>
        <v>1.2265371869029777</v>
      </c>
      <c r="N94" s="44">
        <f t="shared" ca="1" si="52"/>
        <v>1.6167234505686572</v>
      </c>
      <c r="O94" s="44">
        <f t="shared" ca="1" si="52"/>
        <v>2.0524386147099483</v>
      </c>
      <c r="P94" s="44">
        <f t="shared" ca="1" si="52"/>
        <v>2.5135578998903427</v>
      </c>
      <c r="Q94" s="44">
        <f t="shared" ca="1" si="52"/>
        <v>2.973847293811311</v>
      </c>
      <c r="R94" s="44">
        <f t="shared" ca="1" si="52"/>
        <v>3.4046291942906284</v>
      </c>
      <c r="S94" s="44">
        <f t="shared" ca="1" si="52"/>
        <v>3.7798793671652642</v>
      </c>
      <c r="T94" s="44">
        <f t="shared" ca="1" si="52"/>
        <v>5.0818752589272327</v>
      </c>
      <c r="U94" s="44">
        <f t="shared" ca="1" si="52"/>
        <v>5.3203511096904297</v>
      </c>
      <c r="V94" s="44">
        <f t="shared" ca="1" si="52"/>
        <v>5.4550930866249949</v>
      </c>
      <c r="W94" s="44">
        <f t="shared" ca="1" si="52"/>
        <v>5.5147927114490596</v>
      </c>
      <c r="X94" s="44">
        <f t="shared" ca="1" si="52"/>
        <v>5.5027369176381873</v>
      </c>
      <c r="Y94" s="44">
        <f ca="1">SUM(Y81:Y92)</f>
        <v>75.452518870383457</v>
      </c>
      <c r="Z94" s="44"/>
      <c r="AA94" s="44">
        <f ca="1">SUM(E94:X94)</f>
        <v>46.92250786263611</v>
      </c>
      <c r="AB94" s="9"/>
      <c r="AC94" s="38"/>
    </row>
    <row r="95" spans="1:29" customFormat="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spans="1:29" customFormat="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spans="1:29" customFormat="1" ht="15">
      <c r="A97" s="86" t="s">
        <v>70</v>
      </c>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spans="1:29" customFormat="1" ht="15">
      <c r="A98" s="9"/>
      <c r="B98" s="9"/>
      <c r="C98" s="9"/>
      <c r="D98" s="9"/>
      <c r="E98" s="79">
        <f t="shared" ref="E98:X98" si="53">E11</f>
        <v>2016</v>
      </c>
      <c r="F98" s="73">
        <f t="shared" si="53"/>
        <v>2017</v>
      </c>
      <c r="G98" s="73">
        <f t="shared" si="53"/>
        <v>2018</v>
      </c>
      <c r="H98" s="73">
        <f t="shared" si="53"/>
        <v>2019</v>
      </c>
      <c r="I98" s="73">
        <f t="shared" si="53"/>
        <v>2020</v>
      </c>
      <c r="J98" s="73">
        <f t="shared" si="53"/>
        <v>2021</v>
      </c>
      <c r="K98" s="73">
        <f t="shared" si="53"/>
        <v>2022</v>
      </c>
      <c r="L98" s="73">
        <f t="shared" si="53"/>
        <v>2023</v>
      </c>
      <c r="M98" s="73">
        <f t="shared" si="53"/>
        <v>2024</v>
      </c>
      <c r="N98" s="73">
        <f t="shared" si="53"/>
        <v>2025</v>
      </c>
      <c r="O98" s="73">
        <f t="shared" si="53"/>
        <v>2026</v>
      </c>
      <c r="P98" s="73">
        <f t="shared" si="53"/>
        <v>2027</v>
      </c>
      <c r="Q98" s="73">
        <f t="shared" si="53"/>
        <v>2028</v>
      </c>
      <c r="R98" s="73">
        <f t="shared" si="53"/>
        <v>2029</v>
      </c>
      <c r="S98" s="73">
        <f t="shared" si="53"/>
        <v>2030</v>
      </c>
      <c r="T98" s="73">
        <f t="shared" si="53"/>
        <v>2031</v>
      </c>
      <c r="U98" s="73">
        <f t="shared" si="53"/>
        <v>2032</v>
      </c>
      <c r="V98" s="73">
        <f t="shared" si="53"/>
        <v>2033</v>
      </c>
      <c r="W98" s="73">
        <f t="shared" si="53"/>
        <v>2034</v>
      </c>
      <c r="X98" s="73">
        <f t="shared" si="53"/>
        <v>2035</v>
      </c>
      <c r="Y98" s="74" t="s">
        <v>151</v>
      </c>
      <c r="Z98" s="9"/>
      <c r="AA98" s="9"/>
      <c r="AB98" s="9"/>
      <c r="AC98" s="9"/>
    </row>
    <row r="99" spans="1:29" customFormat="1" ht="15">
      <c r="A99" s="9"/>
      <c r="B99" s="9"/>
      <c r="C99" s="54" t="s">
        <v>67</v>
      </c>
      <c r="D99" s="54" t="s">
        <v>67</v>
      </c>
      <c r="E99" s="80" t="str">
        <f t="shared" ref="E99" si="54">CONCATENATE("aMW_",E98)</f>
        <v>aMW_2016</v>
      </c>
      <c r="F99" s="75" t="str">
        <f t="shared" ref="F99" si="55">CONCATENATE("aMW_",F98)</f>
        <v>aMW_2017</v>
      </c>
      <c r="G99" s="75" t="str">
        <f t="shared" ref="G99" si="56">CONCATENATE("aMW_",G98)</f>
        <v>aMW_2018</v>
      </c>
      <c r="H99" s="75" t="str">
        <f t="shared" ref="H99" si="57">CONCATENATE("aMW_",H98)</f>
        <v>aMW_2019</v>
      </c>
      <c r="I99" s="75" t="str">
        <f t="shared" ref="I99" si="58">CONCATENATE("aMW_",I98)</f>
        <v>aMW_2020</v>
      </c>
      <c r="J99" s="75" t="str">
        <f t="shared" ref="J99" si="59">CONCATENATE("aMW_",J98)</f>
        <v>aMW_2021</v>
      </c>
      <c r="K99" s="75" t="str">
        <f t="shared" ref="K99" si="60">CONCATENATE("aMW_",K98)</f>
        <v>aMW_2022</v>
      </c>
      <c r="L99" s="75" t="str">
        <f t="shared" ref="L99" si="61">CONCATENATE("aMW_",L98)</f>
        <v>aMW_2023</v>
      </c>
      <c r="M99" s="75" t="str">
        <f t="shared" ref="M99" si="62">CONCATENATE("aMW_",M98)</f>
        <v>aMW_2024</v>
      </c>
      <c r="N99" s="75" t="str">
        <f t="shared" ref="N99" si="63">CONCATENATE("aMW_",N98)</f>
        <v>aMW_2025</v>
      </c>
      <c r="O99" s="75" t="str">
        <f t="shared" ref="O99" si="64">CONCATENATE("aMW_",O98)</f>
        <v>aMW_2026</v>
      </c>
      <c r="P99" s="75" t="str">
        <f t="shared" ref="P99" si="65">CONCATENATE("aMW_",P98)</f>
        <v>aMW_2027</v>
      </c>
      <c r="Q99" s="75" t="str">
        <f t="shared" ref="Q99" si="66">CONCATENATE("aMW_",Q98)</f>
        <v>aMW_2028</v>
      </c>
      <c r="R99" s="75" t="str">
        <f t="shared" ref="R99" si="67">CONCATENATE("aMW_",R98)</f>
        <v>aMW_2029</v>
      </c>
      <c r="S99" s="75" t="str">
        <f t="shared" ref="S99" si="68">CONCATENATE("aMW_",S98)</f>
        <v>aMW_2030</v>
      </c>
      <c r="T99" s="75" t="str">
        <f t="shared" ref="T99" si="69">CONCATENATE("aMW_",T98)</f>
        <v>aMW_2031</v>
      </c>
      <c r="U99" s="75" t="str">
        <f t="shared" ref="U99" si="70">CONCATENATE("aMW_",U98)</f>
        <v>aMW_2032</v>
      </c>
      <c r="V99" s="75" t="str">
        <f t="shared" ref="V99" si="71">CONCATENATE("aMW_",V98)</f>
        <v>aMW_2033</v>
      </c>
      <c r="W99" s="75" t="str">
        <f t="shared" ref="W99" si="72">CONCATENATE("aMW_",W98)</f>
        <v>aMW_2034</v>
      </c>
      <c r="X99" s="75" t="str">
        <f t="shared" ref="X99" si="73">CONCATENATE("aMW_",X98)</f>
        <v>aMW_2035</v>
      </c>
      <c r="Y99" s="76" t="s">
        <v>151</v>
      </c>
      <c r="Z99" s="9"/>
      <c r="AA99" s="9"/>
      <c r="AB99" s="9"/>
      <c r="AC99" s="9"/>
    </row>
    <row r="100" spans="1:29" customFormat="1">
      <c r="A100" s="9"/>
      <c r="B100" s="9" t="s">
        <v>71</v>
      </c>
      <c r="C100" s="55" t="s">
        <v>72</v>
      </c>
      <c r="D100" s="55" t="s">
        <v>73</v>
      </c>
      <c r="E100" s="44">
        <f>DSUM($B$80:$Y$92,E$80,$C$99:$D100)</f>
        <v>0</v>
      </c>
      <c r="F100" s="44">
        <f>DSUM($B$80:$Y$92,F$80,$C$99:$D100)</f>
        <v>0</v>
      </c>
      <c r="G100" s="44">
        <f>DSUM($B$80:$Y$92,G$80,$C$99:$D100)</f>
        <v>0</v>
      </c>
      <c r="H100" s="44">
        <f>DSUM($B$80:$Y$92,H$80,$C$99:$D100)</f>
        <v>0</v>
      </c>
      <c r="I100" s="44">
        <f>DSUM($B$80:$Y$92,I$80,$C$99:$D100)</f>
        <v>0</v>
      </c>
      <c r="J100" s="44">
        <f>DSUM($B$80:$Y$92,J$80,$C$99:$D100)</f>
        <v>0</v>
      </c>
      <c r="K100" s="44">
        <f>DSUM($B$80:$Y$92,K$80,$C$99:$D100)</f>
        <v>0</v>
      </c>
      <c r="L100" s="44">
        <f>DSUM($B$80:$Y$92,L$80,$C$99:$D100)</f>
        <v>0</v>
      </c>
      <c r="M100" s="44">
        <f>DSUM($B$80:$Y$92,M$80,$C$99:$D100)</f>
        <v>0</v>
      </c>
      <c r="N100" s="44">
        <f>DSUM($B$80:$Y$92,N$80,$C$99:$D100)</f>
        <v>0</v>
      </c>
      <c r="O100" s="44">
        <f>DSUM($B$80:$Y$92,O$80,$C$99:$D100)</f>
        <v>0</v>
      </c>
      <c r="P100" s="44">
        <f>DSUM($B$80:$Y$92,P$80,$C$99:$D100)</f>
        <v>0</v>
      </c>
      <c r="Q100" s="44">
        <f>DSUM($B$80:$Y$92,Q$80,$C$99:$D100)</f>
        <v>0</v>
      </c>
      <c r="R100" s="44">
        <f>DSUM($B$80:$Y$92,R$80,$C$99:$D100)</f>
        <v>0</v>
      </c>
      <c r="S100" s="44">
        <f>DSUM($B$80:$Y$92,S$80,$C$99:$D100)</f>
        <v>0</v>
      </c>
      <c r="T100" s="44">
        <f>DSUM($B$80:$Y$92,T$80,$C$99:$D100)</f>
        <v>0</v>
      </c>
      <c r="U100" s="44">
        <f>DSUM($B$80:$Y$92,U$80,$C$99:$D100)</f>
        <v>0</v>
      </c>
      <c r="V100" s="44">
        <f>DSUM($B$80:$Y$92,V$80,$C$99:$D100)</f>
        <v>0</v>
      </c>
      <c r="W100" s="44">
        <f>DSUM($B$80:$Y$92,W$80,$C$99:$D100)</f>
        <v>0</v>
      </c>
      <c r="X100" s="44">
        <f>DSUM($B$80:$Y$92,X$80,$C$99:$D100)</f>
        <v>0</v>
      </c>
      <c r="Y100" s="44">
        <f>DSUM($B$80:$Y$92,Y$80,$C$99:$D100)</f>
        <v>0</v>
      </c>
      <c r="Z100" s="9"/>
      <c r="AA100" s="9"/>
      <c r="AB100" s="9"/>
      <c r="AC100" s="9"/>
    </row>
    <row r="101" spans="1:29" customFormat="1">
      <c r="A101" s="9"/>
      <c r="B101" s="9" t="s">
        <v>4948</v>
      </c>
      <c r="C101" s="55" t="s">
        <v>75</v>
      </c>
      <c r="D101" s="55" t="s">
        <v>76</v>
      </c>
      <c r="E101" s="44">
        <f>DSUM($B$80:$Y$92,E$80,$C$99:$D101)</f>
        <v>0</v>
      </c>
      <c r="F101" s="44">
        <f>DSUM($B$80:$Y$92,F$80,$C$99:$D101)</f>
        <v>0</v>
      </c>
      <c r="G101" s="44">
        <f>DSUM($B$80:$Y$92,G$80,$C$99:$D101)</f>
        <v>0</v>
      </c>
      <c r="H101" s="44">
        <f>DSUM($B$80:$Y$92,H$80,$C$99:$D101)</f>
        <v>0</v>
      </c>
      <c r="I101" s="44">
        <f>DSUM($B$80:$Y$92,I$80,$C$99:$D101)</f>
        <v>0</v>
      </c>
      <c r="J101" s="44">
        <f>DSUM($B$80:$Y$92,J$80,$C$99:$D101)</f>
        <v>0</v>
      </c>
      <c r="K101" s="44">
        <f>DSUM($B$80:$Y$92,K$80,$C$99:$D101)</f>
        <v>0</v>
      </c>
      <c r="L101" s="44">
        <f>DSUM($B$80:$Y$92,L$80,$C$99:$D101)</f>
        <v>0</v>
      </c>
      <c r="M101" s="44">
        <f>DSUM($B$80:$Y$92,M$80,$C$99:$D101)</f>
        <v>0</v>
      </c>
      <c r="N101" s="44">
        <f>DSUM($B$80:$Y$92,N$80,$C$99:$D101)</f>
        <v>0</v>
      </c>
      <c r="O101" s="44">
        <f>DSUM($B$80:$Y$92,O$80,$C$99:$D101)</f>
        <v>0</v>
      </c>
      <c r="P101" s="44">
        <f>DSUM($B$80:$Y$92,P$80,$C$99:$D101)</f>
        <v>0</v>
      </c>
      <c r="Q101" s="44">
        <f>DSUM($B$80:$Y$92,Q$80,$C$99:$D101)</f>
        <v>0</v>
      </c>
      <c r="R101" s="44">
        <f>DSUM($B$80:$Y$92,R$80,$C$99:$D101)</f>
        <v>0</v>
      </c>
      <c r="S101" s="44">
        <f>DSUM($B$80:$Y$92,S$80,$C$99:$D101)</f>
        <v>0</v>
      </c>
      <c r="T101" s="44">
        <f>DSUM($B$80:$Y$92,T$80,$C$99:$D101)</f>
        <v>0</v>
      </c>
      <c r="U101" s="44">
        <f>DSUM($B$80:$Y$92,U$80,$C$99:$D101)</f>
        <v>0</v>
      </c>
      <c r="V101" s="44">
        <f>DSUM($B$80:$Y$92,V$80,$C$99:$D101)</f>
        <v>0</v>
      </c>
      <c r="W101" s="44">
        <f>DSUM($B$80:$Y$92,W$80,$C$99:$D101)</f>
        <v>0</v>
      </c>
      <c r="X101" s="44">
        <f>DSUM($B$80:$Y$92,X$80,$C$99:$D101)</f>
        <v>0</v>
      </c>
      <c r="Y101" s="44">
        <f>DSUM($B$80:$Y$92,Y$80,$C$99:$D101)</f>
        <v>0</v>
      </c>
      <c r="Z101" s="9"/>
      <c r="AA101" s="9"/>
      <c r="AB101" s="9"/>
      <c r="AC101" s="9"/>
    </row>
    <row r="102" spans="1:29" customFormat="1">
      <c r="A102" s="9"/>
      <c r="B102" s="9" t="s">
        <v>77</v>
      </c>
      <c r="C102" s="55" t="s">
        <v>78</v>
      </c>
      <c r="D102" s="55" t="s">
        <v>79</v>
      </c>
      <c r="E102" s="44">
        <f>DSUM($B$80:$Y$92,E$80,$C$99:$D102)</f>
        <v>0</v>
      </c>
      <c r="F102" s="44">
        <f>DSUM($B$80:$Y$92,F$80,$C$99:$D102)</f>
        <v>0</v>
      </c>
      <c r="G102" s="44">
        <f>DSUM($B$80:$Y$92,G$80,$C$99:$D102)</f>
        <v>0</v>
      </c>
      <c r="H102" s="44">
        <f>DSUM($B$80:$Y$92,H$80,$C$99:$D102)</f>
        <v>0</v>
      </c>
      <c r="I102" s="44">
        <f>DSUM($B$80:$Y$92,I$80,$C$99:$D102)</f>
        <v>0</v>
      </c>
      <c r="J102" s="44">
        <f>DSUM($B$80:$Y$92,J$80,$C$99:$D102)</f>
        <v>0</v>
      </c>
      <c r="K102" s="44">
        <f>DSUM($B$80:$Y$92,K$80,$C$99:$D102)</f>
        <v>0</v>
      </c>
      <c r="L102" s="44">
        <f>DSUM($B$80:$Y$92,L$80,$C$99:$D102)</f>
        <v>0</v>
      </c>
      <c r="M102" s="44">
        <f>DSUM($B$80:$Y$92,M$80,$C$99:$D102)</f>
        <v>0</v>
      </c>
      <c r="N102" s="44">
        <f>DSUM($B$80:$Y$92,N$80,$C$99:$D102)</f>
        <v>0</v>
      </c>
      <c r="O102" s="44">
        <f>DSUM($B$80:$Y$92,O$80,$C$99:$D102)</f>
        <v>0</v>
      </c>
      <c r="P102" s="44">
        <f>DSUM($B$80:$Y$92,P$80,$C$99:$D102)</f>
        <v>0</v>
      </c>
      <c r="Q102" s="44">
        <f>DSUM($B$80:$Y$92,Q$80,$C$99:$D102)</f>
        <v>0</v>
      </c>
      <c r="R102" s="44">
        <f>DSUM($B$80:$Y$92,R$80,$C$99:$D102)</f>
        <v>0</v>
      </c>
      <c r="S102" s="44">
        <f>DSUM($B$80:$Y$92,S$80,$C$99:$D102)</f>
        <v>0</v>
      </c>
      <c r="T102" s="44">
        <f>DSUM($B$80:$Y$92,T$80,$C$99:$D102)</f>
        <v>0</v>
      </c>
      <c r="U102" s="44">
        <f>DSUM($B$80:$Y$92,U$80,$C$99:$D102)</f>
        <v>0</v>
      </c>
      <c r="V102" s="44">
        <f>DSUM($B$80:$Y$92,V$80,$C$99:$D102)</f>
        <v>0</v>
      </c>
      <c r="W102" s="44">
        <f>DSUM($B$80:$Y$92,W$80,$C$99:$D102)</f>
        <v>0</v>
      </c>
      <c r="X102" s="44">
        <f>DSUM($B$80:$Y$92,X$80,$C$99:$D102)</f>
        <v>0</v>
      </c>
      <c r="Y102" s="44">
        <f>DSUM($B$80:$Y$92,Y$80,$C$99:$D102)</f>
        <v>0</v>
      </c>
      <c r="Z102" s="9"/>
      <c r="AA102" s="9"/>
      <c r="AB102" s="9"/>
      <c r="AC102" s="9"/>
    </row>
    <row r="103" spans="1:29" customFormat="1">
      <c r="A103" s="9"/>
      <c r="B103" s="9" t="s">
        <v>80</v>
      </c>
      <c r="C103" s="55" t="s">
        <v>81</v>
      </c>
      <c r="D103" s="55" t="s">
        <v>82</v>
      </c>
      <c r="E103" s="44">
        <f>DSUM($B$80:$Y$92,E$80,$C$99:$D103)</f>
        <v>0</v>
      </c>
      <c r="F103" s="44">
        <f>DSUM($B$80:$Y$92,F$80,$C$99:$D103)</f>
        <v>0</v>
      </c>
      <c r="G103" s="44">
        <f>DSUM($B$80:$Y$92,G$80,$C$99:$D103)</f>
        <v>0</v>
      </c>
      <c r="H103" s="44">
        <f>DSUM($B$80:$Y$92,H$80,$C$99:$D103)</f>
        <v>0</v>
      </c>
      <c r="I103" s="44">
        <f>DSUM($B$80:$Y$92,I$80,$C$99:$D103)</f>
        <v>0</v>
      </c>
      <c r="J103" s="44">
        <f>DSUM($B$80:$Y$92,J$80,$C$99:$D103)</f>
        <v>0</v>
      </c>
      <c r="K103" s="44">
        <f>DSUM($B$80:$Y$92,K$80,$C$99:$D103)</f>
        <v>0</v>
      </c>
      <c r="L103" s="44">
        <f>DSUM($B$80:$Y$92,L$80,$C$99:$D103)</f>
        <v>0</v>
      </c>
      <c r="M103" s="44">
        <f>DSUM($B$80:$Y$92,M$80,$C$99:$D103)</f>
        <v>0</v>
      </c>
      <c r="N103" s="44">
        <f>DSUM($B$80:$Y$92,N$80,$C$99:$D103)</f>
        <v>0</v>
      </c>
      <c r="O103" s="44">
        <f>DSUM($B$80:$Y$92,O$80,$C$99:$D103)</f>
        <v>0</v>
      </c>
      <c r="P103" s="44">
        <f>DSUM($B$80:$Y$92,P$80,$C$99:$D103)</f>
        <v>0</v>
      </c>
      <c r="Q103" s="44">
        <f>DSUM($B$80:$Y$92,Q$80,$C$99:$D103)</f>
        <v>0</v>
      </c>
      <c r="R103" s="44">
        <f>DSUM($B$80:$Y$92,R$80,$C$99:$D103)</f>
        <v>0</v>
      </c>
      <c r="S103" s="44">
        <f>DSUM($B$80:$Y$92,S$80,$C$99:$D103)</f>
        <v>0</v>
      </c>
      <c r="T103" s="44">
        <f>DSUM($B$80:$Y$92,T$80,$C$99:$D103)</f>
        <v>0</v>
      </c>
      <c r="U103" s="44">
        <f>DSUM($B$80:$Y$92,U$80,$C$99:$D103)</f>
        <v>0</v>
      </c>
      <c r="V103" s="44">
        <f>DSUM($B$80:$Y$92,V$80,$C$99:$D103)</f>
        <v>0</v>
      </c>
      <c r="W103" s="44">
        <f>DSUM($B$80:$Y$92,W$80,$C$99:$D103)</f>
        <v>0</v>
      </c>
      <c r="X103" s="44">
        <f>DSUM($B$80:$Y$92,X$80,$C$99:$D103)</f>
        <v>0</v>
      </c>
      <c r="Y103" s="44">
        <f>DSUM($B$80:$Y$92,Y$80,$C$99:$D103)</f>
        <v>0</v>
      </c>
      <c r="Z103" s="9"/>
      <c r="AA103" s="9"/>
      <c r="AB103" s="9"/>
      <c r="AC103" s="9"/>
    </row>
    <row r="104" spans="1:29" customFormat="1">
      <c r="A104" s="9"/>
      <c r="B104" s="9" t="s">
        <v>83</v>
      </c>
      <c r="C104" s="55" t="s">
        <v>84</v>
      </c>
      <c r="D104" s="55" t="s">
        <v>85</v>
      </c>
      <c r="E104" s="44">
        <f>DSUM($B$80:$Y$92,E$80,$C$99:$D104)</f>
        <v>0</v>
      </c>
      <c r="F104" s="44">
        <f>DSUM($B$80:$Y$92,F$80,$C$99:$D104)</f>
        <v>0</v>
      </c>
      <c r="G104" s="44">
        <f>DSUM($B$80:$Y$92,G$80,$C$99:$D104)</f>
        <v>0</v>
      </c>
      <c r="H104" s="44">
        <f>DSUM($B$80:$Y$92,H$80,$C$99:$D104)</f>
        <v>0</v>
      </c>
      <c r="I104" s="44">
        <f>DSUM($B$80:$Y$92,I$80,$C$99:$D104)</f>
        <v>0</v>
      </c>
      <c r="J104" s="44">
        <f>DSUM($B$80:$Y$92,J$80,$C$99:$D104)</f>
        <v>0</v>
      </c>
      <c r="K104" s="44">
        <f>DSUM($B$80:$Y$92,K$80,$C$99:$D104)</f>
        <v>0</v>
      </c>
      <c r="L104" s="44">
        <f>DSUM($B$80:$Y$92,L$80,$C$99:$D104)</f>
        <v>0</v>
      </c>
      <c r="M104" s="44">
        <f>DSUM($B$80:$Y$92,M$80,$C$99:$D104)</f>
        <v>0</v>
      </c>
      <c r="N104" s="44">
        <f>DSUM($B$80:$Y$92,N$80,$C$99:$D104)</f>
        <v>0</v>
      </c>
      <c r="O104" s="44">
        <f>DSUM($B$80:$Y$92,O$80,$C$99:$D104)</f>
        <v>0</v>
      </c>
      <c r="P104" s="44">
        <f>DSUM($B$80:$Y$92,P$80,$C$99:$D104)</f>
        <v>0</v>
      </c>
      <c r="Q104" s="44">
        <f>DSUM($B$80:$Y$92,Q$80,$C$99:$D104)</f>
        <v>0</v>
      </c>
      <c r="R104" s="44">
        <f>DSUM($B$80:$Y$92,R$80,$C$99:$D104)</f>
        <v>0</v>
      </c>
      <c r="S104" s="44">
        <f>DSUM($B$80:$Y$92,S$80,$C$99:$D104)</f>
        <v>0</v>
      </c>
      <c r="T104" s="44">
        <f>DSUM($B$80:$Y$92,T$80,$C$99:$D104)</f>
        <v>0</v>
      </c>
      <c r="U104" s="44">
        <f>DSUM($B$80:$Y$92,U$80,$C$99:$D104)</f>
        <v>0</v>
      </c>
      <c r="V104" s="44">
        <f>DSUM($B$80:$Y$92,V$80,$C$99:$D104)</f>
        <v>0</v>
      </c>
      <c r="W104" s="44">
        <f>DSUM($B$80:$Y$92,W$80,$C$99:$D104)</f>
        <v>0</v>
      </c>
      <c r="X104" s="44">
        <f>DSUM($B$80:$Y$92,X$80,$C$99:$D104)</f>
        <v>0</v>
      </c>
      <c r="Y104" s="44">
        <f>DSUM($B$80:$Y$92,Y$80,$C$99:$D104)</f>
        <v>0</v>
      </c>
      <c r="Z104" s="9"/>
      <c r="AA104" s="9"/>
      <c r="AB104" s="9"/>
      <c r="AC104" s="9"/>
    </row>
    <row r="105" spans="1:29" customFormat="1">
      <c r="A105" s="9"/>
      <c r="B105" s="9" t="s">
        <v>86</v>
      </c>
      <c r="C105" s="55" t="s">
        <v>87</v>
      </c>
      <c r="D105" s="55" t="s">
        <v>88</v>
      </c>
      <c r="E105" s="44">
        <f>DSUM($B$80:$Y$92,E$80,$C$99:$D105)</f>
        <v>0</v>
      </c>
      <c r="F105" s="44">
        <f>DSUM($B$80:$Y$92,F$80,$C$99:$D105)</f>
        <v>0</v>
      </c>
      <c r="G105" s="44">
        <f>DSUM($B$80:$Y$92,G$80,$C$99:$D105)</f>
        <v>0</v>
      </c>
      <c r="H105" s="44">
        <f>DSUM($B$80:$Y$92,H$80,$C$99:$D105)</f>
        <v>0</v>
      </c>
      <c r="I105" s="44">
        <f>DSUM($B$80:$Y$92,I$80,$C$99:$D105)</f>
        <v>0</v>
      </c>
      <c r="J105" s="44">
        <f>DSUM($B$80:$Y$92,J$80,$C$99:$D105)</f>
        <v>0</v>
      </c>
      <c r="K105" s="44">
        <f>DSUM($B$80:$Y$92,K$80,$C$99:$D105)</f>
        <v>0</v>
      </c>
      <c r="L105" s="44">
        <f>DSUM($B$80:$Y$92,L$80,$C$99:$D105)</f>
        <v>0</v>
      </c>
      <c r="M105" s="44">
        <f>DSUM($B$80:$Y$92,M$80,$C$99:$D105)</f>
        <v>0</v>
      </c>
      <c r="N105" s="44">
        <f>DSUM($B$80:$Y$92,N$80,$C$99:$D105)</f>
        <v>0</v>
      </c>
      <c r="O105" s="44">
        <f>DSUM($B$80:$Y$92,O$80,$C$99:$D105)</f>
        <v>0</v>
      </c>
      <c r="P105" s="44">
        <f>DSUM($B$80:$Y$92,P$80,$C$99:$D105)</f>
        <v>0</v>
      </c>
      <c r="Q105" s="44">
        <f>DSUM($B$80:$Y$92,Q$80,$C$99:$D105)</f>
        <v>0</v>
      </c>
      <c r="R105" s="44">
        <f>DSUM($B$80:$Y$92,R$80,$C$99:$D105)</f>
        <v>0</v>
      </c>
      <c r="S105" s="44">
        <f>DSUM($B$80:$Y$92,S$80,$C$99:$D105)</f>
        <v>0</v>
      </c>
      <c r="T105" s="44">
        <f>DSUM($B$80:$Y$92,T$80,$C$99:$D105)</f>
        <v>0</v>
      </c>
      <c r="U105" s="44">
        <f>DSUM($B$80:$Y$92,U$80,$C$99:$D105)</f>
        <v>0</v>
      </c>
      <c r="V105" s="44">
        <f>DSUM($B$80:$Y$92,V$80,$C$99:$D105)</f>
        <v>0</v>
      </c>
      <c r="W105" s="44">
        <f>DSUM($B$80:$Y$92,W$80,$C$99:$D105)</f>
        <v>0</v>
      </c>
      <c r="X105" s="44">
        <f>DSUM($B$80:$Y$92,X$80,$C$99:$D105)</f>
        <v>0</v>
      </c>
      <c r="Y105" s="44">
        <f>DSUM($B$80:$Y$92,Y$80,$C$99:$D105)</f>
        <v>0</v>
      </c>
      <c r="Z105" s="9"/>
      <c r="AA105" s="9"/>
      <c r="AB105" s="9"/>
      <c r="AC105" s="9"/>
    </row>
    <row r="106" spans="1:29" customFormat="1">
      <c r="A106" s="9"/>
      <c r="B106" s="9" t="s">
        <v>89</v>
      </c>
      <c r="C106" s="55" t="s">
        <v>90</v>
      </c>
      <c r="D106" s="55" t="s">
        <v>91</v>
      </c>
      <c r="E106" s="44">
        <f>DSUM($B$80:$Y$92,E$80,$C$99:$D106)</f>
        <v>0</v>
      </c>
      <c r="F106" s="44">
        <f>DSUM($B$80:$Y$92,F$80,$C$99:$D106)</f>
        <v>0</v>
      </c>
      <c r="G106" s="44">
        <f>DSUM($B$80:$Y$92,G$80,$C$99:$D106)</f>
        <v>0</v>
      </c>
      <c r="H106" s="44">
        <f>DSUM($B$80:$Y$92,H$80,$C$99:$D106)</f>
        <v>0</v>
      </c>
      <c r="I106" s="44">
        <f>DSUM($B$80:$Y$92,I$80,$C$99:$D106)</f>
        <v>0</v>
      </c>
      <c r="J106" s="44">
        <f>DSUM($B$80:$Y$92,J$80,$C$99:$D106)</f>
        <v>0</v>
      </c>
      <c r="K106" s="44">
        <f>DSUM($B$80:$Y$92,K$80,$C$99:$D106)</f>
        <v>0</v>
      </c>
      <c r="L106" s="44">
        <f>DSUM($B$80:$Y$92,L$80,$C$99:$D106)</f>
        <v>0</v>
      </c>
      <c r="M106" s="44">
        <f>DSUM($B$80:$Y$92,M$80,$C$99:$D106)</f>
        <v>0</v>
      </c>
      <c r="N106" s="44">
        <f>DSUM($B$80:$Y$92,N$80,$C$99:$D106)</f>
        <v>0</v>
      </c>
      <c r="O106" s="44">
        <f>DSUM($B$80:$Y$92,O$80,$C$99:$D106)</f>
        <v>0</v>
      </c>
      <c r="P106" s="44">
        <f>DSUM($B$80:$Y$92,P$80,$C$99:$D106)</f>
        <v>0</v>
      </c>
      <c r="Q106" s="44">
        <f>DSUM($B$80:$Y$92,Q$80,$C$99:$D106)</f>
        <v>0</v>
      </c>
      <c r="R106" s="44">
        <f>DSUM($B$80:$Y$92,R$80,$C$99:$D106)</f>
        <v>0</v>
      </c>
      <c r="S106" s="44">
        <f>DSUM($B$80:$Y$92,S$80,$C$99:$D106)</f>
        <v>0</v>
      </c>
      <c r="T106" s="44">
        <f>DSUM($B$80:$Y$92,T$80,$C$99:$D106)</f>
        <v>0</v>
      </c>
      <c r="U106" s="44">
        <f>DSUM($B$80:$Y$92,U$80,$C$99:$D106)</f>
        <v>0</v>
      </c>
      <c r="V106" s="44">
        <f>DSUM($B$80:$Y$92,V$80,$C$99:$D106)</f>
        <v>0</v>
      </c>
      <c r="W106" s="44">
        <f>DSUM($B$80:$Y$92,W$80,$C$99:$D106)</f>
        <v>0</v>
      </c>
      <c r="X106" s="44">
        <f>DSUM($B$80:$Y$92,X$80,$C$99:$D106)</f>
        <v>0</v>
      </c>
      <c r="Y106" s="44">
        <f>DSUM($B$80:$Y$92,Y$80,$C$99:$D106)</f>
        <v>0</v>
      </c>
      <c r="Z106" s="9"/>
      <c r="AA106" s="9"/>
      <c r="AB106" s="9"/>
      <c r="AC106" s="9"/>
    </row>
    <row r="107" spans="1:29" customFormat="1">
      <c r="A107" s="9"/>
      <c r="B107" s="9" t="s">
        <v>92</v>
      </c>
      <c r="C107" s="55" t="s">
        <v>93</v>
      </c>
      <c r="D107" s="55" t="s">
        <v>94</v>
      </c>
      <c r="E107" s="44">
        <f>DSUM($B$80:$Y$92,E$80,$C$99:$D107)</f>
        <v>0</v>
      </c>
      <c r="F107" s="44">
        <f>DSUM($B$80:$Y$92,F$80,$C$99:$D107)</f>
        <v>0</v>
      </c>
      <c r="G107" s="44">
        <f>DSUM($B$80:$Y$92,G$80,$C$99:$D107)</f>
        <v>0</v>
      </c>
      <c r="H107" s="44">
        <f>DSUM($B$80:$Y$92,H$80,$C$99:$D107)</f>
        <v>0</v>
      </c>
      <c r="I107" s="44">
        <f>DSUM($B$80:$Y$92,I$80,$C$99:$D107)</f>
        <v>0</v>
      </c>
      <c r="J107" s="44">
        <f>DSUM($B$80:$Y$92,J$80,$C$99:$D107)</f>
        <v>0</v>
      </c>
      <c r="K107" s="44">
        <f>DSUM($B$80:$Y$92,K$80,$C$99:$D107)</f>
        <v>0</v>
      </c>
      <c r="L107" s="44">
        <f>DSUM($B$80:$Y$92,L$80,$C$99:$D107)</f>
        <v>0</v>
      </c>
      <c r="M107" s="44">
        <f>DSUM($B$80:$Y$92,M$80,$C$99:$D107)</f>
        <v>0</v>
      </c>
      <c r="N107" s="44">
        <f>DSUM($B$80:$Y$92,N$80,$C$99:$D107)</f>
        <v>0</v>
      </c>
      <c r="O107" s="44">
        <f>DSUM($B$80:$Y$92,O$80,$C$99:$D107)</f>
        <v>0</v>
      </c>
      <c r="P107" s="44">
        <f>DSUM($B$80:$Y$92,P$80,$C$99:$D107)</f>
        <v>0</v>
      </c>
      <c r="Q107" s="44">
        <f>DSUM($B$80:$Y$92,Q$80,$C$99:$D107)</f>
        <v>0</v>
      </c>
      <c r="R107" s="44">
        <f>DSUM($B$80:$Y$92,R$80,$C$99:$D107)</f>
        <v>0</v>
      </c>
      <c r="S107" s="44">
        <f>DSUM($B$80:$Y$92,S$80,$C$99:$D107)</f>
        <v>0</v>
      </c>
      <c r="T107" s="44">
        <f>DSUM($B$80:$Y$92,T$80,$C$99:$D107)</f>
        <v>0</v>
      </c>
      <c r="U107" s="44">
        <f>DSUM($B$80:$Y$92,U$80,$C$99:$D107)</f>
        <v>0</v>
      </c>
      <c r="V107" s="44">
        <f>DSUM($B$80:$Y$92,V$80,$C$99:$D107)</f>
        <v>0</v>
      </c>
      <c r="W107" s="44">
        <f>DSUM($B$80:$Y$92,W$80,$C$99:$D107)</f>
        <v>0</v>
      </c>
      <c r="X107" s="44">
        <f>DSUM($B$80:$Y$92,X$80,$C$99:$D107)</f>
        <v>0</v>
      </c>
      <c r="Y107" s="44">
        <f>DSUM($B$80:$Y$92,Y$80,$C$99:$D107)</f>
        <v>0</v>
      </c>
      <c r="Z107" s="9"/>
      <c r="AA107" s="9"/>
      <c r="AB107" s="9"/>
      <c r="AC107" s="9"/>
    </row>
    <row r="108" spans="1:29" customFormat="1">
      <c r="A108" s="9"/>
      <c r="B108" s="9" t="s">
        <v>95</v>
      </c>
      <c r="C108" s="55" t="s">
        <v>96</v>
      </c>
      <c r="D108" s="55" t="s">
        <v>97</v>
      </c>
      <c r="E108" s="44">
        <f>DSUM($B$80:$Y$92,E$80,$C$99:$D108)</f>
        <v>0</v>
      </c>
      <c r="F108" s="44">
        <f>DSUM($B$80:$Y$92,F$80,$C$99:$D108)</f>
        <v>0</v>
      </c>
      <c r="G108" s="44">
        <f>DSUM($B$80:$Y$92,G$80,$C$99:$D108)</f>
        <v>0</v>
      </c>
      <c r="H108" s="44">
        <f>DSUM($B$80:$Y$92,H$80,$C$99:$D108)</f>
        <v>0</v>
      </c>
      <c r="I108" s="44">
        <f>DSUM($B$80:$Y$92,I$80,$C$99:$D108)</f>
        <v>0</v>
      </c>
      <c r="J108" s="44">
        <f>DSUM($B$80:$Y$92,J$80,$C$99:$D108)</f>
        <v>0</v>
      </c>
      <c r="K108" s="44">
        <f>DSUM($B$80:$Y$92,K$80,$C$99:$D108)</f>
        <v>0</v>
      </c>
      <c r="L108" s="44">
        <f>DSUM($B$80:$Y$92,L$80,$C$99:$D108)</f>
        <v>0</v>
      </c>
      <c r="M108" s="44">
        <f>DSUM($B$80:$Y$92,M$80,$C$99:$D108)</f>
        <v>0</v>
      </c>
      <c r="N108" s="44">
        <f>DSUM($B$80:$Y$92,N$80,$C$99:$D108)</f>
        <v>0</v>
      </c>
      <c r="O108" s="44">
        <f>DSUM($B$80:$Y$92,O$80,$C$99:$D108)</f>
        <v>0</v>
      </c>
      <c r="P108" s="44">
        <f>DSUM($B$80:$Y$92,P$80,$C$99:$D108)</f>
        <v>0</v>
      </c>
      <c r="Q108" s="44">
        <f>DSUM($B$80:$Y$92,Q$80,$C$99:$D108)</f>
        <v>0</v>
      </c>
      <c r="R108" s="44">
        <f>DSUM($B$80:$Y$92,R$80,$C$99:$D108)</f>
        <v>0</v>
      </c>
      <c r="S108" s="44">
        <f>DSUM($B$80:$Y$92,S$80,$C$99:$D108)</f>
        <v>0</v>
      </c>
      <c r="T108" s="44">
        <f>DSUM($B$80:$Y$92,T$80,$C$99:$D108)</f>
        <v>0</v>
      </c>
      <c r="U108" s="44">
        <f>DSUM($B$80:$Y$92,U$80,$C$99:$D108)</f>
        <v>0</v>
      </c>
      <c r="V108" s="44">
        <f>DSUM($B$80:$Y$92,V$80,$C$99:$D108)</f>
        <v>0</v>
      </c>
      <c r="W108" s="44">
        <f>DSUM($B$80:$Y$92,W$80,$C$99:$D108)</f>
        <v>0</v>
      </c>
      <c r="X108" s="44">
        <f>DSUM($B$80:$Y$92,X$80,$C$99:$D108)</f>
        <v>0</v>
      </c>
      <c r="Y108" s="44">
        <f>DSUM($B$80:$Y$92,Y$80,$C$99:$D108)</f>
        <v>0</v>
      </c>
      <c r="Z108" s="9"/>
      <c r="AA108" s="9"/>
      <c r="AB108" s="9"/>
      <c r="AC108" s="9"/>
    </row>
    <row r="109" spans="1:29" customFormat="1">
      <c r="A109" s="9"/>
      <c r="B109" s="9" t="s">
        <v>98</v>
      </c>
      <c r="C109" s="55" t="s">
        <v>99</v>
      </c>
      <c r="D109" s="55" t="s">
        <v>100</v>
      </c>
      <c r="E109" s="44">
        <f>DSUM($B$80:$Y$92,E$80,$C$99:$D109)</f>
        <v>0</v>
      </c>
      <c r="F109" s="44">
        <f>DSUM($B$80:$Y$92,F$80,$C$99:$D109)</f>
        <v>0</v>
      </c>
      <c r="G109" s="44">
        <f>DSUM($B$80:$Y$92,G$80,$C$99:$D109)</f>
        <v>0</v>
      </c>
      <c r="H109" s="44">
        <f>DSUM($B$80:$Y$92,H$80,$C$99:$D109)</f>
        <v>0</v>
      </c>
      <c r="I109" s="44">
        <f>DSUM($B$80:$Y$92,I$80,$C$99:$D109)</f>
        <v>0</v>
      </c>
      <c r="J109" s="44">
        <f>DSUM($B$80:$Y$92,J$80,$C$99:$D109)</f>
        <v>0</v>
      </c>
      <c r="K109" s="44">
        <f>DSUM($B$80:$Y$92,K$80,$C$99:$D109)</f>
        <v>0</v>
      </c>
      <c r="L109" s="44">
        <f>DSUM($B$80:$Y$92,L$80,$C$99:$D109)</f>
        <v>0</v>
      </c>
      <c r="M109" s="44">
        <f>DSUM($B$80:$Y$92,M$80,$C$99:$D109)</f>
        <v>0</v>
      </c>
      <c r="N109" s="44">
        <f>DSUM($B$80:$Y$92,N$80,$C$99:$D109)</f>
        <v>0</v>
      </c>
      <c r="O109" s="44">
        <f>DSUM($B$80:$Y$92,O$80,$C$99:$D109)</f>
        <v>0</v>
      </c>
      <c r="P109" s="44">
        <f>DSUM($B$80:$Y$92,P$80,$C$99:$D109)</f>
        <v>0</v>
      </c>
      <c r="Q109" s="44">
        <f>DSUM($B$80:$Y$92,Q$80,$C$99:$D109)</f>
        <v>0</v>
      </c>
      <c r="R109" s="44">
        <f>DSUM($B$80:$Y$92,R$80,$C$99:$D109)</f>
        <v>0</v>
      </c>
      <c r="S109" s="44">
        <f>DSUM($B$80:$Y$92,S$80,$C$99:$D109)</f>
        <v>0</v>
      </c>
      <c r="T109" s="44">
        <f>DSUM($B$80:$Y$92,T$80,$C$99:$D109)</f>
        <v>0</v>
      </c>
      <c r="U109" s="44">
        <f>DSUM($B$80:$Y$92,U$80,$C$99:$D109)</f>
        <v>0</v>
      </c>
      <c r="V109" s="44">
        <f>DSUM($B$80:$Y$92,V$80,$C$99:$D109)</f>
        <v>0</v>
      </c>
      <c r="W109" s="44">
        <f>DSUM($B$80:$Y$92,W$80,$C$99:$D109)</f>
        <v>0</v>
      </c>
      <c r="X109" s="44">
        <f>DSUM($B$80:$Y$92,X$80,$C$99:$D109)</f>
        <v>0</v>
      </c>
      <c r="Y109" s="44">
        <f>DSUM($B$80:$Y$92,Y$80,$C$99:$D109)</f>
        <v>0</v>
      </c>
      <c r="Z109" s="9"/>
      <c r="AA109" s="9"/>
      <c r="AB109" s="9"/>
      <c r="AC109" s="9"/>
    </row>
    <row r="110" spans="1:29" customFormat="1">
      <c r="A110" s="9"/>
      <c r="B110" s="9" t="s">
        <v>101</v>
      </c>
      <c r="C110" s="55" t="s">
        <v>102</v>
      </c>
      <c r="D110" s="55" t="s">
        <v>103</v>
      </c>
      <c r="E110" s="44">
        <f>DSUM($B$80:$Y$92,E$80,$C$99:$D110)</f>
        <v>0</v>
      </c>
      <c r="F110" s="44">
        <f>DSUM($B$80:$Y$92,F$80,$C$99:$D110)</f>
        <v>0</v>
      </c>
      <c r="G110" s="44">
        <f>DSUM($B$80:$Y$92,G$80,$C$99:$D110)</f>
        <v>0</v>
      </c>
      <c r="H110" s="44">
        <f>DSUM($B$80:$Y$92,H$80,$C$99:$D110)</f>
        <v>0</v>
      </c>
      <c r="I110" s="44">
        <f>DSUM($B$80:$Y$92,I$80,$C$99:$D110)</f>
        <v>0</v>
      </c>
      <c r="J110" s="44">
        <f>DSUM($B$80:$Y$92,J$80,$C$99:$D110)</f>
        <v>0</v>
      </c>
      <c r="K110" s="44">
        <f>DSUM($B$80:$Y$92,K$80,$C$99:$D110)</f>
        <v>0</v>
      </c>
      <c r="L110" s="44">
        <f>DSUM($B$80:$Y$92,L$80,$C$99:$D110)</f>
        <v>0</v>
      </c>
      <c r="M110" s="44">
        <f>DSUM($B$80:$Y$92,M$80,$C$99:$D110)</f>
        <v>0</v>
      </c>
      <c r="N110" s="44">
        <f>DSUM($B$80:$Y$92,N$80,$C$99:$D110)</f>
        <v>0</v>
      </c>
      <c r="O110" s="44">
        <f>DSUM($B$80:$Y$92,O$80,$C$99:$D110)</f>
        <v>0</v>
      </c>
      <c r="P110" s="44">
        <f>DSUM($B$80:$Y$92,P$80,$C$99:$D110)</f>
        <v>0</v>
      </c>
      <c r="Q110" s="44">
        <f>DSUM($B$80:$Y$92,Q$80,$C$99:$D110)</f>
        <v>0</v>
      </c>
      <c r="R110" s="44">
        <f>DSUM($B$80:$Y$92,R$80,$C$99:$D110)</f>
        <v>0</v>
      </c>
      <c r="S110" s="44">
        <f>DSUM($B$80:$Y$92,S$80,$C$99:$D110)</f>
        <v>0</v>
      </c>
      <c r="T110" s="44">
        <f>DSUM($B$80:$Y$92,T$80,$C$99:$D110)</f>
        <v>0</v>
      </c>
      <c r="U110" s="44">
        <f>DSUM($B$80:$Y$92,U$80,$C$99:$D110)</f>
        <v>0</v>
      </c>
      <c r="V110" s="44">
        <f>DSUM($B$80:$Y$92,V$80,$C$99:$D110)</f>
        <v>0</v>
      </c>
      <c r="W110" s="44">
        <f>DSUM($B$80:$Y$92,W$80,$C$99:$D110)</f>
        <v>0</v>
      </c>
      <c r="X110" s="44">
        <f>DSUM($B$80:$Y$92,X$80,$C$99:$D110)</f>
        <v>0</v>
      </c>
      <c r="Y110" s="44">
        <f>DSUM($B$80:$Y$92,Y$80,$C$99:$D110)</f>
        <v>0</v>
      </c>
      <c r="Z110" s="9"/>
      <c r="AA110" s="9"/>
      <c r="AB110" s="9"/>
      <c r="AC110" s="9"/>
    </row>
    <row r="111" spans="1:29" customFormat="1">
      <c r="A111" s="9"/>
      <c r="B111" s="9" t="s">
        <v>104</v>
      </c>
      <c r="C111" s="55" t="s">
        <v>105</v>
      </c>
      <c r="D111" s="55" t="s">
        <v>106</v>
      </c>
      <c r="E111" s="44">
        <f>DSUM($B$80:$Y$92,E$80,$C$99:$D111)</f>
        <v>0</v>
      </c>
      <c r="F111" s="44">
        <f>DSUM($B$80:$Y$92,F$80,$C$99:$D111)</f>
        <v>0</v>
      </c>
      <c r="G111" s="44">
        <f>DSUM($B$80:$Y$92,G$80,$C$99:$D111)</f>
        <v>0</v>
      </c>
      <c r="H111" s="44">
        <f>DSUM($B$80:$Y$92,H$80,$C$99:$D111)</f>
        <v>0</v>
      </c>
      <c r="I111" s="44">
        <f>DSUM($B$80:$Y$92,I$80,$C$99:$D111)</f>
        <v>0</v>
      </c>
      <c r="J111" s="44">
        <f>DSUM($B$80:$Y$92,J$80,$C$99:$D111)</f>
        <v>0</v>
      </c>
      <c r="K111" s="44">
        <f>DSUM($B$80:$Y$92,K$80,$C$99:$D111)</f>
        <v>0</v>
      </c>
      <c r="L111" s="44">
        <f>DSUM($B$80:$Y$92,L$80,$C$99:$D111)</f>
        <v>0</v>
      </c>
      <c r="M111" s="44">
        <f>DSUM($B$80:$Y$92,M$80,$C$99:$D111)</f>
        <v>0</v>
      </c>
      <c r="N111" s="44">
        <f>DSUM($B$80:$Y$92,N$80,$C$99:$D111)</f>
        <v>0</v>
      </c>
      <c r="O111" s="44">
        <f>DSUM($B$80:$Y$92,O$80,$C$99:$D111)</f>
        <v>0</v>
      </c>
      <c r="P111" s="44">
        <f>DSUM($B$80:$Y$92,P$80,$C$99:$D111)</f>
        <v>0</v>
      </c>
      <c r="Q111" s="44">
        <f>DSUM($B$80:$Y$92,Q$80,$C$99:$D111)</f>
        <v>0</v>
      </c>
      <c r="R111" s="44">
        <f>DSUM($B$80:$Y$92,R$80,$C$99:$D111)</f>
        <v>0</v>
      </c>
      <c r="S111" s="44">
        <f>DSUM($B$80:$Y$92,S$80,$C$99:$D111)</f>
        <v>0</v>
      </c>
      <c r="T111" s="44">
        <f>DSUM($B$80:$Y$92,T$80,$C$99:$D111)</f>
        <v>0</v>
      </c>
      <c r="U111" s="44">
        <f>DSUM($B$80:$Y$92,U$80,$C$99:$D111)</f>
        <v>0</v>
      </c>
      <c r="V111" s="44">
        <f>DSUM($B$80:$Y$92,V$80,$C$99:$D111)</f>
        <v>0</v>
      </c>
      <c r="W111" s="44">
        <f>DSUM($B$80:$Y$92,W$80,$C$99:$D111)</f>
        <v>0</v>
      </c>
      <c r="X111" s="44">
        <f>DSUM($B$80:$Y$92,X$80,$C$99:$D111)</f>
        <v>0</v>
      </c>
      <c r="Y111" s="44">
        <f>DSUM($B$80:$Y$92,Y$80,$C$99:$D111)</f>
        <v>0</v>
      </c>
      <c r="Z111" s="9"/>
      <c r="AA111" s="9"/>
      <c r="AB111" s="9"/>
      <c r="AC111" s="9"/>
    </row>
    <row r="112" spans="1:29" customFormat="1">
      <c r="A112" s="9"/>
      <c r="B112" s="9" t="s">
        <v>107</v>
      </c>
      <c r="C112" s="55" t="s">
        <v>108</v>
      </c>
      <c r="D112" s="55" t="s">
        <v>109</v>
      </c>
      <c r="E112" s="44">
        <f>DSUM($B$80:$Y$92,E$80,$C$99:$D112)</f>
        <v>0</v>
      </c>
      <c r="F112" s="44">
        <f>DSUM($B$80:$Y$92,F$80,$C$99:$D112)</f>
        <v>0</v>
      </c>
      <c r="G112" s="44">
        <f>DSUM($B$80:$Y$92,G$80,$C$99:$D112)</f>
        <v>0</v>
      </c>
      <c r="H112" s="44">
        <f>DSUM($B$80:$Y$92,H$80,$C$99:$D112)</f>
        <v>0</v>
      </c>
      <c r="I112" s="44">
        <f>DSUM($B$80:$Y$92,I$80,$C$99:$D112)</f>
        <v>0</v>
      </c>
      <c r="J112" s="44">
        <f>DSUM($B$80:$Y$92,J$80,$C$99:$D112)</f>
        <v>0</v>
      </c>
      <c r="K112" s="44">
        <f>DSUM($B$80:$Y$92,K$80,$C$99:$D112)</f>
        <v>0</v>
      </c>
      <c r="L112" s="44">
        <f>DSUM($B$80:$Y$92,L$80,$C$99:$D112)</f>
        <v>0</v>
      </c>
      <c r="M112" s="44">
        <f>DSUM($B$80:$Y$92,M$80,$C$99:$D112)</f>
        <v>0</v>
      </c>
      <c r="N112" s="44">
        <f>DSUM($B$80:$Y$92,N$80,$C$99:$D112)</f>
        <v>0</v>
      </c>
      <c r="O112" s="44">
        <f>DSUM($B$80:$Y$92,O$80,$C$99:$D112)</f>
        <v>0</v>
      </c>
      <c r="P112" s="44">
        <f>DSUM($B$80:$Y$92,P$80,$C$99:$D112)</f>
        <v>0</v>
      </c>
      <c r="Q112" s="44">
        <f>DSUM($B$80:$Y$92,Q$80,$C$99:$D112)</f>
        <v>0</v>
      </c>
      <c r="R112" s="44">
        <f>DSUM($B$80:$Y$92,R$80,$C$99:$D112)</f>
        <v>0</v>
      </c>
      <c r="S112" s="44">
        <f>DSUM($B$80:$Y$92,S$80,$C$99:$D112)</f>
        <v>0</v>
      </c>
      <c r="T112" s="44">
        <f>DSUM($B$80:$Y$92,T$80,$C$99:$D112)</f>
        <v>0</v>
      </c>
      <c r="U112" s="44">
        <f>DSUM($B$80:$Y$92,U$80,$C$99:$D112)</f>
        <v>0</v>
      </c>
      <c r="V112" s="44">
        <f>DSUM($B$80:$Y$92,V$80,$C$99:$D112)</f>
        <v>0</v>
      </c>
      <c r="W112" s="44">
        <f>DSUM($B$80:$Y$92,W$80,$C$99:$D112)</f>
        <v>0</v>
      </c>
      <c r="X112" s="44">
        <f>DSUM($B$80:$Y$92,X$80,$C$99:$D112)</f>
        <v>0</v>
      </c>
      <c r="Y112" s="44">
        <f>DSUM($B$80:$Y$92,Y$80,$C$99:$D112)</f>
        <v>0</v>
      </c>
      <c r="Z112" s="9"/>
      <c r="AA112" s="9"/>
      <c r="AB112" s="9"/>
      <c r="AC112" s="9"/>
    </row>
    <row r="113" spans="1:29" customFormat="1">
      <c r="A113" s="9"/>
      <c r="B113" s="9" t="s">
        <v>110</v>
      </c>
      <c r="C113" s="55" t="s">
        <v>111</v>
      </c>
      <c r="D113" s="55" t="s">
        <v>112</v>
      </c>
      <c r="E113" s="44">
        <f>DSUM($B$80:$Y$92,E$80,$C$99:$D113)</f>
        <v>0</v>
      </c>
      <c r="F113" s="44">
        <f>DSUM($B$80:$Y$92,F$80,$C$99:$D113)</f>
        <v>0</v>
      </c>
      <c r="G113" s="44">
        <f>DSUM($B$80:$Y$92,G$80,$C$99:$D113)</f>
        <v>0</v>
      </c>
      <c r="H113" s="44">
        <f>DSUM($B$80:$Y$92,H$80,$C$99:$D113)</f>
        <v>0</v>
      </c>
      <c r="I113" s="44">
        <f>DSUM($B$80:$Y$92,I$80,$C$99:$D113)</f>
        <v>0</v>
      </c>
      <c r="J113" s="44">
        <f>DSUM($B$80:$Y$92,J$80,$C$99:$D113)</f>
        <v>0</v>
      </c>
      <c r="K113" s="44">
        <f>DSUM($B$80:$Y$92,K$80,$C$99:$D113)</f>
        <v>0</v>
      </c>
      <c r="L113" s="44">
        <f>DSUM($B$80:$Y$92,L$80,$C$99:$D113)</f>
        <v>0</v>
      </c>
      <c r="M113" s="44">
        <f>DSUM($B$80:$Y$92,M$80,$C$99:$D113)</f>
        <v>0</v>
      </c>
      <c r="N113" s="44">
        <f>DSUM($B$80:$Y$92,N$80,$C$99:$D113)</f>
        <v>0</v>
      </c>
      <c r="O113" s="44">
        <f>DSUM($B$80:$Y$92,O$80,$C$99:$D113)</f>
        <v>0</v>
      </c>
      <c r="P113" s="44">
        <f>DSUM($B$80:$Y$92,P$80,$C$99:$D113)</f>
        <v>0</v>
      </c>
      <c r="Q113" s="44">
        <f>DSUM($B$80:$Y$92,Q$80,$C$99:$D113)</f>
        <v>0</v>
      </c>
      <c r="R113" s="44">
        <f>DSUM($B$80:$Y$92,R$80,$C$99:$D113)</f>
        <v>0</v>
      </c>
      <c r="S113" s="44">
        <f>DSUM($B$80:$Y$92,S$80,$C$99:$D113)</f>
        <v>0</v>
      </c>
      <c r="T113" s="44">
        <f>DSUM($B$80:$Y$92,T$80,$C$99:$D113)</f>
        <v>0</v>
      </c>
      <c r="U113" s="44">
        <f>DSUM($B$80:$Y$92,U$80,$C$99:$D113)</f>
        <v>0</v>
      </c>
      <c r="V113" s="44">
        <f>DSUM($B$80:$Y$92,V$80,$C$99:$D113)</f>
        <v>0</v>
      </c>
      <c r="W113" s="44">
        <f>DSUM($B$80:$Y$92,W$80,$C$99:$D113)</f>
        <v>0</v>
      </c>
      <c r="X113" s="44">
        <f>DSUM($B$80:$Y$92,X$80,$C$99:$D113)</f>
        <v>0</v>
      </c>
      <c r="Y113" s="44">
        <f>DSUM($B$80:$Y$92,Y$80,$C$99:$D113)</f>
        <v>0</v>
      </c>
      <c r="Z113" s="9"/>
      <c r="AA113" s="9"/>
      <c r="AB113" s="9"/>
      <c r="AC113" s="9"/>
    </row>
    <row r="114" spans="1:29" customFormat="1">
      <c r="A114" s="9"/>
      <c r="B114" s="9" t="s">
        <v>113</v>
      </c>
      <c r="C114" s="55" t="s">
        <v>114</v>
      </c>
      <c r="D114" s="55" t="s">
        <v>115</v>
      </c>
      <c r="E114" s="44">
        <f>DSUM($B$80:$Y$92,E$80,$C$99:$D114)</f>
        <v>0</v>
      </c>
      <c r="F114" s="44">
        <f>DSUM($B$80:$Y$92,F$80,$C$99:$D114)</f>
        <v>0</v>
      </c>
      <c r="G114" s="44">
        <f>DSUM($B$80:$Y$92,G$80,$C$99:$D114)</f>
        <v>0</v>
      </c>
      <c r="H114" s="44">
        <f>DSUM($B$80:$Y$92,H$80,$C$99:$D114)</f>
        <v>0</v>
      </c>
      <c r="I114" s="44">
        <f>DSUM($B$80:$Y$92,I$80,$C$99:$D114)</f>
        <v>0</v>
      </c>
      <c r="J114" s="44">
        <f>DSUM($B$80:$Y$92,J$80,$C$99:$D114)</f>
        <v>0</v>
      </c>
      <c r="K114" s="44">
        <f>DSUM($B$80:$Y$92,K$80,$C$99:$D114)</f>
        <v>0</v>
      </c>
      <c r="L114" s="44">
        <f>DSUM($B$80:$Y$92,L$80,$C$99:$D114)</f>
        <v>0</v>
      </c>
      <c r="M114" s="44">
        <f>DSUM($B$80:$Y$92,M$80,$C$99:$D114)</f>
        <v>0</v>
      </c>
      <c r="N114" s="44">
        <f>DSUM($B$80:$Y$92,N$80,$C$99:$D114)</f>
        <v>0</v>
      </c>
      <c r="O114" s="44">
        <f>DSUM($B$80:$Y$92,O$80,$C$99:$D114)</f>
        <v>0</v>
      </c>
      <c r="P114" s="44">
        <f>DSUM($B$80:$Y$92,P$80,$C$99:$D114)</f>
        <v>0</v>
      </c>
      <c r="Q114" s="44">
        <f>DSUM($B$80:$Y$92,Q$80,$C$99:$D114)</f>
        <v>0</v>
      </c>
      <c r="R114" s="44">
        <f>DSUM($B$80:$Y$92,R$80,$C$99:$D114)</f>
        <v>0</v>
      </c>
      <c r="S114" s="44">
        <f>DSUM($B$80:$Y$92,S$80,$C$99:$D114)</f>
        <v>0</v>
      </c>
      <c r="T114" s="44">
        <f>DSUM($B$80:$Y$92,T$80,$C$99:$D114)</f>
        <v>0</v>
      </c>
      <c r="U114" s="44">
        <f>DSUM($B$80:$Y$92,U$80,$C$99:$D114)</f>
        <v>0</v>
      </c>
      <c r="V114" s="44">
        <f>DSUM($B$80:$Y$92,V$80,$C$99:$D114)</f>
        <v>0</v>
      </c>
      <c r="W114" s="44">
        <f>DSUM($B$80:$Y$92,W$80,$C$99:$D114)</f>
        <v>0</v>
      </c>
      <c r="X114" s="44">
        <f>DSUM($B$80:$Y$92,X$80,$C$99:$D114)</f>
        <v>0</v>
      </c>
      <c r="Y114" s="44">
        <f>DSUM($B$80:$Y$92,Y$80,$C$99:$D114)</f>
        <v>0</v>
      </c>
      <c r="Z114" s="9"/>
      <c r="AA114" s="9"/>
      <c r="AB114" s="9"/>
      <c r="AC114" s="9"/>
    </row>
    <row r="115" spans="1:29" customFormat="1">
      <c r="A115" s="9"/>
      <c r="B115" s="9" t="s">
        <v>116</v>
      </c>
      <c r="C115" s="55" t="s">
        <v>117</v>
      </c>
      <c r="D115" s="55" t="s">
        <v>118</v>
      </c>
      <c r="E115" s="44">
        <f>DSUM($B$80:$Y$92,E$80,$C$99:$D115)</f>
        <v>0</v>
      </c>
      <c r="F115" s="44">
        <f>DSUM($B$80:$Y$92,F$80,$C$99:$D115)</f>
        <v>0</v>
      </c>
      <c r="G115" s="44">
        <f>DSUM($B$80:$Y$92,G$80,$C$99:$D115)</f>
        <v>0</v>
      </c>
      <c r="H115" s="44">
        <f>DSUM($B$80:$Y$92,H$80,$C$99:$D115)</f>
        <v>0</v>
      </c>
      <c r="I115" s="44">
        <f>DSUM($B$80:$Y$92,I$80,$C$99:$D115)</f>
        <v>0</v>
      </c>
      <c r="J115" s="44">
        <f>DSUM($B$80:$Y$92,J$80,$C$99:$D115)</f>
        <v>0</v>
      </c>
      <c r="K115" s="44">
        <f>DSUM($B$80:$Y$92,K$80,$C$99:$D115)</f>
        <v>0</v>
      </c>
      <c r="L115" s="44">
        <f>DSUM($B$80:$Y$92,L$80,$C$99:$D115)</f>
        <v>0</v>
      </c>
      <c r="M115" s="44">
        <f>DSUM($B$80:$Y$92,M$80,$C$99:$D115)</f>
        <v>0</v>
      </c>
      <c r="N115" s="44">
        <f>DSUM($B$80:$Y$92,N$80,$C$99:$D115)</f>
        <v>0</v>
      </c>
      <c r="O115" s="44">
        <f>DSUM($B$80:$Y$92,O$80,$C$99:$D115)</f>
        <v>0</v>
      </c>
      <c r="P115" s="44">
        <f>DSUM($B$80:$Y$92,P$80,$C$99:$D115)</f>
        <v>0</v>
      </c>
      <c r="Q115" s="44">
        <f>DSUM($B$80:$Y$92,Q$80,$C$99:$D115)</f>
        <v>0</v>
      </c>
      <c r="R115" s="44">
        <f>DSUM($B$80:$Y$92,R$80,$C$99:$D115)</f>
        <v>0</v>
      </c>
      <c r="S115" s="44">
        <f>DSUM($B$80:$Y$92,S$80,$C$99:$D115)</f>
        <v>0</v>
      </c>
      <c r="T115" s="44">
        <f>DSUM($B$80:$Y$92,T$80,$C$99:$D115)</f>
        <v>0</v>
      </c>
      <c r="U115" s="44">
        <f>DSUM($B$80:$Y$92,U$80,$C$99:$D115)</f>
        <v>0</v>
      </c>
      <c r="V115" s="44">
        <f>DSUM($B$80:$Y$92,V$80,$C$99:$D115)</f>
        <v>0</v>
      </c>
      <c r="W115" s="44">
        <f>DSUM($B$80:$Y$92,W$80,$C$99:$D115)</f>
        <v>0</v>
      </c>
      <c r="X115" s="44">
        <f>DSUM($B$80:$Y$92,X$80,$C$99:$D115)</f>
        <v>0</v>
      </c>
      <c r="Y115" s="44">
        <f>DSUM($B$80:$Y$92,Y$80,$C$99:$D115)</f>
        <v>0</v>
      </c>
      <c r="Z115" s="9"/>
      <c r="AA115" s="9"/>
      <c r="AB115" s="9"/>
      <c r="AC115" s="9"/>
    </row>
    <row r="116" spans="1:29" customFormat="1">
      <c r="A116" s="9"/>
      <c r="B116" s="9" t="s">
        <v>119</v>
      </c>
      <c r="C116" s="55" t="s">
        <v>120</v>
      </c>
      <c r="D116" s="55" t="s">
        <v>121</v>
      </c>
      <c r="E116" s="44">
        <f>DSUM($B$80:$Y$92,E$80,$C$99:$D116)</f>
        <v>0</v>
      </c>
      <c r="F116" s="44">
        <f>DSUM($B$80:$Y$92,F$80,$C$99:$D116)</f>
        <v>0</v>
      </c>
      <c r="G116" s="44">
        <f>DSUM($B$80:$Y$92,G$80,$C$99:$D116)</f>
        <v>0</v>
      </c>
      <c r="H116" s="44">
        <f>DSUM($B$80:$Y$92,H$80,$C$99:$D116)</f>
        <v>0</v>
      </c>
      <c r="I116" s="44">
        <f>DSUM($B$80:$Y$92,I$80,$C$99:$D116)</f>
        <v>0</v>
      </c>
      <c r="J116" s="44">
        <f>DSUM($B$80:$Y$92,J$80,$C$99:$D116)</f>
        <v>0</v>
      </c>
      <c r="K116" s="44">
        <f>DSUM($B$80:$Y$92,K$80,$C$99:$D116)</f>
        <v>0</v>
      </c>
      <c r="L116" s="44">
        <f>DSUM($B$80:$Y$92,L$80,$C$99:$D116)</f>
        <v>0</v>
      </c>
      <c r="M116" s="44">
        <f>DSUM($B$80:$Y$92,M$80,$C$99:$D116)</f>
        <v>0</v>
      </c>
      <c r="N116" s="44">
        <f>DSUM($B$80:$Y$92,N$80,$C$99:$D116)</f>
        <v>0</v>
      </c>
      <c r="O116" s="44">
        <f>DSUM($B$80:$Y$92,O$80,$C$99:$D116)</f>
        <v>0</v>
      </c>
      <c r="P116" s="44">
        <f>DSUM($B$80:$Y$92,P$80,$C$99:$D116)</f>
        <v>0</v>
      </c>
      <c r="Q116" s="44">
        <f>DSUM($B$80:$Y$92,Q$80,$C$99:$D116)</f>
        <v>0</v>
      </c>
      <c r="R116" s="44">
        <f>DSUM($B$80:$Y$92,R$80,$C$99:$D116)</f>
        <v>0</v>
      </c>
      <c r="S116" s="44">
        <f>DSUM($B$80:$Y$92,S$80,$C$99:$D116)</f>
        <v>0</v>
      </c>
      <c r="T116" s="44">
        <f>DSUM($B$80:$Y$92,T$80,$C$99:$D116)</f>
        <v>0</v>
      </c>
      <c r="U116" s="44">
        <f>DSUM($B$80:$Y$92,U$80,$C$99:$D116)</f>
        <v>0</v>
      </c>
      <c r="V116" s="44">
        <f>DSUM($B$80:$Y$92,V$80,$C$99:$D116)</f>
        <v>0</v>
      </c>
      <c r="W116" s="44">
        <f>DSUM($B$80:$Y$92,W$80,$C$99:$D116)</f>
        <v>0</v>
      </c>
      <c r="X116" s="44">
        <f>DSUM($B$80:$Y$92,X$80,$C$99:$D116)</f>
        <v>0</v>
      </c>
      <c r="Y116" s="44">
        <f>DSUM($B$80:$Y$92,Y$80,$C$99:$D116)</f>
        <v>0</v>
      </c>
      <c r="Z116" s="9"/>
      <c r="AA116" s="9"/>
      <c r="AB116" s="9"/>
      <c r="AC116" s="9"/>
    </row>
    <row r="117" spans="1:29" customFormat="1">
      <c r="A117" s="9"/>
      <c r="B117" s="9" t="s">
        <v>122</v>
      </c>
      <c r="C117" s="55" t="s">
        <v>123</v>
      </c>
      <c r="D117" s="55" t="s">
        <v>124</v>
      </c>
      <c r="E117" s="44">
        <f>DSUM($B$80:$Y$92,E$80,$C$99:$D117)</f>
        <v>0</v>
      </c>
      <c r="F117" s="44">
        <f>DSUM($B$80:$Y$92,F$80,$C$99:$D117)</f>
        <v>0</v>
      </c>
      <c r="G117" s="44">
        <f>DSUM($B$80:$Y$92,G$80,$C$99:$D117)</f>
        <v>0</v>
      </c>
      <c r="H117" s="44">
        <f>DSUM($B$80:$Y$92,H$80,$C$99:$D117)</f>
        <v>0</v>
      </c>
      <c r="I117" s="44">
        <f>DSUM($B$80:$Y$92,I$80,$C$99:$D117)</f>
        <v>0</v>
      </c>
      <c r="J117" s="44">
        <f>DSUM($B$80:$Y$92,J$80,$C$99:$D117)</f>
        <v>0</v>
      </c>
      <c r="K117" s="44">
        <f>DSUM($B$80:$Y$92,K$80,$C$99:$D117)</f>
        <v>0</v>
      </c>
      <c r="L117" s="44">
        <f>DSUM($B$80:$Y$92,L$80,$C$99:$D117)</f>
        <v>0</v>
      </c>
      <c r="M117" s="44">
        <f>DSUM($B$80:$Y$92,M$80,$C$99:$D117)</f>
        <v>0</v>
      </c>
      <c r="N117" s="44">
        <f>DSUM($B$80:$Y$92,N$80,$C$99:$D117)</f>
        <v>0</v>
      </c>
      <c r="O117" s="44">
        <f>DSUM($B$80:$Y$92,O$80,$C$99:$D117)</f>
        <v>0</v>
      </c>
      <c r="P117" s="44">
        <f>DSUM($B$80:$Y$92,P$80,$C$99:$D117)</f>
        <v>0</v>
      </c>
      <c r="Q117" s="44">
        <f>DSUM($B$80:$Y$92,Q$80,$C$99:$D117)</f>
        <v>0</v>
      </c>
      <c r="R117" s="44">
        <f>DSUM($B$80:$Y$92,R$80,$C$99:$D117)</f>
        <v>0</v>
      </c>
      <c r="S117" s="44">
        <f>DSUM($B$80:$Y$92,S$80,$C$99:$D117)</f>
        <v>0</v>
      </c>
      <c r="T117" s="44">
        <f>DSUM($B$80:$Y$92,T$80,$C$99:$D117)</f>
        <v>0</v>
      </c>
      <c r="U117" s="44">
        <f>DSUM($B$80:$Y$92,U$80,$C$99:$D117)</f>
        <v>0</v>
      </c>
      <c r="V117" s="44">
        <f>DSUM($B$80:$Y$92,V$80,$C$99:$D117)</f>
        <v>0</v>
      </c>
      <c r="W117" s="44">
        <f>DSUM($B$80:$Y$92,W$80,$C$99:$D117)</f>
        <v>0</v>
      </c>
      <c r="X117" s="44">
        <f>DSUM($B$80:$Y$92,X$80,$C$99:$D117)</f>
        <v>0</v>
      </c>
      <c r="Y117" s="44">
        <f>DSUM($B$80:$Y$92,Y$80,$C$99:$D117)</f>
        <v>0</v>
      </c>
      <c r="Z117" s="9"/>
      <c r="AA117" s="9"/>
      <c r="AB117" s="9"/>
      <c r="AC117" s="9"/>
    </row>
    <row r="118" spans="1:29" customFormat="1">
      <c r="A118" s="9"/>
      <c r="B118" s="9" t="s">
        <v>125</v>
      </c>
      <c r="C118" s="55" t="s">
        <v>126</v>
      </c>
      <c r="D118" s="55" t="s">
        <v>127</v>
      </c>
      <c r="E118" s="44">
        <f ca="1">DSUM($B$80:$Y$92,E$80,$C$99:$D118)</f>
        <v>7.2019102649938226E-3</v>
      </c>
      <c r="F118" s="44">
        <f ca="1">DSUM($B$80:$Y$92,F$80,$C$99:$D118)</f>
        <v>2.1531835996966734E-2</v>
      </c>
      <c r="G118" s="44">
        <f ca="1">DSUM($B$80:$Y$92,G$80,$C$99:$D118)</f>
        <v>4.6870612041943975E-2</v>
      </c>
      <c r="H118" s="44">
        <f ca="1">DSUM($B$80:$Y$92,H$80,$C$99:$D118)</f>
        <v>8.7925437710725404E-2</v>
      </c>
      <c r="I118" s="44">
        <f ca="1">DSUM($B$80:$Y$92,I$80,$C$99:$D118)</f>
        <v>0.14999960863548722</v>
      </c>
      <c r="J118" s="44">
        <f ca="1">DSUM($B$80:$Y$92,J$80,$C$99:$D118)</f>
        <v>0.23855900053392418</v>
      </c>
      <c r="K118" s="44">
        <f ca="1">DSUM($B$80:$Y$92,K$80,$C$99:$D118)</f>
        <v>0.35855287726800816</v>
      </c>
      <c r="L118" s="44">
        <f ca="1">DSUM($B$80:$Y$92,L$80,$C$99:$D118)</f>
        <v>0.51348651885983998</v>
      </c>
      <c r="M118" s="44">
        <f ca="1">DSUM($B$80:$Y$92,M$80,$C$99:$D118)</f>
        <v>0.70431994750253346</v>
      </c>
      <c r="N118" s="44">
        <f ca="1">DSUM($B$80:$Y$92,N$80,$C$99:$D118)</f>
        <v>0.92837835492443577</v>
      </c>
      <c r="O118" s="44">
        <f ca="1">DSUM($B$80:$Y$92,O$80,$C$99:$D118)</f>
        <v>1.1785810269762593</v>
      </c>
      <c r="P118" s="44">
        <f ca="1">DSUM($B$80:$Y$92,P$80,$C$99:$D118)</f>
        <v>1.4433716213411347</v>
      </c>
      <c r="Q118" s="44">
        <f ca="1">DSUM($B$80:$Y$92,Q$80,$C$99:$D118)</f>
        <v>1.7076856635276381</v>
      </c>
      <c r="R118" s="44">
        <f ca="1">DSUM($B$80:$Y$92,R$80,$C$99:$D118)</f>
        <v>1.955055485470619</v>
      </c>
      <c r="S118" s="44">
        <f ca="1">DSUM($B$80:$Y$92,S$80,$C$99:$D118)</f>
        <v>2.1705370745178545</v>
      </c>
      <c r="T118" s="44">
        <f ca="1">DSUM($B$80:$Y$92,T$80,$C$99:$D118)</f>
        <v>2.9181880123991557</v>
      </c>
      <c r="U118" s="44">
        <f ca="1">DSUM($B$80:$Y$92,U$80,$C$99:$D118)</f>
        <v>3.0551290692897877</v>
      </c>
      <c r="V118" s="44">
        <f ca="1">DSUM($B$80:$Y$92,V$80,$C$99:$D118)</f>
        <v>3.1325025587643047</v>
      </c>
      <c r="W118" s="44">
        <f ca="1">DSUM($B$80:$Y$92,W$80,$C$99:$D118)</f>
        <v>3.166784141965362</v>
      </c>
      <c r="X118" s="44">
        <f ca="1">DSUM($B$80:$Y$92,X$80,$C$99:$D118)</f>
        <v>3.1598612894382292</v>
      </c>
      <c r="Y118" s="44">
        <f ca="1">DSUM($B$80:$Y$92,Y$80,$C$99:$D118)</f>
        <v>43.327438170797279</v>
      </c>
      <c r="Z118" s="9"/>
      <c r="AA118" s="9"/>
      <c r="AB118" s="9"/>
      <c r="AC118" s="9"/>
    </row>
    <row r="119" spans="1:29" customFormat="1">
      <c r="A119" s="9"/>
      <c r="B119" s="9" t="s">
        <v>128</v>
      </c>
      <c r="C119" s="55" t="s">
        <v>129</v>
      </c>
      <c r="D119" s="55" t="s">
        <v>130</v>
      </c>
      <c r="E119" s="44">
        <f ca="1">DSUM($B$80:$Y$92,E$80,$C$99:$D119)</f>
        <v>7.2019102649938226E-3</v>
      </c>
      <c r="F119" s="44">
        <f ca="1">DSUM($B$80:$Y$92,F$80,$C$99:$D119)</f>
        <v>2.1531835996966734E-2</v>
      </c>
      <c r="G119" s="44">
        <f ca="1">DSUM($B$80:$Y$92,G$80,$C$99:$D119)</f>
        <v>4.6870612041943975E-2</v>
      </c>
      <c r="H119" s="44">
        <f ca="1">DSUM($B$80:$Y$92,H$80,$C$99:$D119)</f>
        <v>8.7925437710725404E-2</v>
      </c>
      <c r="I119" s="44">
        <f ca="1">DSUM($B$80:$Y$92,I$80,$C$99:$D119)</f>
        <v>0.14999960863548722</v>
      </c>
      <c r="J119" s="44">
        <f ca="1">DSUM($B$80:$Y$92,J$80,$C$99:$D119)</f>
        <v>0.23855900053392418</v>
      </c>
      <c r="K119" s="44">
        <f ca="1">DSUM($B$80:$Y$92,K$80,$C$99:$D119)</f>
        <v>0.35855287726800816</v>
      </c>
      <c r="L119" s="44">
        <f ca="1">DSUM($B$80:$Y$92,L$80,$C$99:$D119)</f>
        <v>0.51348651885983998</v>
      </c>
      <c r="M119" s="44">
        <f ca="1">DSUM($B$80:$Y$92,M$80,$C$99:$D119)</f>
        <v>0.70431994750253346</v>
      </c>
      <c r="N119" s="44">
        <f ca="1">DSUM($B$80:$Y$92,N$80,$C$99:$D119)</f>
        <v>0.92837835492443577</v>
      </c>
      <c r="O119" s="44">
        <f ca="1">DSUM($B$80:$Y$92,O$80,$C$99:$D119)</f>
        <v>1.1785810269762593</v>
      </c>
      <c r="P119" s="44">
        <f ca="1">DSUM($B$80:$Y$92,P$80,$C$99:$D119)</f>
        <v>1.4433716213411347</v>
      </c>
      <c r="Q119" s="44">
        <f ca="1">DSUM($B$80:$Y$92,Q$80,$C$99:$D119)</f>
        <v>1.7076856635276381</v>
      </c>
      <c r="R119" s="44">
        <f ca="1">DSUM($B$80:$Y$92,R$80,$C$99:$D119)</f>
        <v>1.955055485470619</v>
      </c>
      <c r="S119" s="44">
        <f ca="1">DSUM($B$80:$Y$92,S$80,$C$99:$D119)</f>
        <v>2.1705370745178545</v>
      </c>
      <c r="T119" s="44">
        <f ca="1">DSUM($B$80:$Y$92,T$80,$C$99:$D119)</f>
        <v>2.9181880123991557</v>
      </c>
      <c r="U119" s="44">
        <f ca="1">DSUM($B$80:$Y$92,U$80,$C$99:$D119)</f>
        <v>3.0551290692897877</v>
      </c>
      <c r="V119" s="44">
        <f ca="1">DSUM($B$80:$Y$92,V$80,$C$99:$D119)</f>
        <v>3.1325025587643047</v>
      </c>
      <c r="W119" s="44">
        <f ca="1">DSUM($B$80:$Y$92,W$80,$C$99:$D119)</f>
        <v>3.166784141965362</v>
      </c>
      <c r="X119" s="44">
        <f ca="1">DSUM($B$80:$Y$92,X$80,$C$99:$D119)</f>
        <v>3.1598612894382292</v>
      </c>
      <c r="Y119" s="44">
        <f ca="1">DSUM($B$80:$Y$92,Y$80,$C$99:$D119)</f>
        <v>43.327438170797279</v>
      </c>
      <c r="Z119" s="9"/>
      <c r="AA119" s="9"/>
      <c r="AB119" s="9"/>
      <c r="AC119" s="9"/>
    </row>
    <row r="120" spans="1:29" customFormat="1">
      <c r="A120" s="9"/>
      <c r="B120" s="9" t="s">
        <v>131</v>
      </c>
      <c r="C120" s="55" t="s">
        <v>132</v>
      </c>
      <c r="D120" s="55" t="s">
        <v>133</v>
      </c>
      <c r="E120" s="44">
        <f ca="1">DSUM($B$80:$Y$92,E$80,$C$99:$D120)</f>
        <v>7.2019102649938226E-3</v>
      </c>
      <c r="F120" s="44">
        <f ca="1">DSUM($B$80:$Y$92,F$80,$C$99:$D120)</f>
        <v>2.1531835996966734E-2</v>
      </c>
      <c r="G120" s="44">
        <f ca="1">DSUM($B$80:$Y$92,G$80,$C$99:$D120)</f>
        <v>4.6870612041943975E-2</v>
      </c>
      <c r="H120" s="44">
        <f ca="1">DSUM($B$80:$Y$92,H$80,$C$99:$D120)</f>
        <v>8.7925437710725404E-2</v>
      </c>
      <c r="I120" s="44">
        <f ca="1">DSUM($B$80:$Y$92,I$80,$C$99:$D120)</f>
        <v>0.14999960863548722</v>
      </c>
      <c r="J120" s="44">
        <f ca="1">DSUM($B$80:$Y$92,J$80,$C$99:$D120)</f>
        <v>0.23855900053392418</v>
      </c>
      <c r="K120" s="44">
        <f ca="1">DSUM($B$80:$Y$92,K$80,$C$99:$D120)</f>
        <v>0.35855287726800816</v>
      </c>
      <c r="L120" s="44">
        <f ca="1">DSUM($B$80:$Y$92,L$80,$C$99:$D120)</f>
        <v>0.51348651885983998</v>
      </c>
      <c r="M120" s="44">
        <f ca="1">DSUM($B$80:$Y$92,M$80,$C$99:$D120)</f>
        <v>0.70431994750253346</v>
      </c>
      <c r="N120" s="44">
        <f ca="1">DSUM($B$80:$Y$92,N$80,$C$99:$D120)</f>
        <v>0.92837835492443577</v>
      </c>
      <c r="O120" s="44">
        <f ca="1">DSUM($B$80:$Y$92,O$80,$C$99:$D120)</f>
        <v>1.1785810269762593</v>
      </c>
      <c r="P120" s="44">
        <f ca="1">DSUM($B$80:$Y$92,P$80,$C$99:$D120)</f>
        <v>1.4433716213411347</v>
      </c>
      <c r="Q120" s="44">
        <f ca="1">DSUM($B$80:$Y$92,Q$80,$C$99:$D120)</f>
        <v>1.7076856635276381</v>
      </c>
      <c r="R120" s="44">
        <f ca="1">DSUM($B$80:$Y$92,R$80,$C$99:$D120)</f>
        <v>1.955055485470619</v>
      </c>
      <c r="S120" s="44">
        <f ca="1">DSUM($B$80:$Y$92,S$80,$C$99:$D120)</f>
        <v>2.1705370745178545</v>
      </c>
      <c r="T120" s="44">
        <f ca="1">DSUM($B$80:$Y$92,T$80,$C$99:$D120)</f>
        <v>2.9181880123991557</v>
      </c>
      <c r="U120" s="44">
        <f ca="1">DSUM($B$80:$Y$92,U$80,$C$99:$D120)</f>
        <v>3.0551290692897877</v>
      </c>
      <c r="V120" s="44">
        <f ca="1">DSUM($B$80:$Y$92,V$80,$C$99:$D120)</f>
        <v>3.1325025587643047</v>
      </c>
      <c r="W120" s="44">
        <f ca="1">DSUM($B$80:$Y$92,W$80,$C$99:$D120)</f>
        <v>3.166784141965362</v>
      </c>
      <c r="X120" s="44">
        <f ca="1">DSUM($B$80:$Y$92,X$80,$C$99:$D120)</f>
        <v>3.1598612894382292</v>
      </c>
      <c r="Y120" s="44">
        <f ca="1">DSUM($B$80:$Y$92,Y$80,$C$99:$D120)</f>
        <v>43.327438170797279</v>
      </c>
      <c r="Z120" s="9"/>
      <c r="AA120" s="9"/>
      <c r="AB120" s="9"/>
      <c r="AC120" s="9"/>
    </row>
    <row r="121" spans="1:29" customFormat="1">
      <c r="A121" s="9"/>
      <c r="B121" s="9" t="s">
        <v>4907</v>
      </c>
      <c r="C121" s="55" t="s">
        <v>135</v>
      </c>
      <c r="D121" s="55" t="s">
        <v>4928</v>
      </c>
      <c r="E121" s="44">
        <f ca="1">DSUM($B$80:$Y$92,E$80,$C$99:$D121)</f>
        <v>7.2019102649938226E-3</v>
      </c>
      <c r="F121" s="44">
        <f ca="1">DSUM($B$80:$Y$92,F$80,$C$99:$D121)</f>
        <v>2.1531835996966734E-2</v>
      </c>
      <c r="G121" s="44">
        <f ca="1">DSUM($B$80:$Y$92,G$80,$C$99:$D121)</f>
        <v>4.6870612041943975E-2</v>
      </c>
      <c r="H121" s="44">
        <f ca="1">DSUM($B$80:$Y$92,H$80,$C$99:$D121)</f>
        <v>8.7925437710725404E-2</v>
      </c>
      <c r="I121" s="44">
        <f ca="1">DSUM($B$80:$Y$92,I$80,$C$99:$D121)</f>
        <v>0.14999960863548722</v>
      </c>
      <c r="J121" s="44">
        <f ca="1">DSUM($B$80:$Y$92,J$80,$C$99:$D121)</f>
        <v>0.23855900053392418</v>
      </c>
      <c r="K121" s="44">
        <f ca="1">DSUM($B$80:$Y$92,K$80,$C$99:$D121)</f>
        <v>0.35855287726800816</v>
      </c>
      <c r="L121" s="44">
        <f ca="1">DSUM($B$80:$Y$92,L$80,$C$99:$D121)</f>
        <v>0.51348651885983998</v>
      </c>
      <c r="M121" s="44">
        <f ca="1">DSUM($B$80:$Y$92,M$80,$C$99:$D121)</f>
        <v>0.70431994750253346</v>
      </c>
      <c r="N121" s="44">
        <f ca="1">DSUM($B$80:$Y$92,N$80,$C$99:$D121)</f>
        <v>0.92837835492443577</v>
      </c>
      <c r="O121" s="44">
        <f ca="1">DSUM($B$80:$Y$92,O$80,$C$99:$D121)</f>
        <v>1.1785810269762593</v>
      </c>
      <c r="P121" s="44">
        <f ca="1">DSUM($B$80:$Y$92,P$80,$C$99:$D121)</f>
        <v>1.4433716213411347</v>
      </c>
      <c r="Q121" s="44">
        <f ca="1">DSUM($B$80:$Y$92,Q$80,$C$99:$D121)</f>
        <v>1.7076856635276381</v>
      </c>
      <c r="R121" s="44">
        <f ca="1">DSUM($B$80:$Y$92,R$80,$C$99:$D121)</f>
        <v>1.955055485470619</v>
      </c>
      <c r="S121" s="44">
        <f ca="1">DSUM($B$80:$Y$92,S$80,$C$99:$D121)</f>
        <v>2.1705370745178545</v>
      </c>
      <c r="T121" s="44">
        <f ca="1">DSUM($B$80:$Y$92,T$80,$C$99:$D121)</f>
        <v>2.9181880123991557</v>
      </c>
      <c r="U121" s="44">
        <f ca="1">DSUM($B$80:$Y$92,U$80,$C$99:$D121)</f>
        <v>3.0551290692897877</v>
      </c>
      <c r="V121" s="44">
        <f ca="1">DSUM($B$80:$Y$92,V$80,$C$99:$D121)</f>
        <v>3.1325025587643047</v>
      </c>
      <c r="W121" s="44">
        <f ca="1">DSUM($B$80:$Y$92,W$80,$C$99:$D121)</f>
        <v>3.166784141965362</v>
      </c>
      <c r="X121" s="44">
        <f ca="1">DSUM($B$80:$Y$92,X$80,$C$99:$D121)</f>
        <v>3.1598612894382292</v>
      </c>
      <c r="Y121" s="44">
        <f ca="1">DSUM($B$80:$Y$92,Y$80,$C$99:$D121)</f>
        <v>43.327438170797279</v>
      </c>
      <c r="Z121" s="9"/>
      <c r="AA121" s="9"/>
      <c r="AB121" s="9"/>
      <c r="AC121" s="9"/>
    </row>
    <row r="122" spans="1:29" customFormat="1">
      <c r="A122" s="9"/>
      <c r="B122" s="9" t="s">
        <v>4908</v>
      </c>
      <c r="C122" s="55" t="s">
        <v>4918</v>
      </c>
      <c r="D122" s="55" t="s">
        <v>4929</v>
      </c>
      <c r="E122" s="44">
        <f ca="1">DSUM($B$80:$Y$92,E$80,$C$99:$D122)</f>
        <v>7.2019102649938226E-3</v>
      </c>
      <c r="F122" s="44">
        <f ca="1">DSUM($B$80:$Y$92,F$80,$C$99:$D122)</f>
        <v>2.1531835996966734E-2</v>
      </c>
      <c r="G122" s="44">
        <f ca="1">DSUM($B$80:$Y$92,G$80,$C$99:$D122)</f>
        <v>4.6870612041943975E-2</v>
      </c>
      <c r="H122" s="44">
        <f ca="1">DSUM($B$80:$Y$92,H$80,$C$99:$D122)</f>
        <v>8.7925437710725404E-2</v>
      </c>
      <c r="I122" s="44">
        <f ca="1">DSUM($B$80:$Y$92,I$80,$C$99:$D122)</f>
        <v>0.14999960863548722</v>
      </c>
      <c r="J122" s="44">
        <f ca="1">DSUM($B$80:$Y$92,J$80,$C$99:$D122)</f>
        <v>0.23855900053392418</v>
      </c>
      <c r="K122" s="44">
        <f ca="1">DSUM($B$80:$Y$92,K$80,$C$99:$D122)</f>
        <v>0.35855287726800816</v>
      </c>
      <c r="L122" s="44">
        <f ca="1">DSUM($B$80:$Y$92,L$80,$C$99:$D122)</f>
        <v>0.51348651885983998</v>
      </c>
      <c r="M122" s="44">
        <f ca="1">DSUM($B$80:$Y$92,M$80,$C$99:$D122)</f>
        <v>0.70431994750253346</v>
      </c>
      <c r="N122" s="44">
        <f ca="1">DSUM($B$80:$Y$92,N$80,$C$99:$D122)</f>
        <v>0.92837835492443577</v>
      </c>
      <c r="O122" s="44">
        <f ca="1">DSUM($B$80:$Y$92,O$80,$C$99:$D122)</f>
        <v>1.1785810269762593</v>
      </c>
      <c r="P122" s="44">
        <f ca="1">DSUM($B$80:$Y$92,P$80,$C$99:$D122)</f>
        <v>1.4433716213411347</v>
      </c>
      <c r="Q122" s="44">
        <f ca="1">DSUM($B$80:$Y$92,Q$80,$C$99:$D122)</f>
        <v>1.7076856635276381</v>
      </c>
      <c r="R122" s="44">
        <f ca="1">DSUM($B$80:$Y$92,R$80,$C$99:$D122)</f>
        <v>1.955055485470619</v>
      </c>
      <c r="S122" s="44">
        <f ca="1">DSUM($B$80:$Y$92,S$80,$C$99:$D122)</f>
        <v>2.1705370745178545</v>
      </c>
      <c r="T122" s="44">
        <f ca="1">DSUM($B$80:$Y$92,T$80,$C$99:$D122)</f>
        <v>2.9181880123991557</v>
      </c>
      <c r="U122" s="44">
        <f ca="1">DSUM($B$80:$Y$92,U$80,$C$99:$D122)</f>
        <v>3.0551290692897877</v>
      </c>
      <c r="V122" s="44">
        <f ca="1">DSUM($B$80:$Y$92,V$80,$C$99:$D122)</f>
        <v>3.1325025587643047</v>
      </c>
      <c r="W122" s="44">
        <f ca="1">DSUM($B$80:$Y$92,W$80,$C$99:$D122)</f>
        <v>3.166784141965362</v>
      </c>
      <c r="X122" s="44">
        <f ca="1">DSUM($B$80:$Y$92,X$80,$C$99:$D122)</f>
        <v>3.1598612894382292</v>
      </c>
      <c r="Y122" s="44">
        <f ca="1">DSUM($B$80:$Y$92,Y$80,$C$99:$D122)</f>
        <v>43.327438170797279</v>
      </c>
      <c r="Z122" s="9"/>
      <c r="AA122" s="9"/>
      <c r="AB122" s="9"/>
      <c r="AC122" s="9"/>
    </row>
    <row r="123" spans="1:29" customFormat="1">
      <c r="A123" s="9"/>
      <c r="B123" s="9" t="s">
        <v>4909</v>
      </c>
      <c r="C123" s="55" t="s">
        <v>4919</v>
      </c>
      <c r="D123" s="55" t="s">
        <v>4930</v>
      </c>
      <c r="E123" s="44">
        <f ca="1">DSUM($B$80:$Y$92,E$80,$C$99:$D123)</f>
        <v>7.2019102649938226E-3</v>
      </c>
      <c r="F123" s="44">
        <f ca="1">DSUM($B$80:$Y$92,F$80,$C$99:$D123)</f>
        <v>2.1531835996966734E-2</v>
      </c>
      <c r="G123" s="44">
        <f ca="1">DSUM($B$80:$Y$92,G$80,$C$99:$D123)</f>
        <v>4.6870612041943975E-2</v>
      </c>
      <c r="H123" s="44">
        <f ca="1">DSUM($B$80:$Y$92,H$80,$C$99:$D123)</f>
        <v>8.7925437710725404E-2</v>
      </c>
      <c r="I123" s="44">
        <f ca="1">DSUM($B$80:$Y$92,I$80,$C$99:$D123)</f>
        <v>0.14999960863548722</v>
      </c>
      <c r="J123" s="44">
        <f ca="1">DSUM($B$80:$Y$92,J$80,$C$99:$D123)</f>
        <v>0.23855900053392418</v>
      </c>
      <c r="K123" s="44">
        <f ca="1">DSUM($B$80:$Y$92,K$80,$C$99:$D123)</f>
        <v>0.35855287726800816</v>
      </c>
      <c r="L123" s="44">
        <f ca="1">DSUM($B$80:$Y$92,L$80,$C$99:$D123)</f>
        <v>0.51348651885983998</v>
      </c>
      <c r="M123" s="44">
        <f ca="1">DSUM($B$80:$Y$92,M$80,$C$99:$D123)</f>
        <v>0.70431994750253346</v>
      </c>
      <c r="N123" s="44">
        <f ca="1">DSUM($B$80:$Y$92,N$80,$C$99:$D123)</f>
        <v>0.92837835492443577</v>
      </c>
      <c r="O123" s="44">
        <f ca="1">DSUM($B$80:$Y$92,O$80,$C$99:$D123)</f>
        <v>1.1785810269762593</v>
      </c>
      <c r="P123" s="44">
        <f ca="1">DSUM($B$80:$Y$92,P$80,$C$99:$D123)</f>
        <v>1.4433716213411347</v>
      </c>
      <c r="Q123" s="44">
        <f ca="1">DSUM($B$80:$Y$92,Q$80,$C$99:$D123)</f>
        <v>1.7076856635276381</v>
      </c>
      <c r="R123" s="44">
        <f ca="1">DSUM($B$80:$Y$92,R$80,$C$99:$D123)</f>
        <v>1.955055485470619</v>
      </c>
      <c r="S123" s="44">
        <f ca="1">DSUM($B$80:$Y$92,S$80,$C$99:$D123)</f>
        <v>2.1705370745178545</v>
      </c>
      <c r="T123" s="44">
        <f ca="1">DSUM($B$80:$Y$92,T$80,$C$99:$D123)</f>
        <v>2.9181880123991557</v>
      </c>
      <c r="U123" s="44">
        <f ca="1">DSUM($B$80:$Y$92,U$80,$C$99:$D123)</f>
        <v>3.0551290692897877</v>
      </c>
      <c r="V123" s="44">
        <f ca="1">DSUM($B$80:$Y$92,V$80,$C$99:$D123)</f>
        <v>3.1325025587643047</v>
      </c>
      <c r="W123" s="44">
        <f ca="1">DSUM($B$80:$Y$92,W$80,$C$99:$D123)</f>
        <v>3.166784141965362</v>
      </c>
      <c r="X123" s="44">
        <f ca="1">DSUM($B$80:$Y$92,X$80,$C$99:$D123)</f>
        <v>3.1598612894382292</v>
      </c>
      <c r="Y123" s="44">
        <f ca="1">DSUM($B$80:$Y$92,Y$80,$C$99:$D123)</f>
        <v>43.327438170797279</v>
      </c>
      <c r="Z123" s="9"/>
      <c r="AA123" s="9"/>
      <c r="AB123" s="9"/>
      <c r="AC123" s="9"/>
    </row>
    <row r="124" spans="1:29" customFormat="1">
      <c r="A124" s="9"/>
      <c r="B124" s="9" t="s">
        <v>4910</v>
      </c>
      <c r="C124" s="55" t="s">
        <v>4920</v>
      </c>
      <c r="D124" s="55" t="s">
        <v>4931</v>
      </c>
      <c r="E124" s="44">
        <f ca="1">DSUM($B$80:$Y$92,E$80,$C$99:$D124)</f>
        <v>7.2019102649938226E-3</v>
      </c>
      <c r="F124" s="44">
        <f ca="1">DSUM($B$80:$Y$92,F$80,$C$99:$D124)</f>
        <v>2.1531835996966734E-2</v>
      </c>
      <c r="G124" s="44">
        <f ca="1">DSUM($B$80:$Y$92,G$80,$C$99:$D124)</f>
        <v>4.6870612041943975E-2</v>
      </c>
      <c r="H124" s="44">
        <f ca="1">DSUM($B$80:$Y$92,H$80,$C$99:$D124)</f>
        <v>8.7925437710725404E-2</v>
      </c>
      <c r="I124" s="44">
        <f ca="1">DSUM($B$80:$Y$92,I$80,$C$99:$D124)</f>
        <v>0.14999960863548722</v>
      </c>
      <c r="J124" s="44">
        <f ca="1">DSUM($B$80:$Y$92,J$80,$C$99:$D124)</f>
        <v>0.23855900053392418</v>
      </c>
      <c r="K124" s="44">
        <f ca="1">DSUM($B$80:$Y$92,K$80,$C$99:$D124)</f>
        <v>0.35855287726800816</v>
      </c>
      <c r="L124" s="44">
        <f ca="1">DSUM($B$80:$Y$92,L$80,$C$99:$D124)</f>
        <v>0.51348651885983998</v>
      </c>
      <c r="M124" s="44">
        <f ca="1">DSUM($B$80:$Y$92,M$80,$C$99:$D124)</f>
        <v>0.70431994750253346</v>
      </c>
      <c r="N124" s="44">
        <f ca="1">DSUM($B$80:$Y$92,N$80,$C$99:$D124)</f>
        <v>0.92837835492443577</v>
      </c>
      <c r="O124" s="44">
        <f ca="1">DSUM($B$80:$Y$92,O$80,$C$99:$D124)</f>
        <v>1.1785810269762593</v>
      </c>
      <c r="P124" s="44">
        <f ca="1">DSUM($B$80:$Y$92,P$80,$C$99:$D124)</f>
        <v>1.4433716213411347</v>
      </c>
      <c r="Q124" s="44">
        <f ca="1">DSUM($B$80:$Y$92,Q$80,$C$99:$D124)</f>
        <v>1.7076856635276381</v>
      </c>
      <c r="R124" s="44">
        <f ca="1">DSUM($B$80:$Y$92,R$80,$C$99:$D124)</f>
        <v>1.955055485470619</v>
      </c>
      <c r="S124" s="44">
        <f ca="1">DSUM($B$80:$Y$92,S$80,$C$99:$D124)</f>
        <v>2.1705370745178545</v>
      </c>
      <c r="T124" s="44">
        <f ca="1">DSUM($B$80:$Y$92,T$80,$C$99:$D124)</f>
        <v>2.9181880123991557</v>
      </c>
      <c r="U124" s="44">
        <f ca="1">DSUM($B$80:$Y$92,U$80,$C$99:$D124)</f>
        <v>3.0551290692897877</v>
      </c>
      <c r="V124" s="44">
        <f ca="1">DSUM($B$80:$Y$92,V$80,$C$99:$D124)</f>
        <v>3.1325025587643047</v>
      </c>
      <c r="W124" s="44">
        <f ca="1">DSUM($B$80:$Y$92,W$80,$C$99:$D124)</f>
        <v>3.166784141965362</v>
      </c>
      <c r="X124" s="44">
        <f ca="1">DSUM($B$80:$Y$92,X$80,$C$99:$D124)</f>
        <v>3.1598612894382292</v>
      </c>
      <c r="Y124" s="44">
        <f ca="1">DSUM($B$80:$Y$92,Y$80,$C$99:$D124)</f>
        <v>43.327438170797279</v>
      </c>
      <c r="Z124" s="9"/>
      <c r="AA124" s="9"/>
      <c r="AB124" s="9"/>
      <c r="AC124" s="9"/>
    </row>
    <row r="125" spans="1:29" customFormat="1">
      <c r="A125" s="9"/>
      <c r="B125" s="9" t="s">
        <v>4911</v>
      </c>
      <c r="C125" s="55" t="s">
        <v>4921</v>
      </c>
      <c r="D125" s="55" t="s">
        <v>4932</v>
      </c>
      <c r="E125" s="44">
        <f ca="1">DSUM($B$80:$Y$92,E$80,$C$99:$D125)</f>
        <v>7.2019102649938226E-3</v>
      </c>
      <c r="F125" s="44">
        <f ca="1">DSUM($B$80:$Y$92,F$80,$C$99:$D125)</f>
        <v>2.1531835996966734E-2</v>
      </c>
      <c r="G125" s="44">
        <f ca="1">DSUM($B$80:$Y$92,G$80,$C$99:$D125)</f>
        <v>4.6870612041943975E-2</v>
      </c>
      <c r="H125" s="44">
        <f ca="1">DSUM($B$80:$Y$92,H$80,$C$99:$D125)</f>
        <v>8.7925437710725404E-2</v>
      </c>
      <c r="I125" s="44">
        <f ca="1">DSUM($B$80:$Y$92,I$80,$C$99:$D125)</f>
        <v>0.14999960863548722</v>
      </c>
      <c r="J125" s="44">
        <f ca="1">DSUM($B$80:$Y$92,J$80,$C$99:$D125)</f>
        <v>0.23855900053392418</v>
      </c>
      <c r="K125" s="44">
        <f ca="1">DSUM($B$80:$Y$92,K$80,$C$99:$D125)</f>
        <v>0.35855287726800816</v>
      </c>
      <c r="L125" s="44">
        <f ca="1">DSUM($B$80:$Y$92,L$80,$C$99:$D125)</f>
        <v>0.51348651885983998</v>
      </c>
      <c r="M125" s="44">
        <f ca="1">DSUM($B$80:$Y$92,M$80,$C$99:$D125)</f>
        <v>0.70431994750253346</v>
      </c>
      <c r="N125" s="44">
        <f ca="1">DSUM($B$80:$Y$92,N$80,$C$99:$D125)</f>
        <v>0.92837835492443577</v>
      </c>
      <c r="O125" s="44">
        <f ca="1">DSUM($B$80:$Y$92,O$80,$C$99:$D125)</f>
        <v>1.1785810269762593</v>
      </c>
      <c r="P125" s="44">
        <f ca="1">DSUM($B$80:$Y$92,P$80,$C$99:$D125)</f>
        <v>1.4433716213411347</v>
      </c>
      <c r="Q125" s="44">
        <f ca="1">DSUM($B$80:$Y$92,Q$80,$C$99:$D125)</f>
        <v>1.7076856635276381</v>
      </c>
      <c r="R125" s="44">
        <f ca="1">DSUM($B$80:$Y$92,R$80,$C$99:$D125)</f>
        <v>1.955055485470619</v>
      </c>
      <c r="S125" s="44">
        <f ca="1">DSUM($B$80:$Y$92,S$80,$C$99:$D125)</f>
        <v>2.1705370745178545</v>
      </c>
      <c r="T125" s="44">
        <f ca="1">DSUM($B$80:$Y$92,T$80,$C$99:$D125)</f>
        <v>2.9181880123991557</v>
      </c>
      <c r="U125" s="44">
        <f ca="1">DSUM($B$80:$Y$92,U$80,$C$99:$D125)</f>
        <v>3.0551290692897877</v>
      </c>
      <c r="V125" s="44">
        <f ca="1">DSUM($B$80:$Y$92,V$80,$C$99:$D125)</f>
        <v>3.1325025587643047</v>
      </c>
      <c r="W125" s="44">
        <f ca="1">DSUM($B$80:$Y$92,W$80,$C$99:$D125)</f>
        <v>3.166784141965362</v>
      </c>
      <c r="X125" s="44">
        <f ca="1">DSUM($B$80:$Y$92,X$80,$C$99:$D125)</f>
        <v>3.1598612894382292</v>
      </c>
      <c r="Y125" s="44">
        <f ca="1">DSUM($B$80:$Y$92,Y$80,$C$99:$D125)</f>
        <v>43.327438170797279</v>
      </c>
      <c r="Z125" s="9"/>
      <c r="AA125" s="9"/>
      <c r="AB125" s="9"/>
      <c r="AC125" s="9"/>
    </row>
    <row r="126" spans="1:29" customFormat="1">
      <c r="A126" s="9"/>
      <c r="B126" s="9" t="s">
        <v>4912</v>
      </c>
      <c r="C126" s="55" t="s">
        <v>4922</v>
      </c>
      <c r="D126" s="55" t="s">
        <v>4933</v>
      </c>
      <c r="E126" s="44">
        <f ca="1">DSUM($B$80:$Y$92,E$80,$C$99:$D126)</f>
        <v>7.2019102649938226E-3</v>
      </c>
      <c r="F126" s="44">
        <f ca="1">DSUM($B$80:$Y$92,F$80,$C$99:$D126)</f>
        <v>2.1531835996966734E-2</v>
      </c>
      <c r="G126" s="44">
        <f ca="1">DSUM($B$80:$Y$92,G$80,$C$99:$D126)</f>
        <v>4.6870612041943975E-2</v>
      </c>
      <c r="H126" s="44">
        <f ca="1">DSUM($B$80:$Y$92,H$80,$C$99:$D126)</f>
        <v>8.7925437710725404E-2</v>
      </c>
      <c r="I126" s="44">
        <f ca="1">DSUM($B$80:$Y$92,I$80,$C$99:$D126)</f>
        <v>0.14999960863548722</v>
      </c>
      <c r="J126" s="44">
        <f ca="1">DSUM($B$80:$Y$92,J$80,$C$99:$D126)</f>
        <v>0.23855900053392418</v>
      </c>
      <c r="K126" s="44">
        <f ca="1">DSUM($B$80:$Y$92,K$80,$C$99:$D126)</f>
        <v>0.35855287726800816</v>
      </c>
      <c r="L126" s="44">
        <f ca="1">DSUM($B$80:$Y$92,L$80,$C$99:$D126)</f>
        <v>0.51348651885983998</v>
      </c>
      <c r="M126" s="44">
        <f ca="1">DSUM($B$80:$Y$92,M$80,$C$99:$D126)</f>
        <v>0.70431994750253346</v>
      </c>
      <c r="N126" s="44">
        <f ca="1">DSUM($B$80:$Y$92,N$80,$C$99:$D126)</f>
        <v>0.92837835492443577</v>
      </c>
      <c r="O126" s="44">
        <f ca="1">DSUM($B$80:$Y$92,O$80,$C$99:$D126)</f>
        <v>1.1785810269762593</v>
      </c>
      <c r="P126" s="44">
        <f ca="1">DSUM($B$80:$Y$92,P$80,$C$99:$D126)</f>
        <v>1.4433716213411347</v>
      </c>
      <c r="Q126" s="44">
        <f ca="1">DSUM($B$80:$Y$92,Q$80,$C$99:$D126)</f>
        <v>1.7076856635276381</v>
      </c>
      <c r="R126" s="44">
        <f ca="1">DSUM($B$80:$Y$92,R$80,$C$99:$D126)</f>
        <v>1.955055485470619</v>
      </c>
      <c r="S126" s="44">
        <f ca="1">DSUM($B$80:$Y$92,S$80,$C$99:$D126)</f>
        <v>2.1705370745178545</v>
      </c>
      <c r="T126" s="44">
        <f ca="1">DSUM($B$80:$Y$92,T$80,$C$99:$D126)</f>
        <v>2.9181880123991557</v>
      </c>
      <c r="U126" s="44">
        <f ca="1">DSUM($B$80:$Y$92,U$80,$C$99:$D126)</f>
        <v>3.0551290692897877</v>
      </c>
      <c r="V126" s="44">
        <f ca="1">DSUM($B$80:$Y$92,V$80,$C$99:$D126)</f>
        <v>3.1325025587643047</v>
      </c>
      <c r="W126" s="44">
        <f ca="1">DSUM($B$80:$Y$92,W$80,$C$99:$D126)</f>
        <v>3.166784141965362</v>
      </c>
      <c r="X126" s="44">
        <f ca="1">DSUM($B$80:$Y$92,X$80,$C$99:$D126)</f>
        <v>3.1598612894382292</v>
      </c>
      <c r="Y126" s="44">
        <f ca="1">DSUM($B$80:$Y$92,Y$80,$C$99:$D126)</f>
        <v>43.327438170797279</v>
      </c>
      <c r="Z126" s="9"/>
      <c r="AA126" s="9"/>
      <c r="AB126" s="9"/>
      <c r="AC126" s="9"/>
    </row>
    <row r="127" spans="1:29" customFormat="1">
      <c r="A127" s="9"/>
      <c r="B127" s="9" t="s">
        <v>4913</v>
      </c>
      <c r="C127" s="55" t="s">
        <v>4923</v>
      </c>
      <c r="D127" s="55" t="s">
        <v>4934</v>
      </c>
      <c r="E127" s="44">
        <f ca="1">DSUM($B$80:$Y$92,E$80,$C$99:$D127)</f>
        <v>7.2019102649938226E-3</v>
      </c>
      <c r="F127" s="44">
        <f ca="1">DSUM($B$80:$Y$92,F$80,$C$99:$D127)</f>
        <v>2.1531835996966734E-2</v>
      </c>
      <c r="G127" s="44">
        <f ca="1">DSUM($B$80:$Y$92,G$80,$C$99:$D127)</f>
        <v>4.6870612041943975E-2</v>
      </c>
      <c r="H127" s="44">
        <f ca="1">DSUM($B$80:$Y$92,H$80,$C$99:$D127)</f>
        <v>8.7925437710725404E-2</v>
      </c>
      <c r="I127" s="44">
        <f ca="1">DSUM($B$80:$Y$92,I$80,$C$99:$D127)</f>
        <v>0.14999960863548722</v>
      </c>
      <c r="J127" s="44">
        <f ca="1">DSUM($B$80:$Y$92,J$80,$C$99:$D127)</f>
        <v>0.23855900053392418</v>
      </c>
      <c r="K127" s="44">
        <f ca="1">DSUM($B$80:$Y$92,K$80,$C$99:$D127)</f>
        <v>0.35855287726800816</v>
      </c>
      <c r="L127" s="44">
        <f ca="1">DSUM($B$80:$Y$92,L$80,$C$99:$D127)</f>
        <v>0.51348651885983998</v>
      </c>
      <c r="M127" s="44">
        <f ca="1">DSUM($B$80:$Y$92,M$80,$C$99:$D127)</f>
        <v>0.70431994750253346</v>
      </c>
      <c r="N127" s="44">
        <f ca="1">DSUM($B$80:$Y$92,N$80,$C$99:$D127)</f>
        <v>0.92837835492443577</v>
      </c>
      <c r="O127" s="44">
        <f ca="1">DSUM($B$80:$Y$92,O$80,$C$99:$D127)</f>
        <v>1.1785810269762593</v>
      </c>
      <c r="P127" s="44">
        <f ca="1">DSUM($B$80:$Y$92,P$80,$C$99:$D127)</f>
        <v>1.4433716213411347</v>
      </c>
      <c r="Q127" s="44">
        <f ca="1">DSUM($B$80:$Y$92,Q$80,$C$99:$D127)</f>
        <v>1.7076856635276381</v>
      </c>
      <c r="R127" s="44">
        <f ca="1">DSUM($B$80:$Y$92,R$80,$C$99:$D127)</f>
        <v>1.955055485470619</v>
      </c>
      <c r="S127" s="44">
        <f ca="1">DSUM($B$80:$Y$92,S$80,$C$99:$D127)</f>
        <v>2.1705370745178545</v>
      </c>
      <c r="T127" s="44">
        <f ca="1">DSUM($B$80:$Y$92,T$80,$C$99:$D127)</f>
        <v>2.9181880123991557</v>
      </c>
      <c r="U127" s="44">
        <f ca="1">DSUM($B$80:$Y$92,U$80,$C$99:$D127)</f>
        <v>3.0551290692897877</v>
      </c>
      <c r="V127" s="44">
        <f ca="1">DSUM($B$80:$Y$92,V$80,$C$99:$D127)</f>
        <v>3.1325025587643047</v>
      </c>
      <c r="W127" s="44">
        <f ca="1">DSUM($B$80:$Y$92,W$80,$C$99:$D127)</f>
        <v>3.166784141965362</v>
      </c>
      <c r="X127" s="44">
        <f ca="1">DSUM($B$80:$Y$92,X$80,$C$99:$D127)</f>
        <v>3.1598612894382292</v>
      </c>
      <c r="Y127" s="44">
        <f ca="1">DSUM($B$80:$Y$92,Y$80,$C$99:$D127)</f>
        <v>43.327438170797279</v>
      </c>
      <c r="Z127" s="9"/>
      <c r="AA127" s="9"/>
      <c r="AB127" s="9"/>
      <c r="AC127" s="9"/>
    </row>
    <row r="128" spans="1:29" customFormat="1">
      <c r="A128" s="9"/>
      <c r="B128" s="9" t="s">
        <v>4914</v>
      </c>
      <c r="C128" s="55" t="s">
        <v>4924</v>
      </c>
      <c r="D128" s="55" t="s">
        <v>4935</v>
      </c>
      <c r="E128" s="44">
        <f ca="1">DSUM($B$80:$Y$92,E$80,$C$99:$D128)</f>
        <v>7.2019102649938226E-3</v>
      </c>
      <c r="F128" s="44">
        <f ca="1">DSUM($B$80:$Y$92,F$80,$C$99:$D128)</f>
        <v>2.1531835996966734E-2</v>
      </c>
      <c r="G128" s="44">
        <f ca="1">DSUM($B$80:$Y$92,G$80,$C$99:$D128)</f>
        <v>4.6870612041943975E-2</v>
      </c>
      <c r="H128" s="44">
        <f ca="1">DSUM($B$80:$Y$92,H$80,$C$99:$D128)</f>
        <v>8.7925437710725404E-2</v>
      </c>
      <c r="I128" s="44">
        <f ca="1">DSUM($B$80:$Y$92,I$80,$C$99:$D128)</f>
        <v>0.14999960863548722</v>
      </c>
      <c r="J128" s="44">
        <f ca="1">DSUM($B$80:$Y$92,J$80,$C$99:$D128)</f>
        <v>0.23855900053392418</v>
      </c>
      <c r="K128" s="44">
        <f ca="1">DSUM($B$80:$Y$92,K$80,$C$99:$D128)</f>
        <v>0.35855287726800816</v>
      </c>
      <c r="L128" s="44">
        <f ca="1">DSUM($B$80:$Y$92,L$80,$C$99:$D128)</f>
        <v>0.51348651885983998</v>
      </c>
      <c r="M128" s="44">
        <f ca="1">DSUM($B$80:$Y$92,M$80,$C$99:$D128)</f>
        <v>0.70431994750253346</v>
      </c>
      <c r="N128" s="44">
        <f ca="1">DSUM($B$80:$Y$92,N$80,$C$99:$D128)</f>
        <v>0.92837835492443577</v>
      </c>
      <c r="O128" s="44">
        <f ca="1">DSUM($B$80:$Y$92,O$80,$C$99:$D128)</f>
        <v>1.1785810269762593</v>
      </c>
      <c r="P128" s="44">
        <f ca="1">DSUM($B$80:$Y$92,P$80,$C$99:$D128)</f>
        <v>1.4433716213411347</v>
      </c>
      <c r="Q128" s="44">
        <f ca="1">DSUM($B$80:$Y$92,Q$80,$C$99:$D128)</f>
        <v>1.7076856635276381</v>
      </c>
      <c r="R128" s="44">
        <f ca="1">DSUM($B$80:$Y$92,R$80,$C$99:$D128)</f>
        <v>1.955055485470619</v>
      </c>
      <c r="S128" s="44">
        <f ca="1">DSUM($B$80:$Y$92,S$80,$C$99:$D128)</f>
        <v>2.1705370745178545</v>
      </c>
      <c r="T128" s="44">
        <f ca="1">DSUM($B$80:$Y$92,T$80,$C$99:$D128)</f>
        <v>2.9181880123991557</v>
      </c>
      <c r="U128" s="44">
        <f ca="1">DSUM($B$80:$Y$92,U$80,$C$99:$D128)</f>
        <v>3.0551290692897877</v>
      </c>
      <c r="V128" s="44">
        <f ca="1">DSUM($B$80:$Y$92,V$80,$C$99:$D128)</f>
        <v>3.1325025587643047</v>
      </c>
      <c r="W128" s="44">
        <f ca="1">DSUM($B$80:$Y$92,W$80,$C$99:$D128)</f>
        <v>3.166784141965362</v>
      </c>
      <c r="X128" s="44">
        <f ca="1">DSUM($B$80:$Y$92,X$80,$C$99:$D128)</f>
        <v>3.1598612894382292</v>
      </c>
      <c r="Y128" s="44">
        <f ca="1">DSUM($B$80:$Y$92,Y$80,$C$99:$D128)</f>
        <v>43.327438170797279</v>
      </c>
      <c r="Z128" s="9"/>
      <c r="AA128" s="9"/>
      <c r="AB128" s="9"/>
      <c r="AC128" s="9"/>
    </row>
    <row r="129" spans="1:29" customFormat="1">
      <c r="A129" s="9"/>
      <c r="B129" s="9" t="s">
        <v>4915</v>
      </c>
      <c r="C129" s="55" t="s">
        <v>4925</v>
      </c>
      <c r="D129" s="55" t="s">
        <v>4936</v>
      </c>
      <c r="E129" s="44">
        <f ca="1">DSUM($B$80:$Y$92,E$80,$C$99:$D129)</f>
        <v>7.2019102649938226E-3</v>
      </c>
      <c r="F129" s="44">
        <f ca="1">DSUM($B$80:$Y$92,F$80,$C$99:$D129)</f>
        <v>2.1531835996966734E-2</v>
      </c>
      <c r="G129" s="44">
        <f ca="1">DSUM($B$80:$Y$92,G$80,$C$99:$D129)</f>
        <v>4.6870612041943975E-2</v>
      </c>
      <c r="H129" s="44">
        <f ca="1">DSUM($B$80:$Y$92,H$80,$C$99:$D129)</f>
        <v>8.7925437710725404E-2</v>
      </c>
      <c r="I129" s="44">
        <f ca="1">DSUM($B$80:$Y$92,I$80,$C$99:$D129)</f>
        <v>0.14999960863548722</v>
      </c>
      <c r="J129" s="44">
        <f ca="1">DSUM($B$80:$Y$92,J$80,$C$99:$D129)</f>
        <v>0.23855900053392418</v>
      </c>
      <c r="K129" s="44">
        <f ca="1">DSUM($B$80:$Y$92,K$80,$C$99:$D129)</f>
        <v>0.35855287726800816</v>
      </c>
      <c r="L129" s="44">
        <f ca="1">DSUM($B$80:$Y$92,L$80,$C$99:$D129)</f>
        <v>0.51348651885983998</v>
      </c>
      <c r="M129" s="44">
        <f ca="1">DSUM($B$80:$Y$92,M$80,$C$99:$D129)</f>
        <v>0.70431994750253346</v>
      </c>
      <c r="N129" s="44">
        <f ca="1">DSUM($B$80:$Y$92,N$80,$C$99:$D129)</f>
        <v>0.92837835492443577</v>
      </c>
      <c r="O129" s="44">
        <f ca="1">DSUM($B$80:$Y$92,O$80,$C$99:$D129)</f>
        <v>1.1785810269762593</v>
      </c>
      <c r="P129" s="44">
        <f ca="1">DSUM($B$80:$Y$92,P$80,$C$99:$D129)</f>
        <v>1.4433716213411347</v>
      </c>
      <c r="Q129" s="44">
        <f ca="1">DSUM($B$80:$Y$92,Q$80,$C$99:$D129)</f>
        <v>1.7076856635276381</v>
      </c>
      <c r="R129" s="44">
        <f ca="1">DSUM($B$80:$Y$92,R$80,$C$99:$D129)</f>
        <v>1.955055485470619</v>
      </c>
      <c r="S129" s="44">
        <f ca="1">DSUM($B$80:$Y$92,S$80,$C$99:$D129)</f>
        <v>2.1705370745178545</v>
      </c>
      <c r="T129" s="44">
        <f ca="1">DSUM($B$80:$Y$92,T$80,$C$99:$D129)</f>
        <v>2.9181880123991557</v>
      </c>
      <c r="U129" s="44">
        <f ca="1">DSUM($B$80:$Y$92,U$80,$C$99:$D129)</f>
        <v>3.0551290692897877</v>
      </c>
      <c r="V129" s="44">
        <f ca="1">DSUM($B$80:$Y$92,V$80,$C$99:$D129)</f>
        <v>3.1325025587643047</v>
      </c>
      <c r="W129" s="44">
        <f ca="1">DSUM($B$80:$Y$92,W$80,$C$99:$D129)</f>
        <v>3.166784141965362</v>
      </c>
      <c r="X129" s="44">
        <f ca="1">DSUM($B$80:$Y$92,X$80,$C$99:$D129)</f>
        <v>3.1598612894382292</v>
      </c>
      <c r="Y129" s="44">
        <f ca="1">DSUM($B$80:$Y$92,Y$80,$C$99:$D129)</f>
        <v>43.327438170797279</v>
      </c>
      <c r="Z129" s="9"/>
      <c r="AA129" s="9"/>
      <c r="AB129" s="9"/>
      <c r="AC129" s="9"/>
    </row>
    <row r="130" spans="1:29" customFormat="1">
      <c r="A130" s="9"/>
      <c r="B130" s="9" t="s">
        <v>4916</v>
      </c>
      <c r="C130" s="55" t="s">
        <v>4926</v>
      </c>
      <c r="D130" s="55" t="s">
        <v>4937</v>
      </c>
      <c r="E130" s="44">
        <f ca="1">DSUM($B$80:$Y$92,E$80,$C$99:$D130)</f>
        <v>7.2019102649938226E-3</v>
      </c>
      <c r="F130" s="44">
        <f ca="1">DSUM($B$80:$Y$92,F$80,$C$99:$D130)</f>
        <v>2.1531835996966734E-2</v>
      </c>
      <c r="G130" s="44">
        <f ca="1">DSUM($B$80:$Y$92,G$80,$C$99:$D130)</f>
        <v>4.6870612041943975E-2</v>
      </c>
      <c r="H130" s="44">
        <f ca="1">DSUM($B$80:$Y$92,H$80,$C$99:$D130)</f>
        <v>8.7925437710725404E-2</v>
      </c>
      <c r="I130" s="44">
        <f ca="1">DSUM($B$80:$Y$92,I$80,$C$99:$D130)</f>
        <v>0.14999960863548722</v>
      </c>
      <c r="J130" s="44">
        <f ca="1">DSUM($B$80:$Y$92,J$80,$C$99:$D130)</f>
        <v>0.23855900053392418</v>
      </c>
      <c r="K130" s="44">
        <f ca="1">DSUM($B$80:$Y$92,K$80,$C$99:$D130)</f>
        <v>0.35855287726800816</v>
      </c>
      <c r="L130" s="44">
        <f ca="1">DSUM($B$80:$Y$92,L$80,$C$99:$D130)</f>
        <v>0.51348651885983998</v>
      </c>
      <c r="M130" s="44">
        <f ca="1">DSUM($B$80:$Y$92,M$80,$C$99:$D130)</f>
        <v>0.70431994750253346</v>
      </c>
      <c r="N130" s="44">
        <f ca="1">DSUM($B$80:$Y$92,N$80,$C$99:$D130)</f>
        <v>0.92837835492443577</v>
      </c>
      <c r="O130" s="44">
        <f ca="1">DSUM($B$80:$Y$92,O$80,$C$99:$D130)</f>
        <v>1.1785810269762593</v>
      </c>
      <c r="P130" s="44">
        <f ca="1">DSUM($B$80:$Y$92,P$80,$C$99:$D130)</f>
        <v>1.4433716213411347</v>
      </c>
      <c r="Q130" s="44">
        <f ca="1">DSUM($B$80:$Y$92,Q$80,$C$99:$D130)</f>
        <v>1.7076856635276381</v>
      </c>
      <c r="R130" s="44">
        <f ca="1">DSUM($B$80:$Y$92,R$80,$C$99:$D130)</f>
        <v>1.955055485470619</v>
      </c>
      <c r="S130" s="44">
        <f ca="1">DSUM($B$80:$Y$92,S$80,$C$99:$D130)</f>
        <v>2.1705370745178545</v>
      </c>
      <c r="T130" s="44">
        <f ca="1">DSUM($B$80:$Y$92,T$80,$C$99:$D130)</f>
        <v>2.9181880123991557</v>
      </c>
      <c r="U130" s="44">
        <f ca="1">DSUM($B$80:$Y$92,U$80,$C$99:$D130)</f>
        <v>3.0551290692897877</v>
      </c>
      <c r="V130" s="44">
        <f ca="1">DSUM($B$80:$Y$92,V$80,$C$99:$D130)</f>
        <v>3.1325025587643047</v>
      </c>
      <c r="W130" s="44">
        <f ca="1">DSUM($B$80:$Y$92,W$80,$C$99:$D130)</f>
        <v>3.166784141965362</v>
      </c>
      <c r="X130" s="44">
        <f ca="1">DSUM($B$80:$Y$92,X$80,$C$99:$D130)</f>
        <v>3.1598612894382292</v>
      </c>
      <c r="Y130" s="44">
        <f ca="1">DSUM($B$80:$Y$92,Y$80,$C$99:$D130)</f>
        <v>43.327438170797279</v>
      </c>
      <c r="Z130" s="9"/>
      <c r="AA130" s="9"/>
      <c r="AB130" s="9"/>
      <c r="AC130" s="9"/>
    </row>
    <row r="131" spans="1:29" customFormat="1">
      <c r="A131" s="9"/>
      <c r="B131" s="9" t="s">
        <v>4917</v>
      </c>
      <c r="C131" s="55" t="s">
        <v>4927</v>
      </c>
      <c r="D131" s="55" t="s">
        <v>136</v>
      </c>
      <c r="E131" s="44">
        <f ca="1">DSUM($B$80:$Y$92,E$80,$C$99:$D131)</f>
        <v>1.2541758597177067E-2</v>
      </c>
      <c r="F131" s="44">
        <f ca="1">DSUM($B$80:$Y$92,F$80,$C$99:$D131)</f>
        <v>3.749659177795877E-2</v>
      </c>
      <c r="G131" s="44">
        <f ca="1">DSUM($B$80:$Y$92,G$80,$C$99:$D131)</f>
        <v>8.1622775055849195E-2</v>
      </c>
      <c r="H131" s="44">
        <f ca="1">DSUM($B$80:$Y$92,H$80,$C$99:$D131)</f>
        <v>0.15311765541971706</v>
      </c>
      <c r="I131" s="44">
        <f ca="1">DSUM($B$80:$Y$92,I$80,$C$99:$D131)</f>
        <v>0.2612166511323411</v>
      </c>
      <c r="J131" s="44">
        <f ca="1">DSUM($B$80:$Y$92,J$80,$C$99:$D131)</f>
        <v>0.41543830536506682</v>
      </c>
      <c r="K131" s="44">
        <f ca="1">DSUM($B$80:$Y$92,K$80,$C$99:$D131)</f>
        <v>0.62440150814937623</v>
      </c>
      <c r="L131" s="44">
        <f ca="1">DSUM($B$80:$Y$92,L$80,$C$99:$D131)</f>
        <v>0.89421052546958479</v>
      </c>
      <c r="M131" s="44">
        <f ca="1">DSUM($B$80:$Y$92,M$80,$C$99:$D131)</f>
        <v>1.2265371869029777</v>
      </c>
      <c r="N131" s="44">
        <f ca="1">DSUM($B$80:$Y$92,N$80,$C$99:$D131)</f>
        <v>1.6167234505686572</v>
      </c>
      <c r="O131" s="44">
        <f ca="1">DSUM($B$80:$Y$92,O$80,$C$99:$D131)</f>
        <v>2.0524386147099483</v>
      </c>
      <c r="P131" s="44">
        <f ca="1">DSUM($B$80:$Y$92,P$80,$C$99:$D131)</f>
        <v>2.5135578998903427</v>
      </c>
      <c r="Q131" s="44">
        <f ca="1">DSUM($B$80:$Y$92,Q$80,$C$99:$D131)</f>
        <v>2.973847293811311</v>
      </c>
      <c r="R131" s="44">
        <f ca="1">DSUM($B$80:$Y$92,R$80,$C$99:$D131)</f>
        <v>3.4046291942906284</v>
      </c>
      <c r="S131" s="44">
        <f ca="1">DSUM($B$80:$Y$92,S$80,$C$99:$D131)</f>
        <v>3.7798793671652642</v>
      </c>
      <c r="T131" s="44">
        <f ca="1">DSUM($B$80:$Y$92,T$80,$C$99:$D131)</f>
        <v>5.0818752589272327</v>
      </c>
      <c r="U131" s="44">
        <f ca="1">DSUM($B$80:$Y$92,U$80,$C$99:$D131)</f>
        <v>5.3203511096904297</v>
      </c>
      <c r="V131" s="44">
        <f ca="1">DSUM($B$80:$Y$92,V$80,$C$99:$D131)</f>
        <v>5.4550930866249949</v>
      </c>
      <c r="W131" s="44">
        <f ca="1">DSUM($B$80:$Y$92,W$80,$C$99:$D131)</f>
        <v>5.5147927114490596</v>
      </c>
      <c r="X131" s="44">
        <f ca="1">DSUM($B$80:$Y$92,X$80,$C$99:$D131)</f>
        <v>5.5027369176381873</v>
      </c>
      <c r="Y131" s="44">
        <f ca="1">DSUM($B$80:$Y$92,Y$80,$C$99:$D131)</f>
        <v>75.452518870383457</v>
      </c>
      <c r="Z131" s="9"/>
      <c r="AA131" s="9"/>
      <c r="AB131" s="9"/>
      <c r="AC131" s="9"/>
    </row>
    <row r="132" spans="1:29" customForma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spans="1:29" customForma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spans="1:29" customFormat="1" ht="15">
      <c r="A134" s="86" t="s">
        <v>137</v>
      </c>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spans="1:29" customFormat="1" ht="15">
      <c r="A135" s="9"/>
      <c r="B135" s="9"/>
      <c r="C135" s="9"/>
      <c r="D135" s="72" t="str">
        <f>C8</f>
        <v>Refrigerator</v>
      </c>
      <c r="E135" s="79">
        <f t="shared" ref="E135:X135" si="74">E11</f>
        <v>2016</v>
      </c>
      <c r="F135" s="73">
        <f t="shared" si="74"/>
        <v>2017</v>
      </c>
      <c r="G135" s="73">
        <f t="shared" si="74"/>
        <v>2018</v>
      </c>
      <c r="H135" s="73">
        <f t="shared" si="74"/>
        <v>2019</v>
      </c>
      <c r="I135" s="73">
        <f t="shared" si="74"/>
        <v>2020</v>
      </c>
      <c r="J135" s="73">
        <f t="shared" si="74"/>
        <v>2021</v>
      </c>
      <c r="K135" s="73">
        <f t="shared" si="74"/>
        <v>2022</v>
      </c>
      <c r="L135" s="73">
        <f t="shared" si="74"/>
        <v>2023</v>
      </c>
      <c r="M135" s="73">
        <f t="shared" si="74"/>
        <v>2024</v>
      </c>
      <c r="N135" s="73">
        <f t="shared" si="74"/>
        <v>2025</v>
      </c>
      <c r="O135" s="73">
        <f t="shared" si="74"/>
        <v>2026</v>
      </c>
      <c r="P135" s="73">
        <f t="shared" si="74"/>
        <v>2027</v>
      </c>
      <c r="Q135" s="73">
        <f t="shared" si="74"/>
        <v>2028</v>
      </c>
      <c r="R135" s="73">
        <f t="shared" si="74"/>
        <v>2029</v>
      </c>
      <c r="S135" s="73">
        <f t="shared" si="74"/>
        <v>2030</v>
      </c>
      <c r="T135" s="73">
        <f t="shared" si="74"/>
        <v>2031</v>
      </c>
      <c r="U135" s="73">
        <f t="shared" si="74"/>
        <v>2032</v>
      </c>
      <c r="V135" s="73">
        <f t="shared" si="74"/>
        <v>2033</v>
      </c>
      <c r="W135" s="73">
        <f t="shared" si="74"/>
        <v>2034</v>
      </c>
      <c r="X135" s="73">
        <f t="shared" si="74"/>
        <v>2035</v>
      </c>
      <c r="Y135" s="74" t="s">
        <v>151</v>
      </c>
      <c r="Z135" s="9"/>
      <c r="AA135" s="9"/>
      <c r="AB135" s="9"/>
      <c r="AC135" s="9"/>
    </row>
    <row r="136" spans="1:29" customFormat="1" ht="15">
      <c r="A136" s="9"/>
      <c r="B136" s="9"/>
      <c r="C136" s="9"/>
      <c r="D136" s="9" t="str">
        <f>C8</f>
        <v>Refrigerator</v>
      </c>
      <c r="E136" s="80" t="str">
        <f t="shared" ref="E136:X136" si="75">CONCATENATE("aMW_",E135)</f>
        <v>aMW_2016</v>
      </c>
      <c r="F136" s="75" t="str">
        <f t="shared" si="75"/>
        <v>aMW_2017</v>
      </c>
      <c r="G136" s="75" t="str">
        <f t="shared" si="75"/>
        <v>aMW_2018</v>
      </c>
      <c r="H136" s="75" t="str">
        <f t="shared" si="75"/>
        <v>aMW_2019</v>
      </c>
      <c r="I136" s="75" t="str">
        <f t="shared" si="75"/>
        <v>aMW_2020</v>
      </c>
      <c r="J136" s="75" t="str">
        <f t="shared" si="75"/>
        <v>aMW_2021</v>
      </c>
      <c r="K136" s="75" t="str">
        <f t="shared" si="75"/>
        <v>aMW_2022</v>
      </c>
      <c r="L136" s="75" t="str">
        <f t="shared" si="75"/>
        <v>aMW_2023</v>
      </c>
      <c r="M136" s="75" t="str">
        <f t="shared" si="75"/>
        <v>aMW_2024</v>
      </c>
      <c r="N136" s="75" t="str">
        <f t="shared" si="75"/>
        <v>aMW_2025</v>
      </c>
      <c r="O136" s="75" t="str">
        <f t="shared" si="75"/>
        <v>aMW_2026</v>
      </c>
      <c r="P136" s="75" t="str">
        <f t="shared" si="75"/>
        <v>aMW_2027</v>
      </c>
      <c r="Q136" s="75" t="str">
        <f t="shared" si="75"/>
        <v>aMW_2028</v>
      </c>
      <c r="R136" s="75" t="str">
        <f t="shared" si="75"/>
        <v>aMW_2029</v>
      </c>
      <c r="S136" s="75" t="str">
        <f t="shared" si="75"/>
        <v>aMW_2030</v>
      </c>
      <c r="T136" s="75" t="str">
        <f t="shared" si="75"/>
        <v>aMW_2031</v>
      </c>
      <c r="U136" s="75" t="str">
        <f t="shared" si="75"/>
        <v>aMW_2032</v>
      </c>
      <c r="V136" s="75" t="str">
        <f t="shared" si="75"/>
        <v>aMW_2033</v>
      </c>
      <c r="W136" s="75" t="str">
        <f t="shared" si="75"/>
        <v>aMW_2034</v>
      </c>
      <c r="X136" s="75" t="str">
        <f t="shared" si="75"/>
        <v>aMW_2035</v>
      </c>
      <c r="Y136" s="76" t="s">
        <v>151</v>
      </c>
      <c r="Z136" s="9"/>
      <c r="AA136" s="9"/>
      <c r="AB136" s="9"/>
      <c r="AC136" s="9"/>
    </row>
    <row r="137" spans="1:29" customFormat="1">
      <c r="A137" s="9"/>
      <c r="B137" s="9"/>
      <c r="C137" s="9"/>
      <c r="D137" s="9" t="s">
        <v>71</v>
      </c>
      <c r="E137" s="38">
        <f t="shared" ref="E137:X137" si="76">E100</f>
        <v>0</v>
      </c>
      <c r="F137" s="38">
        <f t="shared" si="76"/>
        <v>0</v>
      </c>
      <c r="G137" s="38">
        <f t="shared" si="76"/>
        <v>0</v>
      </c>
      <c r="H137" s="38">
        <f t="shared" si="76"/>
        <v>0</v>
      </c>
      <c r="I137" s="38">
        <f t="shared" si="76"/>
        <v>0</v>
      </c>
      <c r="J137" s="38">
        <f t="shared" si="76"/>
        <v>0</v>
      </c>
      <c r="K137" s="38">
        <f t="shared" si="76"/>
        <v>0</v>
      </c>
      <c r="L137" s="38">
        <f t="shared" si="76"/>
        <v>0</v>
      </c>
      <c r="M137" s="38">
        <f t="shared" si="76"/>
        <v>0</v>
      </c>
      <c r="N137" s="38">
        <f t="shared" si="76"/>
        <v>0</v>
      </c>
      <c r="O137" s="38">
        <f t="shared" si="76"/>
        <v>0</v>
      </c>
      <c r="P137" s="38">
        <f t="shared" si="76"/>
        <v>0</v>
      </c>
      <c r="Q137" s="38">
        <f t="shared" si="76"/>
        <v>0</v>
      </c>
      <c r="R137" s="38">
        <f t="shared" si="76"/>
        <v>0</v>
      </c>
      <c r="S137" s="38">
        <f t="shared" si="76"/>
        <v>0</v>
      </c>
      <c r="T137" s="38">
        <f t="shared" si="76"/>
        <v>0</v>
      </c>
      <c r="U137" s="38">
        <f t="shared" si="76"/>
        <v>0</v>
      </c>
      <c r="V137" s="38">
        <f t="shared" si="76"/>
        <v>0</v>
      </c>
      <c r="W137" s="38">
        <f t="shared" si="76"/>
        <v>0</v>
      </c>
      <c r="X137" s="38">
        <f t="shared" si="76"/>
        <v>0</v>
      </c>
      <c r="Y137" s="38">
        <f t="shared" ref="Y137" si="77">Y100</f>
        <v>0</v>
      </c>
      <c r="Z137" s="9"/>
      <c r="AA137" s="9"/>
      <c r="AB137" s="9"/>
      <c r="AC137" s="9"/>
    </row>
    <row r="138" spans="1:29" customFormat="1">
      <c r="A138" s="9"/>
      <c r="B138" s="9"/>
      <c r="C138" s="9"/>
      <c r="D138" s="9" t="s">
        <v>4948</v>
      </c>
      <c r="E138" s="38">
        <f t="shared" ref="E138:X150" si="78">E101-E100</f>
        <v>0</v>
      </c>
      <c r="F138" s="38">
        <f t="shared" si="78"/>
        <v>0</v>
      </c>
      <c r="G138" s="38">
        <f t="shared" si="78"/>
        <v>0</v>
      </c>
      <c r="H138" s="38">
        <f t="shared" si="78"/>
        <v>0</v>
      </c>
      <c r="I138" s="38">
        <f t="shared" si="78"/>
        <v>0</v>
      </c>
      <c r="J138" s="38">
        <f t="shared" si="78"/>
        <v>0</v>
      </c>
      <c r="K138" s="38">
        <f t="shared" si="78"/>
        <v>0</v>
      </c>
      <c r="L138" s="38">
        <f t="shared" si="78"/>
        <v>0</v>
      </c>
      <c r="M138" s="38">
        <f t="shared" si="78"/>
        <v>0</v>
      </c>
      <c r="N138" s="38">
        <f t="shared" si="78"/>
        <v>0</v>
      </c>
      <c r="O138" s="38">
        <f t="shared" si="78"/>
        <v>0</v>
      </c>
      <c r="P138" s="38">
        <f t="shared" si="78"/>
        <v>0</v>
      </c>
      <c r="Q138" s="38">
        <f t="shared" si="78"/>
        <v>0</v>
      </c>
      <c r="R138" s="38">
        <f t="shared" si="78"/>
        <v>0</v>
      </c>
      <c r="S138" s="38">
        <f t="shared" si="78"/>
        <v>0</v>
      </c>
      <c r="T138" s="38">
        <f t="shared" si="78"/>
        <v>0</v>
      </c>
      <c r="U138" s="38">
        <f t="shared" si="78"/>
        <v>0</v>
      </c>
      <c r="V138" s="38">
        <f t="shared" si="78"/>
        <v>0</v>
      </c>
      <c r="W138" s="38">
        <f t="shared" si="78"/>
        <v>0</v>
      </c>
      <c r="X138" s="38">
        <f t="shared" si="78"/>
        <v>0</v>
      </c>
      <c r="Y138" s="38">
        <f>Y101-Y100</f>
        <v>0</v>
      </c>
      <c r="Z138" s="9"/>
      <c r="AA138" s="9"/>
      <c r="AB138" s="9"/>
      <c r="AC138" s="9"/>
    </row>
    <row r="139" spans="1:29" customFormat="1">
      <c r="A139" s="9"/>
      <c r="B139" s="9"/>
      <c r="C139" s="9"/>
      <c r="D139" s="9" t="s">
        <v>77</v>
      </c>
      <c r="E139" s="38">
        <f t="shared" si="78"/>
        <v>0</v>
      </c>
      <c r="F139" s="38">
        <f t="shared" si="78"/>
        <v>0</v>
      </c>
      <c r="G139" s="38">
        <f t="shared" si="78"/>
        <v>0</v>
      </c>
      <c r="H139" s="38">
        <f t="shared" si="78"/>
        <v>0</v>
      </c>
      <c r="I139" s="38">
        <f t="shared" si="78"/>
        <v>0</v>
      </c>
      <c r="J139" s="38">
        <f t="shared" si="78"/>
        <v>0</v>
      </c>
      <c r="K139" s="38">
        <f t="shared" si="78"/>
        <v>0</v>
      </c>
      <c r="L139" s="38">
        <f t="shared" si="78"/>
        <v>0</v>
      </c>
      <c r="M139" s="38">
        <f t="shared" si="78"/>
        <v>0</v>
      </c>
      <c r="N139" s="38">
        <f t="shared" si="78"/>
        <v>0</v>
      </c>
      <c r="O139" s="38">
        <f t="shared" si="78"/>
        <v>0</v>
      </c>
      <c r="P139" s="38">
        <f t="shared" si="78"/>
        <v>0</v>
      </c>
      <c r="Q139" s="38">
        <f t="shared" si="78"/>
        <v>0</v>
      </c>
      <c r="R139" s="38">
        <f t="shared" si="78"/>
        <v>0</v>
      </c>
      <c r="S139" s="38">
        <f t="shared" si="78"/>
        <v>0</v>
      </c>
      <c r="T139" s="38">
        <f t="shared" si="78"/>
        <v>0</v>
      </c>
      <c r="U139" s="38">
        <f t="shared" si="78"/>
        <v>0</v>
      </c>
      <c r="V139" s="38">
        <f t="shared" si="78"/>
        <v>0</v>
      </c>
      <c r="W139" s="38">
        <f t="shared" si="78"/>
        <v>0</v>
      </c>
      <c r="X139" s="38">
        <f t="shared" si="78"/>
        <v>0</v>
      </c>
      <c r="Y139" s="38">
        <f t="shared" ref="Y139" si="79">Y102-Y101</f>
        <v>0</v>
      </c>
      <c r="Z139" s="9"/>
      <c r="AA139" s="9"/>
      <c r="AB139" s="9"/>
      <c r="AC139" s="9"/>
    </row>
    <row r="140" spans="1:29" customFormat="1">
      <c r="A140" s="9"/>
      <c r="B140" s="9"/>
      <c r="C140" s="9"/>
      <c r="D140" s="9" t="s">
        <v>80</v>
      </c>
      <c r="E140" s="38">
        <f t="shared" si="78"/>
        <v>0</v>
      </c>
      <c r="F140" s="38">
        <f t="shared" si="78"/>
        <v>0</v>
      </c>
      <c r="G140" s="38">
        <f t="shared" si="78"/>
        <v>0</v>
      </c>
      <c r="H140" s="38">
        <f t="shared" si="78"/>
        <v>0</v>
      </c>
      <c r="I140" s="38">
        <f t="shared" si="78"/>
        <v>0</v>
      </c>
      <c r="J140" s="38">
        <f t="shared" si="78"/>
        <v>0</v>
      </c>
      <c r="K140" s="38">
        <f t="shared" si="78"/>
        <v>0</v>
      </c>
      <c r="L140" s="38">
        <f t="shared" si="78"/>
        <v>0</v>
      </c>
      <c r="M140" s="38">
        <f t="shared" si="78"/>
        <v>0</v>
      </c>
      <c r="N140" s="38">
        <f t="shared" si="78"/>
        <v>0</v>
      </c>
      <c r="O140" s="38">
        <f t="shared" si="78"/>
        <v>0</v>
      </c>
      <c r="P140" s="38">
        <f t="shared" si="78"/>
        <v>0</v>
      </c>
      <c r="Q140" s="38">
        <f t="shared" si="78"/>
        <v>0</v>
      </c>
      <c r="R140" s="38">
        <f t="shared" si="78"/>
        <v>0</v>
      </c>
      <c r="S140" s="38">
        <f t="shared" si="78"/>
        <v>0</v>
      </c>
      <c r="T140" s="38">
        <f t="shared" si="78"/>
        <v>0</v>
      </c>
      <c r="U140" s="38">
        <f t="shared" si="78"/>
        <v>0</v>
      </c>
      <c r="V140" s="38">
        <f t="shared" si="78"/>
        <v>0</v>
      </c>
      <c r="W140" s="38">
        <f t="shared" si="78"/>
        <v>0</v>
      </c>
      <c r="X140" s="38">
        <f t="shared" si="78"/>
        <v>0</v>
      </c>
      <c r="Y140" s="38">
        <f t="shared" ref="Y140" si="80">Y103-Y102</f>
        <v>0</v>
      </c>
      <c r="Z140" s="9"/>
      <c r="AA140" s="9"/>
      <c r="AB140" s="9"/>
      <c r="AC140" s="9"/>
    </row>
    <row r="141" spans="1:29" customFormat="1">
      <c r="A141" s="9"/>
      <c r="B141" s="9"/>
      <c r="C141" s="9"/>
      <c r="D141" s="9" t="s">
        <v>83</v>
      </c>
      <c r="E141" s="38">
        <f t="shared" si="78"/>
        <v>0</v>
      </c>
      <c r="F141" s="38">
        <f t="shared" si="78"/>
        <v>0</v>
      </c>
      <c r="G141" s="38">
        <f t="shared" si="78"/>
        <v>0</v>
      </c>
      <c r="H141" s="38">
        <f t="shared" si="78"/>
        <v>0</v>
      </c>
      <c r="I141" s="38">
        <f t="shared" si="78"/>
        <v>0</v>
      </c>
      <c r="J141" s="38">
        <f t="shared" si="78"/>
        <v>0</v>
      </c>
      <c r="K141" s="38">
        <f t="shared" si="78"/>
        <v>0</v>
      </c>
      <c r="L141" s="38">
        <f t="shared" si="78"/>
        <v>0</v>
      </c>
      <c r="M141" s="38">
        <f t="shared" si="78"/>
        <v>0</v>
      </c>
      <c r="N141" s="38">
        <f t="shared" si="78"/>
        <v>0</v>
      </c>
      <c r="O141" s="38">
        <f t="shared" si="78"/>
        <v>0</v>
      </c>
      <c r="P141" s="38">
        <f t="shared" si="78"/>
        <v>0</v>
      </c>
      <c r="Q141" s="38">
        <f t="shared" si="78"/>
        <v>0</v>
      </c>
      <c r="R141" s="38">
        <f t="shared" si="78"/>
        <v>0</v>
      </c>
      <c r="S141" s="38">
        <f t="shared" si="78"/>
        <v>0</v>
      </c>
      <c r="T141" s="38">
        <f t="shared" si="78"/>
        <v>0</v>
      </c>
      <c r="U141" s="38">
        <f t="shared" si="78"/>
        <v>0</v>
      </c>
      <c r="V141" s="38">
        <f t="shared" si="78"/>
        <v>0</v>
      </c>
      <c r="W141" s="38">
        <f t="shared" si="78"/>
        <v>0</v>
      </c>
      <c r="X141" s="38">
        <f t="shared" si="78"/>
        <v>0</v>
      </c>
      <c r="Y141" s="38">
        <f t="shared" ref="Y141" si="81">Y104-Y103</f>
        <v>0</v>
      </c>
      <c r="Z141" s="9"/>
      <c r="AA141" s="9"/>
      <c r="AB141" s="9"/>
      <c r="AC141" s="9"/>
    </row>
    <row r="142" spans="1:29" customFormat="1">
      <c r="A142" s="9"/>
      <c r="B142" s="9"/>
      <c r="C142" s="9"/>
      <c r="D142" s="9" t="s">
        <v>86</v>
      </c>
      <c r="E142" s="38">
        <f t="shared" si="78"/>
        <v>0</v>
      </c>
      <c r="F142" s="38">
        <f>F105-F104</f>
        <v>0</v>
      </c>
      <c r="G142" s="38">
        <f t="shared" si="78"/>
        <v>0</v>
      </c>
      <c r="H142" s="38">
        <f t="shared" si="78"/>
        <v>0</v>
      </c>
      <c r="I142" s="38">
        <f t="shared" si="78"/>
        <v>0</v>
      </c>
      <c r="J142" s="38">
        <f t="shared" si="78"/>
        <v>0</v>
      </c>
      <c r="K142" s="38">
        <f t="shared" si="78"/>
        <v>0</v>
      </c>
      <c r="L142" s="38">
        <f t="shared" si="78"/>
        <v>0</v>
      </c>
      <c r="M142" s="38">
        <f t="shared" si="78"/>
        <v>0</v>
      </c>
      <c r="N142" s="38">
        <f t="shared" si="78"/>
        <v>0</v>
      </c>
      <c r="O142" s="38">
        <f t="shared" si="78"/>
        <v>0</v>
      </c>
      <c r="P142" s="38">
        <f t="shared" si="78"/>
        <v>0</v>
      </c>
      <c r="Q142" s="38">
        <f t="shared" si="78"/>
        <v>0</v>
      </c>
      <c r="R142" s="38">
        <f t="shared" si="78"/>
        <v>0</v>
      </c>
      <c r="S142" s="38">
        <f t="shared" si="78"/>
        <v>0</v>
      </c>
      <c r="T142" s="38">
        <f t="shared" si="78"/>
        <v>0</v>
      </c>
      <c r="U142" s="38">
        <f t="shared" si="78"/>
        <v>0</v>
      </c>
      <c r="V142" s="38">
        <f t="shared" si="78"/>
        <v>0</v>
      </c>
      <c r="W142" s="38">
        <f t="shared" si="78"/>
        <v>0</v>
      </c>
      <c r="X142" s="38">
        <f t="shared" si="78"/>
        <v>0</v>
      </c>
      <c r="Y142" s="38">
        <f t="shared" ref="Y142" si="82">Y105-Y104</f>
        <v>0</v>
      </c>
      <c r="Z142" s="9"/>
      <c r="AA142" s="9"/>
      <c r="AB142" s="9"/>
      <c r="AC142" s="9"/>
    </row>
    <row r="143" spans="1:29" customFormat="1">
      <c r="A143" s="9"/>
      <c r="B143" s="9"/>
      <c r="C143" s="9"/>
      <c r="D143" s="9" t="s">
        <v>89</v>
      </c>
      <c r="E143" s="38">
        <f t="shared" si="78"/>
        <v>0</v>
      </c>
      <c r="F143" s="38">
        <f t="shared" si="78"/>
        <v>0</v>
      </c>
      <c r="G143" s="38">
        <f t="shared" si="78"/>
        <v>0</v>
      </c>
      <c r="H143" s="38">
        <f t="shared" si="78"/>
        <v>0</v>
      </c>
      <c r="I143" s="38">
        <f t="shared" si="78"/>
        <v>0</v>
      </c>
      <c r="J143" s="38">
        <f t="shared" si="78"/>
        <v>0</v>
      </c>
      <c r="K143" s="38">
        <f t="shared" si="78"/>
        <v>0</v>
      </c>
      <c r="L143" s="38">
        <f t="shared" si="78"/>
        <v>0</v>
      </c>
      <c r="M143" s="38">
        <f t="shared" si="78"/>
        <v>0</v>
      </c>
      <c r="N143" s="38">
        <f t="shared" si="78"/>
        <v>0</v>
      </c>
      <c r="O143" s="38">
        <f t="shared" si="78"/>
        <v>0</v>
      </c>
      <c r="P143" s="38">
        <f t="shared" si="78"/>
        <v>0</v>
      </c>
      <c r="Q143" s="38">
        <f t="shared" si="78"/>
        <v>0</v>
      </c>
      <c r="R143" s="38">
        <f t="shared" si="78"/>
        <v>0</v>
      </c>
      <c r="S143" s="38">
        <f t="shared" si="78"/>
        <v>0</v>
      </c>
      <c r="T143" s="38">
        <f t="shared" si="78"/>
        <v>0</v>
      </c>
      <c r="U143" s="38">
        <f t="shared" si="78"/>
        <v>0</v>
      </c>
      <c r="V143" s="38">
        <f t="shared" si="78"/>
        <v>0</v>
      </c>
      <c r="W143" s="38">
        <f t="shared" si="78"/>
        <v>0</v>
      </c>
      <c r="X143" s="38">
        <f t="shared" si="78"/>
        <v>0</v>
      </c>
      <c r="Y143" s="38">
        <f t="shared" ref="Y143" si="83">Y106-Y105</f>
        <v>0</v>
      </c>
      <c r="Z143" s="9"/>
      <c r="AA143" s="9"/>
      <c r="AB143" s="9"/>
      <c r="AC143" s="9"/>
    </row>
    <row r="144" spans="1:29" customFormat="1">
      <c r="A144" s="9"/>
      <c r="B144" s="9"/>
      <c r="C144" s="9"/>
      <c r="D144" s="9" t="s">
        <v>92</v>
      </c>
      <c r="E144" s="38">
        <f t="shared" si="78"/>
        <v>0</v>
      </c>
      <c r="F144" s="38">
        <f t="shared" si="78"/>
        <v>0</v>
      </c>
      <c r="G144" s="38">
        <f t="shared" si="78"/>
        <v>0</v>
      </c>
      <c r="H144" s="38">
        <f t="shared" si="78"/>
        <v>0</v>
      </c>
      <c r="I144" s="38">
        <f t="shared" si="78"/>
        <v>0</v>
      </c>
      <c r="J144" s="38">
        <f t="shared" si="78"/>
        <v>0</v>
      </c>
      <c r="K144" s="38">
        <f t="shared" si="78"/>
        <v>0</v>
      </c>
      <c r="L144" s="38">
        <f t="shared" si="78"/>
        <v>0</v>
      </c>
      <c r="M144" s="38">
        <f t="shared" si="78"/>
        <v>0</v>
      </c>
      <c r="N144" s="38">
        <f t="shared" si="78"/>
        <v>0</v>
      </c>
      <c r="O144" s="38">
        <f t="shared" si="78"/>
        <v>0</v>
      </c>
      <c r="P144" s="38">
        <f t="shared" si="78"/>
        <v>0</v>
      </c>
      <c r="Q144" s="38">
        <f t="shared" si="78"/>
        <v>0</v>
      </c>
      <c r="R144" s="38">
        <f t="shared" si="78"/>
        <v>0</v>
      </c>
      <c r="S144" s="38">
        <f t="shared" si="78"/>
        <v>0</v>
      </c>
      <c r="T144" s="38">
        <f t="shared" si="78"/>
        <v>0</v>
      </c>
      <c r="U144" s="38">
        <f t="shared" si="78"/>
        <v>0</v>
      </c>
      <c r="V144" s="38">
        <f t="shared" si="78"/>
        <v>0</v>
      </c>
      <c r="W144" s="38">
        <f t="shared" si="78"/>
        <v>0</v>
      </c>
      <c r="X144" s="38">
        <f t="shared" si="78"/>
        <v>0</v>
      </c>
      <c r="Y144" s="38">
        <f t="shared" ref="Y144" si="84">Y107-Y106</f>
        <v>0</v>
      </c>
      <c r="Z144" s="9"/>
      <c r="AA144" s="9"/>
      <c r="AB144" s="9"/>
      <c r="AC144" s="9"/>
    </row>
    <row r="145" spans="1:29" customFormat="1">
      <c r="A145" s="9"/>
      <c r="B145" s="9"/>
      <c r="C145" s="9"/>
      <c r="D145" s="9" t="s">
        <v>95</v>
      </c>
      <c r="E145" s="38">
        <f t="shared" si="78"/>
        <v>0</v>
      </c>
      <c r="F145" s="38">
        <f t="shared" si="78"/>
        <v>0</v>
      </c>
      <c r="G145" s="38">
        <f t="shared" si="78"/>
        <v>0</v>
      </c>
      <c r="H145" s="38">
        <f t="shared" si="78"/>
        <v>0</v>
      </c>
      <c r="I145" s="38">
        <f t="shared" si="78"/>
        <v>0</v>
      </c>
      <c r="J145" s="38">
        <f t="shared" si="78"/>
        <v>0</v>
      </c>
      <c r="K145" s="38">
        <f t="shared" si="78"/>
        <v>0</v>
      </c>
      <c r="L145" s="38">
        <f t="shared" si="78"/>
        <v>0</v>
      </c>
      <c r="M145" s="38">
        <f t="shared" si="78"/>
        <v>0</v>
      </c>
      <c r="N145" s="38">
        <f t="shared" si="78"/>
        <v>0</v>
      </c>
      <c r="O145" s="38">
        <f t="shared" si="78"/>
        <v>0</v>
      </c>
      <c r="P145" s="38">
        <f t="shared" si="78"/>
        <v>0</v>
      </c>
      <c r="Q145" s="38">
        <f t="shared" si="78"/>
        <v>0</v>
      </c>
      <c r="R145" s="38">
        <f t="shared" si="78"/>
        <v>0</v>
      </c>
      <c r="S145" s="38">
        <f t="shared" si="78"/>
        <v>0</v>
      </c>
      <c r="T145" s="38">
        <f t="shared" si="78"/>
        <v>0</v>
      </c>
      <c r="U145" s="38">
        <f t="shared" si="78"/>
        <v>0</v>
      </c>
      <c r="V145" s="38">
        <f t="shared" si="78"/>
        <v>0</v>
      </c>
      <c r="W145" s="38">
        <f t="shared" si="78"/>
        <v>0</v>
      </c>
      <c r="X145" s="38">
        <f t="shared" si="78"/>
        <v>0</v>
      </c>
      <c r="Y145" s="38">
        <f t="shared" ref="Y145" si="85">Y108-Y107</f>
        <v>0</v>
      </c>
      <c r="Z145" s="9"/>
      <c r="AA145" s="9"/>
      <c r="AB145" s="9"/>
      <c r="AC145" s="9"/>
    </row>
    <row r="146" spans="1:29" customFormat="1">
      <c r="A146" s="9"/>
      <c r="B146" s="9"/>
      <c r="C146" s="9"/>
      <c r="D146" s="9" t="s">
        <v>98</v>
      </c>
      <c r="E146" s="38">
        <f t="shared" si="78"/>
        <v>0</v>
      </c>
      <c r="F146" s="38">
        <f t="shared" si="78"/>
        <v>0</v>
      </c>
      <c r="G146" s="38">
        <f t="shared" si="78"/>
        <v>0</v>
      </c>
      <c r="H146" s="38">
        <f t="shared" si="78"/>
        <v>0</v>
      </c>
      <c r="I146" s="38">
        <f t="shared" si="78"/>
        <v>0</v>
      </c>
      <c r="J146" s="38">
        <f t="shared" si="78"/>
        <v>0</v>
      </c>
      <c r="K146" s="38">
        <f t="shared" si="78"/>
        <v>0</v>
      </c>
      <c r="L146" s="38">
        <f t="shared" si="78"/>
        <v>0</v>
      </c>
      <c r="M146" s="38">
        <f t="shared" si="78"/>
        <v>0</v>
      </c>
      <c r="N146" s="38">
        <f t="shared" si="78"/>
        <v>0</v>
      </c>
      <c r="O146" s="38">
        <f t="shared" si="78"/>
        <v>0</v>
      </c>
      <c r="P146" s="38">
        <f t="shared" si="78"/>
        <v>0</v>
      </c>
      <c r="Q146" s="38">
        <f t="shared" si="78"/>
        <v>0</v>
      </c>
      <c r="R146" s="38">
        <f t="shared" si="78"/>
        <v>0</v>
      </c>
      <c r="S146" s="38">
        <f t="shared" si="78"/>
        <v>0</v>
      </c>
      <c r="T146" s="38">
        <f t="shared" si="78"/>
        <v>0</v>
      </c>
      <c r="U146" s="38">
        <f t="shared" si="78"/>
        <v>0</v>
      </c>
      <c r="V146" s="38">
        <f t="shared" si="78"/>
        <v>0</v>
      </c>
      <c r="W146" s="38">
        <f t="shared" si="78"/>
        <v>0</v>
      </c>
      <c r="X146" s="38">
        <f t="shared" si="78"/>
        <v>0</v>
      </c>
      <c r="Y146" s="38">
        <f t="shared" ref="Y146" si="86">Y109-Y108</f>
        <v>0</v>
      </c>
      <c r="Z146" s="9"/>
      <c r="AA146" s="9"/>
      <c r="AB146" s="9"/>
      <c r="AC146" s="9"/>
    </row>
    <row r="147" spans="1:29" customFormat="1">
      <c r="A147" s="9"/>
      <c r="B147" s="9"/>
      <c r="C147" s="9"/>
      <c r="D147" s="9" t="s">
        <v>101</v>
      </c>
      <c r="E147" s="38">
        <f t="shared" si="78"/>
        <v>0</v>
      </c>
      <c r="F147" s="38">
        <f t="shared" si="78"/>
        <v>0</v>
      </c>
      <c r="G147" s="38">
        <f t="shared" si="78"/>
        <v>0</v>
      </c>
      <c r="H147" s="38">
        <f t="shared" si="78"/>
        <v>0</v>
      </c>
      <c r="I147" s="38">
        <f t="shared" si="78"/>
        <v>0</v>
      </c>
      <c r="J147" s="38">
        <f t="shared" si="78"/>
        <v>0</v>
      </c>
      <c r="K147" s="38">
        <f t="shared" si="78"/>
        <v>0</v>
      </c>
      <c r="L147" s="38">
        <f t="shared" si="78"/>
        <v>0</v>
      </c>
      <c r="M147" s="38">
        <f t="shared" si="78"/>
        <v>0</v>
      </c>
      <c r="N147" s="38">
        <f t="shared" si="78"/>
        <v>0</v>
      </c>
      <c r="O147" s="38">
        <f t="shared" si="78"/>
        <v>0</v>
      </c>
      <c r="P147" s="38">
        <f t="shared" si="78"/>
        <v>0</v>
      </c>
      <c r="Q147" s="38">
        <f t="shared" si="78"/>
        <v>0</v>
      </c>
      <c r="R147" s="38">
        <f t="shared" si="78"/>
        <v>0</v>
      </c>
      <c r="S147" s="38">
        <f t="shared" si="78"/>
        <v>0</v>
      </c>
      <c r="T147" s="38">
        <f t="shared" si="78"/>
        <v>0</v>
      </c>
      <c r="U147" s="38">
        <f t="shared" si="78"/>
        <v>0</v>
      </c>
      <c r="V147" s="38">
        <f t="shared" si="78"/>
        <v>0</v>
      </c>
      <c r="W147" s="38">
        <f t="shared" si="78"/>
        <v>0</v>
      </c>
      <c r="X147" s="38">
        <f t="shared" si="78"/>
        <v>0</v>
      </c>
      <c r="Y147" s="38">
        <f t="shared" ref="Y147" si="87">Y110-Y109</f>
        <v>0</v>
      </c>
      <c r="Z147" s="9"/>
      <c r="AA147" s="9"/>
      <c r="AB147" s="9"/>
      <c r="AC147" s="9"/>
    </row>
    <row r="148" spans="1:29" customFormat="1">
      <c r="A148" s="9"/>
      <c r="B148" s="9"/>
      <c r="C148" s="9"/>
      <c r="D148" s="9" t="s">
        <v>104</v>
      </c>
      <c r="E148" s="38">
        <f t="shared" si="78"/>
        <v>0</v>
      </c>
      <c r="F148" s="38">
        <f t="shared" si="78"/>
        <v>0</v>
      </c>
      <c r="G148" s="38">
        <f t="shared" si="78"/>
        <v>0</v>
      </c>
      <c r="H148" s="38">
        <f t="shared" si="78"/>
        <v>0</v>
      </c>
      <c r="I148" s="38">
        <f t="shared" si="78"/>
        <v>0</v>
      </c>
      <c r="J148" s="38">
        <f t="shared" si="78"/>
        <v>0</v>
      </c>
      <c r="K148" s="38">
        <f t="shared" si="78"/>
        <v>0</v>
      </c>
      <c r="L148" s="38">
        <f t="shared" si="78"/>
        <v>0</v>
      </c>
      <c r="M148" s="38">
        <f t="shared" si="78"/>
        <v>0</v>
      </c>
      <c r="N148" s="38">
        <f t="shared" si="78"/>
        <v>0</v>
      </c>
      <c r="O148" s="38">
        <f t="shared" si="78"/>
        <v>0</v>
      </c>
      <c r="P148" s="38">
        <f t="shared" si="78"/>
        <v>0</v>
      </c>
      <c r="Q148" s="38">
        <f t="shared" si="78"/>
        <v>0</v>
      </c>
      <c r="R148" s="38">
        <f t="shared" si="78"/>
        <v>0</v>
      </c>
      <c r="S148" s="38">
        <f t="shared" si="78"/>
        <v>0</v>
      </c>
      <c r="T148" s="38">
        <f t="shared" si="78"/>
        <v>0</v>
      </c>
      <c r="U148" s="38">
        <f t="shared" si="78"/>
        <v>0</v>
      </c>
      <c r="V148" s="38">
        <f t="shared" si="78"/>
        <v>0</v>
      </c>
      <c r="W148" s="38">
        <f t="shared" si="78"/>
        <v>0</v>
      </c>
      <c r="X148" s="38">
        <f t="shared" si="78"/>
        <v>0</v>
      </c>
      <c r="Y148" s="38">
        <f t="shared" ref="Y148" si="88">Y111-Y110</f>
        <v>0</v>
      </c>
      <c r="Z148" s="9"/>
      <c r="AA148" s="9"/>
      <c r="AB148" s="9"/>
      <c r="AC148" s="9"/>
    </row>
    <row r="149" spans="1:29" customFormat="1">
      <c r="A149" s="9"/>
      <c r="B149" s="9"/>
      <c r="C149" s="9"/>
      <c r="D149" s="9" t="s">
        <v>107</v>
      </c>
      <c r="E149" s="38">
        <f t="shared" si="78"/>
        <v>0</v>
      </c>
      <c r="F149" s="38">
        <f t="shared" si="78"/>
        <v>0</v>
      </c>
      <c r="G149" s="38">
        <f t="shared" si="78"/>
        <v>0</v>
      </c>
      <c r="H149" s="38">
        <f t="shared" si="78"/>
        <v>0</v>
      </c>
      <c r="I149" s="38">
        <f t="shared" si="78"/>
        <v>0</v>
      </c>
      <c r="J149" s="38">
        <f t="shared" si="78"/>
        <v>0</v>
      </c>
      <c r="K149" s="38">
        <f t="shared" si="78"/>
        <v>0</v>
      </c>
      <c r="L149" s="38">
        <f t="shared" si="78"/>
        <v>0</v>
      </c>
      <c r="M149" s="38">
        <f t="shared" si="78"/>
        <v>0</v>
      </c>
      <c r="N149" s="38">
        <f t="shared" si="78"/>
        <v>0</v>
      </c>
      <c r="O149" s="38">
        <f t="shared" si="78"/>
        <v>0</v>
      </c>
      <c r="P149" s="38">
        <f t="shared" si="78"/>
        <v>0</v>
      </c>
      <c r="Q149" s="38">
        <f t="shared" si="78"/>
        <v>0</v>
      </c>
      <c r="R149" s="38">
        <f t="shared" si="78"/>
        <v>0</v>
      </c>
      <c r="S149" s="38">
        <f t="shared" si="78"/>
        <v>0</v>
      </c>
      <c r="T149" s="38">
        <f t="shared" si="78"/>
        <v>0</v>
      </c>
      <c r="U149" s="38">
        <f t="shared" si="78"/>
        <v>0</v>
      </c>
      <c r="V149" s="38">
        <f t="shared" si="78"/>
        <v>0</v>
      </c>
      <c r="W149" s="38">
        <f t="shared" si="78"/>
        <v>0</v>
      </c>
      <c r="X149" s="38">
        <f t="shared" si="78"/>
        <v>0</v>
      </c>
      <c r="Y149" s="38">
        <f t="shared" ref="Y149" si="89">Y112-Y111</f>
        <v>0</v>
      </c>
      <c r="Z149" s="9"/>
      <c r="AA149" s="9"/>
      <c r="AB149" s="9"/>
      <c r="AC149" s="9"/>
    </row>
    <row r="150" spans="1:29" customFormat="1">
      <c r="A150" s="9"/>
      <c r="B150" s="9"/>
      <c r="C150" s="9"/>
      <c r="D150" s="9" t="s">
        <v>110</v>
      </c>
      <c r="E150" s="38">
        <f t="shared" si="78"/>
        <v>0</v>
      </c>
      <c r="F150" s="38">
        <f t="shared" si="78"/>
        <v>0</v>
      </c>
      <c r="G150" s="38">
        <f t="shared" si="78"/>
        <v>0</v>
      </c>
      <c r="H150" s="38">
        <f t="shared" ref="H150:X150" si="90">H113-H112</f>
        <v>0</v>
      </c>
      <c r="I150" s="38">
        <f t="shared" si="90"/>
        <v>0</v>
      </c>
      <c r="J150" s="38">
        <f t="shared" si="90"/>
        <v>0</v>
      </c>
      <c r="K150" s="38">
        <f t="shared" si="90"/>
        <v>0</v>
      </c>
      <c r="L150" s="38">
        <f t="shared" si="90"/>
        <v>0</v>
      </c>
      <c r="M150" s="38">
        <f t="shared" si="90"/>
        <v>0</v>
      </c>
      <c r="N150" s="38">
        <f t="shared" si="90"/>
        <v>0</v>
      </c>
      <c r="O150" s="38">
        <f t="shared" si="90"/>
        <v>0</v>
      </c>
      <c r="P150" s="38">
        <f t="shared" si="90"/>
        <v>0</v>
      </c>
      <c r="Q150" s="38">
        <f t="shared" si="90"/>
        <v>0</v>
      </c>
      <c r="R150" s="38">
        <f t="shared" si="90"/>
        <v>0</v>
      </c>
      <c r="S150" s="38">
        <f t="shared" si="90"/>
        <v>0</v>
      </c>
      <c r="T150" s="38">
        <f t="shared" si="90"/>
        <v>0</v>
      </c>
      <c r="U150" s="38">
        <f t="shared" si="90"/>
        <v>0</v>
      </c>
      <c r="V150" s="38">
        <f t="shared" si="90"/>
        <v>0</v>
      </c>
      <c r="W150" s="38">
        <f t="shared" si="90"/>
        <v>0</v>
      </c>
      <c r="X150" s="38">
        <f t="shared" si="90"/>
        <v>0</v>
      </c>
      <c r="Y150" s="38">
        <f t="shared" ref="Y150" si="91">Y113-Y112</f>
        <v>0</v>
      </c>
      <c r="Z150" s="9"/>
      <c r="AA150" s="9"/>
      <c r="AB150" s="9"/>
      <c r="AC150" s="9"/>
    </row>
    <row r="151" spans="1:29" customFormat="1">
      <c r="A151" s="9"/>
      <c r="B151" s="9"/>
      <c r="C151" s="9"/>
      <c r="D151" s="9" t="s">
        <v>113</v>
      </c>
      <c r="E151" s="38">
        <f t="shared" ref="E151:X151" si="92">E114-E113</f>
        <v>0</v>
      </c>
      <c r="F151" s="38">
        <f t="shared" si="92"/>
        <v>0</v>
      </c>
      <c r="G151" s="38">
        <f t="shared" si="92"/>
        <v>0</v>
      </c>
      <c r="H151" s="38">
        <f t="shared" si="92"/>
        <v>0</v>
      </c>
      <c r="I151" s="38">
        <f t="shared" si="92"/>
        <v>0</v>
      </c>
      <c r="J151" s="38">
        <f t="shared" si="92"/>
        <v>0</v>
      </c>
      <c r="K151" s="38">
        <f t="shared" si="92"/>
        <v>0</v>
      </c>
      <c r="L151" s="38">
        <f t="shared" si="92"/>
        <v>0</v>
      </c>
      <c r="M151" s="38">
        <f t="shared" si="92"/>
        <v>0</v>
      </c>
      <c r="N151" s="38">
        <f t="shared" si="92"/>
        <v>0</v>
      </c>
      <c r="O151" s="38">
        <f t="shared" si="92"/>
        <v>0</v>
      </c>
      <c r="P151" s="38">
        <f t="shared" si="92"/>
        <v>0</v>
      </c>
      <c r="Q151" s="38">
        <f t="shared" si="92"/>
        <v>0</v>
      </c>
      <c r="R151" s="38">
        <f t="shared" si="92"/>
        <v>0</v>
      </c>
      <c r="S151" s="38">
        <f t="shared" si="92"/>
        <v>0</v>
      </c>
      <c r="T151" s="38">
        <f t="shared" si="92"/>
        <v>0</v>
      </c>
      <c r="U151" s="38">
        <f t="shared" si="92"/>
        <v>0</v>
      </c>
      <c r="V151" s="38">
        <f t="shared" si="92"/>
        <v>0</v>
      </c>
      <c r="W151" s="38">
        <f t="shared" si="92"/>
        <v>0</v>
      </c>
      <c r="X151" s="38">
        <f t="shared" si="92"/>
        <v>0</v>
      </c>
      <c r="Y151" s="38">
        <f t="shared" ref="Y151" si="93">Y114-Y113</f>
        <v>0</v>
      </c>
      <c r="Z151" s="9"/>
      <c r="AA151" s="9"/>
      <c r="AB151" s="9"/>
      <c r="AC151" s="9"/>
    </row>
    <row r="152" spans="1:29" customFormat="1">
      <c r="A152" s="9"/>
      <c r="B152" s="9"/>
      <c r="C152" s="9"/>
      <c r="D152" s="9" t="s">
        <v>116</v>
      </c>
      <c r="E152" s="38">
        <f t="shared" ref="E152:X152" si="94">E115-E114</f>
        <v>0</v>
      </c>
      <c r="F152" s="38">
        <f t="shared" si="94"/>
        <v>0</v>
      </c>
      <c r="G152" s="38">
        <f t="shared" si="94"/>
        <v>0</v>
      </c>
      <c r="H152" s="38">
        <f t="shared" si="94"/>
        <v>0</v>
      </c>
      <c r="I152" s="38">
        <f t="shared" si="94"/>
        <v>0</v>
      </c>
      <c r="J152" s="38">
        <f t="shared" si="94"/>
        <v>0</v>
      </c>
      <c r="K152" s="38">
        <f t="shared" si="94"/>
        <v>0</v>
      </c>
      <c r="L152" s="38">
        <f t="shared" si="94"/>
        <v>0</v>
      </c>
      <c r="M152" s="38">
        <f t="shared" si="94"/>
        <v>0</v>
      </c>
      <c r="N152" s="38">
        <f t="shared" si="94"/>
        <v>0</v>
      </c>
      <c r="O152" s="38">
        <f t="shared" si="94"/>
        <v>0</v>
      </c>
      <c r="P152" s="38">
        <f t="shared" si="94"/>
        <v>0</v>
      </c>
      <c r="Q152" s="38">
        <f t="shared" si="94"/>
        <v>0</v>
      </c>
      <c r="R152" s="38">
        <f t="shared" si="94"/>
        <v>0</v>
      </c>
      <c r="S152" s="38">
        <f t="shared" si="94"/>
        <v>0</v>
      </c>
      <c r="T152" s="38">
        <f t="shared" si="94"/>
        <v>0</v>
      </c>
      <c r="U152" s="38">
        <f t="shared" si="94"/>
        <v>0</v>
      </c>
      <c r="V152" s="38">
        <f t="shared" si="94"/>
        <v>0</v>
      </c>
      <c r="W152" s="38">
        <f t="shared" si="94"/>
        <v>0</v>
      </c>
      <c r="X152" s="38">
        <f t="shared" si="94"/>
        <v>0</v>
      </c>
      <c r="Y152" s="38">
        <f t="shared" ref="Y152" si="95">Y115-Y114</f>
        <v>0</v>
      </c>
      <c r="Z152" s="9"/>
      <c r="AA152" s="9"/>
      <c r="AB152" s="9"/>
      <c r="AC152" s="9"/>
    </row>
    <row r="153" spans="1:29" customFormat="1">
      <c r="A153" s="9"/>
      <c r="B153" s="9"/>
      <c r="C153" s="9"/>
      <c r="D153" s="9" t="s">
        <v>119</v>
      </c>
      <c r="E153" s="38">
        <f t="shared" ref="E153:X153" si="96">E116-E115</f>
        <v>0</v>
      </c>
      <c r="F153" s="38">
        <f t="shared" si="96"/>
        <v>0</v>
      </c>
      <c r="G153" s="38">
        <f t="shared" si="96"/>
        <v>0</v>
      </c>
      <c r="H153" s="38">
        <f t="shared" si="96"/>
        <v>0</v>
      </c>
      <c r="I153" s="38">
        <f t="shared" si="96"/>
        <v>0</v>
      </c>
      <c r="J153" s="38">
        <f t="shared" si="96"/>
        <v>0</v>
      </c>
      <c r="K153" s="38">
        <f t="shared" si="96"/>
        <v>0</v>
      </c>
      <c r="L153" s="38">
        <f t="shared" si="96"/>
        <v>0</v>
      </c>
      <c r="M153" s="38">
        <f t="shared" si="96"/>
        <v>0</v>
      </c>
      <c r="N153" s="38">
        <f t="shared" si="96"/>
        <v>0</v>
      </c>
      <c r="O153" s="38">
        <f t="shared" si="96"/>
        <v>0</v>
      </c>
      <c r="P153" s="38">
        <f t="shared" si="96"/>
        <v>0</v>
      </c>
      <c r="Q153" s="38">
        <f t="shared" si="96"/>
        <v>0</v>
      </c>
      <c r="R153" s="38">
        <f t="shared" si="96"/>
        <v>0</v>
      </c>
      <c r="S153" s="38">
        <f t="shared" si="96"/>
        <v>0</v>
      </c>
      <c r="T153" s="38">
        <f t="shared" si="96"/>
        <v>0</v>
      </c>
      <c r="U153" s="38">
        <f t="shared" si="96"/>
        <v>0</v>
      </c>
      <c r="V153" s="38">
        <f t="shared" si="96"/>
        <v>0</v>
      </c>
      <c r="W153" s="38">
        <f t="shared" si="96"/>
        <v>0</v>
      </c>
      <c r="X153" s="38">
        <f t="shared" si="96"/>
        <v>0</v>
      </c>
      <c r="Y153" s="38">
        <f t="shared" ref="Y153" si="97">Y116-Y115</f>
        <v>0</v>
      </c>
      <c r="Z153" s="9"/>
      <c r="AA153" s="9"/>
      <c r="AB153" s="9"/>
      <c r="AC153" s="9"/>
    </row>
    <row r="154" spans="1:29" customFormat="1">
      <c r="A154" s="9"/>
      <c r="B154" s="9"/>
      <c r="C154" s="9"/>
      <c r="D154" s="9" t="s">
        <v>122</v>
      </c>
      <c r="E154" s="38">
        <f t="shared" ref="E154:X154" si="98">E117-E116</f>
        <v>0</v>
      </c>
      <c r="F154" s="38">
        <f t="shared" si="98"/>
        <v>0</v>
      </c>
      <c r="G154" s="38">
        <f t="shared" si="98"/>
        <v>0</v>
      </c>
      <c r="H154" s="38">
        <f t="shared" si="98"/>
        <v>0</v>
      </c>
      <c r="I154" s="38">
        <f t="shared" si="98"/>
        <v>0</v>
      </c>
      <c r="J154" s="38">
        <f t="shared" si="98"/>
        <v>0</v>
      </c>
      <c r="K154" s="38">
        <f t="shared" si="98"/>
        <v>0</v>
      </c>
      <c r="L154" s="38">
        <f t="shared" si="98"/>
        <v>0</v>
      </c>
      <c r="M154" s="38">
        <f t="shared" si="98"/>
        <v>0</v>
      </c>
      <c r="N154" s="38">
        <f t="shared" si="98"/>
        <v>0</v>
      </c>
      <c r="O154" s="38">
        <f t="shared" si="98"/>
        <v>0</v>
      </c>
      <c r="P154" s="38">
        <f t="shared" si="98"/>
        <v>0</v>
      </c>
      <c r="Q154" s="38">
        <f t="shared" si="98"/>
        <v>0</v>
      </c>
      <c r="R154" s="38">
        <f t="shared" si="98"/>
        <v>0</v>
      </c>
      <c r="S154" s="38">
        <f t="shared" si="98"/>
        <v>0</v>
      </c>
      <c r="T154" s="38">
        <f t="shared" si="98"/>
        <v>0</v>
      </c>
      <c r="U154" s="38">
        <f t="shared" si="98"/>
        <v>0</v>
      </c>
      <c r="V154" s="38">
        <f t="shared" si="98"/>
        <v>0</v>
      </c>
      <c r="W154" s="38">
        <f t="shared" si="98"/>
        <v>0</v>
      </c>
      <c r="X154" s="38">
        <f t="shared" si="98"/>
        <v>0</v>
      </c>
      <c r="Y154" s="38">
        <f t="shared" ref="Y154" si="99">Y117-Y116</f>
        <v>0</v>
      </c>
      <c r="Z154" s="9"/>
      <c r="AA154" s="9"/>
      <c r="AB154" s="9"/>
      <c r="AC154" s="9"/>
    </row>
    <row r="155" spans="1:29" customFormat="1">
      <c r="A155" s="9"/>
      <c r="B155" s="9"/>
      <c r="C155" s="9"/>
      <c r="D155" s="9" t="s">
        <v>125</v>
      </c>
      <c r="E155" s="38">
        <f t="shared" ref="E155:X155" ca="1" si="100">E118-E117</f>
        <v>7.2019102649938226E-3</v>
      </c>
      <c r="F155" s="38">
        <f t="shared" ca="1" si="100"/>
        <v>2.1531835996966734E-2</v>
      </c>
      <c r="G155" s="38">
        <f t="shared" ca="1" si="100"/>
        <v>4.6870612041943975E-2</v>
      </c>
      <c r="H155" s="38">
        <f t="shared" ca="1" si="100"/>
        <v>8.7925437710725404E-2</v>
      </c>
      <c r="I155" s="38">
        <f t="shared" ca="1" si="100"/>
        <v>0.14999960863548722</v>
      </c>
      <c r="J155" s="38">
        <f t="shared" ca="1" si="100"/>
        <v>0.23855900053392418</v>
      </c>
      <c r="K155" s="38">
        <f t="shared" ca="1" si="100"/>
        <v>0.35855287726800816</v>
      </c>
      <c r="L155" s="38">
        <f t="shared" ca="1" si="100"/>
        <v>0.51348651885983998</v>
      </c>
      <c r="M155" s="38">
        <f t="shared" ca="1" si="100"/>
        <v>0.70431994750253346</v>
      </c>
      <c r="N155" s="38">
        <f t="shared" ca="1" si="100"/>
        <v>0.92837835492443577</v>
      </c>
      <c r="O155" s="38">
        <f t="shared" ca="1" si="100"/>
        <v>1.1785810269762593</v>
      </c>
      <c r="P155" s="38">
        <f t="shared" ca="1" si="100"/>
        <v>1.4433716213411347</v>
      </c>
      <c r="Q155" s="38">
        <f t="shared" ca="1" si="100"/>
        <v>1.7076856635276381</v>
      </c>
      <c r="R155" s="38">
        <f t="shared" ca="1" si="100"/>
        <v>1.955055485470619</v>
      </c>
      <c r="S155" s="38">
        <f t="shared" ca="1" si="100"/>
        <v>2.1705370745178545</v>
      </c>
      <c r="T155" s="38">
        <f t="shared" ca="1" si="100"/>
        <v>2.9181880123991557</v>
      </c>
      <c r="U155" s="38">
        <f t="shared" ca="1" si="100"/>
        <v>3.0551290692897877</v>
      </c>
      <c r="V155" s="38">
        <f t="shared" ca="1" si="100"/>
        <v>3.1325025587643047</v>
      </c>
      <c r="W155" s="38">
        <f t="shared" ca="1" si="100"/>
        <v>3.166784141965362</v>
      </c>
      <c r="X155" s="38">
        <f t="shared" ca="1" si="100"/>
        <v>3.1598612894382292</v>
      </c>
      <c r="Y155" s="38">
        <f t="shared" ref="Y155" ca="1" si="101">Y118-Y117</f>
        <v>43.327438170797279</v>
      </c>
      <c r="Z155" s="9"/>
      <c r="AA155" s="9"/>
      <c r="AB155" s="9"/>
      <c r="AC155" s="9"/>
    </row>
    <row r="156" spans="1:29" customFormat="1">
      <c r="A156" s="9"/>
      <c r="B156" s="9"/>
      <c r="C156" s="9"/>
      <c r="D156" s="9" t="s">
        <v>128</v>
      </c>
      <c r="E156" s="38">
        <f t="shared" ref="E156:X156" ca="1" si="102">E119-E118</f>
        <v>0</v>
      </c>
      <c r="F156" s="38">
        <f t="shared" ca="1" si="102"/>
        <v>0</v>
      </c>
      <c r="G156" s="38">
        <f t="shared" ca="1" si="102"/>
        <v>0</v>
      </c>
      <c r="H156" s="38">
        <f t="shared" ca="1" si="102"/>
        <v>0</v>
      </c>
      <c r="I156" s="38">
        <f t="shared" ca="1" si="102"/>
        <v>0</v>
      </c>
      <c r="J156" s="38">
        <f t="shared" ca="1" si="102"/>
        <v>0</v>
      </c>
      <c r="K156" s="38">
        <f t="shared" ca="1" si="102"/>
        <v>0</v>
      </c>
      <c r="L156" s="38">
        <f t="shared" ca="1" si="102"/>
        <v>0</v>
      </c>
      <c r="M156" s="38">
        <f t="shared" ca="1" si="102"/>
        <v>0</v>
      </c>
      <c r="N156" s="38">
        <f t="shared" ca="1" si="102"/>
        <v>0</v>
      </c>
      <c r="O156" s="38">
        <f t="shared" ca="1" si="102"/>
        <v>0</v>
      </c>
      <c r="P156" s="38">
        <f t="shared" ca="1" si="102"/>
        <v>0</v>
      </c>
      <c r="Q156" s="38">
        <f t="shared" ca="1" si="102"/>
        <v>0</v>
      </c>
      <c r="R156" s="38">
        <f t="shared" ca="1" si="102"/>
        <v>0</v>
      </c>
      <c r="S156" s="38">
        <f t="shared" ca="1" si="102"/>
        <v>0</v>
      </c>
      <c r="T156" s="38">
        <f t="shared" ca="1" si="102"/>
        <v>0</v>
      </c>
      <c r="U156" s="38">
        <f t="shared" ca="1" si="102"/>
        <v>0</v>
      </c>
      <c r="V156" s="38">
        <f t="shared" ca="1" si="102"/>
        <v>0</v>
      </c>
      <c r="W156" s="38">
        <f t="shared" ca="1" si="102"/>
        <v>0</v>
      </c>
      <c r="X156" s="38">
        <f t="shared" ca="1" si="102"/>
        <v>0</v>
      </c>
      <c r="Y156" s="38">
        <f t="shared" ref="Y156:Y168" ca="1" si="103">Y119-Y118</f>
        <v>0</v>
      </c>
      <c r="Z156" s="9"/>
      <c r="AA156" s="9"/>
      <c r="AB156" s="9"/>
      <c r="AC156" s="9"/>
    </row>
    <row r="157" spans="1:29" customFormat="1">
      <c r="A157" s="9"/>
      <c r="B157" s="9"/>
      <c r="C157" s="9"/>
      <c r="D157" s="9" t="s">
        <v>131</v>
      </c>
      <c r="E157" s="38">
        <f t="shared" ref="E157:X157" ca="1" si="104">E120-E119</f>
        <v>0</v>
      </c>
      <c r="F157" s="38">
        <f t="shared" ca="1" si="104"/>
        <v>0</v>
      </c>
      <c r="G157" s="38">
        <f t="shared" ca="1" si="104"/>
        <v>0</v>
      </c>
      <c r="H157" s="38">
        <f t="shared" ca="1" si="104"/>
        <v>0</v>
      </c>
      <c r="I157" s="38">
        <f t="shared" ca="1" si="104"/>
        <v>0</v>
      </c>
      <c r="J157" s="38">
        <f t="shared" ca="1" si="104"/>
        <v>0</v>
      </c>
      <c r="K157" s="38">
        <f t="shared" ca="1" si="104"/>
        <v>0</v>
      </c>
      <c r="L157" s="38">
        <f t="shared" ca="1" si="104"/>
        <v>0</v>
      </c>
      <c r="M157" s="38">
        <f t="shared" ca="1" si="104"/>
        <v>0</v>
      </c>
      <c r="N157" s="38">
        <f t="shared" ca="1" si="104"/>
        <v>0</v>
      </c>
      <c r="O157" s="38">
        <f t="shared" ca="1" si="104"/>
        <v>0</v>
      </c>
      <c r="P157" s="38">
        <f t="shared" ca="1" si="104"/>
        <v>0</v>
      </c>
      <c r="Q157" s="38">
        <f t="shared" ca="1" si="104"/>
        <v>0</v>
      </c>
      <c r="R157" s="38">
        <f t="shared" ca="1" si="104"/>
        <v>0</v>
      </c>
      <c r="S157" s="38">
        <f t="shared" ca="1" si="104"/>
        <v>0</v>
      </c>
      <c r="T157" s="38">
        <f t="shared" ca="1" si="104"/>
        <v>0</v>
      </c>
      <c r="U157" s="38">
        <f t="shared" ca="1" si="104"/>
        <v>0</v>
      </c>
      <c r="V157" s="38">
        <f t="shared" ca="1" si="104"/>
        <v>0</v>
      </c>
      <c r="W157" s="38">
        <f t="shared" ca="1" si="104"/>
        <v>0</v>
      </c>
      <c r="X157" s="38">
        <f t="shared" ca="1" si="104"/>
        <v>0</v>
      </c>
      <c r="Y157" s="38">
        <f t="shared" ca="1" si="103"/>
        <v>0</v>
      </c>
      <c r="Z157" s="9"/>
      <c r="AA157" s="9"/>
      <c r="AB157" s="9"/>
      <c r="AC157" s="9"/>
    </row>
    <row r="158" spans="1:29" customFormat="1">
      <c r="A158" s="9"/>
      <c r="B158" s="9"/>
      <c r="C158" s="9"/>
      <c r="D158" s="9" t="s">
        <v>4907</v>
      </c>
      <c r="E158" s="38">
        <f t="shared" ref="E158:X158" ca="1" si="105">E121-E120</f>
        <v>0</v>
      </c>
      <c r="F158" s="38">
        <f t="shared" ca="1" si="105"/>
        <v>0</v>
      </c>
      <c r="G158" s="38">
        <f t="shared" ca="1" si="105"/>
        <v>0</v>
      </c>
      <c r="H158" s="38">
        <f t="shared" ca="1" si="105"/>
        <v>0</v>
      </c>
      <c r="I158" s="38">
        <f t="shared" ca="1" si="105"/>
        <v>0</v>
      </c>
      <c r="J158" s="38">
        <f t="shared" ca="1" si="105"/>
        <v>0</v>
      </c>
      <c r="K158" s="38">
        <f t="shared" ca="1" si="105"/>
        <v>0</v>
      </c>
      <c r="L158" s="38">
        <f t="shared" ca="1" si="105"/>
        <v>0</v>
      </c>
      <c r="M158" s="38">
        <f t="shared" ca="1" si="105"/>
        <v>0</v>
      </c>
      <c r="N158" s="38">
        <f t="shared" ca="1" si="105"/>
        <v>0</v>
      </c>
      <c r="O158" s="38">
        <f t="shared" ca="1" si="105"/>
        <v>0</v>
      </c>
      <c r="P158" s="38">
        <f t="shared" ca="1" si="105"/>
        <v>0</v>
      </c>
      <c r="Q158" s="38">
        <f t="shared" ca="1" si="105"/>
        <v>0</v>
      </c>
      <c r="R158" s="38">
        <f t="shared" ca="1" si="105"/>
        <v>0</v>
      </c>
      <c r="S158" s="38">
        <f t="shared" ca="1" si="105"/>
        <v>0</v>
      </c>
      <c r="T158" s="38">
        <f t="shared" ca="1" si="105"/>
        <v>0</v>
      </c>
      <c r="U158" s="38">
        <f t="shared" ca="1" si="105"/>
        <v>0</v>
      </c>
      <c r="V158" s="38">
        <f t="shared" ca="1" si="105"/>
        <v>0</v>
      </c>
      <c r="W158" s="38">
        <f t="shared" ca="1" si="105"/>
        <v>0</v>
      </c>
      <c r="X158" s="38">
        <f t="shared" ca="1" si="105"/>
        <v>0</v>
      </c>
      <c r="Y158" s="38">
        <f t="shared" ca="1" si="103"/>
        <v>0</v>
      </c>
      <c r="Z158" s="9"/>
      <c r="AA158" s="9"/>
      <c r="AB158" s="9"/>
      <c r="AC158" s="9"/>
    </row>
    <row r="159" spans="1:29" customFormat="1">
      <c r="A159" s="9"/>
      <c r="B159" s="9"/>
      <c r="C159" s="9"/>
      <c r="D159" s="9" t="s">
        <v>4908</v>
      </c>
      <c r="E159" s="38">
        <f t="shared" ref="E159:X159" ca="1" si="106">E122-E121</f>
        <v>0</v>
      </c>
      <c r="F159" s="38">
        <f t="shared" ca="1" si="106"/>
        <v>0</v>
      </c>
      <c r="G159" s="38">
        <f t="shared" ca="1" si="106"/>
        <v>0</v>
      </c>
      <c r="H159" s="38">
        <f t="shared" ca="1" si="106"/>
        <v>0</v>
      </c>
      <c r="I159" s="38">
        <f t="shared" ca="1" si="106"/>
        <v>0</v>
      </c>
      <c r="J159" s="38">
        <f t="shared" ca="1" si="106"/>
        <v>0</v>
      </c>
      <c r="K159" s="38">
        <f t="shared" ca="1" si="106"/>
        <v>0</v>
      </c>
      <c r="L159" s="38">
        <f t="shared" ca="1" si="106"/>
        <v>0</v>
      </c>
      <c r="M159" s="38">
        <f t="shared" ca="1" si="106"/>
        <v>0</v>
      </c>
      <c r="N159" s="38">
        <f t="shared" ca="1" si="106"/>
        <v>0</v>
      </c>
      <c r="O159" s="38">
        <f t="shared" ca="1" si="106"/>
        <v>0</v>
      </c>
      <c r="P159" s="38">
        <f t="shared" ca="1" si="106"/>
        <v>0</v>
      </c>
      <c r="Q159" s="38">
        <f t="shared" ca="1" si="106"/>
        <v>0</v>
      </c>
      <c r="R159" s="38">
        <f t="shared" ca="1" si="106"/>
        <v>0</v>
      </c>
      <c r="S159" s="38">
        <f t="shared" ca="1" si="106"/>
        <v>0</v>
      </c>
      <c r="T159" s="38">
        <f t="shared" ca="1" si="106"/>
        <v>0</v>
      </c>
      <c r="U159" s="38">
        <f t="shared" ca="1" si="106"/>
        <v>0</v>
      </c>
      <c r="V159" s="38">
        <f t="shared" ca="1" si="106"/>
        <v>0</v>
      </c>
      <c r="W159" s="38">
        <f t="shared" ca="1" si="106"/>
        <v>0</v>
      </c>
      <c r="X159" s="38">
        <f t="shared" ca="1" si="106"/>
        <v>0</v>
      </c>
      <c r="Y159" s="38">
        <f t="shared" ca="1" si="103"/>
        <v>0</v>
      </c>
      <c r="Z159" s="9"/>
      <c r="AA159" s="9"/>
      <c r="AB159" s="9"/>
      <c r="AC159" s="9"/>
    </row>
    <row r="160" spans="1:29" customFormat="1">
      <c r="A160" s="9"/>
      <c r="B160" s="9"/>
      <c r="C160" s="9"/>
      <c r="D160" s="9" t="s">
        <v>4909</v>
      </c>
      <c r="E160" s="38">
        <f t="shared" ref="E160:X160" ca="1" si="107">E123-E122</f>
        <v>0</v>
      </c>
      <c r="F160" s="38">
        <f t="shared" ca="1" si="107"/>
        <v>0</v>
      </c>
      <c r="G160" s="38">
        <f t="shared" ca="1" si="107"/>
        <v>0</v>
      </c>
      <c r="H160" s="38">
        <f t="shared" ca="1" si="107"/>
        <v>0</v>
      </c>
      <c r="I160" s="38">
        <f t="shared" ca="1" si="107"/>
        <v>0</v>
      </c>
      <c r="J160" s="38">
        <f t="shared" ca="1" si="107"/>
        <v>0</v>
      </c>
      <c r="K160" s="38">
        <f t="shared" ca="1" si="107"/>
        <v>0</v>
      </c>
      <c r="L160" s="38">
        <f t="shared" ca="1" si="107"/>
        <v>0</v>
      </c>
      <c r="M160" s="38">
        <f t="shared" ca="1" si="107"/>
        <v>0</v>
      </c>
      <c r="N160" s="38">
        <f t="shared" ca="1" si="107"/>
        <v>0</v>
      </c>
      <c r="O160" s="38">
        <f t="shared" ca="1" si="107"/>
        <v>0</v>
      </c>
      <c r="P160" s="38">
        <f t="shared" ca="1" si="107"/>
        <v>0</v>
      </c>
      <c r="Q160" s="38">
        <f t="shared" ca="1" si="107"/>
        <v>0</v>
      </c>
      <c r="R160" s="38">
        <f t="shared" ca="1" si="107"/>
        <v>0</v>
      </c>
      <c r="S160" s="38">
        <f t="shared" ca="1" si="107"/>
        <v>0</v>
      </c>
      <c r="T160" s="38">
        <f t="shared" ca="1" si="107"/>
        <v>0</v>
      </c>
      <c r="U160" s="38">
        <f t="shared" ca="1" si="107"/>
        <v>0</v>
      </c>
      <c r="V160" s="38">
        <f t="shared" ca="1" si="107"/>
        <v>0</v>
      </c>
      <c r="W160" s="38">
        <f t="shared" ca="1" si="107"/>
        <v>0</v>
      </c>
      <c r="X160" s="38">
        <f t="shared" ca="1" si="107"/>
        <v>0</v>
      </c>
      <c r="Y160" s="38">
        <f t="shared" ca="1" si="103"/>
        <v>0</v>
      </c>
      <c r="Z160" s="9"/>
      <c r="AA160" s="9"/>
      <c r="AB160" s="9"/>
      <c r="AC160" s="9"/>
    </row>
    <row r="161" spans="1:29" customFormat="1">
      <c r="A161" s="9"/>
      <c r="B161" s="9"/>
      <c r="C161" s="9"/>
      <c r="D161" s="9" t="s">
        <v>4910</v>
      </c>
      <c r="E161" s="38">
        <f t="shared" ref="E161:X161" ca="1" si="108">E124-E123</f>
        <v>0</v>
      </c>
      <c r="F161" s="38">
        <f t="shared" ca="1" si="108"/>
        <v>0</v>
      </c>
      <c r="G161" s="38">
        <f t="shared" ca="1" si="108"/>
        <v>0</v>
      </c>
      <c r="H161" s="38">
        <f t="shared" ca="1" si="108"/>
        <v>0</v>
      </c>
      <c r="I161" s="38">
        <f t="shared" ca="1" si="108"/>
        <v>0</v>
      </c>
      <c r="J161" s="38">
        <f t="shared" ca="1" si="108"/>
        <v>0</v>
      </c>
      <c r="K161" s="38">
        <f t="shared" ca="1" si="108"/>
        <v>0</v>
      </c>
      <c r="L161" s="38">
        <f t="shared" ca="1" si="108"/>
        <v>0</v>
      </c>
      <c r="M161" s="38">
        <f t="shared" ca="1" si="108"/>
        <v>0</v>
      </c>
      <c r="N161" s="38">
        <f t="shared" ca="1" si="108"/>
        <v>0</v>
      </c>
      <c r="O161" s="38">
        <f t="shared" ca="1" si="108"/>
        <v>0</v>
      </c>
      <c r="P161" s="38">
        <f t="shared" ca="1" si="108"/>
        <v>0</v>
      </c>
      <c r="Q161" s="38">
        <f t="shared" ca="1" si="108"/>
        <v>0</v>
      </c>
      <c r="R161" s="38">
        <f t="shared" ca="1" si="108"/>
        <v>0</v>
      </c>
      <c r="S161" s="38">
        <f t="shared" ca="1" si="108"/>
        <v>0</v>
      </c>
      <c r="T161" s="38">
        <f t="shared" ca="1" si="108"/>
        <v>0</v>
      </c>
      <c r="U161" s="38">
        <f t="shared" ca="1" si="108"/>
        <v>0</v>
      </c>
      <c r="V161" s="38">
        <f t="shared" ca="1" si="108"/>
        <v>0</v>
      </c>
      <c r="W161" s="38">
        <f t="shared" ca="1" si="108"/>
        <v>0</v>
      </c>
      <c r="X161" s="38">
        <f t="shared" ca="1" si="108"/>
        <v>0</v>
      </c>
      <c r="Y161" s="38">
        <f t="shared" ca="1" si="103"/>
        <v>0</v>
      </c>
      <c r="Z161" s="9"/>
      <c r="AA161" s="9"/>
      <c r="AB161" s="9"/>
      <c r="AC161" s="9"/>
    </row>
    <row r="162" spans="1:29" customFormat="1">
      <c r="A162" s="9"/>
      <c r="B162" s="9"/>
      <c r="C162" s="9"/>
      <c r="D162" s="9" t="s">
        <v>4911</v>
      </c>
      <c r="E162" s="38">
        <f t="shared" ref="E162:X162" ca="1" si="109">E125-E124</f>
        <v>0</v>
      </c>
      <c r="F162" s="38">
        <f t="shared" ca="1" si="109"/>
        <v>0</v>
      </c>
      <c r="G162" s="38">
        <f t="shared" ca="1" si="109"/>
        <v>0</v>
      </c>
      <c r="H162" s="38">
        <f t="shared" ca="1" si="109"/>
        <v>0</v>
      </c>
      <c r="I162" s="38">
        <f t="shared" ca="1" si="109"/>
        <v>0</v>
      </c>
      <c r="J162" s="38">
        <f t="shared" ca="1" si="109"/>
        <v>0</v>
      </c>
      <c r="K162" s="38">
        <f t="shared" ca="1" si="109"/>
        <v>0</v>
      </c>
      <c r="L162" s="38">
        <f t="shared" ca="1" si="109"/>
        <v>0</v>
      </c>
      <c r="M162" s="38">
        <f t="shared" ca="1" si="109"/>
        <v>0</v>
      </c>
      <c r="N162" s="38">
        <f t="shared" ca="1" si="109"/>
        <v>0</v>
      </c>
      <c r="O162" s="38">
        <f t="shared" ca="1" si="109"/>
        <v>0</v>
      </c>
      <c r="P162" s="38">
        <f t="shared" ca="1" si="109"/>
        <v>0</v>
      </c>
      <c r="Q162" s="38">
        <f t="shared" ca="1" si="109"/>
        <v>0</v>
      </c>
      <c r="R162" s="38">
        <f t="shared" ca="1" si="109"/>
        <v>0</v>
      </c>
      <c r="S162" s="38">
        <f t="shared" ca="1" si="109"/>
        <v>0</v>
      </c>
      <c r="T162" s="38">
        <f t="shared" ca="1" si="109"/>
        <v>0</v>
      </c>
      <c r="U162" s="38">
        <f t="shared" ca="1" si="109"/>
        <v>0</v>
      </c>
      <c r="V162" s="38">
        <f t="shared" ca="1" si="109"/>
        <v>0</v>
      </c>
      <c r="W162" s="38">
        <f t="shared" ca="1" si="109"/>
        <v>0</v>
      </c>
      <c r="X162" s="38">
        <f t="shared" ca="1" si="109"/>
        <v>0</v>
      </c>
      <c r="Y162" s="38">
        <f t="shared" ca="1" si="103"/>
        <v>0</v>
      </c>
      <c r="Z162" s="9"/>
      <c r="AA162" s="9"/>
      <c r="AB162" s="9"/>
      <c r="AC162" s="9"/>
    </row>
    <row r="163" spans="1:29" customFormat="1">
      <c r="A163" s="9"/>
      <c r="B163" s="9"/>
      <c r="C163" s="9"/>
      <c r="D163" s="9" t="s">
        <v>4912</v>
      </c>
      <c r="E163" s="38">
        <f t="shared" ref="E163:X163" ca="1" si="110">E126-E125</f>
        <v>0</v>
      </c>
      <c r="F163" s="38">
        <f t="shared" ca="1" si="110"/>
        <v>0</v>
      </c>
      <c r="G163" s="38">
        <f t="shared" ca="1" si="110"/>
        <v>0</v>
      </c>
      <c r="H163" s="38">
        <f t="shared" ca="1" si="110"/>
        <v>0</v>
      </c>
      <c r="I163" s="38">
        <f t="shared" ca="1" si="110"/>
        <v>0</v>
      </c>
      <c r="J163" s="38">
        <f t="shared" ca="1" si="110"/>
        <v>0</v>
      </c>
      <c r="K163" s="38">
        <f t="shared" ca="1" si="110"/>
        <v>0</v>
      </c>
      <c r="L163" s="38">
        <f t="shared" ca="1" si="110"/>
        <v>0</v>
      </c>
      <c r="M163" s="38">
        <f t="shared" ca="1" si="110"/>
        <v>0</v>
      </c>
      <c r="N163" s="38">
        <f t="shared" ca="1" si="110"/>
        <v>0</v>
      </c>
      <c r="O163" s="38">
        <f t="shared" ca="1" si="110"/>
        <v>0</v>
      </c>
      <c r="P163" s="38">
        <f t="shared" ca="1" si="110"/>
        <v>0</v>
      </c>
      <c r="Q163" s="38">
        <f t="shared" ca="1" si="110"/>
        <v>0</v>
      </c>
      <c r="R163" s="38">
        <f t="shared" ca="1" si="110"/>
        <v>0</v>
      </c>
      <c r="S163" s="38">
        <f t="shared" ca="1" si="110"/>
        <v>0</v>
      </c>
      <c r="T163" s="38">
        <f t="shared" ca="1" si="110"/>
        <v>0</v>
      </c>
      <c r="U163" s="38">
        <f t="shared" ca="1" si="110"/>
        <v>0</v>
      </c>
      <c r="V163" s="38">
        <f t="shared" ca="1" si="110"/>
        <v>0</v>
      </c>
      <c r="W163" s="38">
        <f t="shared" ca="1" si="110"/>
        <v>0</v>
      </c>
      <c r="X163" s="38">
        <f t="shared" ca="1" si="110"/>
        <v>0</v>
      </c>
      <c r="Y163" s="38">
        <f t="shared" ca="1" si="103"/>
        <v>0</v>
      </c>
      <c r="Z163" s="9"/>
      <c r="AA163" s="9"/>
      <c r="AB163" s="9"/>
      <c r="AC163" s="9"/>
    </row>
    <row r="164" spans="1:29" customFormat="1">
      <c r="A164" s="9"/>
      <c r="B164" s="9"/>
      <c r="C164" s="9"/>
      <c r="D164" s="9" t="s">
        <v>4913</v>
      </c>
      <c r="E164" s="38">
        <f t="shared" ref="E164:X164" ca="1" si="111">E127-E126</f>
        <v>0</v>
      </c>
      <c r="F164" s="38">
        <f t="shared" ca="1" si="111"/>
        <v>0</v>
      </c>
      <c r="G164" s="38">
        <f t="shared" ca="1" si="111"/>
        <v>0</v>
      </c>
      <c r="H164" s="38">
        <f t="shared" ca="1" si="111"/>
        <v>0</v>
      </c>
      <c r="I164" s="38">
        <f t="shared" ca="1" si="111"/>
        <v>0</v>
      </c>
      <c r="J164" s="38">
        <f t="shared" ca="1" si="111"/>
        <v>0</v>
      </c>
      <c r="K164" s="38">
        <f t="shared" ca="1" si="111"/>
        <v>0</v>
      </c>
      <c r="L164" s="38">
        <f t="shared" ca="1" si="111"/>
        <v>0</v>
      </c>
      <c r="M164" s="38">
        <f t="shared" ca="1" si="111"/>
        <v>0</v>
      </c>
      <c r="N164" s="38">
        <f t="shared" ca="1" si="111"/>
        <v>0</v>
      </c>
      <c r="O164" s="38">
        <f t="shared" ca="1" si="111"/>
        <v>0</v>
      </c>
      <c r="P164" s="38">
        <f t="shared" ca="1" si="111"/>
        <v>0</v>
      </c>
      <c r="Q164" s="38">
        <f t="shared" ca="1" si="111"/>
        <v>0</v>
      </c>
      <c r="R164" s="38">
        <f t="shared" ca="1" si="111"/>
        <v>0</v>
      </c>
      <c r="S164" s="38">
        <f t="shared" ca="1" si="111"/>
        <v>0</v>
      </c>
      <c r="T164" s="38">
        <f t="shared" ca="1" si="111"/>
        <v>0</v>
      </c>
      <c r="U164" s="38">
        <f t="shared" ca="1" si="111"/>
        <v>0</v>
      </c>
      <c r="V164" s="38">
        <f t="shared" ca="1" si="111"/>
        <v>0</v>
      </c>
      <c r="W164" s="38">
        <f t="shared" ca="1" si="111"/>
        <v>0</v>
      </c>
      <c r="X164" s="38">
        <f t="shared" ca="1" si="111"/>
        <v>0</v>
      </c>
      <c r="Y164" s="38">
        <f t="shared" ca="1" si="103"/>
        <v>0</v>
      </c>
      <c r="Z164" s="9"/>
      <c r="AA164" s="9"/>
      <c r="AB164" s="9"/>
      <c r="AC164" s="9"/>
    </row>
    <row r="165" spans="1:29" customFormat="1">
      <c r="A165" s="9"/>
      <c r="B165" s="9"/>
      <c r="C165" s="9"/>
      <c r="D165" s="9" t="s">
        <v>4914</v>
      </c>
      <c r="E165" s="38">
        <f t="shared" ref="E165:X165" ca="1" si="112">E128-E127</f>
        <v>0</v>
      </c>
      <c r="F165" s="38">
        <f t="shared" ca="1" si="112"/>
        <v>0</v>
      </c>
      <c r="G165" s="38">
        <f t="shared" ca="1" si="112"/>
        <v>0</v>
      </c>
      <c r="H165" s="38">
        <f t="shared" ca="1" si="112"/>
        <v>0</v>
      </c>
      <c r="I165" s="38">
        <f t="shared" ca="1" si="112"/>
        <v>0</v>
      </c>
      <c r="J165" s="38">
        <f t="shared" ca="1" si="112"/>
        <v>0</v>
      </c>
      <c r="K165" s="38">
        <f t="shared" ca="1" si="112"/>
        <v>0</v>
      </c>
      <c r="L165" s="38">
        <f t="shared" ca="1" si="112"/>
        <v>0</v>
      </c>
      <c r="M165" s="38">
        <f t="shared" ca="1" si="112"/>
        <v>0</v>
      </c>
      <c r="N165" s="38">
        <f t="shared" ca="1" si="112"/>
        <v>0</v>
      </c>
      <c r="O165" s="38">
        <f t="shared" ca="1" si="112"/>
        <v>0</v>
      </c>
      <c r="P165" s="38">
        <f t="shared" ca="1" si="112"/>
        <v>0</v>
      </c>
      <c r="Q165" s="38">
        <f t="shared" ca="1" si="112"/>
        <v>0</v>
      </c>
      <c r="R165" s="38">
        <f t="shared" ca="1" si="112"/>
        <v>0</v>
      </c>
      <c r="S165" s="38">
        <f t="shared" ca="1" si="112"/>
        <v>0</v>
      </c>
      <c r="T165" s="38">
        <f t="shared" ca="1" si="112"/>
        <v>0</v>
      </c>
      <c r="U165" s="38">
        <f t="shared" ca="1" si="112"/>
        <v>0</v>
      </c>
      <c r="V165" s="38">
        <f t="shared" ca="1" si="112"/>
        <v>0</v>
      </c>
      <c r="W165" s="38">
        <f t="shared" ca="1" si="112"/>
        <v>0</v>
      </c>
      <c r="X165" s="38">
        <f t="shared" ca="1" si="112"/>
        <v>0</v>
      </c>
      <c r="Y165" s="38">
        <f t="shared" ca="1" si="103"/>
        <v>0</v>
      </c>
      <c r="Z165" s="9"/>
      <c r="AA165" s="9"/>
      <c r="AB165" s="9"/>
      <c r="AC165" s="9"/>
    </row>
    <row r="166" spans="1:29" customFormat="1">
      <c r="A166" s="9"/>
      <c r="B166" s="9"/>
      <c r="C166" s="9"/>
      <c r="D166" s="9" t="s">
        <v>4915</v>
      </c>
      <c r="E166" s="38">
        <f t="shared" ref="E166:X166" ca="1" si="113">E129-E128</f>
        <v>0</v>
      </c>
      <c r="F166" s="38">
        <f t="shared" ca="1" si="113"/>
        <v>0</v>
      </c>
      <c r="G166" s="38">
        <f t="shared" ca="1" si="113"/>
        <v>0</v>
      </c>
      <c r="H166" s="38">
        <f t="shared" ca="1" si="113"/>
        <v>0</v>
      </c>
      <c r="I166" s="38">
        <f t="shared" ca="1" si="113"/>
        <v>0</v>
      </c>
      <c r="J166" s="38">
        <f t="shared" ca="1" si="113"/>
        <v>0</v>
      </c>
      <c r="K166" s="38">
        <f t="shared" ca="1" si="113"/>
        <v>0</v>
      </c>
      <c r="L166" s="38">
        <f t="shared" ca="1" si="113"/>
        <v>0</v>
      </c>
      <c r="M166" s="38">
        <f t="shared" ca="1" si="113"/>
        <v>0</v>
      </c>
      <c r="N166" s="38">
        <f t="shared" ca="1" si="113"/>
        <v>0</v>
      </c>
      <c r="O166" s="38">
        <f t="shared" ca="1" si="113"/>
        <v>0</v>
      </c>
      <c r="P166" s="38">
        <f t="shared" ca="1" si="113"/>
        <v>0</v>
      </c>
      <c r="Q166" s="38">
        <f t="shared" ca="1" si="113"/>
        <v>0</v>
      </c>
      <c r="R166" s="38">
        <f t="shared" ca="1" si="113"/>
        <v>0</v>
      </c>
      <c r="S166" s="38">
        <f t="shared" ca="1" si="113"/>
        <v>0</v>
      </c>
      <c r="T166" s="38">
        <f t="shared" ca="1" si="113"/>
        <v>0</v>
      </c>
      <c r="U166" s="38">
        <f t="shared" ca="1" si="113"/>
        <v>0</v>
      </c>
      <c r="V166" s="38">
        <f t="shared" ca="1" si="113"/>
        <v>0</v>
      </c>
      <c r="W166" s="38">
        <f t="shared" ca="1" si="113"/>
        <v>0</v>
      </c>
      <c r="X166" s="38">
        <f t="shared" ca="1" si="113"/>
        <v>0</v>
      </c>
      <c r="Y166" s="38">
        <f t="shared" ca="1" si="103"/>
        <v>0</v>
      </c>
      <c r="Z166" s="9"/>
      <c r="AA166" s="9"/>
      <c r="AB166" s="9"/>
      <c r="AC166" s="9"/>
    </row>
    <row r="167" spans="1:29" customFormat="1">
      <c r="A167" s="9"/>
      <c r="B167" s="9"/>
      <c r="C167" s="9"/>
      <c r="D167" s="9" t="s">
        <v>4916</v>
      </c>
      <c r="E167" s="38">
        <f t="shared" ref="E167:X167" ca="1" si="114">E130-E129</f>
        <v>0</v>
      </c>
      <c r="F167" s="38">
        <f t="shared" ca="1" si="114"/>
        <v>0</v>
      </c>
      <c r="G167" s="38">
        <f t="shared" ca="1" si="114"/>
        <v>0</v>
      </c>
      <c r="H167" s="38">
        <f t="shared" ca="1" si="114"/>
        <v>0</v>
      </c>
      <c r="I167" s="38">
        <f t="shared" ca="1" si="114"/>
        <v>0</v>
      </c>
      <c r="J167" s="38">
        <f t="shared" ca="1" si="114"/>
        <v>0</v>
      </c>
      <c r="K167" s="38">
        <f t="shared" ca="1" si="114"/>
        <v>0</v>
      </c>
      <c r="L167" s="38">
        <f t="shared" ca="1" si="114"/>
        <v>0</v>
      </c>
      <c r="M167" s="38">
        <f t="shared" ca="1" si="114"/>
        <v>0</v>
      </c>
      <c r="N167" s="38">
        <f t="shared" ca="1" si="114"/>
        <v>0</v>
      </c>
      <c r="O167" s="38">
        <f t="shared" ca="1" si="114"/>
        <v>0</v>
      </c>
      <c r="P167" s="38">
        <f t="shared" ca="1" si="114"/>
        <v>0</v>
      </c>
      <c r="Q167" s="38">
        <f t="shared" ca="1" si="114"/>
        <v>0</v>
      </c>
      <c r="R167" s="38">
        <f t="shared" ca="1" si="114"/>
        <v>0</v>
      </c>
      <c r="S167" s="38">
        <f t="shared" ca="1" si="114"/>
        <v>0</v>
      </c>
      <c r="T167" s="38">
        <f t="shared" ca="1" si="114"/>
        <v>0</v>
      </c>
      <c r="U167" s="38">
        <f t="shared" ca="1" si="114"/>
        <v>0</v>
      </c>
      <c r="V167" s="38">
        <f t="shared" ca="1" si="114"/>
        <v>0</v>
      </c>
      <c r="W167" s="38">
        <f t="shared" ca="1" si="114"/>
        <v>0</v>
      </c>
      <c r="X167" s="38">
        <f t="shared" ca="1" si="114"/>
        <v>0</v>
      </c>
      <c r="Y167" s="38">
        <f t="shared" ca="1" si="103"/>
        <v>0</v>
      </c>
      <c r="Z167" s="9"/>
      <c r="AA167" s="9"/>
      <c r="AB167" s="9"/>
      <c r="AC167" s="9"/>
    </row>
    <row r="168" spans="1:29" customFormat="1">
      <c r="A168" s="9"/>
      <c r="B168" s="9"/>
      <c r="C168" s="9"/>
      <c r="D168" s="9" t="s">
        <v>4917</v>
      </c>
      <c r="E168" s="38">
        <f t="shared" ref="E168:X168" ca="1" si="115">E131-E130</f>
        <v>5.3398483321832439E-3</v>
      </c>
      <c r="F168" s="38">
        <f t="shared" ca="1" si="115"/>
        <v>1.5964755780992036E-2</v>
      </c>
      <c r="G168" s="38">
        <f t="shared" ca="1" si="115"/>
        <v>3.475216301390522E-2</v>
      </c>
      <c r="H168" s="38">
        <f t="shared" ca="1" si="115"/>
        <v>6.5192217708991654E-2</v>
      </c>
      <c r="I168" s="38">
        <f t="shared" ca="1" si="115"/>
        <v>0.11121704249685388</v>
      </c>
      <c r="J168" s="38">
        <f t="shared" ca="1" si="115"/>
        <v>0.17687930483114264</v>
      </c>
      <c r="K168" s="38">
        <f t="shared" ca="1" si="115"/>
        <v>0.26584863088136806</v>
      </c>
      <c r="L168" s="38">
        <f t="shared" ca="1" si="115"/>
        <v>0.38072400660974481</v>
      </c>
      <c r="M168" s="38">
        <f t="shared" ca="1" si="115"/>
        <v>0.52221723940044429</v>
      </c>
      <c r="N168" s="38">
        <f t="shared" ca="1" si="115"/>
        <v>0.68834509564422142</v>
      </c>
      <c r="O168" s="38">
        <f t="shared" ca="1" si="115"/>
        <v>0.87385758773368893</v>
      </c>
      <c r="P168" s="38">
        <f t="shared" ca="1" si="115"/>
        <v>1.070186278549208</v>
      </c>
      <c r="Q168" s="38">
        <f t="shared" ca="1" si="115"/>
        <v>1.2661616302836729</v>
      </c>
      <c r="R168" s="38">
        <f t="shared" ca="1" si="115"/>
        <v>1.4495737088200094</v>
      </c>
      <c r="S168" s="38">
        <f t="shared" ca="1" si="115"/>
        <v>1.6093422926474097</v>
      </c>
      <c r="T168" s="38">
        <f t="shared" ca="1" si="115"/>
        <v>2.163687246528077</v>
      </c>
      <c r="U168" s="38">
        <f t="shared" ca="1" si="115"/>
        <v>2.265222040400642</v>
      </c>
      <c r="V168" s="38">
        <f t="shared" ca="1" si="115"/>
        <v>2.3225905278606902</v>
      </c>
      <c r="W168" s="38">
        <f t="shared" ca="1" si="115"/>
        <v>2.3480085694836976</v>
      </c>
      <c r="X168" s="38">
        <f t="shared" ca="1" si="115"/>
        <v>2.3428756281999581</v>
      </c>
      <c r="Y168" s="38">
        <f t="shared" ca="1" si="103"/>
        <v>32.125080699586178</v>
      </c>
      <c r="Z168" s="9"/>
      <c r="AA168" s="9"/>
      <c r="AB168" s="9"/>
      <c r="AC168" s="9"/>
    </row>
    <row r="169" spans="1:29" customForma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spans="1:29" customFormat="1" ht="15">
      <c r="A170" s="9"/>
      <c r="B170" s="9"/>
      <c r="C170" s="9"/>
      <c r="D170" s="81" t="s">
        <v>139</v>
      </c>
      <c r="E170" s="82">
        <f ca="1">SUM(E137:E168)</f>
        <v>1.2541758597177067E-2</v>
      </c>
      <c r="F170" s="82">
        <f t="shared" ref="F170:W170" ca="1" si="116">SUM(F137:F168)</f>
        <v>3.749659177795877E-2</v>
      </c>
      <c r="G170" s="82">
        <f t="shared" ca="1" si="116"/>
        <v>8.1622775055849195E-2</v>
      </c>
      <c r="H170" s="82">
        <f t="shared" ca="1" si="116"/>
        <v>0.15311765541971706</v>
      </c>
      <c r="I170" s="82">
        <f t="shared" ca="1" si="116"/>
        <v>0.2612166511323411</v>
      </c>
      <c r="J170" s="82">
        <f t="shared" ca="1" si="116"/>
        <v>0.41543830536506682</v>
      </c>
      <c r="K170" s="82">
        <f t="shared" ca="1" si="116"/>
        <v>0.62440150814937623</v>
      </c>
      <c r="L170" s="82">
        <f t="shared" ca="1" si="116"/>
        <v>0.89421052546958479</v>
      </c>
      <c r="M170" s="82">
        <f t="shared" ca="1" si="116"/>
        <v>1.2265371869029777</v>
      </c>
      <c r="N170" s="82">
        <f t="shared" ca="1" si="116"/>
        <v>1.6167234505686572</v>
      </c>
      <c r="O170" s="82">
        <f t="shared" ca="1" si="116"/>
        <v>2.0524386147099483</v>
      </c>
      <c r="P170" s="82">
        <f t="shared" ca="1" si="116"/>
        <v>2.5135578998903427</v>
      </c>
      <c r="Q170" s="82">
        <f t="shared" ca="1" si="116"/>
        <v>2.973847293811311</v>
      </c>
      <c r="R170" s="82">
        <f t="shared" ca="1" si="116"/>
        <v>3.4046291942906284</v>
      </c>
      <c r="S170" s="82">
        <f t="shared" ca="1" si="116"/>
        <v>3.7798793671652642</v>
      </c>
      <c r="T170" s="82">
        <f t="shared" ca="1" si="116"/>
        <v>5.0818752589272327</v>
      </c>
      <c r="U170" s="82">
        <f t="shared" ca="1" si="116"/>
        <v>5.3203511096904297</v>
      </c>
      <c r="V170" s="82">
        <f t="shared" ca="1" si="116"/>
        <v>5.4550930866249949</v>
      </c>
      <c r="W170" s="82">
        <f t="shared" ca="1" si="116"/>
        <v>5.5147927114490596</v>
      </c>
      <c r="X170" s="82">
        <f ca="1">SUM(X137:X168)</f>
        <v>5.5027369176381873</v>
      </c>
      <c r="Y170" s="82">
        <f ca="1">SUM(Y137:Y168)</f>
        <v>75.452518870383457</v>
      </c>
      <c r="AA170" s="9"/>
      <c r="AB170" s="9"/>
      <c r="AC170" s="9"/>
    </row>
    <row r="171" spans="1:29" ht="15">
      <c r="D171" s="81" t="s">
        <v>140</v>
      </c>
      <c r="E171" s="82">
        <f ca="1">E170</f>
        <v>1.2541758597177067E-2</v>
      </c>
      <c r="F171" s="82">
        <f t="shared" ref="F171:X171" ca="1" si="117">E171+F170</f>
        <v>5.0038350375135834E-2</v>
      </c>
      <c r="G171" s="82">
        <f t="shared" ca="1" si="117"/>
        <v>0.13166112543098502</v>
      </c>
      <c r="H171" s="82">
        <f t="shared" ca="1" si="117"/>
        <v>0.28477878085070207</v>
      </c>
      <c r="I171" s="82">
        <f t="shared" ca="1" si="117"/>
        <v>0.54599543198304312</v>
      </c>
      <c r="J171" s="82">
        <f t="shared" ca="1" si="117"/>
        <v>0.96143373734810988</v>
      </c>
      <c r="K171" s="82">
        <f t="shared" ca="1" si="117"/>
        <v>1.5858352454974862</v>
      </c>
      <c r="L171" s="82">
        <f t="shared" ca="1" si="117"/>
        <v>2.4800457709670711</v>
      </c>
      <c r="M171" s="82">
        <f t="shared" ca="1" si="117"/>
        <v>3.7065829578700491</v>
      </c>
      <c r="N171" s="82">
        <f t="shared" ca="1" si="117"/>
        <v>5.3233064084387065</v>
      </c>
      <c r="O171" s="82">
        <f t="shared" ca="1" si="117"/>
        <v>7.3757450231486548</v>
      </c>
      <c r="P171" s="82">
        <f t="shared" ca="1" si="117"/>
        <v>9.8893029230389971</v>
      </c>
      <c r="Q171" s="82">
        <f t="shared" ca="1" si="117"/>
        <v>12.863150216850308</v>
      </c>
      <c r="R171" s="82">
        <f t="shared" ca="1" si="117"/>
        <v>16.267779411140936</v>
      </c>
      <c r="S171" s="82">
        <f t="shared" ca="1" si="117"/>
        <v>20.0476587783062</v>
      </c>
      <c r="T171" s="82">
        <f t="shared" ca="1" si="117"/>
        <v>25.129534037233434</v>
      </c>
      <c r="U171" s="82">
        <f t="shared" ca="1" si="117"/>
        <v>30.449885146923862</v>
      </c>
      <c r="V171" s="82">
        <f t="shared" ca="1" si="117"/>
        <v>35.90497823354886</v>
      </c>
      <c r="W171" s="82">
        <f t="shared" ca="1" si="117"/>
        <v>41.419770944997921</v>
      </c>
      <c r="X171" s="82">
        <f t="shared" ca="1" si="117"/>
        <v>46.92250786263611</v>
      </c>
      <c r="Y171" s="82"/>
      <c r="Z171"/>
    </row>
    <row r="172" spans="1:29">
      <c r="E172" s="56"/>
      <c r="F172" s="63"/>
      <c r="G172" s="63"/>
      <c r="H172" s="63"/>
      <c r="I172" s="63"/>
      <c r="J172" s="63"/>
      <c r="K172" s="63"/>
      <c r="L172" s="63"/>
      <c r="M172" s="63"/>
      <c r="N172" s="63"/>
      <c r="O172" s="63"/>
      <c r="P172" s="63"/>
      <c r="Q172" s="63"/>
      <c r="R172" s="63"/>
      <c r="S172" s="63"/>
      <c r="T172" s="63"/>
      <c r="U172" s="63"/>
      <c r="V172" s="63"/>
      <c r="W172" s="63"/>
      <c r="X172" s="63"/>
      <c r="Y172" s="63"/>
      <c r="Z172" s="63"/>
    </row>
    <row r="173" spans="1:29">
      <c r="E173" s="56"/>
      <c r="F173" s="63"/>
      <c r="G173" s="63"/>
      <c r="H173" s="63"/>
      <c r="I173" s="63"/>
      <c r="J173" s="63"/>
      <c r="K173" s="63"/>
      <c r="L173" s="63"/>
      <c r="M173" s="63"/>
      <c r="N173" s="63"/>
      <c r="O173" s="63"/>
      <c r="P173" s="63"/>
      <c r="Q173" s="63"/>
      <c r="R173" s="63"/>
      <c r="S173" s="63"/>
      <c r="T173" s="63"/>
      <c r="U173" s="63"/>
      <c r="V173" s="63"/>
      <c r="W173" s="63"/>
      <c r="X173" s="63"/>
      <c r="Y173" s="63"/>
      <c r="Z173" s="63"/>
    </row>
    <row r="174" spans="1:29" ht="15">
      <c r="A174" s="86" t="str">
        <f>CONCATENATE("ACHIEVABLE SAVINGS - CUMULATIVE BY MILL BIN - FOR MEASURE - ",D175)</f>
        <v>ACHIEVABLE SAVINGS - CUMULATIVE BY MILL BIN - FOR MEASURE - Refrigerator</v>
      </c>
      <c r="D174" s="9" t="s">
        <v>4720</v>
      </c>
      <c r="E174" s="79">
        <v>2016</v>
      </c>
      <c r="F174" s="73">
        <v>2017</v>
      </c>
      <c r="G174" s="73">
        <v>2018</v>
      </c>
      <c r="H174" s="73">
        <v>2019</v>
      </c>
      <c r="I174" s="73">
        <v>2020</v>
      </c>
      <c r="J174" s="73">
        <v>2021</v>
      </c>
      <c r="K174" s="73">
        <v>2022</v>
      </c>
      <c r="L174" s="73">
        <v>2023</v>
      </c>
      <c r="M174" s="73">
        <v>2024</v>
      </c>
      <c r="N174" s="73">
        <v>2025</v>
      </c>
      <c r="O174" s="73">
        <v>2026</v>
      </c>
      <c r="P174" s="73">
        <v>2027</v>
      </c>
      <c r="Q174" s="73">
        <v>2028</v>
      </c>
      <c r="R174" s="73">
        <v>2029</v>
      </c>
      <c r="S174" s="73">
        <v>2030</v>
      </c>
      <c r="T174" s="73">
        <v>2031</v>
      </c>
      <c r="U174" s="73">
        <v>2032</v>
      </c>
      <c r="V174" s="73">
        <v>2033</v>
      </c>
      <c r="W174" s="73">
        <v>2034</v>
      </c>
      <c r="X174" s="73">
        <v>2035</v>
      </c>
      <c r="Y174" s="74"/>
    </row>
    <row r="175" spans="1:29" ht="15">
      <c r="D175" s="72" t="str">
        <f>$C$8</f>
        <v>Refrigerator</v>
      </c>
      <c r="E175" s="80" t="str">
        <f>CONCATENATE("aMW_",E174)</f>
        <v>aMW_2016</v>
      </c>
      <c r="F175" s="75" t="str">
        <f t="shared" ref="F175:X175" si="118">CONCATENATE("aMW_",F174)</f>
        <v>aMW_2017</v>
      </c>
      <c r="G175" s="75" t="str">
        <f t="shared" si="118"/>
        <v>aMW_2018</v>
      </c>
      <c r="H175" s="75" t="str">
        <f t="shared" si="118"/>
        <v>aMW_2019</v>
      </c>
      <c r="I175" s="75" t="str">
        <f t="shared" si="118"/>
        <v>aMW_2020</v>
      </c>
      <c r="J175" s="75" t="str">
        <f t="shared" si="118"/>
        <v>aMW_2021</v>
      </c>
      <c r="K175" s="75" t="str">
        <f t="shared" si="118"/>
        <v>aMW_2022</v>
      </c>
      <c r="L175" s="75" t="str">
        <f t="shared" si="118"/>
        <v>aMW_2023</v>
      </c>
      <c r="M175" s="75" t="str">
        <f t="shared" si="118"/>
        <v>aMW_2024</v>
      </c>
      <c r="N175" s="75" t="str">
        <f t="shared" si="118"/>
        <v>aMW_2025</v>
      </c>
      <c r="O175" s="75" t="str">
        <f t="shared" si="118"/>
        <v>aMW_2026</v>
      </c>
      <c r="P175" s="75" t="str">
        <f t="shared" si="118"/>
        <v>aMW_2027</v>
      </c>
      <c r="Q175" s="75" t="str">
        <f t="shared" si="118"/>
        <v>aMW_2028</v>
      </c>
      <c r="R175" s="75" t="str">
        <f t="shared" si="118"/>
        <v>aMW_2029</v>
      </c>
      <c r="S175" s="75" t="str">
        <f t="shared" si="118"/>
        <v>aMW_2030</v>
      </c>
      <c r="T175" s="75" t="str">
        <f t="shared" si="118"/>
        <v>aMW_2031</v>
      </c>
      <c r="U175" s="75" t="str">
        <f t="shared" si="118"/>
        <v>aMW_2032</v>
      </c>
      <c r="V175" s="75" t="str">
        <f t="shared" si="118"/>
        <v>aMW_2033</v>
      </c>
      <c r="W175" s="75" t="str">
        <f t="shared" si="118"/>
        <v>aMW_2034</v>
      </c>
      <c r="X175" s="75" t="str">
        <f t="shared" si="118"/>
        <v>aMW_2035</v>
      </c>
      <c r="Y175" s="76"/>
    </row>
    <row r="176" spans="1:29">
      <c r="D176" s="9" t="s">
        <v>71</v>
      </c>
      <c r="E176" s="64">
        <f t="shared" ref="E176:E196" si="119">E137</f>
        <v>0</v>
      </c>
      <c r="F176" s="65">
        <f t="shared" ref="F176:X176" si="120">E176+F137</f>
        <v>0</v>
      </c>
      <c r="G176" s="65">
        <f t="shared" si="120"/>
        <v>0</v>
      </c>
      <c r="H176" s="65">
        <f t="shared" si="120"/>
        <v>0</v>
      </c>
      <c r="I176" s="65">
        <f t="shared" si="120"/>
        <v>0</v>
      </c>
      <c r="J176" s="65">
        <f t="shared" si="120"/>
        <v>0</v>
      </c>
      <c r="K176" s="65">
        <f t="shared" si="120"/>
        <v>0</v>
      </c>
      <c r="L176" s="65">
        <f t="shared" si="120"/>
        <v>0</v>
      </c>
      <c r="M176" s="65">
        <f t="shared" si="120"/>
        <v>0</v>
      </c>
      <c r="N176" s="65">
        <f t="shared" si="120"/>
        <v>0</v>
      </c>
      <c r="O176" s="65">
        <f t="shared" si="120"/>
        <v>0</v>
      </c>
      <c r="P176" s="65">
        <f t="shared" si="120"/>
        <v>0</v>
      </c>
      <c r="Q176" s="65">
        <f t="shared" si="120"/>
        <v>0</v>
      </c>
      <c r="R176" s="65">
        <f t="shared" si="120"/>
        <v>0</v>
      </c>
      <c r="S176" s="65">
        <f t="shared" si="120"/>
        <v>0</v>
      </c>
      <c r="T176" s="65">
        <f t="shared" si="120"/>
        <v>0</v>
      </c>
      <c r="U176" s="65">
        <f t="shared" si="120"/>
        <v>0</v>
      </c>
      <c r="V176" s="65">
        <f t="shared" si="120"/>
        <v>0</v>
      </c>
      <c r="W176" s="65">
        <f t="shared" si="120"/>
        <v>0</v>
      </c>
      <c r="X176" s="65">
        <f t="shared" si="120"/>
        <v>0</v>
      </c>
      <c r="Y176" s="65"/>
    </row>
    <row r="177" spans="4:25">
      <c r="D177" s="9" t="s">
        <v>4948</v>
      </c>
      <c r="E177" s="64">
        <f t="shared" si="119"/>
        <v>0</v>
      </c>
      <c r="F177" s="65">
        <f t="shared" ref="F177:X177" si="121">E177+F138</f>
        <v>0</v>
      </c>
      <c r="G177" s="65">
        <f t="shared" si="121"/>
        <v>0</v>
      </c>
      <c r="H177" s="65">
        <f t="shared" si="121"/>
        <v>0</v>
      </c>
      <c r="I177" s="65">
        <f t="shared" si="121"/>
        <v>0</v>
      </c>
      <c r="J177" s="65">
        <f t="shared" si="121"/>
        <v>0</v>
      </c>
      <c r="K177" s="65">
        <f t="shared" si="121"/>
        <v>0</v>
      </c>
      <c r="L177" s="65">
        <f t="shared" si="121"/>
        <v>0</v>
      </c>
      <c r="M177" s="65">
        <f t="shared" si="121"/>
        <v>0</v>
      </c>
      <c r="N177" s="65">
        <f t="shared" si="121"/>
        <v>0</v>
      </c>
      <c r="O177" s="65">
        <f t="shared" si="121"/>
        <v>0</v>
      </c>
      <c r="P177" s="65">
        <f t="shared" si="121"/>
        <v>0</v>
      </c>
      <c r="Q177" s="65">
        <f t="shared" si="121"/>
        <v>0</v>
      </c>
      <c r="R177" s="65">
        <f t="shared" si="121"/>
        <v>0</v>
      </c>
      <c r="S177" s="65">
        <f t="shared" si="121"/>
        <v>0</v>
      </c>
      <c r="T177" s="65">
        <f t="shared" si="121"/>
        <v>0</v>
      </c>
      <c r="U177" s="65">
        <f t="shared" si="121"/>
        <v>0</v>
      </c>
      <c r="V177" s="65">
        <f t="shared" si="121"/>
        <v>0</v>
      </c>
      <c r="W177" s="65">
        <f t="shared" si="121"/>
        <v>0</v>
      </c>
      <c r="X177" s="65">
        <f t="shared" si="121"/>
        <v>0</v>
      </c>
      <c r="Y177" s="65"/>
    </row>
    <row r="178" spans="4:25">
      <c r="D178" s="9" t="s">
        <v>77</v>
      </c>
      <c r="E178" s="64">
        <f t="shared" si="119"/>
        <v>0</v>
      </c>
      <c r="F178" s="65">
        <f t="shared" ref="F178:X178" si="122">E178+F139</f>
        <v>0</v>
      </c>
      <c r="G178" s="65">
        <f t="shared" si="122"/>
        <v>0</v>
      </c>
      <c r="H178" s="65">
        <f t="shared" si="122"/>
        <v>0</v>
      </c>
      <c r="I178" s="65">
        <f t="shared" si="122"/>
        <v>0</v>
      </c>
      <c r="J178" s="65">
        <f t="shared" si="122"/>
        <v>0</v>
      </c>
      <c r="K178" s="65">
        <f t="shared" si="122"/>
        <v>0</v>
      </c>
      <c r="L178" s="65">
        <f t="shared" si="122"/>
        <v>0</v>
      </c>
      <c r="M178" s="65">
        <f t="shared" si="122"/>
        <v>0</v>
      </c>
      <c r="N178" s="65">
        <f t="shared" si="122"/>
        <v>0</v>
      </c>
      <c r="O178" s="65">
        <f t="shared" si="122"/>
        <v>0</v>
      </c>
      <c r="P178" s="65">
        <f t="shared" si="122"/>
        <v>0</v>
      </c>
      <c r="Q178" s="65">
        <f t="shared" si="122"/>
        <v>0</v>
      </c>
      <c r="R178" s="65">
        <f t="shared" si="122"/>
        <v>0</v>
      </c>
      <c r="S178" s="65">
        <f t="shared" si="122"/>
        <v>0</v>
      </c>
      <c r="T178" s="65">
        <f t="shared" si="122"/>
        <v>0</v>
      </c>
      <c r="U178" s="65">
        <f t="shared" si="122"/>
        <v>0</v>
      </c>
      <c r="V178" s="65">
        <f t="shared" si="122"/>
        <v>0</v>
      </c>
      <c r="W178" s="65">
        <f t="shared" si="122"/>
        <v>0</v>
      </c>
      <c r="X178" s="65">
        <f t="shared" si="122"/>
        <v>0</v>
      </c>
      <c r="Y178" s="65"/>
    </row>
    <row r="179" spans="4:25">
      <c r="D179" s="9" t="s">
        <v>80</v>
      </c>
      <c r="E179" s="64">
        <f t="shared" si="119"/>
        <v>0</v>
      </c>
      <c r="F179" s="65">
        <f t="shared" ref="F179:X179" si="123">E179+F140</f>
        <v>0</v>
      </c>
      <c r="G179" s="65">
        <f t="shared" si="123"/>
        <v>0</v>
      </c>
      <c r="H179" s="65">
        <f t="shared" si="123"/>
        <v>0</v>
      </c>
      <c r="I179" s="65">
        <f t="shared" si="123"/>
        <v>0</v>
      </c>
      <c r="J179" s="65">
        <f t="shared" si="123"/>
        <v>0</v>
      </c>
      <c r="K179" s="65">
        <f t="shared" si="123"/>
        <v>0</v>
      </c>
      <c r="L179" s="65">
        <f t="shared" si="123"/>
        <v>0</v>
      </c>
      <c r="M179" s="65">
        <f t="shared" si="123"/>
        <v>0</v>
      </c>
      <c r="N179" s="65">
        <f t="shared" si="123"/>
        <v>0</v>
      </c>
      <c r="O179" s="65">
        <f t="shared" si="123"/>
        <v>0</v>
      </c>
      <c r="P179" s="65">
        <f t="shared" si="123"/>
        <v>0</v>
      </c>
      <c r="Q179" s="65">
        <f t="shared" si="123"/>
        <v>0</v>
      </c>
      <c r="R179" s="65">
        <f t="shared" si="123"/>
        <v>0</v>
      </c>
      <c r="S179" s="65">
        <f t="shared" si="123"/>
        <v>0</v>
      </c>
      <c r="T179" s="65">
        <f t="shared" si="123"/>
        <v>0</v>
      </c>
      <c r="U179" s="65">
        <f t="shared" si="123"/>
        <v>0</v>
      </c>
      <c r="V179" s="65">
        <f t="shared" si="123"/>
        <v>0</v>
      </c>
      <c r="W179" s="65">
        <f t="shared" si="123"/>
        <v>0</v>
      </c>
      <c r="X179" s="65">
        <f t="shared" si="123"/>
        <v>0</v>
      </c>
      <c r="Y179" s="65"/>
    </row>
    <row r="180" spans="4:25">
      <c r="D180" s="9" t="s">
        <v>83</v>
      </c>
      <c r="E180" s="64">
        <f t="shared" si="119"/>
        <v>0</v>
      </c>
      <c r="F180" s="65">
        <f t="shared" ref="F180:X180" si="124">E180+F141</f>
        <v>0</v>
      </c>
      <c r="G180" s="65">
        <f t="shared" si="124"/>
        <v>0</v>
      </c>
      <c r="H180" s="65">
        <f t="shared" si="124"/>
        <v>0</v>
      </c>
      <c r="I180" s="65">
        <f t="shared" si="124"/>
        <v>0</v>
      </c>
      <c r="J180" s="65">
        <f t="shared" si="124"/>
        <v>0</v>
      </c>
      <c r="K180" s="65">
        <f t="shared" si="124"/>
        <v>0</v>
      </c>
      <c r="L180" s="65">
        <f t="shared" si="124"/>
        <v>0</v>
      </c>
      <c r="M180" s="65">
        <f t="shared" si="124"/>
        <v>0</v>
      </c>
      <c r="N180" s="65">
        <f t="shared" si="124"/>
        <v>0</v>
      </c>
      <c r="O180" s="65">
        <f t="shared" si="124"/>
        <v>0</v>
      </c>
      <c r="P180" s="65">
        <f t="shared" si="124"/>
        <v>0</v>
      </c>
      <c r="Q180" s="65">
        <f t="shared" si="124"/>
        <v>0</v>
      </c>
      <c r="R180" s="65">
        <f t="shared" si="124"/>
        <v>0</v>
      </c>
      <c r="S180" s="65">
        <f t="shared" si="124"/>
        <v>0</v>
      </c>
      <c r="T180" s="65">
        <f t="shared" si="124"/>
        <v>0</v>
      </c>
      <c r="U180" s="65">
        <f t="shared" si="124"/>
        <v>0</v>
      </c>
      <c r="V180" s="65">
        <f t="shared" si="124"/>
        <v>0</v>
      </c>
      <c r="W180" s="65">
        <f t="shared" si="124"/>
        <v>0</v>
      </c>
      <c r="X180" s="65">
        <f t="shared" si="124"/>
        <v>0</v>
      </c>
      <c r="Y180" s="65"/>
    </row>
    <row r="181" spans="4:25">
      <c r="D181" s="9" t="s">
        <v>86</v>
      </c>
      <c r="E181" s="64">
        <f t="shared" si="119"/>
        <v>0</v>
      </c>
      <c r="F181" s="65">
        <f t="shared" ref="F181:X181" si="125">E181+F142</f>
        <v>0</v>
      </c>
      <c r="G181" s="65">
        <f t="shared" si="125"/>
        <v>0</v>
      </c>
      <c r="H181" s="65">
        <f t="shared" si="125"/>
        <v>0</v>
      </c>
      <c r="I181" s="65">
        <f t="shared" si="125"/>
        <v>0</v>
      </c>
      <c r="J181" s="65">
        <f t="shared" si="125"/>
        <v>0</v>
      </c>
      <c r="K181" s="65">
        <f t="shared" si="125"/>
        <v>0</v>
      </c>
      <c r="L181" s="65">
        <f t="shared" si="125"/>
        <v>0</v>
      </c>
      <c r="M181" s="65">
        <f t="shared" si="125"/>
        <v>0</v>
      </c>
      <c r="N181" s="65">
        <f t="shared" si="125"/>
        <v>0</v>
      </c>
      <c r="O181" s="65">
        <f t="shared" si="125"/>
        <v>0</v>
      </c>
      <c r="P181" s="65">
        <f t="shared" si="125"/>
        <v>0</v>
      </c>
      <c r="Q181" s="65">
        <f t="shared" si="125"/>
        <v>0</v>
      </c>
      <c r="R181" s="65">
        <f t="shared" si="125"/>
        <v>0</v>
      </c>
      <c r="S181" s="65">
        <f t="shared" si="125"/>
        <v>0</v>
      </c>
      <c r="T181" s="65">
        <f t="shared" si="125"/>
        <v>0</v>
      </c>
      <c r="U181" s="65">
        <f t="shared" si="125"/>
        <v>0</v>
      </c>
      <c r="V181" s="65">
        <f t="shared" si="125"/>
        <v>0</v>
      </c>
      <c r="W181" s="65">
        <f t="shared" si="125"/>
        <v>0</v>
      </c>
      <c r="X181" s="65">
        <f t="shared" si="125"/>
        <v>0</v>
      </c>
      <c r="Y181" s="65"/>
    </row>
    <row r="182" spans="4:25">
      <c r="D182" s="9" t="s">
        <v>89</v>
      </c>
      <c r="E182" s="64">
        <f t="shared" si="119"/>
        <v>0</v>
      </c>
      <c r="F182" s="65">
        <f t="shared" ref="F182:X182" si="126">E182+F143</f>
        <v>0</v>
      </c>
      <c r="G182" s="65">
        <f t="shared" si="126"/>
        <v>0</v>
      </c>
      <c r="H182" s="65">
        <f t="shared" si="126"/>
        <v>0</v>
      </c>
      <c r="I182" s="65">
        <f t="shared" si="126"/>
        <v>0</v>
      </c>
      <c r="J182" s="65">
        <f t="shared" si="126"/>
        <v>0</v>
      </c>
      <c r="K182" s="65">
        <f t="shared" si="126"/>
        <v>0</v>
      </c>
      <c r="L182" s="65">
        <f t="shared" si="126"/>
        <v>0</v>
      </c>
      <c r="M182" s="65">
        <f t="shared" si="126"/>
        <v>0</v>
      </c>
      <c r="N182" s="65">
        <f t="shared" si="126"/>
        <v>0</v>
      </c>
      <c r="O182" s="65">
        <f t="shared" si="126"/>
        <v>0</v>
      </c>
      <c r="P182" s="65">
        <f t="shared" si="126"/>
        <v>0</v>
      </c>
      <c r="Q182" s="65">
        <f t="shared" si="126"/>
        <v>0</v>
      </c>
      <c r="R182" s="65">
        <f t="shared" si="126"/>
        <v>0</v>
      </c>
      <c r="S182" s="65">
        <f t="shared" si="126"/>
        <v>0</v>
      </c>
      <c r="T182" s="65">
        <f t="shared" si="126"/>
        <v>0</v>
      </c>
      <c r="U182" s="65">
        <f t="shared" si="126"/>
        <v>0</v>
      </c>
      <c r="V182" s="65">
        <f t="shared" si="126"/>
        <v>0</v>
      </c>
      <c r="W182" s="65">
        <f t="shared" si="126"/>
        <v>0</v>
      </c>
      <c r="X182" s="65">
        <f t="shared" si="126"/>
        <v>0</v>
      </c>
      <c r="Y182" s="65"/>
    </row>
    <row r="183" spans="4:25">
      <c r="D183" s="9" t="s">
        <v>92</v>
      </c>
      <c r="E183" s="64">
        <f t="shared" si="119"/>
        <v>0</v>
      </c>
      <c r="F183" s="65">
        <f t="shared" ref="F183:X183" si="127">E183+F144</f>
        <v>0</v>
      </c>
      <c r="G183" s="65">
        <f t="shared" si="127"/>
        <v>0</v>
      </c>
      <c r="H183" s="65">
        <f t="shared" si="127"/>
        <v>0</v>
      </c>
      <c r="I183" s="65">
        <f t="shared" si="127"/>
        <v>0</v>
      </c>
      <c r="J183" s="65">
        <f t="shared" si="127"/>
        <v>0</v>
      </c>
      <c r="K183" s="65">
        <f t="shared" si="127"/>
        <v>0</v>
      </c>
      <c r="L183" s="65">
        <f t="shared" si="127"/>
        <v>0</v>
      </c>
      <c r="M183" s="65">
        <f t="shared" si="127"/>
        <v>0</v>
      </c>
      <c r="N183" s="65">
        <f t="shared" si="127"/>
        <v>0</v>
      </c>
      <c r="O183" s="65">
        <f t="shared" si="127"/>
        <v>0</v>
      </c>
      <c r="P183" s="65">
        <f t="shared" si="127"/>
        <v>0</v>
      </c>
      <c r="Q183" s="65">
        <f t="shared" si="127"/>
        <v>0</v>
      </c>
      <c r="R183" s="65">
        <f t="shared" si="127"/>
        <v>0</v>
      </c>
      <c r="S183" s="65">
        <f t="shared" si="127"/>
        <v>0</v>
      </c>
      <c r="T183" s="65">
        <f t="shared" si="127"/>
        <v>0</v>
      </c>
      <c r="U183" s="65">
        <f t="shared" si="127"/>
        <v>0</v>
      </c>
      <c r="V183" s="65">
        <f t="shared" si="127"/>
        <v>0</v>
      </c>
      <c r="W183" s="65">
        <f t="shared" si="127"/>
        <v>0</v>
      </c>
      <c r="X183" s="65">
        <f t="shared" si="127"/>
        <v>0</v>
      </c>
      <c r="Y183" s="65"/>
    </row>
    <row r="184" spans="4:25">
      <c r="D184" s="9" t="s">
        <v>95</v>
      </c>
      <c r="E184" s="64">
        <f t="shared" si="119"/>
        <v>0</v>
      </c>
      <c r="F184" s="65">
        <f t="shared" ref="F184:X184" si="128">E184+F145</f>
        <v>0</v>
      </c>
      <c r="G184" s="65">
        <f t="shared" si="128"/>
        <v>0</v>
      </c>
      <c r="H184" s="65">
        <f t="shared" si="128"/>
        <v>0</v>
      </c>
      <c r="I184" s="65">
        <f t="shared" si="128"/>
        <v>0</v>
      </c>
      <c r="J184" s="65">
        <f t="shared" si="128"/>
        <v>0</v>
      </c>
      <c r="K184" s="65">
        <f t="shared" si="128"/>
        <v>0</v>
      </c>
      <c r="L184" s="65">
        <f t="shared" si="128"/>
        <v>0</v>
      </c>
      <c r="M184" s="65">
        <f t="shared" si="128"/>
        <v>0</v>
      </c>
      <c r="N184" s="65">
        <f t="shared" si="128"/>
        <v>0</v>
      </c>
      <c r="O184" s="65">
        <f t="shared" si="128"/>
        <v>0</v>
      </c>
      <c r="P184" s="65">
        <f t="shared" si="128"/>
        <v>0</v>
      </c>
      <c r="Q184" s="65">
        <f t="shared" si="128"/>
        <v>0</v>
      </c>
      <c r="R184" s="65">
        <f t="shared" si="128"/>
        <v>0</v>
      </c>
      <c r="S184" s="65">
        <f t="shared" si="128"/>
        <v>0</v>
      </c>
      <c r="T184" s="65">
        <f t="shared" si="128"/>
        <v>0</v>
      </c>
      <c r="U184" s="65">
        <f t="shared" si="128"/>
        <v>0</v>
      </c>
      <c r="V184" s="65">
        <f t="shared" si="128"/>
        <v>0</v>
      </c>
      <c r="W184" s="65">
        <f t="shared" si="128"/>
        <v>0</v>
      </c>
      <c r="X184" s="65">
        <f t="shared" si="128"/>
        <v>0</v>
      </c>
      <c r="Y184" s="65"/>
    </row>
    <row r="185" spans="4:25">
      <c r="D185" s="9" t="s">
        <v>98</v>
      </c>
      <c r="E185" s="64">
        <f t="shared" si="119"/>
        <v>0</v>
      </c>
      <c r="F185" s="65">
        <f t="shared" ref="F185:X185" si="129">E185+F146</f>
        <v>0</v>
      </c>
      <c r="G185" s="65">
        <f t="shared" si="129"/>
        <v>0</v>
      </c>
      <c r="H185" s="65">
        <f t="shared" si="129"/>
        <v>0</v>
      </c>
      <c r="I185" s="65">
        <f t="shared" si="129"/>
        <v>0</v>
      </c>
      <c r="J185" s="65">
        <f t="shared" si="129"/>
        <v>0</v>
      </c>
      <c r="K185" s="65">
        <f t="shared" si="129"/>
        <v>0</v>
      </c>
      <c r="L185" s="65">
        <f t="shared" si="129"/>
        <v>0</v>
      </c>
      <c r="M185" s="65">
        <f t="shared" si="129"/>
        <v>0</v>
      </c>
      <c r="N185" s="65">
        <f t="shared" si="129"/>
        <v>0</v>
      </c>
      <c r="O185" s="65">
        <f t="shared" si="129"/>
        <v>0</v>
      </c>
      <c r="P185" s="65">
        <f t="shared" si="129"/>
        <v>0</v>
      </c>
      <c r="Q185" s="65">
        <f t="shared" si="129"/>
        <v>0</v>
      </c>
      <c r="R185" s="65">
        <f t="shared" si="129"/>
        <v>0</v>
      </c>
      <c r="S185" s="65">
        <f t="shared" si="129"/>
        <v>0</v>
      </c>
      <c r="T185" s="65">
        <f t="shared" si="129"/>
        <v>0</v>
      </c>
      <c r="U185" s="65">
        <f t="shared" si="129"/>
        <v>0</v>
      </c>
      <c r="V185" s="65">
        <f t="shared" si="129"/>
        <v>0</v>
      </c>
      <c r="W185" s="65">
        <f t="shared" si="129"/>
        <v>0</v>
      </c>
      <c r="X185" s="65">
        <f t="shared" si="129"/>
        <v>0</v>
      </c>
      <c r="Y185" s="65"/>
    </row>
    <row r="186" spans="4:25">
      <c r="D186" s="9" t="s">
        <v>101</v>
      </c>
      <c r="E186" s="64">
        <f t="shared" si="119"/>
        <v>0</v>
      </c>
      <c r="F186" s="65">
        <f t="shared" ref="F186:X186" si="130">E186+F147</f>
        <v>0</v>
      </c>
      <c r="G186" s="65">
        <f t="shared" si="130"/>
        <v>0</v>
      </c>
      <c r="H186" s="65">
        <f t="shared" si="130"/>
        <v>0</v>
      </c>
      <c r="I186" s="65">
        <f t="shared" si="130"/>
        <v>0</v>
      </c>
      <c r="J186" s="65">
        <f t="shared" si="130"/>
        <v>0</v>
      </c>
      <c r="K186" s="65">
        <f t="shared" si="130"/>
        <v>0</v>
      </c>
      <c r="L186" s="65">
        <f t="shared" si="130"/>
        <v>0</v>
      </c>
      <c r="M186" s="65">
        <f t="shared" si="130"/>
        <v>0</v>
      </c>
      <c r="N186" s="65">
        <f t="shared" si="130"/>
        <v>0</v>
      </c>
      <c r="O186" s="65">
        <f t="shared" si="130"/>
        <v>0</v>
      </c>
      <c r="P186" s="65">
        <f t="shared" si="130"/>
        <v>0</v>
      </c>
      <c r="Q186" s="65">
        <f t="shared" si="130"/>
        <v>0</v>
      </c>
      <c r="R186" s="65">
        <f t="shared" si="130"/>
        <v>0</v>
      </c>
      <c r="S186" s="65">
        <f t="shared" si="130"/>
        <v>0</v>
      </c>
      <c r="T186" s="65">
        <f t="shared" si="130"/>
        <v>0</v>
      </c>
      <c r="U186" s="65">
        <f t="shared" si="130"/>
        <v>0</v>
      </c>
      <c r="V186" s="65">
        <f t="shared" si="130"/>
        <v>0</v>
      </c>
      <c r="W186" s="65">
        <f t="shared" si="130"/>
        <v>0</v>
      </c>
      <c r="X186" s="65">
        <f t="shared" si="130"/>
        <v>0</v>
      </c>
      <c r="Y186" s="65"/>
    </row>
    <row r="187" spans="4:25">
      <c r="D187" s="9" t="s">
        <v>104</v>
      </c>
      <c r="E187" s="64">
        <f t="shared" si="119"/>
        <v>0</v>
      </c>
      <c r="F187" s="65">
        <f t="shared" ref="F187:X187" si="131">E187+F148</f>
        <v>0</v>
      </c>
      <c r="G187" s="65">
        <f t="shared" si="131"/>
        <v>0</v>
      </c>
      <c r="H187" s="65">
        <f t="shared" si="131"/>
        <v>0</v>
      </c>
      <c r="I187" s="65">
        <f t="shared" si="131"/>
        <v>0</v>
      </c>
      <c r="J187" s="65">
        <f t="shared" si="131"/>
        <v>0</v>
      </c>
      <c r="K187" s="65">
        <f t="shared" si="131"/>
        <v>0</v>
      </c>
      <c r="L187" s="65">
        <f t="shared" si="131"/>
        <v>0</v>
      </c>
      <c r="M187" s="65">
        <f t="shared" si="131"/>
        <v>0</v>
      </c>
      <c r="N187" s="65">
        <f t="shared" si="131"/>
        <v>0</v>
      </c>
      <c r="O187" s="65">
        <f t="shared" si="131"/>
        <v>0</v>
      </c>
      <c r="P187" s="65">
        <f t="shared" si="131"/>
        <v>0</v>
      </c>
      <c r="Q187" s="65">
        <f t="shared" si="131"/>
        <v>0</v>
      </c>
      <c r="R187" s="65">
        <f t="shared" si="131"/>
        <v>0</v>
      </c>
      <c r="S187" s="65">
        <f t="shared" si="131"/>
        <v>0</v>
      </c>
      <c r="T187" s="65">
        <f t="shared" si="131"/>
        <v>0</v>
      </c>
      <c r="U187" s="65">
        <f t="shared" si="131"/>
        <v>0</v>
      </c>
      <c r="V187" s="65">
        <f t="shared" si="131"/>
        <v>0</v>
      </c>
      <c r="W187" s="65">
        <f t="shared" si="131"/>
        <v>0</v>
      </c>
      <c r="X187" s="65">
        <f t="shared" si="131"/>
        <v>0</v>
      </c>
      <c r="Y187" s="65"/>
    </row>
    <row r="188" spans="4:25">
      <c r="D188" s="9" t="s">
        <v>107</v>
      </c>
      <c r="E188" s="64">
        <f t="shared" si="119"/>
        <v>0</v>
      </c>
      <c r="F188" s="65">
        <f t="shared" ref="F188:T188" si="132">E188+F149</f>
        <v>0</v>
      </c>
      <c r="G188" s="65">
        <f t="shared" si="132"/>
        <v>0</v>
      </c>
      <c r="H188" s="65">
        <f t="shared" si="132"/>
        <v>0</v>
      </c>
      <c r="I188" s="65">
        <f t="shared" si="132"/>
        <v>0</v>
      </c>
      <c r="J188" s="65">
        <f t="shared" si="132"/>
        <v>0</v>
      </c>
      <c r="K188" s="65">
        <f t="shared" si="132"/>
        <v>0</v>
      </c>
      <c r="L188" s="65">
        <f t="shared" si="132"/>
        <v>0</v>
      </c>
      <c r="M188" s="65">
        <f t="shared" si="132"/>
        <v>0</v>
      </c>
      <c r="N188" s="65">
        <f t="shared" si="132"/>
        <v>0</v>
      </c>
      <c r="O188" s="65">
        <f t="shared" si="132"/>
        <v>0</v>
      </c>
      <c r="P188" s="65">
        <f t="shared" si="132"/>
        <v>0</v>
      </c>
      <c r="Q188" s="65">
        <f t="shared" si="132"/>
        <v>0</v>
      </c>
      <c r="R188" s="65">
        <f t="shared" si="132"/>
        <v>0</v>
      </c>
      <c r="S188" s="65">
        <f t="shared" si="132"/>
        <v>0</v>
      </c>
      <c r="T188" s="65">
        <f t="shared" si="132"/>
        <v>0</v>
      </c>
      <c r="U188" s="65">
        <f t="shared" ref="U188:X188" si="133">T188+U149</f>
        <v>0</v>
      </c>
      <c r="V188" s="65">
        <f t="shared" si="133"/>
        <v>0</v>
      </c>
      <c r="W188" s="65">
        <f t="shared" si="133"/>
        <v>0</v>
      </c>
      <c r="X188" s="65">
        <f t="shared" si="133"/>
        <v>0</v>
      </c>
      <c r="Y188" s="65"/>
    </row>
    <row r="189" spans="4:25">
      <c r="D189" s="9" t="s">
        <v>110</v>
      </c>
      <c r="E189" s="64">
        <f t="shared" si="119"/>
        <v>0</v>
      </c>
      <c r="F189" s="65">
        <f t="shared" ref="F189:T189" si="134">E189+F150</f>
        <v>0</v>
      </c>
      <c r="G189" s="65">
        <f t="shared" si="134"/>
        <v>0</v>
      </c>
      <c r="H189" s="65">
        <f t="shared" si="134"/>
        <v>0</v>
      </c>
      <c r="I189" s="65">
        <f t="shared" si="134"/>
        <v>0</v>
      </c>
      <c r="J189" s="65">
        <f t="shared" si="134"/>
        <v>0</v>
      </c>
      <c r="K189" s="65">
        <f t="shared" si="134"/>
        <v>0</v>
      </c>
      <c r="L189" s="65">
        <f t="shared" si="134"/>
        <v>0</v>
      </c>
      <c r="M189" s="65">
        <f t="shared" si="134"/>
        <v>0</v>
      </c>
      <c r="N189" s="65">
        <f t="shared" si="134"/>
        <v>0</v>
      </c>
      <c r="O189" s="65">
        <f t="shared" si="134"/>
        <v>0</v>
      </c>
      <c r="P189" s="65">
        <f t="shared" si="134"/>
        <v>0</v>
      </c>
      <c r="Q189" s="65">
        <f t="shared" si="134"/>
        <v>0</v>
      </c>
      <c r="R189" s="65">
        <f t="shared" si="134"/>
        <v>0</v>
      </c>
      <c r="S189" s="65">
        <f t="shared" si="134"/>
        <v>0</v>
      </c>
      <c r="T189" s="65">
        <f t="shared" si="134"/>
        <v>0</v>
      </c>
      <c r="U189" s="65">
        <f t="shared" ref="U189:X196" si="135">T189+U150</f>
        <v>0</v>
      </c>
      <c r="V189" s="65">
        <f t="shared" si="135"/>
        <v>0</v>
      </c>
      <c r="W189" s="65">
        <f t="shared" si="135"/>
        <v>0</v>
      </c>
      <c r="X189" s="65">
        <f t="shared" si="135"/>
        <v>0</v>
      </c>
      <c r="Y189" s="65"/>
    </row>
    <row r="190" spans="4:25">
      <c r="D190" s="9" t="s">
        <v>113</v>
      </c>
      <c r="E190" s="64">
        <f t="shared" si="119"/>
        <v>0</v>
      </c>
      <c r="F190" s="65">
        <f t="shared" ref="F190:T190" si="136">E190+F151</f>
        <v>0</v>
      </c>
      <c r="G190" s="65">
        <f t="shared" si="136"/>
        <v>0</v>
      </c>
      <c r="H190" s="65">
        <f t="shared" si="136"/>
        <v>0</v>
      </c>
      <c r="I190" s="65">
        <f t="shared" si="136"/>
        <v>0</v>
      </c>
      <c r="J190" s="65">
        <f t="shared" si="136"/>
        <v>0</v>
      </c>
      <c r="K190" s="65">
        <f t="shared" si="136"/>
        <v>0</v>
      </c>
      <c r="L190" s="65">
        <f t="shared" si="136"/>
        <v>0</v>
      </c>
      <c r="M190" s="65">
        <f t="shared" si="136"/>
        <v>0</v>
      </c>
      <c r="N190" s="65">
        <f t="shared" si="136"/>
        <v>0</v>
      </c>
      <c r="O190" s="65">
        <f t="shared" si="136"/>
        <v>0</v>
      </c>
      <c r="P190" s="65">
        <f t="shared" si="136"/>
        <v>0</v>
      </c>
      <c r="Q190" s="65">
        <f t="shared" si="136"/>
        <v>0</v>
      </c>
      <c r="R190" s="65">
        <f t="shared" si="136"/>
        <v>0</v>
      </c>
      <c r="S190" s="65">
        <f t="shared" si="136"/>
        <v>0</v>
      </c>
      <c r="T190" s="65">
        <f t="shared" si="136"/>
        <v>0</v>
      </c>
      <c r="U190" s="65">
        <f t="shared" si="135"/>
        <v>0</v>
      </c>
      <c r="V190" s="65">
        <f t="shared" si="135"/>
        <v>0</v>
      </c>
      <c r="W190" s="65">
        <f t="shared" si="135"/>
        <v>0</v>
      </c>
      <c r="X190" s="65">
        <f t="shared" si="135"/>
        <v>0</v>
      </c>
      <c r="Y190" s="65"/>
    </row>
    <row r="191" spans="4:25">
      <c r="D191" s="9" t="s">
        <v>116</v>
      </c>
      <c r="E191" s="64">
        <f t="shared" si="119"/>
        <v>0</v>
      </c>
      <c r="F191" s="65">
        <f t="shared" ref="F191:T191" si="137">E191+F152</f>
        <v>0</v>
      </c>
      <c r="G191" s="65">
        <f t="shared" si="137"/>
        <v>0</v>
      </c>
      <c r="H191" s="65">
        <f t="shared" si="137"/>
        <v>0</v>
      </c>
      <c r="I191" s="65">
        <f t="shared" si="137"/>
        <v>0</v>
      </c>
      <c r="J191" s="65">
        <f t="shared" si="137"/>
        <v>0</v>
      </c>
      <c r="K191" s="65">
        <f t="shared" si="137"/>
        <v>0</v>
      </c>
      <c r="L191" s="65">
        <f t="shared" si="137"/>
        <v>0</v>
      </c>
      <c r="M191" s="65">
        <f t="shared" si="137"/>
        <v>0</v>
      </c>
      <c r="N191" s="65">
        <f t="shared" si="137"/>
        <v>0</v>
      </c>
      <c r="O191" s="65">
        <f t="shared" si="137"/>
        <v>0</v>
      </c>
      <c r="P191" s="65">
        <f t="shared" si="137"/>
        <v>0</v>
      </c>
      <c r="Q191" s="65">
        <f t="shared" si="137"/>
        <v>0</v>
      </c>
      <c r="R191" s="65">
        <f t="shared" si="137"/>
        <v>0</v>
      </c>
      <c r="S191" s="65">
        <f t="shared" si="137"/>
        <v>0</v>
      </c>
      <c r="T191" s="65">
        <f t="shared" si="137"/>
        <v>0</v>
      </c>
      <c r="U191" s="65">
        <f t="shared" si="135"/>
        <v>0</v>
      </c>
      <c r="V191" s="65">
        <f t="shared" si="135"/>
        <v>0</v>
      </c>
      <c r="W191" s="65">
        <f t="shared" si="135"/>
        <v>0</v>
      </c>
      <c r="X191" s="65">
        <f t="shared" si="135"/>
        <v>0</v>
      </c>
      <c r="Y191" s="65"/>
    </row>
    <row r="192" spans="4:25">
      <c r="D192" s="9" t="s">
        <v>119</v>
      </c>
      <c r="E192" s="64">
        <f t="shared" si="119"/>
        <v>0</v>
      </c>
      <c r="F192" s="65">
        <f t="shared" ref="F192:T192" si="138">E192+F153</f>
        <v>0</v>
      </c>
      <c r="G192" s="65">
        <f t="shared" si="138"/>
        <v>0</v>
      </c>
      <c r="H192" s="65">
        <f t="shared" si="138"/>
        <v>0</v>
      </c>
      <c r="I192" s="65">
        <f t="shared" si="138"/>
        <v>0</v>
      </c>
      <c r="J192" s="65">
        <f t="shared" si="138"/>
        <v>0</v>
      </c>
      <c r="K192" s="65">
        <f t="shared" si="138"/>
        <v>0</v>
      </c>
      <c r="L192" s="65">
        <f t="shared" si="138"/>
        <v>0</v>
      </c>
      <c r="M192" s="65">
        <f t="shared" si="138"/>
        <v>0</v>
      </c>
      <c r="N192" s="65">
        <f t="shared" si="138"/>
        <v>0</v>
      </c>
      <c r="O192" s="65">
        <f t="shared" si="138"/>
        <v>0</v>
      </c>
      <c r="P192" s="65">
        <f t="shared" si="138"/>
        <v>0</v>
      </c>
      <c r="Q192" s="65">
        <f t="shared" si="138"/>
        <v>0</v>
      </c>
      <c r="R192" s="65">
        <f t="shared" si="138"/>
        <v>0</v>
      </c>
      <c r="S192" s="65">
        <f t="shared" si="138"/>
        <v>0</v>
      </c>
      <c r="T192" s="65">
        <f t="shared" si="138"/>
        <v>0</v>
      </c>
      <c r="U192" s="65">
        <f t="shared" si="135"/>
        <v>0</v>
      </c>
      <c r="V192" s="65">
        <f t="shared" si="135"/>
        <v>0</v>
      </c>
      <c r="W192" s="65">
        <f t="shared" si="135"/>
        <v>0</v>
      </c>
      <c r="X192" s="65">
        <f t="shared" si="135"/>
        <v>0</v>
      </c>
      <c r="Y192" s="65"/>
    </row>
    <row r="193" spans="4:25">
      <c r="D193" s="9" t="s">
        <v>122</v>
      </c>
      <c r="E193" s="64">
        <f t="shared" si="119"/>
        <v>0</v>
      </c>
      <c r="F193" s="65">
        <f t="shared" ref="F193:T193" si="139">E193+F154</f>
        <v>0</v>
      </c>
      <c r="G193" s="65">
        <f t="shared" si="139"/>
        <v>0</v>
      </c>
      <c r="H193" s="65">
        <f t="shared" si="139"/>
        <v>0</v>
      </c>
      <c r="I193" s="65">
        <f t="shared" si="139"/>
        <v>0</v>
      </c>
      <c r="J193" s="65">
        <f t="shared" si="139"/>
        <v>0</v>
      </c>
      <c r="K193" s="65">
        <f t="shared" si="139"/>
        <v>0</v>
      </c>
      <c r="L193" s="65">
        <f t="shared" si="139"/>
        <v>0</v>
      </c>
      <c r="M193" s="65">
        <f t="shared" si="139"/>
        <v>0</v>
      </c>
      <c r="N193" s="65">
        <f t="shared" si="139"/>
        <v>0</v>
      </c>
      <c r="O193" s="65">
        <f t="shared" si="139"/>
        <v>0</v>
      </c>
      <c r="P193" s="65">
        <f t="shared" si="139"/>
        <v>0</v>
      </c>
      <c r="Q193" s="65">
        <f t="shared" si="139"/>
        <v>0</v>
      </c>
      <c r="R193" s="65">
        <f t="shared" si="139"/>
        <v>0</v>
      </c>
      <c r="S193" s="65">
        <f t="shared" si="139"/>
        <v>0</v>
      </c>
      <c r="T193" s="65">
        <f t="shared" si="139"/>
        <v>0</v>
      </c>
      <c r="U193" s="65">
        <f t="shared" si="135"/>
        <v>0</v>
      </c>
      <c r="V193" s="65">
        <f t="shared" si="135"/>
        <v>0</v>
      </c>
      <c r="W193" s="65">
        <f t="shared" si="135"/>
        <v>0</v>
      </c>
      <c r="X193" s="65">
        <f t="shared" si="135"/>
        <v>0</v>
      </c>
      <c r="Y193" s="65"/>
    </row>
    <row r="194" spans="4:25">
      <c r="D194" s="9" t="s">
        <v>125</v>
      </c>
      <c r="E194" s="64">
        <f t="shared" ca="1" si="119"/>
        <v>7.2019102649938226E-3</v>
      </c>
      <c r="F194" s="65">
        <f t="shared" ref="F194:T194" ca="1" si="140">E194+F155</f>
        <v>2.8733746261960555E-2</v>
      </c>
      <c r="G194" s="65">
        <f t="shared" ca="1" si="140"/>
        <v>7.5604358303904523E-2</v>
      </c>
      <c r="H194" s="65">
        <f t="shared" ca="1" si="140"/>
        <v>0.16352979601462991</v>
      </c>
      <c r="I194" s="65">
        <f t="shared" ca="1" si="140"/>
        <v>0.31352940465011714</v>
      </c>
      <c r="J194" s="65">
        <f t="shared" ca="1" si="140"/>
        <v>0.55208840518404134</v>
      </c>
      <c r="K194" s="65">
        <f t="shared" ca="1" si="140"/>
        <v>0.91064128245204956</v>
      </c>
      <c r="L194" s="65">
        <f t="shared" ca="1" si="140"/>
        <v>1.4241278013118897</v>
      </c>
      <c r="M194" s="65">
        <f t="shared" ca="1" si="140"/>
        <v>2.1284477488144233</v>
      </c>
      <c r="N194" s="65">
        <f t="shared" ca="1" si="140"/>
        <v>3.0568261037388593</v>
      </c>
      <c r="O194" s="65">
        <f t="shared" ca="1" si="140"/>
        <v>4.2354071307151191</v>
      </c>
      <c r="P194" s="65">
        <f t="shared" ca="1" si="140"/>
        <v>5.678778752056254</v>
      </c>
      <c r="Q194" s="65">
        <f t="shared" ca="1" si="140"/>
        <v>7.3864644155838919</v>
      </c>
      <c r="R194" s="65">
        <f t="shared" ca="1" si="140"/>
        <v>9.3415199010545109</v>
      </c>
      <c r="S194" s="65">
        <f t="shared" ca="1" si="140"/>
        <v>11.512056975572365</v>
      </c>
      <c r="T194" s="65">
        <f t="shared" ca="1" si="140"/>
        <v>14.430244987971522</v>
      </c>
      <c r="U194" s="65">
        <f t="shared" ca="1" si="135"/>
        <v>17.485374057261311</v>
      </c>
      <c r="V194" s="65">
        <f t="shared" ca="1" si="135"/>
        <v>20.617876616025615</v>
      </c>
      <c r="W194" s="65">
        <f t="shared" ca="1" si="135"/>
        <v>23.784660757990977</v>
      </c>
      <c r="X194" s="65">
        <f t="shared" ca="1" si="135"/>
        <v>26.944522047429206</v>
      </c>
      <c r="Y194" s="65"/>
    </row>
    <row r="195" spans="4:25">
      <c r="D195" s="9" t="s">
        <v>128</v>
      </c>
      <c r="E195" s="64">
        <f t="shared" ca="1" si="119"/>
        <v>0</v>
      </c>
      <c r="F195" s="65">
        <f t="shared" ref="F195:T195" ca="1" si="141">E195+F156</f>
        <v>0</v>
      </c>
      <c r="G195" s="65">
        <f t="shared" ca="1" si="141"/>
        <v>0</v>
      </c>
      <c r="H195" s="65">
        <f t="shared" ca="1" si="141"/>
        <v>0</v>
      </c>
      <c r="I195" s="65">
        <f t="shared" ca="1" si="141"/>
        <v>0</v>
      </c>
      <c r="J195" s="65">
        <f t="shared" ca="1" si="141"/>
        <v>0</v>
      </c>
      <c r="K195" s="65">
        <f t="shared" ca="1" si="141"/>
        <v>0</v>
      </c>
      <c r="L195" s="65">
        <f t="shared" ca="1" si="141"/>
        <v>0</v>
      </c>
      <c r="M195" s="65">
        <f t="shared" ca="1" si="141"/>
        <v>0</v>
      </c>
      <c r="N195" s="65">
        <f t="shared" ca="1" si="141"/>
        <v>0</v>
      </c>
      <c r="O195" s="65">
        <f t="shared" ca="1" si="141"/>
        <v>0</v>
      </c>
      <c r="P195" s="65">
        <f t="shared" ca="1" si="141"/>
        <v>0</v>
      </c>
      <c r="Q195" s="65">
        <f t="shared" ca="1" si="141"/>
        <v>0</v>
      </c>
      <c r="R195" s="65">
        <f t="shared" ca="1" si="141"/>
        <v>0</v>
      </c>
      <c r="S195" s="65">
        <f t="shared" ca="1" si="141"/>
        <v>0</v>
      </c>
      <c r="T195" s="65">
        <f t="shared" ca="1" si="141"/>
        <v>0</v>
      </c>
      <c r="U195" s="65">
        <f t="shared" ca="1" si="135"/>
        <v>0</v>
      </c>
      <c r="V195" s="65">
        <f t="shared" ca="1" si="135"/>
        <v>0</v>
      </c>
      <c r="W195" s="65">
        <f t="shared" ca="1" si="135"/>
        <v>0</v>
      </c>
      <c r="X195" s="65">
        <f t="shared" ca="1" si="135"/>
        <v>0</v>
      </c>
      <c r="Y195" s="65"/>
    </row>
    <row r="196" spans="4:25">
      <c r="D196" s="9" t="s">
        <v>131</v>
      </c>
      <c r="E196" s="64">
        <f t="shared" ca="1" si="119"/>
        <v>0</v>
      </c>
      <c r="F196" s="65">
        <f t="shared" ref="F196:T196" ca="1" si="142">E196+F157</f>
        <v>0</v>
      </c>
      <c r="G196" s="65">
        <f t="shared" ca="1" si="142"/>
        <v>0</v>
      </c>
      <c r="H196" s="65">
        <f t="shared" ca="1" si="142"/>
        <v>0</v>
      </c>
      <c r="I196" s="65">
        <f t="shared" ca="1" si="142"/>
        <v>0</v>
      </c>
      <c r="J196" s="65">
        <f t="shared" ca="1" si="142"/>
        <v>0</v>
      </c>
      <c r="K196" s="65">
        <f t="shared" ca="1" si="142"/>
        <v>0</v>
      </c>
      <c r="L196" s="65">
        <f t="shared" ca="1" si="142"/>
        <v>0</v>
      </c>
      <c r="M196" s="65">
        <f t="shared" ca="1" si="142"/>
        <v>0</v>
      </c>
      <c r="N196" s="65">
        <f t="shared" ca="1" si="142"/>
        <v>0</v>
      </c>
      <c r="O196" s="65">
        <f t="shared" ca="1" si="142"/>
        <v>0</v>
      </c>
      <c r="P196" s="65">
        <f t="shared" ca="1" si="142"/>
        <v>0</v>
      </c>
      <c r="Q196" s="65">
        <f t="shared" ca="1" si="142"/>
        <v>0</v>
      </c>
      <c r="R196" s="65">
        <f t="shared" ca="1" si="142"/>
        <v>0</v>
      </c>
      <c r="S196" s="65">
        <f t="shared" ca="1" si="142"/>
        <v>0</v>
      </c>
      <c r="T196" s="65">
        <f t="shared" ca="1" si="142"/>
        <v>0</v>
      </c>
      <c r="U196" s="65">
        <f t="shared" ca="1" si="135"/>
        <v>0</v>
      </c>
      <c r="V196" s="65">
        <f t="shared" ca="1" si="135"/>
        <v>0</v>
      </c>
      <c r="W196" s="65">
        <f t="shared" ca="1" si="135"/>
        <v>0</v>
      </c>
      <c r="X196" s="65">
        <f t="shared" ca="1" si="135"/>
        <v>0</v>
      </c>
      <c r="Y196" s="65"/>
    </row>
    <row r="197" spans="4:25">
      <c r="D197" s="9" t="s">
        <v>4907</v>
      </c>
      <c r="E197" s="64">
        <f t="shared" ref="E197:E206" ca="1" si="143">E158</f>
        <v>0</v>
      </c>
      <c r="F197" s="65">
        <f t="shared" ref="F197:X197" ca="1" si="144">E197+F158</f>
        <v>0</v>
      </c>
      <c r="G197" s="65">
        <f t="shared" ca="1" si="144"/>
        <v>0</v>
      </c>
      <c r="H197" s="65">
        <f t="shared" ca="1" si="144"/>
        <v>0</v>
      </c>
      <c r="I197" s="65">
        <f t="shared" ca="1" si="144"/>
        <v>0</v>
      </c>
      <c r="J197" s="65">
        <f t="shared" ca="1" si="144"/>
        <v>0</v>
      </c>
      <c r="K197" s="65">
        <f t="shared" ca="1" si="144"/>
        <v>0</v>
      </c>
      <c r="L197" s="65">
        <f t="shared" ca="1" si="144"/>
        <v>0</v>
      </c>
      <c r="M197" s="65">
        <f t="shared" ca="1" si="144"/>
        <v>0</v>
      </c>
      <c r="N197" s="65">
        <f t="shared" ca="1" si="144"/>
        <v>0</v>
      </c>
      <c r="O197" s="65">
        <f t="shared" ca="1" si="144"/>
        <v>0</v>
      </c>
      <c r="P197" s="65">
        <f t="shared" ca="1" si="144"/>
        <v>0</v>
      </c>
      <c r="Q197" s="65">
        <f t="shared" ca="1" si="144"/>
        <v>0</v>
      </c>
      <c r="R197" s="65">
        <f t="shared" ca="1" si="144"/>
        <v>0</v>
      </c>
      <c r="S197" s="65">
        <f t="shared" ca="1" si="144"/>
        <v>0</v>
      </c>
      <c r="T197" s="65">
        <f t="shared" ca="1" si="144"/>
        <v>0</v>
      </c>
      <c r="U197" s="65">
        <f t="shared" ca="1" si="144"/>
        <v>0</v>
      </c>
      <c r="V197" s="65">
        <f t="shared" ca="1" si="144"/>
        <v>0</v>
      </c>
      <c r="W197" s="65">
        <f t="shared" ca="1" si="144"/>
        <v>0</v>
      </c>
      <c r="X197" s="65">
        <f t="shared" ca="1" si="144"/>
        <v>0</v>
      </c>
      <c r="Y197" s="65"/>
    </row>
    <row r="198" spans="4:25">
      <c r="D198" s="9" t="s">
        <v>4908</v>
      </c>
      <c r="E198" s="64">
        <f t="shared" ca="1" si="143"/>
        <v>0</v>
      </c>
      <c r="F198" s="65">
        <f t="shared" ref="F198:X198" ca="1" si="145">E198+F159</f>
        <v>0</v>
      </c>
      <c r="G198" s="65">
        <f t="shared" ca="1" si="145"/>
        <v>0</v>
      </c>
      <c r="H198" s="65">
        <f t="shared" ca="1" si="145"/>
        <v>0</v>
      </c>
      <c r="I198" s="65">
        <f t="shared" ca="1" si="145"/>
        <v>0</v>
      </c>
      <c r="J198" s="65">
        <f t="shared" ca="1" si="145"/>
        <v>0</v>
      </c>
      <c r="K198" s="65">
        <f t="shared" ca="1" si="145"/>
        <v>0</v>
      </c>
      <c r="L198" s="65">
        <f t="shared" ca="1" si="145"/>
        <v>0</v>
      </c>
      <c r="M198" s="65">
        <f t="shared" ca="1" si="145"/>
        <v>0</v>
      </c>
      <c r="N198" s="65">
        <f t="shared" ca="1" si="145"/>
        <v>0</v>
      </c>
      <c r="O198" s="65">
        <f t="shared" ca="1" si="145"/>
        <v>0</v>
      </c>
      <c r="P198" s="65">
        <f t="shared" ca="1" si="145"/>
        <v>0</v>
      </c>
      <c r="Q198" s="65">
        <f t="shared" ca="1" si="145"/>
        <v>0</v>
      </c>
      <c r="R198" s="65">
        <f t="shared" ca="1" si="145"/>
        <v>0</v>
      </c>
      <c r="S198" s="65">
        <f t="shared" ca="1" si="145"/>
        <v>0</v>
      </c>
      <c r="T198" s="65">
        <f t="shared" ca="1" si="145"/>
        <v>0</v>
      </c>
      <c r="U198" s="65">
        <f t="shared" ca="1" si="145"/>
        <v>0</v>
      </c>
      <c r="V198" s="65">
        <f t="shared" ca="1" si="145"/>
        <v>0</v>
      </c>
      <c r="W198" s="65">
        <f t="shared" ca="1" si="145"/>
        <v>0</v>
      </c>
      <c r="X198" s="65">
        <f t="shared" ca="1" si="145"/>
        <v>0</v>
      </c>
      <c r="Y198" s="65"/>
    </row>
    <row r="199" spans="4:25">
      <c r="D199" s="9" t="s">
        <v>4909</v>
      </c>
      <c r="E199" s="64">
        <f t="shared" ca="1" si="143"/>
        <v>0</v>
      </c>
      <c r="F199" s="65">
        <f t="shared" ref="F199:X199" ca="1" si="146">E199+F160</f>
        <v>0</v>
      </c>
      <c r="G199" s="65">
        <f t="shared" ca="1" si="146"/>
        <v>0</v>
      </c>
      <c r="H199" s="65">
        <f t="shared" ca="1" si="146"/>
        <v>0</v>
      </c>
      <c r="I199" s="65">
        <f t="shared" ca="1" si="146"/>
        <v>0</v>
      </c>
      <c r="J199" s="65">
        <f t="shared" ca="1" si="146"/>
        <v>0</v>
      </c>
      <c r="K199" s="65">
        <f t="shared" ca="1" si="146"/>
        <v>0</v>
      </c>
      <c r="L199" s="65">
        <f t="shared" ca="1" si="146"/>
        <v>0</v>
      </c>
      <c r="M199" s="65">
        <f t="shared" ca="1" si="146"/>
        <v>0</v>
      </c>
      <c r="N199" s="65">
        <f t="shared" ca="1" si="146"/>
        <v>0</v>
      </c>
      <c r="O199" s="65">
        <f t="shared" ca="1" si="146"/>
        <v>0</v>
      </c>
      <c r="P199" s="65">
        <f t="shared" ca="1" si="146"/>
        <v>0</v>
      </c>
      <c r="Q199" s="65">
        <f t="shared" ca="1" si="146"/>
        <v>0</v>
      </c>
      <c r="R199" s="65">
        <f t="shared" ca="1" si="146"/>
        <v>0</v>
      </c>
      <c r="S199" s="65">
        <f t="shared" ca="1" si="146"/>
        <v>0</v>
      </c>
      <c r="T199" s="65">
        <f t="shared" ca="1" si="146"/>
        <v>0</v>
      </c>
      <c r="U199" s="65">
        <f t="shared" ca="1" si="146"/>
        <v>0</v>
      </c>
      <c r="V199" s="65">
        <f t="shared" ca="1" si="146"/>
        <v>0</v>
      </c>
      <c r="W199" s="65">
        <f t="shared" ca="1" si="146"/>
        <v>0</v>
      </c>
      <c r="X199" s="65">
        <f t="shared" ca="1" si="146"/>
        <v>0</v>
      </c>
      <c r="Y199" s="65"/>
    </row>
    <row r="200" spans="4:25">
      <c r="D200" s="9" t="s">
        <v>4910</v>
      </c>
      <c r="E200" s="64">
        <f t="shared" ca="1" si="143"/>
        <v>0</v>
      </c>
      <c r="F200" s="65">
        <f t="shared" ref="F200:X200" ca="1" si="147">E200+F161</f>
        <v>0</v>
      </c>
      <c r="G200" s="65">
        <f t="shared" ca="1" si="147"/>
        <v>0</v>
      </c>
      <c r="H200" s="65">
        <f t="shared" ca="1" si="147"/>
        <v>0</v>
      </c>
      <c r="I200" s="65">
        <f t="shared" ca="1" si="147"/>
        <v>0</v>
      </c>
      <c r="J200" s="65">
        <f t="shared" ca="1" si="147"/>
        <v>0</v>
      </c>
      <c r="K200" s="65">
        <f t="shared" ca="1" si="147"/>
        <v>0</v>
      </c>
      <c r="L200" s="65">
        <f t="shared" ca="1" si="147"/>
        <v>0</v>
      </c>
      <c r="M200" s="65">
        <f t="shared" ca="1" si="147"/>
        <v>0</v>
      </c>
      <c r="N200" s="65">
        <f t="shared" ca="1" si="147"/>
        <v>0</v>
      </c>
      <c r="O200" s="65">
        <f t="shared" ca="1" si="147"/>
        <v>0</v>
      </c>
      <c r="P200" s="65">
        <f t="shared" ca="1" si="147"/>
        <v>0</v>
      </c>
      <c r="Q200" s="65">
        <f t="shared" ca="1" si="147"/>
        <v>0</v>
      </c>
      <c r="R200" s="65">
        <f t="shared" ca="1" si="147"/>
        <v>0</v>
      </c>
      <c r="S200" s="65">
        <f t="shared" ca="1" si="147"/>
        <v>0</v>
      </c>
      <c r="T200" s="65">
        <f t="shared" ca="1" si="147"/>
        <v>0</v>
      </c>
      <c r="U200" s="65">
        <f t="shared" ca="1" si="147"/>
        <v>0</v>
      </c>
      <c r="V200" s="65">
        <f t="shared" ca="1" si="147"/>
        <v>0</v>
      </c>
      <c r="W200" s="65">
        <f t="shared" ca="1" si="147"/>
        <v>0</v>
      </c>
      <c r="X200" s="65">
        <f t="shared" ca="1" si="147"/>
        <v>0</v>
      </c>
      <c r="Y200" s="65"/>
    </row>
    <row r="201" spans="4:25">
      <c r="D201" s="9" t="s">
        <v>4911</v>
      </c>
      <c r="E201" s="64">
        <f t="shared" ca="1" si="143"/>
        <v>0</v>
      </c>
      <c r="F201" s="65">
        <f t="shared" ref="F201:X201" ca="1" si="148">E201+F162</f>
        <v>0</v>
      </c>
      <c r="G201" s="65">
        <f t="shared" ca="1" si="148"/>
        <v>0</v>
      </c>
      <c r="H201" s="65">
        <f t="shared" ca="1" si="148"/>
        <v>0</v>
      </c>
      <c r="I201" s="65">
        <f t="shared" ca="1" si="148"/>
        <v>0</v>
      </c>
      <c r="J201" s="65">
        <f t="shared" ca="1" si="148"/>
        <v>0</v>
      </c>
      <c r="K201" s="65">
        <f t="shared" ca="1" si="148"/>
        <v>0</v>
      </c>
      <c r="L201" s="65">
        <f t="shared" ca="1" si="148"/>
        <v>0</v>
      </c>
      <c r="M201" s="65">
        <f t="shared" ca="1" si="148"/>
        <v>0</v>
      </c>
      <c r="N201" s="65">
        <f t="shared" ca="1" si="148"/>
        <v>0</v>
      </c>
      <c r="O201" s="65">
        <f t="shared" ca="1" si="148"/>
        <v>0</v>
      </c>
      <c r="P201" s="65">
        <f t="shared" ca="1" si="148"/>
        <v>0</v>
      </c>
      <c r="Q201" s="65">
        <f t="shared" ca="1" si="148"/>
        <v>0</v>
      </c>
      <c r="R201" s="65">
        <f t="shared" ca="1" si="148"/>
        <v>0</v>
      </c>
      <c r="S201" s="65">
        <f t="shared" ca="1" si="148"/>
        <v>0</v>
      </c>
      <c r="T201" s="65">
        <f t="shared" ca="1" si="148"/>
        <v>0</v>
      </c>
      <c r="U201" s="65">
        <f t="shared" ca="1" si="148"/>
        <v>0</v>
      </c>
      <c r="V201" s="65">
        <f t="shared" ca="1" si="148"/>
        <v>0</v>
      </c>
      <c r="W201" s="65">
        <f t="shared" ca="1" si="148"/>
        <v>0</v>
      </c>
      <c r="X201" s="65">
        <f t="shared" ca="1" si="148"/>
        <v>0</v>
      </c>
      <c r="Y201" s="65"/>
    </row>
    <row r="202" spans="4:25">
      <c r="D202" s="9" t="s">
        <v>4912</v>
      </c>
      <c r="E202" s="64">
        <f t="shared" ca="1" si="143"/>
        <v>0</v>
      </c>
      <c r="F202" s="65">
        <f t="shared" ref="F202:X202" ca="1" si="149">E202+F163</f>
        <v>0</v>
      </c>
      <c r="G202" s="65">
        <f t="shared" ca="1" si="149"/>
        <v>0</v>
      </c>
      <c r="H202" s="65">
        <f t="shared" ca="1" si="149"/>
        <v>0</v>
      </c>
      <c r="I202" s="65">
        <f t="shared" ca="1" si="149"/>
        <v>0</v>
      </c>
      <c r="J202" s="65">
        <f t="shared" ca="1" si="149"/>
        <v>0</v>
      </c>
      <c r="K202" s="65">
        <f t="shared" ca="1" si="149"/>
        <v>0</v>
      </c>
      <c r="L202" s="65">
        <f t="shared" ca="1" si="149"/>
        <v>0</v>
      </c>
      <c r="M202" s="65">
        <f t="shared" ca="1" si="149"/>
        <v>0</v>
      </c>
      <c r="N202" s="65">
        <f t="shared" ca="1" si="149"/>
        <v>0</v>
      </c>
      <c r="O202" s="65">
        <f t="shared" ca="1" si="149"/>
        <v>0</v>
      </c>
      <c r="P202" s="65">
        <f t="shared" ca="1" si="149"/>
        <v>0</v>
      </c>
      <c r="Q202" s="65">
        <f t="shared" ca="1" si="149"/>
        <v>0</v>
      </c>
      <c r="R202" s="65">
        <f t="shared" ca="1" si="149"/>
        <v>0</v>
      </c>
      <c r="S202" s="65">
        <f t="shared" ca="1" si="149"/>
        <v>0</v>
      </c>
      <c r="T202" s="65">
        <f t="shared" ca="1" si="149"/>
        <v>0</v>
      </c>
      <c r="U202" s="65">
        <f t="shared" ca="1" si="149"/>
        <v>0</v>
      </c>
      <c r="V202" s="65">
        <f t="shared" ca="1" si="149"/>
        <v>0</v>
      </c>
      <c r="W202" s="65">
        <f t="shared" ca="1" si="149"/>
        <v>0</v>
      </c>
      <c r="X202" s="65">
        <f t="shared" ca="1" si="149"/>
        <v>0</v>
      </c>
      <c r="Y202" s="65"/>
    </row>
    <row r="203" spans="4:25">
      <c r="D203" s="9" t="s">
        <v>4913</v>
      </c>
      <c r="E203" s="64">
        <f t="shared" ca="1" si="143"/>
        <v>0</v>
      </c>
      <c r="F203" s="65">
        <f t="shared" ref="F203:X203" ca="1" si="150">E203+F164</f>
        <v>0</v>
      </c>
      <c r="G203" s="65">
        <f t="shared" ca="1" si="150"/>
        <v>0</v>
      </c>
      <c r="H203" s="65">
        <f t="shared" ca="1" si="150"/>
        <v>0</v>
      </c>
      <c r="I203" s="65">
        <f t="shared" ca="1" si="150"/>
        <v>0</v>
      </c>
      <c r="J203" s="65">
        <f t="shared" ca="1" si="150"/>
        <v>0</v>
      </c>
      <c r="K203" s="65">
        <f t="shared" ca="1" si="150"/>
        <v>0</v>
      </c>
      <c r="L203" s="65">
        <f t="shared" ca="1" si="150"/>
        <v>0</v>
      </c>
      <c r="M203" s="65">
        <f t="shared" ca="1" si="150"/>
        <v>0</v>
      </c>
      <c r="N203" s="65">
        <f t="shared" ca="1" si="150"/>
        <v>0</v>
      </c>
      <c r="O203" s="65">
        <f t="shared" ca="1" si="150"/>
        <v>0</v>
      </c>
      <c r="P203" s="65">
        <f t="shared" ca="1" si="150"/>
        <v>0</v>
      </c>
      <c r="Q203" s="65">
        <f t="shared" ca="1" si="150"/>
        <v>0</v>
      </c>
      <c r="R203" s="65">
        <f t="shared" ca="1" si="150"/>
        <v>0</v>
      </c>
      <c r="S203" s="65">
        <f t="shared" ca="1" si="150"/>
        <v>0</v>
      </c>
      <c r="T203" s="65">
        <f t="shared" ca="1" si="150"/>
        <v>0</v>
      </c>
      <c r="U203" s="65">
        <f t="shared" ca="1" si="150"/>
        <v>0</v>
      </c>
      <c r="V203" s="65">
        <f t="shared" ca="1" si="150"/>
        <v>0</v>
      </c>
      <c r="W203" s="65">
        <f t="shared" ca="1" si="150"/>
        <v>0</v>
      </c>
      <c r="X203" s="65">
        <f t="shared" ca="1" si="150"/>
        <v>0</v>
      </c>
      <c r="Y203" s="65"/>
    </row>
    <row r="204" spans="4:25">
      <c r="D204" s="9" t="s">
        <v>4914</v>
      </c>
      <c r="E204" s="64">
        <f t="shared" ca="1" si="143"/>
        <v>0</v>
      </c>
      <c r="F204" s="65">
        <f t="shared" ref="F204:X204" ca="1" si="151">E204+F165</f>
        <v>0</v>
      </c>
      <c r="G204" s="65">
        <f t="shared" ca="1" si="151"/>
        <v>0</v>
      </c>
      <c r="H204" s="65">
        <f t="shared" ca="1" si="151"/>
        <v>0</v>
      </c>
      <c r="I204" s="65">
        <f t="shared" ca="1" si="151"/>
        <v>0</v>
      </c>
      <c r="J204" s="65">
        <f t="shared" ca="1" si="151"/>
        <v>0</v>
      </c>
      <c r="K204" s="65">
        <f t="shared" ca="1" si="151"/>
        <v>0</v>
      </c>
      <c r="L204" s="65">
        <f t="shared" ca="1" si="151"/>
        <v>0</v>
      </c>
      <c r="M204" s="65">
        <f t="shared" ca="1" si="151"/>
        <v>0</v>
      </c>
      <c r="N204" s="65">
        <f t="shared" ca="1" si="151"/>
        <v>0</v>
      </c>
      <c r="O204" s="65">
        <f t="shared" ca="1" si="151"/>
        <v>0</v>
      </c>
      <c r="P204" s="65">
        <f t="shared" ca="1" si="151"/>
        <v>0</v>
      </c>
      <c r="Q204" s="65">
        <f t="shared" ca="1" si="151"/>
        <v>0</v>
      </c>
      <c r="R204" s="65">
        <f t="shared" ca="1" si="151"/>
        <v>0</v>
      </c>
      <c r="S204" s="65">
        <f t="shared" ca="1" si="151"/>
        <v>0</v>
      </c>
      <c r="T204" s="65">
        <f t="shared" ca="1" si="151"/>
        <v>0</v>
      </c>
      <c r="U204" s="65">
        <f t="shared" ca="1" si="151"/>
        <v>0</v>
      </c>
      <c r="V204" s="65">
        <f t="shared" ca="1" si="151"/>
        <v>0</v>
      </c>
      <c r="W204" s="65">
        <f t="shared" ca="1" si="151"/>
        <v>0</v>
      </c>
      <c r="X204" s="65">
        <f t="shared" ca="1" si="151"/>
        <v>0</v>
      </c>
      <c r="Y204" s="65"/>
    </row>
    <row r="205" spans="4:25">
      <c r="D205" s="9" t="s">
        <v>4915</v>
      </c>
      <c r="E205" s="64">
        <f t="shared" ca="1" si="143"/>
        <v>0</v>
      </c>
      <c r="F205" s="65">
        <f t="shared" ref="F205:X205" ca="1" si="152">E205+F166</f>
        <v>0</v>
      </c>
      <c r="G205" s="65">
        <f t="shared" ca="1" si="152"/>
        <v>0</v>
      </c>
      <c r="H205" s="65">
        <f t="shared" ca="1" si="152"/>
        <v>0</v>
      </c>
      <c r="I205" s="65">
        <f t="shared" ca="1" si="152"/>
        <v>0</v>
      </c>
      <c r="J205" s="65">
        <f t="shared" ca="1" si="152"/>
        <v>0</v>
      </c>
      <c r="K205" s="65">
        <f t="shared" ca="1" si="152"/>
        <v>0</v>
      </c>
      <c r="L205" s="65">
        <f t="shared" ca="1" si="152"/>
        <v>0</v>
      </c>
      <c r="M205" s="65">
        <f t="shared" ca="1" si="152"/>
        <v>0</v>
      </c>
      <c r="N205" s="65">
        <f t="shared" ca="1" si="152"/>
        <v>0</v>
      </c>
      <c r="O205" s="65">
        <f t="shared" ca="1" si="152"/>
        <v>0</v>
      </c>
      <c r="P205" s="65">
        <f t="shared" ca="1" si="152"/>
        <v>0</v>
      </c>
      <c r="Q205" s="65">
        <f t="shared" ca="1" si="152"/>
        <v>0</v>
      </c>
      <c r="R205" s="65">
        <f t="shared" ca="1" si="152"/>
        <v>0</v>
      </c>
      <c r="S205" s="65">
        <f t="shared" ca="1" si="152"/>
        <v>0</v>
      </c>
      <c r="T205" s="65">
        <f t="shared" ca="1" si="152"/>
        <v>0</v>
      </c>
      <c r="U205" s="65">
        <f t="shared" ca="1" si="152"/>
        <v>0</v>
      </c>
      <c r="V205" s="65">
        <f t="shared" ca="1" si="152"/>
        <v>0</v>
      </c>
      <c r="W205" s="65">
        <f t="shared" ca="1" si="152"/>
        <v>0</v>
      </c>
      <c r="X205" s="65">
        <f t="shared" ca="1" si="152"/>
        <v>0</v>
      </c>
      <c r="Y205" s="65"/>
    </row>
    <row r="206" spans="4:25">
      <c r="D206" s="9" t="s">
        <v>4916</v>
      </c>
      <c r="E206" s="64">
        <f t="shared" ca="1" si="143"/>
        <v>0</v>
      </c>
      <c r="F206" s="65">
        <f t="shared" ref="F206:X206" ca="1" si="153">E206+F167</f>
        <v>0</v>
      </c>
      <c r="G206" s="65">
        <f t="shared" ca="1" si="153"/>
        <v>0</v>
      </c>
      <c r="H206" s="65">
        <f t="shared" ca="1" si="153"/>
        <v>0</v>
      </c>
      <c r="I206" s="65">
        <f t="shared" ca="1" si="153"/>
        <v>0</v>
      </c>
      <c r="J206" s="65">
        <f t="shared" ca="1" si="153"/>
        <v>0</v>
      </c>
      <c r="K206" s="65">
        <f t="shared" ca="1" si="153"/>
        <v>0</v>
      </c>
      <c r="L206" s="65">
        <f t="shared" ca="1" si="153"/>
        <v>0</v>
      </c>
      <c r="M206" s="65">
        <f t="shared" ca="1" si="153"/>
        <v>0</v>
      </c>
      <c r="N206" s="65">
        <f t="shared" ca="1" si="153"/>
        <v>0</v>
      </c>
      <c r="O206" s="65">
        <f t="shared" ca="1" si="153"/>
        <v>0</v>
      </c>
      <c r="P206" s="65">
        <f t="shared" ca="1" si="153"/>
        <v>0</v>
      </c>
      <c r="Q206" s="65">
        <f t="shared" ca="1" si="153"/>
        <v>0</v>
      </c>
      <c r="R206" s="65">
        <f t="shared" ca="1" si="153"/>
        <v>0</v>
      </c>
      <c r="S206" s="65">
        <f t="shared" ca="1" si="153"/>
        <v>0</v>
      </c>
      <c r="T206" s="65">
        <f t="shared" ca="1" si="153"/>
        <v>0</v>
      </c>
      <c r="U206" s="65">
        <f t="shared" ca="1" si="153"/>
        <v>0</v>
      </c>
      <c r="V206" s="65">
        <f t="shared" ca="1" si="153"/>
        <v>0</v>
      </c>
      <c r="W206" s="65">
        <f t="shared" ca="1" si="153"/>
        <v>0</v>
      </c>
      <c r="X206" s="65">
        <f t="shared" ca="1" si="153"/>
        <v>0</v>
      </c>
      <c r="Y206" s="65"/>
    </row>
    <row r="207" spans="4:25">
      <c r="D207" s="9" t="s">
        <v>4917</v>
      </c>
      <c r="E207" s="64">
        <f t="shared" ref="E207" ca="1" si="154">E168</f>
        <v>5.3398483321832439E-3</v>
      </c>
      <c r="F207" s="65">
        <f t="shared" ref="F207:X207" ca="1" si="155">E207+F168</f>
        <v>2.1304604113175279E-2</v>
      </c>
      <c r="G207" s="65">
        <f t="shared" ca="1" si="155"/>
        <v>5.6056767127080499E-2</v>
      </c>
      <c r="H207" s="65">
        <f t="shared" ca="1" si="155"/>
        <v>0.12124898483607216</v>
      </c>
      <c r="I207" s="65">
        <f t="shared" ca="1" si="155"/>
        <v>0.23246602733292604</v>
      </c>
      <c r="J207" s="65">
        <f t="shared" ca="1" si="155"/>
        <v>0.40934533216406865</v>
      </c>
      <c r="K207" s="65">
        <f t="shared" ca="1" si="155"/>
        <v>0.67519396304543666</v>
      </c>
      <c r="L207" s="65">
        <f t="shared" ca="1" si="155"/>
        <v>1.0559179696551815</v>
      </c>
      <c r="M207" s="65">
        <f t="shared" ca="1" si="155"/>
        <v>1.5781352090556258</v>
      </c>
      <c r="N207" s="65">
        <f t="shared" ca="1" si="155"/>
        <v>2.2664803046998472</v>
      </c>
      <c r="O207" s="65">
        <f t="shared" ca="1" si="155"/>
        <v>3.1403378924335361</v>
      </c>
      <c r="P207" s="65">
        <f t="shared" ca="1" si="155"/>
        <v>4.2105241709827439</v>
      </c>
      <c r="Q207" s="65">
        <f t="shared" ca="1" si="155"/>
        <v>5.4766858012664166</v>
      </c>
      <c r="R207" s="65">
        <f t="shared" ca="1" si="155"/>
        <v>6.9262595100864264</v>
      </c>
      <c r="S207" s="65">
        <f t="shared" ca="1" si="155"/>
        <v>8.5356018027338365</v>
      </c>
      <c r="T207" s="65">
        <f t="shared" ca="1" si="155"/>
        <v>10.699289049261914</v>
      </c>
      <c r="U207" s="65">
        <f t="shared" ca="1" si="155"/>
        <v>12.964511089662556</v>
      </c>
      <c r="V207" s="65">
        <f t="shared" ca="1" si="155"/>
        <v>15.287101617523247</v>
      </c>
      <c r="W207" s="65">
        <f t="shared" ca="1" si="155"/>
        <v>17.635110187006944</v>
      </c>
      <c r="X207" s="65">
        <f t="shared" ca="1" si="155"/>
        <v>19.977985815206903</v>
      </c>
      <c r="Y207" s="65"/>
    </row>
    <row r="209" spans="4:79" ht="15">
      <c r="D209" s="82" t="s">
        <v>139</v>
      </c>
      <c r="E209" s="82">
        <f ca="1">SUM(E176:E207)</f>
        <v>1.2541758597177067E-2</v>
      </c>
      <c r="F209" s="82">
        <f ca="1">SUM(F176:F207)</f>
        <v>5.0038350375135834E-2</v>
      </c>
      <c r="G209" s="82">
        <f t="shared" ref="G209:W209" ca="1" si="156">SUM(G176:G207)</f>
        <v>0.13166112543098502</v>
      </c>
      <c r="H209" s="82">
        <f t="shared" ca="1" si="156"/>
        <v>0.28477878085070207</v>
      </c>
      <c r="I209" s="82">
        <f t="shared" ca="1" si="156"/>
        <v>0.54599543198304312</v>
      </c>
      <c r="J209" s="82">
        <f t="shared" ca="1" si="156"/>
        <v>0.96143373734811</v>
      </c>
      <c r="K209" s="82">
        <f t="shared" ca="1" si="156"/>
        <v>1.5858352454974862</v>
      </c>
      <c r="L209" s="82">
        <f t="shared" ca="1" si="156"/>
        <v>2.4800457709670711</v>
      </c>
      <c r="M209" s="82">
        <f t="shared" ca="1" si="156"/>
        <v>3.7065829578700491</v>
      </c>
      <c r="N209" s="82">
        <f t="shared" ca="1" si="156"/>
        <v>5.3233064084387065</v>
      </c>
      <c r="O209" s="82">
        <f t="shared" ca="1" si="156"/>
        <v>7.3757450231486548</v>
      </c>
      <c r="P209" s="82">
        <f t="shared" ca="1" si="156"/>
        <v>9.8893029230389971</v>
      </c>
      <c r="Q209" s="82">
        <f t="shared" ca="1" si="156"/>
        <v>12.863150216850308</v>
      </c>
      <c r="R209" s="82">
        <f t="shared" ca="1" si="156"/>
        <v>16.267779411140936</v>
      </c>
      <c r="S209" s="82">
        <f t="shared" ca="1" si="156"/>
        <v>20.0476587783062</v>
      </c>
      <c r="T209" s="82">
        <f t="shared" ca="1" si="156"/>
        <v>25.129534037233434</v>
      </c>
      <c r="U209" s="82">
        <f t="shared" ca="1" si="156"/>
        <v>30.449885146923869</v>
      </c>
      <c r="V209" s="82">
        <f t="shared" ca="1" si="156"/>
        <v>35.90497823354886</v>
      </c>
      <c r="W209" s="82">
        <f t="shared" ca="1" si="156"/>
        <v>41.419770944997921</v>
      </c>
      <c r="X209" s="82">
        <f ca="1">SUM(X176:X207)</f>
        <v>46.92250786263611</v>
      </c>
      <c r="Y209" s="82"/>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row>
    <row r="210" spans="4:79">
      <c r="E210" s="38"/>
      <c r="F210" s="44"/>
      <c r="G210" s="44"/>
      <c r="H210" s="44"/>
      <c r="I210" s="44"/>
      <c r="J210" s="44"/>
      <c r="K210" s="44"/>
      <c r="L210" s="44"/>
      <c r="M210" s="44"/>
      <c r="N210" s="44"/>
      <c r="O210" s="44"/>
      <c r="P210" s="44"/>
      <c r="Q210" s="44"/>
      <c r="R210" s="44"/>
      <c r="S210" s="44"/>
      <c r="T210" s="44"/>
      <c r="U210" s="44"/>
      <c r="V210" s="44"/>
      <c r="W210" s="44"/>
      <c r="X210" s="44"/>
      <c r="Y210" s="44"/>
    </row>
    <row r="213" spans="4:79" customFormat="1"/>
    <row r="214" spans="4:79" customFormat="1"/>
    <row r="215" spans="4:79" customFormat="1"/>
    <row r="216" spans="4:79" customFormat="1"/>
    <row r="217" spans="4:79" customFormat="1"/>
    <row r="218" spans="4:79" customFormat="1"/>
    <row r="219" spans="4:79" customFormat="1"/>
    <row r="220" spans="4:79" customFormat="1"/>
    <row r="221" spans="4:79" customFormat="1"/>
    <row r="222" spans="4:79" customFormat="1"/>
    <row r="223" spans="4:79" customFormat="1"/>
    <row r="224" spans="4:79" customFormat="1"/>
    <row r="225" customFormat="1"/>
    <row r="226" customFormat="1"/>
    <row r="227" customFormat="1"/>
    <row r="228" customFormat="1"/>
    <row r="229" customFormat="1"/>
    <row r="230" customFormat="1"/>
    <row r="231" customFormat="1"/>
  </sheetData>
  <mergeCells count="2">
    <mergeCell ref="B1:T6"/>
    <mergeCell ref="U1:U6"/>
  </mergeCell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sheetPr codeName="Sheet10"/>
  <dimension ref="A1:CA215"/>
  <sheetViews>
    <sheetView tabSelected="1" topLeftCell="B1" zoomScaleNormal="100" workbookViewId="0">
      <selection activeCell="E13" sqref="E13:X16"/>
    </sheetView>
  </sheetViews>
  <sheetFormatPr defaultRowHeight="12.75"/>
  <cols>
    <col min="1" max="1" width="35" style="9" customWidth="1"/>
    <col min="2" max="4" width="20.7109375" style="9" customWidth="1"/>
    <col min="5" max="5" width="19.85546875" style="9" customWidth="1"/>
    <col min="6" max="6" width="9.28515625" style="9" bestFit="1" customWidth="1"/>
    <col min="7" max="24" width="9.140625" style="9"/>
    <col min="25" max="25" width="10" style="9" bestFit="1" customWidth="1"/>
    <col min="26" max="29" width="9.140625" style="9"/>
    <col min="30" max="30" width="21.7109375" style="9" customWidth="1"/>
    <col min="31" max="31" width="35.85546875" style="9" customWidth="1"/>
    <col min="32" max="32" width="35.28515625" style="9" customWidth="1"/>
    <col min="33" max="33" width="15" style="9" customWidth="1"/>
    <col min="34" max="34" width="17.7109375" style="9" customWidth="1"/>
    <col min="35" max="35" width="15.140625" style="9" customWidth="1"/>
    <col min="36" max="36" width="15.7109375" style="9" customWidth="1"/>
    <col min="37" max="37" width="21.28515625" style="9" customWidth="1"/>
    <col min="38" max="38" width="17.7109375" style="9" bestFit="1" customWidth="1"/>
    <col min="39" max="39" width="15.42578125" style="9" bestFit="1" customWidth="1"/>
    <col min="40" max="40" width="14.28515625" style="9" bestFit="1" customWidth="1"/>
    <col min="41" max="41" width="14.28515625" style="9" customWidth="1"/>
    <col min="42" max="42" width="12.5703125" style="9" customWidth="1"/>
    <col min="43" max="43" width="14" style="9" bestFit="1" customWidth="1"/>
    <col min="44" max="45" width="10.85546875" style="9" bestFit="1" customWidth="1"/>
    <col min="46" max="46" width="13.42578125" style="9" customWidth="1"/>
    <col min="47" max="47" width="11.85546875" style="9" bestFit="1" customWidth="1"/>
    <col min="48" max="48" width="11" style="9" bestFit="1" customWidth="1"/>
    <col min="49" max="49" width="14.28515625" style="9" bestFit="1" customWidth="1"/>
    <col min="50" max="50" width="10.7109375" style="9" customWidth="1"/>
    <col min="51" max="51" width="13.85546875" style="9" bestFit="1" customWidth="1"/>
    <col min="52" max="52" width="11.7109375" style="9" bestFit="1" customWidth="1"/>
    <col min="53" max="53" width="15.28515625" style="9" bestFit="1" customWidth="1"/>
    <col min="54" max="56" width="12.28515625" style="9" bestFit="1" customWidth="1"/>
    <col min="57" max="57" width="12.5703125" style="9" bestFit="1" customWidth="1"/>
    <col min="58" max="60" width="14.28515625" style="9" bestFit="1" customWidth="1"/>
    <col min="61" max="61" width="13.7109375" style="9" bestFit="1" customWidth="1"/>
    <col min="62" max="62" width="14" style="9" bestFit="1" customWidth="1"/>
    <col min="63" max="63" width="12.85546875" style="9" bestFit="1" customWidth="1"/>
    <col min="64" max="64" width="15.28515625" style="9" bestFit="1" customWidth="1"/>
    <col min="65" max="65" width="12.28515625" style="9" bestFit="1" customWidth="1"/>
    <col min="66" max="66" width="10.85546875" style="9" bestFit="1" customWidth="1"/>
    <col min="67" max="67" width="12.28515625" style="9" bestFit="1" customWidth="1"/>
    <col min="68" max="68" width="12.5703125" style="9" bestFit="1" customWidth="1"/>
    <col min="69" max="16384" width="9.140625" style="9"/>
  </cols>
  <sheetData>
    <row r="1" spans="1:68" ht="12.75" customHeight="1">
      <c r="A1" s="52" t="s">
        <v>55</v>
      </c>
      <c r="B1" s="493" t="s">
        <v>4721</v>
      </c>
      <c r="C1" s="493"/>
      <c r="D1" s="493"/>
      <c r="E1" s="493"/>
      <c r="F1" s="493"/>
      <c r="G1" s="493"/>
      <c r="H1" s="493"/>
      <c r="I1" s="493"/>
      <c r="J1" s="493"/>
      <c r="K1" s="493"/>
      <c r="L1" s="493"/>
      <c r="M1" s="493"/>
      <c r="N1" s="493"/>
      <c r="O1" s="493"/>
      <c r="P1" s="493"/>
      <c r="Q1" s="493"/>
      <c r="R1" s="493"/>
      <c r="S1" s="493"/>
      <c r="T1" s="493"/>
      <c r="U1" s="493"/>
      <c r="V1" s="56"/>
      <c r="W1" s="56"/>
      <c r="X1" s="56"/>
      <c r="Y1" s="56"/>
      <c r="Z1" s="56"/>
    </row>
    <row r="2" spans="1:68" ht="12.75" customHeight="1">
      <c r="A2" s="53" t="s">
        <v>158</v>
      </c>
      <c r="B2" s="493"/>
      <c r="C2" s="493"/>
      <c r="D2" s="493"/>
      <c r="E2" s="493"/>
      <c r="F2" s="493"/>
      <c r="G2" s="493"/>
      <c r="H2" s="493"/>
      <c r="I2" s="493"/>
      <c r="J2" s="493"/>
      <c r="K2" s="493"/>
      <c r="L2" s="493"/>
      <c r="M2" s="493"/>
      <c r="N2" s="493"/>
      <c r="O2" s="493"/>
      <c r="P2" s="493"/>
      <c r="Q2" s="493"/>
      <c r="R2" s="493"/>
      <c r="S2" s="493"/>
      <c r="T2" s="493"/>
      <c r="U2" s="493"/>
      <c r="V2" s="57"/>
      <c r="W2" s="57"/>
      <c r="X2" s="57"/>
      <c r="Y2" s="57"/>
    </row>
    <row r="3" spans="1:68">
      <c r="B3" s="493"/>
      <c r="C3" s="493"/>
      <c r="D3" s="493"/>
      <c r="E3" s="493"/>
      <c r="F3" s="493"/>
      <c r="G3" s="493"/>
      <c r="H3" s="493"/>
      <c r="I3" s="493"/>
      <c r="J3" s="493"/>
      <c r="K3" s="493"/>
      <c r="L3" s="493"/>
      <c r="M3" s="493"/>
      <c r="N3" s="493"/>
      <c r="O3" s="493"/>
      <c r="P3" s="493"/>
      <c r="Q3" s="493"/>
      <c r="R3" s="493"/>
      <c r="S3" s="493"/>
      <c r="T3" s="493"/>
      <c r="U3" s="493"/>
      <c r="V3" s="57"/>
      <c r="W3" s="57"/>
      <c r="X3" s="57"/>
      <c r="Y3" s="57"/>
      <c r="Z3" s="57"/>
    </row>
    <row r="4" spans="1:68">
      <c r="B4" s="493"/>
      <c r="C4" s="493"/>
      <c r="D4" s="493"/>
      <c r="E4" s="493"/>
      <c r="F4" s="493"/>
      <c r="G4" s="493"/>
      <c r="H4" s="493"/>
      <c r="I4" s="493"/>
      <c r="J4" s="493"/>
      <c r="K4" s="493"/>
      <c r="L4" s="493"/>
      <c r="M4" s="493"/>
      <c r="N4" s="493"/>
      <c r="O4" s="493"/>
      <c r="P4" s="493"/>
      <c r="Q4" s="493"/>
      <c r="R4" s="493"/>
      <c r="S4" s="493"/>
      <c r="T4" s="493"/>
      <c r="U4" s="493"/>
      <c r="V4" s="57"/>
      <c r="W4" s="57"/>
      <c r="X4" s="57"/>
      <c r="Y4" s="57"/>
      <c r="Z4" s="57"/>
    </row>
    <row r="5" spans="1:68">
      <c r="B5" s="493"/>
      <c r="C5" s="493"/>
      <c r="D5" s="493"/>
      <c r="E5" s="493"/>
      <c r="F5" s="493"/>
      <c r="G5" s="493"/>
      <c r="H5" s="493"/>
      <c r="I5" s="493"/>
      <c r="J5" s="493"/>
      <c r="K5" s="493"/>
      <c r="L5" s="493"/>
      <c r="M5" s="493"/>
      <c r="N5" s="493"/>
      <c r="O5" s="493"/>
      <c r="P5" s="493"/>
      <c r="Q5" s="493"/>
      <c r="R5" s="493"/>
      <c r="S5" s="493"/>
      <c r="T5" s="493"/>
      <c r="U5" s="493"/>
      <c r="V5" s="57"/>
      <c r="W5" s="57"/>
      <c r="X5" s="57"/>
      <c r="Y5" s="57"/>
      <c r="Z5" s="57"/>
    </row>
    <row r="6" spans="1:68">
      <c r="B6" s="493"/>
      <c r="C6" s="493"/>
      <c r="D6" s="493"/>
      <c r="E6" s="493"/>
      <c r="F6" s="493"/>
      <c r="G6" s="493"/>
      <c r="H6" s="493"/>
      <c r="I6" s="493"/>
      <c r="J6" s="493"/>
      <c r="K6" s="493"/>
      <c r="L6" s="493"/>
      <c r="M6" s="493"/>
      <c r="N6" s="493"/>
      <c r="O6" s="493"/>
      <c r="P6" s="493"/>
      <c r="Q6" s="493"/>
      <c r="R6" s="493"/>
      <c r="S6" s="493"/>
      <c r="T6" s="493"/>
      <c r="U6" s="493"/>
      <c r="V6" s="57"/>
      <c r="W6" s="57"/>
      <c r="X6" s="57"/>
      <c r="Y6" s="57"/>
      <c r="Z6" s="57"/>
    </row>
    <row r="7" spans="1:68">
      <c r="A7" s="286"/>
      <c r="B7" s="286" t="s">
        <v>50</v>
      </c>
      <c r="C7" s="433" t="s">
        <v>146</v>
      </c>
      <c r="D7" s="433" t="s">
        <v>4723</v>
      </c>
    </row>
    <row r="8" spans="1:68">
      <c r="A8" s="286" t="s">
        <v>4982</v>
      </c>
      <c r="B8" s="286" t="s">
        <v>58</v>
      </c>
      <c r="C8" s="433" t="str">
        <f>[2]MLIST!$B$27</f>
        <v>Freezer</v>
      </c>
      <c r="D8" s="433" t="str">
        <f>[1]!switch_ForecastState</f>
        <v>Region</v>
      </c>
      <c r="F8" s="56"/>
    </row>
    <row r="9" spans="1:68">
      <c r="A9" s="286" t="str">
        <f>INDEX([2]ACHIEV!$A$19:$B$100,MATCH(CONCATENATE($C$8," - ",$C$7),[2]ACHIEV!$B$19:$B$100,0),1)</f>
        <v>Refrigeration</v>
      </c>
      <c r="B9" s="490" t="s">
        <v>59</v>
      </c>
      <c r="C9" s="433">
        <f>[2]FILES!$H$4</f>
        <v>2035</v>
      </c>
      <c r="D9" s="433" t="str">
        <f>[1]!switch_ForecastScenario</f>
        <v>Base</v>
      </c>
    </row>
    <row r="10" spans="1:68">
      <c r="A10" s="286"/>
      <c r="B10" s="286" t="s">
        <v>4988</v>
      </c>
      <c r="C10" s="492">
        <f ca="1">MIN(SUM(E78:X78),Y78)</f>
        <v>2.4138633180707227</v>
      </c>
      <c r="D10" s="434"/>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row>
    <row r="11" spans="1:68" ht="15">
      <c r="A11" s="86" t="s">
        <v>147</v>
      </c>
      <c r="E11" s="79">
        <v>2016</v>
      </c>
      <c r="F11" s="73">
        <v>2017</v>
      </c>
      <c r="G11" s="73">
        <v>2018</v>
      </c>
      <c r="H11" s="79">
        <v>2019</v>
      </c>
      <c r="I11" s="73">
        <v>2020</v>
      </c>
      <c r="J11" s="73">
        <v>2021</v>
      </c>
      <c r="K11" s="79">
        <v>2022</v>
      </c>
      <c r="L11" s="73">
        <v>2023</v>
      </c>
      <c r="M11" s="73">
        <v>2024</v>
      </c>
      <c r="N11" s="79">
        <v>2025</v>
      </c>
      <c r="O11" s="73">
        <v>2026</v>
      </c>
      <c r="P11" s="73">
        <v>2027</v>
      </c>
      <c r="Q11" s="79">
        <v>2028</v>
      </c>
      <c r="R11" s="73">
        <v>2029</v>
      </c>
      <c r="S11" s="73">
        <v>2030</v>
      </c>
      <c r="T11" s="79">
        <v>2031</v>
      </c>
      <c r="U11" s="73">
        <v>2032</v>
      </c>
      <c r="V11" s="73">
        <v>2033</v>
      </c>
      <c r="W11" s="79">
        <v>2034</v>
      </c>
      <c r="X11" s="73">
        <v>2035</v>
      </c>
      <c r="Y11" s="74"/>
    </row>
    <row r="12" spans="1:68" ht="15">
      <c r="E12" s="80" t="str">
        <f>CONCATENATE("HOMES_",E11)</f>
        <v>HOMES_2016</v>
      </c>
      <c r="F12" s="75" t="str">
        <f t="shared" ref="F12:X12" si="0">CONCATENATE("HOMES_",F11)</f>
        <v>HOMES_2017</v>
      </c>
      <c r="G12" s="75" t="str">
        <f t="shared" si="0"/>
        <v>HOMES_2018</v>
      </c>
      <c r="H12" s="75" t="str">
        <f t="shared" si="0"/>
        <v>HOMES_2019</v>
      </c>
      <c r="I12" s="75" t="str">
        <f t="shared" si="0"/>
        <v>HOMES_2020</v>
      </c>
      <c r="J12" s="75" t="str">
        <f t="shared" si="0"/>
        <v>HOMES_2021</v>
      </c>
      <c r="K12" s="75" t="str">
        <f t="shared" si="0"/>
        <v>HOMES_2022</v>
      </c>
      <c r="L12" s="75" t="str">
        <f t="shared" si="0"/>
        <v>HOMES_2023</v>
      </c>
      <c r="M12" s="75" t="str">
        <f t="shared" si="0"/>
        <v>HOMES_2024</v>
      </c>
      <c r="N12" s="75" t="str">
        <f t="shared" si="0"/>
        <v>HOMES_2025</v>
      </c>
      <c r="O12" s="75" t="str">
        <f t="shared" si="0"/>
        <v>HOMES_2026</v>
      </c>
      <c r="P12" s="75" t="str">
        <f t="shared" si="0"/>
        <v>HOMES_2027</v>
      </c>
      <c r="Q12" s="75" t="str">
        <f t="shared" si="0"/>
        <v>HOMES_2028</v>
      </c>
      <c r="R12" s="75" t="str">
        <f t="shared" si="0"/>
        <v>HOMES_2029</v>
      </c>
      <c r="S12" s="75" t="str">
        <f t="shared" si="0"/>
        <v>HOMES_2030</v>
      </c>
      <c r="T12" s="75" t="str">
        <f t="shared" si="0"/>
        <v>HOMES_2031</v>
      </c>
      <c r="U12" s="75" t="str">
        <f t="shared" si="0"/>
        <v>HOMES_2032</v>
      </c>
      <c r="V12" s="75" t="str">
        <f t="shared" si="0"/>
        <v>HOMES_2033</v>
      </c>
      <c r="W12" s="75" t="str">
        <f t="shared" si="0"/>
        <v>HOMES_2034</v>
      </c>
      <c r="X12" s="75" t="str">
        <f t="shared" si="0"/>
        <v>HOMES_2035</v>
      </c>
      <c r="Y12" s="76"/>
    </row>
    <row r="13" spans="1:68">
      <c r="C13" s="9" t="s">
        <v>51</v>
      </c>
      <c r="E13" s="44">
        <f ca="1">INDEX([1]!tbl_Forecast,MATCH($D$8&amp;$C13&amp;$D$7,[1]!rng_ForecastRowLookup,0),MATCH(E$11,[1]!rng_ForecastColumnLookup,0))</f>
        <v>4203528.2719999999</v>
      </c>
      <c r="F13" s="44">
        <f ca="1">INDEX([1]!tbl_Forecast,MATCH($D$8&amp;$C13&amp;$D$7,[1]!rng_ForecastRowLookup,0),MATCH(F$11,[1]!rng_ForecastColumnLookup,0))</f>
        <v>4193982.9785983553</v>
      </c>
      <c r="G13" s="44">
        <f ca="1">INDEX([1]!tbl_Forecast,MATCH($D$8&amp;$C13&amp;$D$7,[1]!rng_ForecastRowLookup,0),MATCH(G$11,[1]!rng_ForecastColumnLookup,0))</f>
        <v>4184459.3604704877</v>
      </c>
      <c r="H13" s="44">
        <f ca="1">INDEX([1]!tbl_Forecast,MATCH($D$8&amp;$C13&amp;$D$7,[1]!rng_ForecastRowLookup,0),MATCH(H$11,[1]!rng_ForecastColumnLookup,0))</f>
        <v>4174957.36839659</v>
      </c>
      <c r="I13" s="44">
        <f ca="1">INDEX([1]!tbl_Forecast,MATCH($D$8&amp;$C13&amp;$D$7,[1]!rng_ForecastRowLookup,0),MATCH(I$11,[1]!rng_ForecastColumnLookup,0))</f>
        <v>4165476.9532686244</v>
      </c>
      <c r="J13" s="44">
        <f ca="1">INDEX([1]!tbl_Forecast,MATCH($D$8&amp;$C13&amp;$D$7,[1]!rng_ForecastRowLookup,0),MATCH(J$11,[1]!rng_ForecastColumnLookup,0))</f>
        <v>4156018.0660900641</v>
      </c>
      <c r="K13" s="44">
        <f ca="1">INDEX([1]!tbl_Forecast,MATCH($D$8&amp;$C13&amp;$D$7,[1]!rng_ForecastRowLookup,0),MATCH(K$11,[1]!rng_ForecastColumnLookup,0))</f>
        <v>4146580.6579756448</v>
      </c>
      <c r="L13" s="44">
        <f ca="1">INDEX([1]!tbl_Forecast,MATCH($D$8&amp;$C13&amp;$D$7,[1]!rng_ForecastRowLookup,0),MATCH(L$11,[1]!rng_ForecastColumnLookup,0))</f>
        <v>4137164.6801511091</v>
      </c>
      <c r="M13" s="44">
        <f ca="1">INDEX([1]!tbl_Forecast,MATCH($D$8&amp;$C13&amp;$D$7,[1]!rng_ForecastRowLookup,0),MATCH(M$11,[1]!rng_ForecastColumnLookup,0))</f>
        <v>4127770.0839529554</v>
      </c>
      <c r="N13" s="44">
        <f ca="1">INDEX([1]!tbl_Forecast,MATCH($D$8&amp;$C13&amp;$D$7,[1]!rng_ForecastRowLookup,0),MATCH(N$11,[1]!rng_ForecastColumnLookup,0))</f>
        <v>4118396.8208281873</v>
      </c>
      <c r="O13" s="44">
        <f ca="1">INDEX([1]!tbl_Forecast,MATCH($D$8&amp;$C13&amp;$D$7,[1]!rng_ForecastRowLookup,0),MATCH(O$11,[1]!rng_ForecastColumnLookup,0))</f>
        <v>4109044.8423340586</v>
      </c>
      <c r="P13" s="44">
        <f ca="1">INDEX([1]!tbl_Forecast,MATCH($D$8&amp;$C13&amp;$D$7,[1]!rng_ForecastRowLookup,0),MATCH(P$11,[1]!rng_ForecastColumnLookup,0))</f>
        <v>4099714.1001378288</v>
      </c>
      <c r="Q13" s="44">
        <f ca="1">INDEX([1]!tbl_Forecast,MATCH($D$8&amp;$C13&amp;$D$7,[1]!rng_ForecastRowLookup,0),MATCH(Q$11,[1]!rng_ForecastColumnLookup,0))</f>
        <v>4090404.5460165106</v>
      </c>
      <c r="R13" s="44">
        <f ca="1">INDEX([1]!tbl_Forecast,MATCH($D$8&amp;$C13&amp;$D$7,[1]!rng_ForecastRowLookup,0),MATCH(R$11,[1]!rng_ForecastColumnLookup,0))</f>
        <v>4081116.1318566194</v>
      </c>
      <c r="S13" s="44">
        <f ca="1">INDEX([1]!tbl_Forecast,MATCH($D$8&amp;$C13&amp;$D$7,[1]!rng_ForecastRowLookup,0),MATCH(S$11,[1]!rng_ForecastColumnLookup,0))</f>
        <v>4071848.8096539262</v>
      </c>
      <c r="T13" s="44">
        <f ca="1">INDEX([1]!tbl_Forecast,MATCH($D$8&amp;$C13&amp;$D$7,[1]!rng_ForecastRowLookup,0),MATCH(T$11,[1]!rng_ForecastColumnLookup,0))</f>
        <v>4062602.5315132081</v>
      </c>
      <c r="U13" s="44">
        <f ca="1">INDEX([1]!tbl_Forecast,MATCH($D$8&amp;$C13&amp;$D$7,[1]!rng_ForecastRowLookup,0),MATCH(U$11,[1]!rng_ForecastColumnLookup,0))</f>
        <v>4053377.2496480034</v>
      </c>
      <c r="V13" s="44">
        <f ca="1">INDEX([1]!tbl_Forecast,MATCH($D$8&amp;$C13&amp;$D$7,[1]!rng_ForecastRowLookup,0),MATCH(V$11,[1]!rng_ForecastColumnLookup,0))</f>
        <v>4044172.9163803621</v>
      </c>
      <c r="W13" s="44">
        <f ca="1">INDEX([1]!tbl_Forecast,MATCH($D$8&amp;$C13&amp;$D$7,[1]!rng_ForecastRowLookup,0),MATCH(W$11,[1]!rng_ForecastColumnLookup,0))</f>
        <v>4034989.4841406001</v>
      </c>
      <c r="X13" s="44">
        <f ca="1">INDEX([1]!tbl_Forecast,MATCH($D$8&amp;$C13&amp;$D$7,[1]!rng_ForecastRowLookup,0),MATCH(X$11,[1]!rng_ForecastColumnLookup,0))</f>
        <v>4025826.9054670548</v>
      </c>
      <c r="Y13" s="44"/>
    </row>
    <row r="14" spans="1:68">
      <c r="C14" s="9" t="s">
        <v>52</v>
      </c>
      <c r="E14" s="44">
        <f ca="1">INDEX([1]!tbl_Forecast,MATCH($D$8&amp;$C14&amp;$D$7,[1]!rng_ForecastRowLookup,0),MATCH(E$11,[1]!rng_ForecastColumnLookup,0))</f>
        <v>926243.25609262148</v>
      </c>
      <c r="F14" s="44">
        <f ca="1">INDEX([1]!tbl_Forecast,MATCH($D$8&amp;$C14&amp;$D$7,[1]!rng_ForecastRowLookup,0),MATCH(F$11,[1]!rng_ForecastColumnLookup,0))</f>
        <v>924139.92640956037</v>
      </c>
      <c r="G14" s="44">
        <f ca="1">INDEX([1]!tbl_Forecast,MATCH($D$8&amp;$C14&amp;$D$7,[1]!rng_ForecastRowLookup,0),MATCH(G$11,[1]!rng_ForecastColumnLookup,0))</f>
        <v>922041.3730050053</v>
      </c>
      <c r="H14" s="44">
        <f ca="1">INDEX([1]!tbl_Forecast,MATCH($D$8&amp;$C14&amp;$D$7,[1]!rng_ForecastRowLookup,0),MATCH(H$11,[1]!rng_ForecastColumnLookup,0))</f>
        <v>919947.58503289847</v>
      </c>
      <c r="I14" s="44">
        <f ca="1">INDEX([1]!tbl_Forecast,MATCH($D$8&amp;$C14&amp;$D$7,[1]!rng_ForecastRowLookup,0),MATCH(I$11,[1]!rng_ForecastColumnLookup,0))</f>
        <v>917858.55167181045</v>
      </c>
      <c r="J14" s="44">
        <f ca="1">INDEX([1]!tbl_Forecast,MATCH($D$8&amp;$C14&amp;$D$7,[1]!rng_ForecastRowLookup,0),MATCH(J$11,[1]!rng_ForecastColumnLookup,0))</f>
        <v>915774.26212488639</v>
      </c>
      <c r="K14" s="44">
        <f ca="1">INDEX([1]!tbl_Forecast,MATCH($D$8&amp;$C14&amp;$D$7,[1]!rng_ForecastRowLookup,0),MATCH(K$11,[1]!rng_ForecastColumnLookup,0))</f>
        <v>913694.70561978838</v>
      </c>
      <c r="L14" s="44">
        <f ca="1">INDEX([1]!tbl_Forecast,MATCH($D$8&amp;$C14&amp;$D$7,[1]!rng_ForecastRowLookup,0),MATCH(L$11,[1]!rng_ForecastColumnLookup,0))</f>
        <v>911619.87140864041</v>
      </c>
      <c r="M14" s="44">
        <f ca="1">INDEX([1]!tbl_Forecast,MATCH($D$8&amp;$C14&amp;$D$7,[1]!rng_ForecastRowLookup,0),MATCH(M$11,[1]!rng_ForecastColumnLookup,0))</f>
        <v>909549.74876797362</v>
      </c>
      <c r="N14" s="44">
        <f ca="1">INDEX([1]!tbl_Forecast,MATCH($D$8&amp;$C14&amp;$D$7,[1]!rng_ForecastRowLookup,0),MATCH(N$11,[1]!rng_ForecastColumnLookup,0))</f>
        <v>907484.32699866977</v>
      </c>
      <c r="O14" s="44">
        <f ca="1">INDEX([1]!tbl_Forecast,MATCH($D$8&amp;$C14&amp;$D$7,[1]!rng_ForecastRowLookup,0),MATCH(O$11,[1]!rng_ForecastColumnLookup,0))</f>
        <v>905423.59542590659</v>
      </c>
      <c r="P14" s="44">
        <f ca="1">INDEX([1]!tbl_Forecast,MATCH($D$8&amp;$C14&amp;$D$7,[1]!rng_ForecastRowLookup,0),MATCH(P$11,[1]!rng_ForecastColumnLookup,0))</f>
        <v>903367.54339910217</v>
      </c>
      <c r="Q14" s="44">
        <f ca="1">INDEX([1]!tbl_Forecast,MATCH($D$8&amp;$C14&amp;$D$7,[1]!rng_ForecastRowLookup,0),MATCH(Q$11,[1]!rng_ForecastColumnLookup,0))</f>
        <v>901316.16029185988</v>
      </c>
      <c r="R14" s="44">
        <f ca="1">INDEX([1]!tbl_Forecast,MATCH($D$8&amp;$C14&amp;$D$7,[1]!rng_ForecastRowLookup,0),MATCH(R$11,[1]!rng_ForecastColumnLookup,0))</f>
        <v>899269.43550191447</v>
      </c>
      <c r="S14" s="44">
        <f ca="1">INDEX([1]!tbl_Forecast,MATCH($D$8&amp;$C14&amp;$D$7,[1]!rng_ForecastRowLookup,0),MATCH(S$11,[1]!rng_ForecastColumnLookup,0))</f>
        <v>897227.35845107585</v>
      </c>
      <c r="T14" s="44">
        <f ca="1">INDEX([1]!tbl_Forecast,MATCH($D$8&amp;$C14&amp;$D$7,[1]!rng_ForecastRowLookup,0),MATCH(T$11,[1]!rng_ForecastColumnLookup,0))</f>
        <v>895189.9185851753</v>
      </c>
      <c r="U14" s="44">
        <f ca="1">INDEX([1]!tbl_Forecast,MATCH($D$8&amp;$C14&amp;$D$7,[1]!rng_ForecastRowLookup,0),MATCH(U$11,[1]!rng_ForecastColumnLookup,0))</f>
        <v>893157.10537401051</v>
      </c>
      <c r="V14" s="44">
        <f ca="1">INDEX([1]!tbl_Forecast,MATCH($D$8&amp;$C14&amp;$D$7,[1]!rng_ForecastRowLookup,0),MATCH(V$11,[1]!rng_ForecastColumnLookup,0))</f>
        <v>891128.90831129183</v>
      </c>
      <c r="W14" s="44">
        <f ca="1">INDEX([1]!tbl_Forecast,MATCH($D$8&amp;$C14&amp;$D$7,[1]!rng_ForecastRowLookup,0),MATCH(W$11,[1]!rng_ForecastColumnLookup,0))</f>
        <v>889105.31691458682</v>
      </c>
      <c r="X14" s="44">
        <f ca="1">INDEX([1]!tbl_Forecast,MATCH($D$8&amp;$C14&amp;$D$7,[1]!rng_ForecastRowLookup,0),MATCH(X$11,[1]!rng_ForecastColumnLookup,0))</f>
        <v>887086.32072526717</v>
      </c>
      <c r="Y14" s="44"/>
    </row>
    <row r="15" spans="1:68">
      <c r="C15" s="9" t="s">
        <v>53</v>
      </c>
      <c r="E15" s="44">
        <f ca="1">INDEX([1]!tbl_Forecast,MATCH($D$8&amp;$C15&amp;$D$7,[1]!rng_ForecastRowLookup,0),MATCH(E$11,[1]!rng_ForecastColumnLookup,0))</f>
        <v>211180.07985625503</v>
      </c>
      <c r="F15" s="44">
        <f ca="1">INDEX([1]!tbl_Forecast,MATCH($D$8&amp;$C15&amp;$D$7,[1]!rng_ForecastRowLookup,0),MATCH(F$11,[1]!rng_ForecastColumnLookup,0))</f>
        <v>210700.52836963299</v>
      </c>
      <c r="G15" s="44">
        <f ca="1">INDEX([1]!tbl_Forecast,MATCH($D$8&amp;$C15&amp;$D$7,[1]!rng_ForecastRowLookup,0),MATCH(G$11,[1]!rng_ForecastColumnLookup,0))</f>
        <v>210222.06585706791</v>
      </c>
      <c r="H15" s="44">
        <f ca="1">INDEX([1]!tbl_Forecast,MATCH($D$8&amp;$C15&amp;$D$7,[1]!rng_ForecastRowLookup,0),MATCH(H$11,[1]!rng_ForecastColumnLookup,0))</f>
        <v>209744.68984569819</v>
      </c>
      <c r="I15" s="44">
        <f ca="1">INDEX([1]!tbl_Forecast,MATCH($D$8&amp;$C15&amp;$D$7,[1]!rng_ForecastRowLookup,0),MATCH(I$11,[1]!rng_ForecastColumnLookup,0))</f>
        <v>209268.39786827751</v>
      </c>
      <c r="J15" s="44">
        <f ca="1">INDEX([1]!tbl_Forecast,MATCH($D$8&amp;$C15&amp;$D$7,[1]!rng_ForecastRowLookup,0),MATCH(J$11,[1]!rng_ForecastColumnLookup,0))</f>
        <v>208793.18746316229</v>
      </c>
      <c r="K15" s="44">
        <f ca="1">INDEX([1]!tbl_Forecast,MATCH($D$8&amp;$C15&amp;$D$7,[1]!rng_ForecastRowLookup,0),MATCH(K$11,[1]!rng_ForecastColumnLookup,0))</f>
        <v>208319.05617429892</v>
      </c>
      <c r="L15" s="44">
        <f ca="1">INDEX([1]!tbl_Forecast,MATCH($D$8&amp;$C15&amp;$D$7,[1]!rng_ForecastRowLookup,0),MATCH(L$11,[1]!rng_ForecastColumnLookup,0))</f>
        <v>207846.00155121088</v>
      </c>
      <c r="M15" s="44">
        <f ca="1">INDEX([1]!tbl_Forecast,MATCH($D$8&amp;$C15&amp;$D$7,[1]!rng_ForecastRowLookup,0),MATCH(M$11,[1]!rng_ForecastColumnLookup,0))</f>
        <v>207374.0211489865</v>
      </c>
      <c r="N15" s="44">
        <f ca="1">INDEX([1]!tbl_Forecast,MATCH($D$8&amp;$C15&amp;$D$7,[1]!rng_ForecastRowLookup,0),MATCH(N$11,[1]!rng_ForecastColumnLookup,0))</f>
        <v>206903.11252826577</v>
      </c>
      <c r="O15" s="44">
        <f ca="1">INDEX([1]!tbl_Forecast,MATCH($D$8&amp;$C15&amp;$D$7,[1]!rng_ForecastRowLookup,0),MATCH(O$11,[1]!rng_ForecastColumnLookup,0))</f>
        <v>206433.27325522827</v>
      </c>
      <c r="P15" s="44">
        <f ca="1">INDEX([1]!tbl_Forecast,MATCH($D$8&amp;$C15&amp;$D$7,[1]!rng_ForecastRowLookup,0),MATCH(P$11,[1]!rng_ForecastColumnLookup,0))</f>
        <v>205964.50090158021</v>
      </c>
      <c r="Q15" s="44">
        <f ca="1">INDEX([1]!tbl_Forecast,MATCH($D$8&amp;$C15&amp;$D$7,[1]!rng_ForecastRowLookup,0),MATCH(Q$11,[1]!rng_ForecastColumnLookup,0))</f>
        <v>205496.79304454199</v>
      </c>
      <c r="R15" s="44">
        <f ca="1">INDEX([1]!tbl_Forecast,MATCH($D$8&amp;$C15&amp;$D$7,[1]!rng_ForecastRowLookup,0),MATCH(R$11,[1]!rng_ForecastColumnLookup,0))</f>
        <v>205030.14726683579</v>
      </c>
      <c r="S15" s="44">
        <f ca="1">INDEX([1]!tbl_Forecast,MATCH($D$8&amp;$C15&amp;$D$7,[1]!rng_ForecastRowLookup,0),MATCH(S$11,[1]!rng_ForecastColumnLookup,0))</f>
        <v>204564.56115667295</v>
      </c>
      <c r="T15" s="44">
        <f ca="1">INDEX([1]!tbl_Forecast,MATCH($D$8&amp;$C15&amp;$D$7,[1]!rng_ForecastRowLookup,0),MATCH(T$11,[1]!rng_ForecastColumnLookup,0))</f>
        <v>204100.03230774152</v>
      </c>
      <c r="U15" s="44">
        <f ca="1">INDEX([1]!tbl_Forecast,MATCH($D$8&amp;$C15&amp;$D$7,[1]!rng_ForecastRowLookup,0),MATCH(U$11,[1]!rng_ForecastColumnLookup,0))</f>
        <v>203636.55831919383</v>
      </c>
      <c r="V15" s="44">
        <f ca="1">INDEX([1]!tbl_Forecast,MATCH($D$8&amp;$C15&amp;$D$7,[1]!rng_ForecastRowLookup,0),MATCH(V$11,[1]!rng_ForecastColumnLookup,0))</f>
        <v>203174.13679563423</v>
      </c>
      <c r="W15" s="44">
        <f ca="1">INDEX([1]!tbl_Forecast,MATCH($D$8&amp;$C15&amp;$D$7,[1]!rng_ForecastRowLookup,0),MATCH(W$11,[1]!rng_ForecastColumnLookup,0))</f>
        <v>202712.76534710638</v>
      </c>
      <c r="X15" s="44">
        <f ca="1">INDEX([1]!tbl_Forecast,MATCH($D$8&amp;$C15&amp;$D$7,[1]!rng_ForecastRowLookup,0),MATCH(X$11,[1]!rng_ForecastColumnLookup,0))</f>
        <v>202252.44158908122</v>
      </c>
      <c r="Y15" s="44"/>
    </row>
    <row r="16" spans="1:68">
      <c r="C16" s="9" t="s">
        <v>54</v>
      </c>
      <c r="E16" s="44">
        <f ca="1">INDEX([1]!tbl_Forecast,MATCH($D$8&amp;$C16&amp;$D$7,[1]!rng_ForecastRowLookup,0),MATCH(E$11,[1]!rng_ForecastColumnLookup,0))</f>
        <v>572006.3278356482</v>
      </c>
      <c r="F16" s="44">
        <f ca="1">INDEX([1]!tbl_Forecast,MATCH($D$8&amp;$C16&amp;$D$7,[1]!rng_ForecastRowLookup,0),MATCH(F$11,[1]!rng_ForecastColumnLookup,0))</f>
        <v>565893.30394507048</v>
      </c>
      <c r="G16" s="44">
        <f ca="1">INDEX([1]!tbl_Forecast,MATCH($D$8&amp;$C16&amp;$D$7,[1]!rng_ForecastRowLookup,0),MATCH(G$11,[1]!rng_ForecastColumnLookup,0))</f>
        <v>559845.60985814757</v>
      </c>
      <c r="H16" s="44">
        <f ca="1">INDEX([1]!tbl_Forecast,MATCH($D$8&amp;$C16&amp;$D$7,[1]!rng_ForecastRowLookup,0),MATCH(H$11,[1]!rng_ForecastColumnLookup,0))</f>
        <v>553862.54739615123</v>
      </c>
      <c r="I16" s="44">
        <f ca="1">INDEX([1]!tbl_Forecast,MATCH($D$8&amp;$C16&amp;$D$7,[1]!rng_ForecastRowLookup,0),MATCH(I$11,[1]!rng_ForecastColumnLookup,0))</f>
        <v>547943.42584177968</v>
      </c>
      <c r="J16" s="44">
        <f ca="1">INDEX([1]!tbl_Forecast,MATCH($D$8&amp;$C16&amp;$D$7,[1]!rng_ForecastRowLookup,0),MATCH(J$11,[1]!rng_ForecastColumnLookup,0))</f>
        <v>542087.56185941794</v>
      </c>
      <c r="K16" s="44">
        <f ca="1">INDEX([1]!tbl_Forecast,MATCH($D$8&amp;$C16&amp;$D$7,[1]!rng_ForecastRowLookup,0),MATCH(K$11,[1]!rng_ForecastColumnLookup,0))</f>
        <v>536294.27941624937</v>
      </c>
      <c r="L16" s="44">
        <f ca="1">INDEX([1]!tbl_Forecast,MATCH($D$8&amp;$C16&amp;$D$7,[1]!rng_ForecastRowLookup,0),MATCH(L$11,[1]!rng_ForecastColumnLookup,0))</f>
        <v>530562.90970421082</v>
      </c>
      <c r="M16" s="44">
        <f ca="1">INDEX([1]!tbl_Forecast,MATCH($D$8&amp;$C16&amp;$D$7,[1]!rng_ForecastRowLookup,0),MATCH(M$11,[1]!rng_ForecastColumnLookup,0))</f>
        <v>524892.79106278194</v>
      </c>
      <c r="N16" s="44">
        <f ca="1">INDEX([1]!tbl_Forecast,MATCH($D$8&amp;$C16&amp;$D$7,[1]!rng_ForecastRowLookup,0),MATCH(N$11,[1]!rng_ForecastColumnLookup,0))</f>
        <v>519283.26890259917</v>
      </c>
      <c r="O16" s="44">
        <f ca="1">INDEX([1]!tbl_Forecast,MATCH($D$8&amp;$C16&amp;$D$7,[1]!rng_ForecastRowLookup,0),MATCH(O$11,[1]!rng_ForecastColumnLookup,0))</f>
        <v>513733.69562988722</v>
      </c>
      <c r="P16" s="44">
        <f ca="1">INDEX([1]!tbl_Forecast,MATCH($D$8&amp;$C16&amp;$D$7,[1]!rng_ForecastRowLookup,0),MATCH(P$11,[1]!rng_ForecastColumnLookup,0))</f>
        <v>508243.4305716962</v>
      </c>
      <c r="Q16" s="44">
        <f ca="1">INDEX([1]!tbl_Forecast,MATCH($D$8&amp;$C16&amp;$D$7,[1]!rng_ForecastRowLookup,0),MATCH(Q$11,[1]!rng_ForecastColumnLookup,0))</f>
        <v>502811.8399019395</v>
      </c>
      <c r="R16" s="44">
        <f ca="1">INDEX([1]!tbl_Forecast,MATCH($D$8&amp;$C16&amp;$D$7,[1]!rng_ForecastRowLookup,0),MATCH(R$11,[1]!rng_ForecastColumnLookup,0))</f>
        <v>497438.2965682213</v>
      </c>
      <c r="S16" s="44">
        <f ca="1">INDEX([1]!tbl_Forecast,MATCH($D$8&amp;$C16&amp;$D$7,[1]!rng_ForecastRowLookup,0),MATCH(S$11,[1]!rng_ForecastColumnLookup,0))</f>
        <v>492122.18021944637</v>
      </c>
      <c r="T16" s="44">
        <f ca="1">INDEX([1]!tbl_Forecast,MATCH($D$8&amp;$C16&amp;$D$7,[1]!rng_ForecastRowLookup,0),MATCH(T$11,[1]!rng_ForecastColumnLookup,0))</f>
        <v>486862.87713420321</v>
      </c>
      <c r="U16" s="44">
        <f ca="1">INDEX([1]!tbl_Forecast,MATCH($D$8&amp;$C16&amp;$D$7,[1]!rng_ForecastRowLookup,0),MATCH(U$11,[1]!rng_ForecastColumnLookup,0))</f>
        <v>481659.78014991269</v>
      </c>
      <c r="V16" s="44">
        <f ca="1">INDEX([1]!tbl_Forecast,MATCH($D$8&amp;$C16&amp;$D$7,[1]!rng_ForecastRowLookup,0),MATCH(V$11,[1]!rng_ForecastColumnLookup,0))</f>
        <v>476512.28859273402</v>
      </c>
      <c r="W16" s="44">
        <f ca="1">INDEX([1]!tbl_Forecast,MATCH($D$8&amp;$C16&amp;$D$7,[1]!rng_ForecastRowLookup,0),MATCH(W$11,[1]!rng_ForecastColumnLookup,0))</f>
        <v>471419.80820821953</v>
      </c>
      <c r="X16" s="44">
        <f ca="1">INDEX([1]!tbl_Forecast,MATCH($D$8&amp;$C16&amp;$D$7,[1]!rng_ForecastRowLookup,0),MATCH(X$11,[1]!rng_ForecastColumnLookup,0))</f>
        <v>466381.75109271082</v>
      </c>
      <c r="Y16" s="44"/>
    </row>
    <row r="17" spans="1:32">
      <c r="E17" s="44"/>
      <c r="F17" s="44"/>
      <c r="G17" s="44"/>
      <c r="H17" s="44"/>
      <c r="I17" s="44"/>
      <c r="J17" s="44"/>
      <c r="K17" s="44"/>
      <c r="L17" s="44"/>
      <c r="M17" s="44"/>
      <c r="N17" s="44"/>
      <c r="O17" s="44"/>
      <c r="P17" s="44"/>
      <c r="Q17" s="44"/>
      <c r="R17" s="44"/>
      <c r="S17" s="44"/>
      <c r="T17" s="44"/>
      <c r="U17" s="44"/>
      <c r="V17" s="44"/>
      <c r="W17" s="44"/>
      <c r="X17" s="44"/>
      <c r="Y17" s="44"/>
    </row>
    <row r="18" spans="1:32">
      <c r="B18" s="9" t="s">
        <v>61</v>
      </c>
      <c r="C18" s="9" t="s">
        <v>62</v>
      </c>
      <c r="E18" s="44">
        <f t="shared" ref="E18:X18" ca="1" si="1">SUM(E13:E16)</f>
        <v>5912957.9357845243</v>
      </c>
      <c r="F18" s="44">
        <f t="shared" ca="1" si="1"/>
        <v>5894716.7373226183</v>
      </c>
      <c r="G18" s="44">
        <f t="shared" ca="1" si="1"/>
        <v>5876568.4091907088</v>
      </c>
      <c r="H18" s="44">
        <f t="shared" ca="1" si="1"/>
        <v>5858512.1906713378</v>
      </c>
      <c r="I18" s="44">
        <f t="shared" ca="1" si="1"/>
        <v>5840547.3286504922</v>
      </c>
      <c r="J18" s="44">
        <f t="shared" ca="1" si="1"/>
        <v>5822673.077537531</v>
      </c>
      <c r="K18" s="44">
        <f t="shared" ca="1" si="1"/>
        <v>5804888.6991859814</v>
      </c>
      <c r="L18" s="44">
        <f t="shared" ca="1" si="1"/>
        <v>5787193.462815172</v>
      </c>
      <c r="M18" s="44">
        <f t="shared" ca="1" si="1"/>
        <v>5769586.6449326966</v>
      </c>
      <c r="N18" s="44">
        <f t="shared" ca="1" si="1"/>
        <v>5752067.5292577213</v>
      </c>
      <c r="O18" s="44">
        <f t="shared" ca="1" si="1"/>
        <v>5734635.406645081</v>
      </c>
      <c r="P18" s="44">
        <f t="shared" ca="1" si="1"/>
        <v>5717289.5750102066</v>
      </c>
      <c r="Q18" s="44">
        <f t="shared" ca="1" si="1"/>
        <v>5700029.3392548524</v>
      </c>
      <c r="R18" s="44">
        <f t="shared" ca="1" si="1"/>
        <v>5682854.0111935912</v>
      </c>
      <c r="S18" s="44">
        <f t="shared" ca="1" si="1"/>
        <v>5665762.9094811222</v>
      </c>
      <c r="T18" s="44">
        <f t="shared" ca="1" si="1"/>
        <v>5648755.3595403275</v>
      </c>
      <c r="U18" s="44">
        <f t="shared" ca="1" si="1"/>
        <v>5631830.6934911208</v>
      </c>
      <c r="V18" s="44">
        <f t="shared" ca="1" si="1"/>
        <v>5614988.250080023</v>
      </c>
      <c r="W18" s="44">
        <f t="shared" ca="1" si="1"/>
        <v>5598227.3746105134</v>
      </c>
      <c r="X18" s="44">
        <f t="shared" ca="1" si="1"/>
        <v>5581547.4188741138</v>
      </c>
      <c r="Y18" s="44"/>
      <c r="Z18" s="44"/>
    </row>
    <row r="19" spans="1:32">
      <c r="E19" s="44"/>
      <c r="F19" s="44"/>
      <c r="G19" s="44"/>
      <c r="H19" s="44"/>
      <c r="I19" s="44"/>
      <c r="J19" s="44"/>
      <c r="K19" s="44"/>
      <c r="L19" s="44"/>
      <c r="M19" s="44"/>
      <c r="N19" s="44"/>
      <c r="O19" s="44"/>
      <c r="P19" s="44"/>
      <c r="Q19" s="44"/>
      <c r="R19" s="44"/>
      <c r="S19" s="44"/>
      <c r="T19" s="44"/>
      <c r="U19" s="44"/>
      <c r="V19" s="44"/>
      <c r="W19" s="44"/>
      <c r="X19" s="44"/>
      <c r="Y19" s="44"/>
    </row>
    <row r="20" spans="1:32">
      <c r="E20" s="44"/>
      <c r="F20" s="44"/>
      <c r="G20" s="44"/>
      <c r="H20" s="44"/>
      <c r="I20" s="44"/>
      <c r="J20" s="44"/>
      <c r="K20" s="44"/>
      <c r="L20" s="44"/>
      <c r="M20" s="44"/>
      <c r="N20" s="44"/>
      <c r="O20" s="44"/>
      <c r="P20" s="44"/>
      <c r="Q20" s="44"/>
      <c r="R20" s="44"/>
      <c r="S20" s="44"/>
      <c r="T20" s="44"/>
      <c r="U20" s="44"/>
      <c r="V20" s="44"/>
      <c r="W20" s="44"/>
      <c r="X20" s="44"/>
      <c r="Y20" s="44"/>
    </row>
    <row r="21" spans="1:32" ht="15">
      <c r="A21" s="86" t="s">
        <v>148</v>
      </c>
      <c r="E21" s="44"/>
      <c r="F21" s="44"/>
      <c r="G21" s="44"/>
      <c r="H21" s="44"/>
      <c r="I21" s="44"/>
      <c r="J21" s="44"/>
      <c r="K21" s="44"/>
      <c r="L21" s="44"/>
      <c r="M21" s="44"/>
      <c r="N21" s="44"/>
      <c r="O21" s="44"/>
      <c r="P21" s="44"/>
      <c r="Q21" s="44"/>
      <c r="R21" s="44"/>
      <c r="S21" s="44"/>
      <c r="T21" s="44"/>
      <c r="U21" s="44"/>
      <c r="V21" s="44"/>
      <c r="W21" s="44"/>
      <c r="X21" s="44"/>
      <c r="Y21" s="44"/>
    </row>
    <row r="22" spans="1:32" ht="15">
      <c r="A22" s="9" t="s">
        <v>157</v>
      </c>
      <c r="E22" s="68">
        <v>1</v>
      </c>
      <c r="F22" s="68">
        <v>2</v>
      </c>
      <c r="G22" s="68">
        <v>3</v>
      </c>
      <c r="H22" s="68">
        <v>4</v>
      </c>
      <c r="I22" s="68">
        <v>5</v>
      </c>
      <c r="J22" s="68">
        <v>6</v>
      </c>
      <c r="K22" s="68">
        <v>7</v>
      </c>
      <c r="L22" s="68">
        <v>8</v>
      </c>
      <c r="M22" s="68">
        <v>9</v>
      </c>
      <c r="N22" s="68">
        <v>10</v>
      </c>
      <c r="O22" s="68">
        <v>11</v>
      </c>
      <c r="P22" s="68">
        <v>12</v>
      </c>
      <c r="Q22" s="68">
        <v>13</v>
      </c>
      <c r="R22" s="68">
        <v>14</v>
      </c>
      <c r="S22" s="68">
        <v>15</v>
      </c>
      <c r="T22" s="68">
        <v>16</v>
      </c>
      <c r="U22" s="68">
        <v>17</v>
      </c>
      <c r="V22" s="68">
        <v>18</v>
      </c>
      <c r="W22" s="68">
        <v>19</v>
      </c>
      <c r="X22" s="68">
        <v>20</v>
      </c>
      <c r="Y22" s="68"/>
    </row>
    <row r="23" spans="1:32">
      <c r="C23" s="9" t="str">
        <f>C13</f>
        <v>Single Family</v>
      </c>
      <c r="E23" s="44">
        <f>IF(E$22&lt;=1/$C$43,0,INDEX('SC-New (2)'!$E136:$Y136,1,ROUND(E$22-1/$C$43,0)))</f>
        <v>0</v>
      </c>
      <c r="F23" s="44">
        <f>IF(F$22&lt;=1/$C$43,0,INDEX('SC-New (2)'!$E136:$Y136,1,ROUND(F$22-1/$C$43,0)))</f>
        <v>0</v>
      </c>
      <c r="G23" s="44">
        <f>IF(G$22&lt;=1/$C$43,0,INDEX('SC-New (2)'!$E136:$Y136,1,ROUND(G$22-1/$C$43,0)))</f>
        <v>0</v>
      </c>
      <c r="H23" s="44">
        <f>IF(H$22&lt;=1/$C$43,0,INDEX('SC-New (2)'!$E136:$Y136,1,ROUND(H$22-1/$C$43,0)))</f>
        <v>0</v>
      </c>
      <c r="I23" s="44">
        <f>IF(I$22&lt;=1/$C$43,0,INDEX('SC-New (2)'!$E136:$Y136,1,ROUND(I$22-1/$C$43,0)))</f>
        <v>0</v>
      </c>
      <c r="J23" s="44">
        <f>IF(J$22&lt;=1/$C$43,0,INDEX('SC-New (2)'!$E136:$Y136,1,ROUND(J$22-1/$C$43,0)))</f>
        <v>0</v>
      </c>
      <c r="K23" s="44">
        <f>IF(K$22&lt;=1/$C$43,0,INDEX('SC-New (2)'!$E136:$Y136,1,ROUND(K$22-1/$C$43,0)))</f>
        <v>0</v>
      </c>
      <c r="L23" s="44">
        <f>IF(L$22&lt;=1/$C$43,0,INDEX('SC-New (2)'!$E136:$Y136,1,ROUND(L$22-1/$C$43,0)))</f>
        <v>0</v>
      </c>
      <c r="M23" s="44">
        <f>IF(M$22&lt;=1/$C$43,0,INDEX('SC-New (2)'!$E136:$Y136,1,ROUND(M$22-1/$C$43,0)))</f>
        <v>0</v>
      </c>
      <c r="N23" s="44">
        <f>IF(N$22&lt;=1/$C$43,0,INDEX('SC-New (2)'!$E136:$Y136,1,ROUND(N$22-1/$C$43,0)))</f>
        <v>0</v>
      </c>
      <c r="O23" s="44">
        <f>IF(O$22&lt;=1/$C$43,0,INDEX('SC-New (2)'!$E136:$Y136,1,ROUND(O$22-1/$C$43,0)))</f>
        <v>0</v>
      </c>
      <c r="P23" s="44">
        <f>IF(P$22&lt;=1/$C$43,0,INDEX('SC-New (2)'!$E136:$Y136,1,ROUND(P$22-1/$C$43,0)))</f>
        <v>0</v>
      </c>
      <c r="Q23" s="44">
        <f>IF(Q$22&lt;=1/$C$43,0,INDEX('SC-New (2)'!$E136:$Y136,1,ROUND(Q$22-1/$C$43,0)))</f>
        <v>0</v>
      </c>
      <c r="R23" s="44">
        <f>IF(R$22&lt;=1/$C$43,0,INDEX('SC-New (2)'!$E136:$Y136,1,ROUND(R$22-1/$C$43,0)))</f>
        <v>0</v>
      </c>
      <c r="S23" s="44">
        <f>IF(S$22&lt;=1/$C$43,0,INDEX('SC-New (2)'!$E136:$Y136,1,ROUND(S$22-1/$C$43,0)))</f>
        <v>0</v>
      </c>
      <c r="T23" s="44">
        <f>IF(T$22&lt;=1/$C$43,0,INDEX('SC-New (2)'!$E136:$Y136,1,ROUND(T$22-1/$C$43,0)))</f>
        <v>0</v>
      </c>
      <c r="U23" s="44">
        <f>IF(U$22&lt;=1/$C$43,0,INDEX('SC-New (2)'!$E136:$Y136,1,ROUND(U$22-1/$C$43,0)))</f>
        <v>0</v>
      </c>
      <c r="V23" s="44">
        <f>IF(V$22&lt;=1/$C$43,0,INDEX('SC-New (2)'!$E136:$Y136,1,ROUND(V$22-1/$C$43,0)))</f>
        <v>0</v>
      </c>
      <c r="W23" s="44">
        <f>IF(W$22&lt;=1/$C$43,0,INDEX('SC-New (2)'!$E136:$Y136,1,ROUND(W$22-1/$C$43,0)))</f>
        <v>0</v>
      </c>
      <c r="X23" s="44">
        <f>IF(X$22&lt;=1/$C$43,0,INDEX('SC-New (2)'!$E136:$Y136,1,ROUND(X$22-1/$C$43,0)))</f>
        <v>0</v>
      </c>
      <c r="Y23" s="44"/>
      <c r="Z23" s="44"/>
      <c r="AB23" s="44"/>
      <c r="AC23" s="44"/>
      <c r="AD23" s="44"/>
      <c r="AE23" s="44"/>
      <c r="AF23" s="44"/>
    </row>
    <row r="24" spans="1:32">
      <c r="C24" s="9" t="str">
        <f>C14</f>
        <v>Multifamily - Low Rise</v>
      </c>
      <c r="E24" s="44">
        <f>IF(E$22&lt;=1/$C$43,0,INDEX('SC-New (2)'!$E137:$Y137,1,ROUND(E$22-1/$C$43,0)))</f>
        <v>0</v>
      </c>
      <c r="F24" s="44">
        <f>IF(F$22&lt;=1/$C$43,0,INDEX('SC-New (2)'!$E137:$Y137,1,ROUND(F$22-1/$C$43,0)))</f>
        <v>0</v>
      </c>
      <c r="G24" s="44">
        <f>IF(G$22&lt;=1/$C$43,0,INDEX('SC-New (2)'!$E137:$Y137,1,ROUND(G$22-1/$C$43,0)))</f>
        <v>0</v>
      </c>
      <c r="H24" s="44">
        <f>IF(H$22&lt;=1/$C$43,0,INDEX('SC-New (2)'!$E137:$Y137,1,ROUND(H$22-1/$C$43,0)))</f>
        <v>0</v>
      </c>
      <c r="I24" s="44">
        <f>IF(I$22&lt;=1/$C$43,0,INDEX('SC-New (2)'!$E137:$Y137,1,ROUND(I$22-1/$C$43,0)))</f>
        <v>0</v>
      </c>
      <c r="J24" s="44">
        <f>IF(J$22&lt;=1/$C$43,0,INDEX('SC-New (2)'!$E137:$Y137,1,ROUND(J$22-1/$C$43,0)))</f>
        <v>0</v>
      </c>
      <c r="K24" s="44">
        <f>IF(K$22&lt;=1/$C$43,0,INDEX('SC-New (2)'!$E137:$Y137,1,ROUND(K$22-1/$C$43,0)))</f>
        <v>0</v>
      </c>
      <c r="L24" s="44">
        <f>IF(L$22&lt;=1/$C$43,0,INDEX('SC-New (2)'!$E137:$Y137,1,ROUND(L$22-1/$C$43,0)))</f>
        <v>0</v>
      </c>
      <c r="M24" s="44">
        <f>IF(M$22&lt;=1/$C$43,0,INDEX('SC-New (2)'!$E137:$Y137,1,ROUND(M$22-1/$C$43,0)))</f>
        <v>0</v>
      </c>
      <c r="N24" s="44">
        <f>IF(N$22&lt;=1/$C$43,0,INDEX('SC-New (2)'!$E137:$Y137,1,ROUND(N$22-1/$C$43,0)))</f>
        <v>0</v>
      </c>
      <c r="O24" s="44">
        <f>IF(O$22&lt;=1/$C$43,0,INDEX('SC-New (2)'!$E137:$Y137,1,ROUND(O$22-1/$C$43,0)))</f>
        <v>0</v>
      </c>
      <c r="P24" s="44">
        <f>IF(P$22&lt;=1/$C$43,0,INDEX('SC-New (2)'!$E137:$Y137,1,ROUND(P$22-1/$C$43,0)))</f>
        <v>0</v>
      </c>
      <c r="Q24" s="44">
        <f>IF(Q$22&lt;=1/$C$43,0,INDEX('SC-New (2)'!$E137:$Y137,1,ROUND(Q$22-1/$C$43,0)))</f>
        <v>0</v>
      </c>
      <c r="R24" s="44">
        <f>IF(R$22&lt;=1/$C$43,0,INDEX('SC-New (2)'!$E137:$Y137,1,ROUND(R$22-1/$C$43,0)))</f>
        <v>0</v>
      </c>
      <c r="S24" s="44">
        <f>IF(S$22&lt;=1/$C$43,0,INDEX('SC-New (2)'!$E137:$Y137,1,ROUND(S$22-1/$C$43,0)))</f>
        <v>0</v>
      </c>
      <c r="T24" s="44">
        <f>IF(T$22&lt;=1/$C$43,0,INDEX('SC-New (2)'!$E137:$Y137,1,ROUND(T$22-1/$C$43,0)))</f>
        <v>0</v>
      </c>
      <c r="U24" s="44">
        <f>IF(U$22&lt;=1/$C$43,0,INDEX('SC-New (2)'!$E137:$Y137,1,ROUND(U$22-1/$C$43,0)))</f>
        <v>0</v>
      </c>
      <c r="V24" s="44">
        <f>IF(V$22&lt;=1/$C$43,0,INDEX('SC-New (2)'!$E137:$Y137,1,ROUND(V$22-1/$C$43,0)))</f>
        <v>0</v>
      </c>
      <c r="W24" s="44">
        <f>IF(W$22&lt;=1/$C$43,0,INDEX('SC-New (2)'!$E137:$Y137,1,ROUND(W$22-1/$C$43,0)))</f>
        <v>0</v>
      </c>
      <c r="X24" s="44">
        <f>IF(X$22&lt;=1/$C$43,0,INDEX('SC-New (2)'!$E137:$Y137,1,ROUND(X$22-1/$C$43,0)))</f>
        <v>0</v>
      </c>
      <c r="Y24" s="44"/>
      <c r="Z24" s="44"/>
      <c r="AB24" s="44"/>
      <c r="AC24" s="44"/>
      <c r="AD24" s="44"/>
      <c r="AE24" s="44"/>
      <c r="AF24" s="44"/>
    </row>
    <row r="25" spans="1:32">
      <c r="C25" s="9" t="str">
        <f>C15</f>
        <v>Multifamily - High Rise</v>
      </c>
      <c r="E25" s="44">
        <f>IF(E$22&lt;=1/$C$43,0,INDEX('SC-New (2)'!$E138:$Y138,1,ROUND(E$22-1/$C$43,0)))</f>
        <v>0</v>
      </c>
      <c r="F25" s="44">
        <f>IF(F$22&lt;=1/$C$43,0,INDEX('SC-New (2)'!$E138:$Y138,1,ROUND(F$22-1/$C$43,0)))</f>
        <v>0</v>
      </c>
      <c r="G25" s="44">
        <f>IF(G$22&lt;=1/$C$43,0,INDEX('SC-New (2)'!$E138:$Y138,1,ROUND(G$22-1/$C$43,0)))</f>
        <v>0</v>
      </c>
      <c r="H25" s="44">
        <f>IF(H$22&lt;=1/$C$43,0,INDEX('SC-New (2)'!$E138:$Y138,1,ROUND(H$22-1/$C$43,0)))</f>
        <v>0</v>
      </c>
      <c r="I25" s="44">
        <f>IF(I$22&lt;=1/$C$43,0,INDEX('SC-New (2)'!$E138:$Y138,1,ROUND(I$22-1/$C$43,0)))</f>
        <v>0</v>
      </c>
      <c r="J25" s="44">
        <f>IF(J$22&lt;=1/$C$43,0,INDEX('SC-New (2)'!$E138:$Y138,1,ROUND(J$22-1/$C$43,0)))</f>
        <v>0</v>
      </c>
      <c r="K25" s="44">
        <f>IF(K$22&lt;=1/$C$43,0,INDEX('SC-New (2)'!$E138:$Y138,1,ROUND(K$22-1/$C$43,0)))</f>
        <v>0</v>
      </c>
      <c r="L25" s="44">
        <f>IF(L$22&lt;=1/$C$43,0,INDEX('SC-New (2)'!$E138:$Y138,1,ROUND(L$22-1/$C$43,0)))</f>
        <v>0</v>
      </c>
      <c r="M25" s="44">
        <f>IF(M$22&lt;=1/$C$43,0,INDEX('SC-New (2)'!$E138:$Y138,1,ROUND(M$22-1/$C$43,0)))</f>
        <v>0</v>
      </c>
      <c r="N25" s="44">
        <f>IF(N$22&lt;=1/$C$43,0,INDEX('SC-New (2)'!$E138:$Y138,1,ROUND(N$22-1/$C$43,0)))</f>
        <v>0</v>
      </c>
      <c r="O25" s="44">
        <f>IF(O$22&lt;=1/$C$43,0,INDEX('SC-New (2)'!$E138:$Y138,1,ROUND(O$22-1/$C$43,0)))</f>
        <v>0</v>
      </c>
      <c r="P25" s="44">
        <f>IF(P$22&lt;=1/$C$43,0,INDEX('SC-New (2)'!$E138:$Y138,1,ROUND(P$22-1/$C$43,0)))</f>
        <v>0</v>
      </c>
      <c r="Q25" s="44">
        <f>IF(Q$22&lt;=1/$C$43,0,INDEX('SC-New (2)'!$E138:$Y138,1,ROUND(Q$22-1/$C$43,0)))</f>
        <v>0</v>
      </c>
      <c r="R25" s="44">
        <f>IF(R$22&lt;=1/$C$43,0,INDEX('SC-New (2)'!$E138:$Y138,1,ROUND(R$22-1/$C$43,0)))</f>
        <v>0</v>
      </c>
      <c r="S25" s="44">
        <f>IF(S$22&lt;=1/$C$43,0,INDEX('SC-New (2)'!$E138:$Y138,1,ROUND(S$22-1/$C$43,0)))</f>
        <v>0</v>
      </c>
      <c r="T25" s="44">
        <f>IF(T$22&lt;=1/$C$43,0,INDEX('SC-New (2)'!$E138:$Y138,1,ROUND(T$22-1/$C$43,0)))</f>
        <v>0</v>
      </c>
      <c r="U25" s="44">
        <f>IF(U$22&lt;=1/$C$43,0,INDEX('SC-New (2)'!$E138:$Y138,1,ROUND(U$22-1/$C$43,0)))</f>
        <v>0</v>
      </c>
      <c r="V25" s="44">
        <f>IF(V$22&lt;=1/$C$43,0,INDEX('SC-New (2)'!$E138:$Y138,1,ROUND(V$22-1/$C$43,0)))</f>
        <v>0</v>
      </c>
      <c r="W25" s="44">
        <f>IF(W$22&lt;=1/$C$43,0,INDEX('SC-New (2)'!$E138:$Y138,1,ROUND(W$22-1/$C$43,0)))</f>
        <v>0</v>
      </c>
      <c r="X25" s="44">
        <f>IF(X$22&lt;=1/$C$43,0,INDEX('SC-New (2)'!$E138:$Y138,1,ROUND(X$22-1/$C$43,0)))</f>
        <v>0</v>
      </c>
      <c r="Y25" s="44"/>
      <c r="Z25" s="44"/>
      <c r="AB25" s="44"/>
      <c r="AC25" s="44"/>
      <c r="AD25" s="44"/>
      <c r="AE25" s="44"/>
      <c r="AF25" s="44"/>
    </row>
    <row r="26" spans="1:32">
      <c r="C26" s="9" t="str">
        <f>C16</f>
        <v>Manufactured</v>
      </c>
      <c r="E26" s="44">
        <f>IF(E$22&lt;=1/$C$43,0,INDEX('SC-New (2)'!$E139:$Y139,1,ROUND(E$22-1/$C$43,0)))</f>
        <v>0</v>
      </c>
      <c r="F26" s="44">
        <f>IF(F$22&lt;=1/$C$43,0,INDEX('SC-New (2)'!$E139:$Y139,1,ROUND(F$22-1/$C$43,0)))</f>
        <v>0</v>
      </c>
      <c r="G26" s="44">
        <f>IF(G$22&lt;=1/$C$43,0,INDEX('SC-New (2)'!$E139:$Y139,1,ROUND(G$22-1/$C$43,0)))</f>
        <v>0</v>
      </c>
      <c r="H26" s="44">
        <f>IF(H$22&lt;=1/$C$43,0,INDEX('SC-New (2)'!$E139:$Y139,1,ROUND(H$22-1/$C$43,0)))</f>
        <v>0</v>
      </c>
      <c r="I26" s="44">
        <f>IF(I$22&lt;=1/$C$43,0,INDEX('SC-New (2)'!$E139:$Y139,1,ROUND(I$22-1/$C$43,0)))</f>
        <v>0</v>
      </c>
      <c r="J26" s="44">
        <f>IF(J$22&lt;=1/$C$43,0,INDEX('SC-New (2)'!$E139:$Y139,1,ROUND(J$22-1/$C$43,0)))</f>
        <v>0</v>
      </c>
      <c r="K26" s="44">
        <f>IF(K$22&lt;=1/$C$43,0,INDEX('SC-New (2)'!$E139:$Y139,1,ROUND(K$22-1/$C$43,0)))</f>
        <v>0</v>
      </c>
      <c r="L26" s="44">
        <f>IF(L$22&lt;=1/$C$43,0,INDEX('SC-New (2)'!$E139:$Y139,1,ROUND(L$22-1/$C$43,0)))</f>
        <v>0</v>
      </c>
      <c r="M26" s="44">
        <f>IF(M$22&lt;=1/$C$43,0,INDEX('SC-New (2)'!$E139:$Y139,1,ROUND(M$22-1/$C$43,0)))</f>
        <v>0</v>
      </c>
      <c r="N26" s="44">
        <f>IF(N$22&lt;=1/$C$43,0,INDEX('SC-New (2)'!$E139:$Y139,1,ROUND(N$22-1/$C$43,0)))</f>
        <v>0</v>
      </c>
      <c r="O26" s="44">
        <f>IF(O$22&lt;=1/$C$43,0,INDEX('SC-New (2)'!$E139:$Y139,1,ROUND(O$22-1/$C$43,0)))</f>
        <v>0</v>
      </c>
      <c r="P26" s="44">
        <f>IF(P$22&lt;=1/$C$43,0,INDEX('SC-New (2)'!$E139:$Y139,1,ROUND(P$22-1/$C$43,0)))</f>
        <v>0</v>
      </c>
      <c r="Q26" s="44">
        <f>IF(Q$22&lt;=1/$C$43,0,INDEX('SC-New (2)'!$E139:$Y139,1,ROUND(Q$22-1/$C$43,0)))</f>
        <v>0</v>
      </c>
      <c r="R26" s="44">
        <f>IF(R$22&lt;=1/$C$43,0,INDEX('SC-New (2)'!$E139:$Y139,1,ROUND(R$22-1/$C$43,0)))</f>
        <v>0</v>
      </c>
      <c r="S26" s="44">
        <f>IF(S$22&lt;=1/$C$43,0,INDEX('SC-New (2)'!$E139:$Y139,1,ROUND(S$22-1/$C$43,0)))</f>
        <v>0</v>
      </c>
      <c r="T26" s="44">
        <f>IF(T$22&lt;=1/$C$43,0,INDEX('SC-New (2)'!$E139:$Y139,1,ROUND(T$22-1/$C$43,0)))</f>
        <v>0</v>
      </c>
      <c r="U26" s="44">
        <f>IF(U$22&lt;=1/$C$43,0,INDEX('SC-New (2)'!$E139:$Y139,1,ROUND(U$22-1/$C$43,0)))</f>
        <v>0</v>
      </c>
      <c r="V26" s="44">
        <f>IF(V$22&lt;=1/$C$43,0,INDEX('SC-New (2)'!$E139:$Y139,1,ROUND(V$22-1/$C$43,0)))</f>
        <v>0</v>
      </c>
      <c r="W26" s="44">
        <f>IF(W$22&lt;=1/$C$43,0,INDEX('SC-New (2)'!$E139:$Y139,1,ROUND(W$22-1/$C$43,0)))</f>
        <v>0</v>
      </c>
      <c r="X26" s="44">
        <f>IF(X$22&lt;=1/$C$43,0,INDEX('SC-New (2)'!$E139:$Y139,1,ROUND(X$22-1/$C$43,0)))</f>
        <v>0</v>
      </c>
      <c r="Y26" s="44"/>
      <c r="Z26" s="44"/>
      <c r="AB26" s="44"/>
      <c r="AC26" s="44"/>
      <c r="AD26" s="44"/>
      <c r="AE26" s="44"/>
      <c r="AF26" s="44"/>
    </row>
    <row r="27" spans="1:32">
      <c r="E27" s="44"/>
      <c r="F27" s="44"/>
      <c r="G27" s="44"/>
      <c r="H27" s="44"/>
      <c r="I27" s="44"/>
      <c r="J27" s="44"/>
      <c r="K27" s="44"/>
      <c r="L27" s="44"/>
      <c r="M27" s="44"/>
      <c r="N27" s="44"/>
      <c r="O27" s="44"/>
      <c r="P27" s="44"/>
      <c r="Q27" s="44"/>
      <c r="R27" s="44"/>
      <c r="S27" s="44"/>
      <c r="T27" s="44"/>
      <c r="U27" s="44"/>
      <c r="V27" s="44"/>
      <c r="W27" s="44"/>
      <c r="X27" s="44"/>
      <c r="Y27" s="44"/>
      <c r="Z27" s="44"/>
      <c r="AB27" s="44"/>
      <c r="AC27" s="44"/>
      <c r="AD27" s="44"/>
      <c r="AE27" s="44"/>
      <c r="AF27" s="44"/>
    </row>
    <row r="28" spans="1:32">
      <c r="C28" s="9" t="s">
        <v>149</v>
      </c>
      <c r="E28" s="44">
        <f t="shared" ref="E28:X28" si="2">SUM(E23:E26)</f>
        <v>0</v>
      </c>
      <c r="F28" s="44">
        <f t="shared" si="2"/>
        <v>0</v>
      </c>
      <c r="G28" s="44">
        <f t="shared" si="2"/>
        <v>0</v>
      </c>
      <c r="H28" s="44">
        <f t="shared" si="2"/>
        <v>0</v>
      </c>
      <c r="I28" s="44">
        <f t="shared" si="2"/>
        <v>0</v>
      </c>
      <c r="J28" s="44">
        <f t="shared" si="2"/>
        <v>0</v>
      </c>
      <c r="K28" s="44">
        <f t="shared" si="2"/>
        <v>0</v>
      </c>
      <c r="L28" s="44">
        <f t="shared" si="2"/>
        <v>0</v>
      </c>
      <c r="M28" s="44">
        <f t="shared" si="2"/>
        <v>0</v>
      </c>
      <c r="N28" s="44">
        <f t="shared" si="2"/>
        <v>0</v>
      </c>
      <c r="O28" s="44">
        <f t="shared" si="2"/>
        <v>0</v>
      </c>
      <c r="P28" s="44">
        <f t="shared" si="2"/>
        <v>0</v>
      </c>
      <c r="Q28" s="44">
        <f t="shared" si="2"/>
        <v>0</v>
      </c>
      <c r="R28" s="44">
        <f t="shared" si="2"/>
        <v>0</v>
      </c>
      <c r="S28" s="44">
        <f t="shared" si="2"/>
        <v>0</v>
      </c>
      <c r="T28" s="44">
        <f t="shared" si="2"/>
        <v>0</v>
      </c>
      <c r="U28" s="44">
        <f t="shared" si="2"/>
        <v>0</v>
      </c>
      <c r="V28" s="44">
        <f t="shared" si="2"/>
        <v>0</v>
      </c>
      <c r="W28" s="44">
        <f t="shared" si="2"/>
        <v>0</v>
      </c>
      <c r="X28" s="44">
        <f t="shared" si="2"/>
        <v>0</v>
      </c>
      <c r="Y28" s="44"/>
      <c r="Z28" s="44"/>
      <c r="AB28" s="44"/>
      <c r="AC28" s="44"/>
      <c r="AD28" s="44"/>
      <c r="AE28" s="44"/>
      <c r="AF28" s="44"/>
    </row>
    <row r="29" spans="1:32">
      <c r="E29" s="44"/>
      <c r="F29" s="44"/>
      <c r="G29" s="44"/>
      <c r="H29" s="44"/>
      <c r="I29" s="44"/>
      <c r="J29" s="44"/>
      <c r="K29" s="44"/>
      <c r="L29" s="44"/>
      <c r="M29" s="44"/>
      <c r="N29" s="44"/>
      <c r="O29" s="44"/>
      <c r="P29" s="44"/>
      <c r="Q29" s="44"/>
      <c r="R29" s="44"/>
      <c r="S29" s="44"/>
      <c r="T29" s="44"/>
      <c r="U29" s="44"/>
      <c r="V29" s="44"/>
      <c r="W29" s="44"/>
      <c r="X29" s="44"/>
      <c r="Y29" s="44"/>
    </row>
    <row r="30" spans="1:32">
      <c r="E30" s="44"/>
      <c r="F30" s="44"/>
      <c r="G30" s="44"/>
      <c r="H30" s="44"/>
      <c r="I30" s="44"/>
      <c r="J30" s="44"/>
      <c r="K30" s="44"/>
      <c r="L30" s="44"/>
      <c r="M30" s="44"/>
      <c r="N30" s="44"/>
      <c r="O30" s="44"/>
      <c r="P30" s="44"/>
      <c r="Q30" s="44"/>
      <c r="R30" s="44"/>
      <c r="S30" s="44"/>
      <c r="T30" s="44"/>
      <c r="U30" s="44"/>
      <c r="V30" s="44"/>
      <c r="W30" s="44"/>
      <c r="X30" s="44"/>
      <c r="Y30" s="44"/>
    </row>
    <row r="31" spans="1:32" ht="15">
      <c r="A31" s="86" t="s">
        <v>150</v>
      </c>
      <c r="E31" s="44"/>
      <c r="F31" s="44"/>
      <c r="G31" s="44"/>
      <c r="H31" s="44"/>
      <c r="I31" s="44"/>
      <c r="J31" s="44"/>
      <c r="K31" s="44"/>
      <c r="L31" s="44"/>
      <c r="M31" s="44"/>
      <c r="N31" s="44"/>
      <c r="O31" s="44"/>
      <c r="P31" s="44"/>
      <c r="Q31" s="44"/>
      <c r="R31" s="44"/>
      <c r="S31" s="44"/>
      <c r="T31" s="44"/>
      <c r="U31" s="44"/>
      <c r="V31" s="44"/>
      <c r="W31" s="44"/>
      <c r="X31" s="44"/>
      <c r="Y31" s="44"/>
      <c r="Z31" s="58">
        <v>0.85</v>
      </c>
    </row>
    <row r="32" spans="1:32">
      <c r="E32" s="44">
        <v>2</v>
      </c>
      <c r="F32" s="44">
        <v>3</v>
      </c>
      <c r="G32" s="44">
        <v>4</v>
      </c>
      <c r="H32" s="44">
        <v>5</v>
      </c>
      <c r="I32" s="44">
        <v>6</v>
      </c>
      <c r="J32" s="44">
        <v>7</v>
      </c>
      <c r="K32" s="44">
        <v>8</v>
      </c>
      <c r="L32" s="44">
        <v>9</v>
      </c>
      <c r="M32" s="44">
        <v>10</v>
      </c>
      <c r="N32" s="44">
        <v>11</v>
      </c>
      <c r="O32" s="44">
        <v>12</v>
      </c>
      <c r="P32" s="44">
        <v>13</v>
      </c>
      <c r="Q32" s="44">
        <v>14</v>
      </c>
      <c r="R32" s="44">
        <v>15</v>
      </c>
      <c r="S32" s="44">
        <v>16</v>
      </c>
      <c r="T32" s="44">
        <v>17</v>
      </c>
      <c r="U32" s="44">
        <v>18</v>
      </c>
      <c r="V32" s="44">
        <v>19</v>
      </c>
      <c r="W32" s="44">
        <v>20</v>
      </c>
      <c r="X32" s="44">
        <v>21</v>
      </c>
      <c r="Y32" s="44"/>
      <c r="Z32" s="59" t="s">
        <v>151</v>
      </c>
    </row>
    <row r="33" spans="1:30">
      <c r="C33" s="9" t="str">
        <f>C13</f>
        <v>Single Family</v>
      </c>
      <c r="E33" s="44">
        <f ca="1">SUM(E13,E23)</f>
        <v>4203528.2719999999</v>
      </c>
      <c r="F33" s="44">
        <f t="shared" ref="F33:X36" ca="1" si="3">SUM(F13,F23)</f>
        <v>4193982.9785983553</v>
      </c>
      <c r="G33" s="44">
        <f t="shared" ca="1" si="3"/>
        <v>4184459.3604704877</v>
      </c>
      <c r="H33" s="44">
        <f t="shared" ca="1" si="3"/>
        <v>4174957.36839659</v>
      </c>
      <c r="I33" s="44">
        <f t="shared" ca="1" si="3"/>
        <v>4165476.9532686244</v>
      </c>
      <c r="J33" s="44">
        <f t="shared" ca="1" si="3"/>
        <v>4156018.0660900641</v>
      </c>
      <c r="K33" s="44">
        <f t="shared" ca="1" si="3"/>
        <v>4146580.6579756448</v>
      </c>
      <c r="L33" s="44">
        <f t="shared" ca="1" si="3"/>
        <v>4137164.6801511091</v>
      </c>
      <c r="M33" s="44">
        <f t="shared" ca="1" si="3"/>
        <v>4127770.0839529554</v>
      </c>
      <c r="N33" s="44">
        <f t="shared" ca="1" si="3"/>
        <v>4118396.8208281873</v>
      </c>
      <c r="O33" s="44">
        <f t="shared" ca="1" si="3"/>
        <v>4109044.8423340586</v>
      </c>
      <c r="P33" s="44">
        <f t="shared" ca="1" si="3"/>
        <v>4099714.1001378288</v>
      </c>
      <c r="Q33" s="44">
        <f t="shared" ca="1" si="3"/>
        <v>4090404.5460165106</v>
      </c>
      <c r="R33" s="44">
        <f t="shared" ca="1" si="3"/>
        <v>4081116.1318566194</v>
      </c>
      <c r="S33" s="44">
        <f ca="1">SUM(S13,S23)</f>
        <v>4071848.8096539262</v>
      </c>
      <c r="T33" s="44">
        <f t="shared" ca="1" si="3"/>
        <v>4062602.5315132081</v>
      </c>
      <c r="U33" s="44">
        <f t="shared" ca="1" si="3"/>
        <v>4053377.2496480034</v>
      </c>
      <c r="V33" s="44">
        <f t="shared" ca="1" si="3"/>
        <v>4044172.9163803621</v>
      </c>
      <c r="W33" s="44">
        <f t="shared" ca="1" si="3"/>
        <v>4034989.4841406001</v>
      </c>
      <c r="X33" s="44">
        <f t="shared" ca="1" si="3"/>
        <v>4025826.9054670548</v>
      </c>
      <c r="Y33" s="44"/>
      <c r="Z33" s="60">
        <f ca="1">INDEX(E33:Y33,1,MATCH($C$9,$E$11:$Y$11,0))*$Z$31*A43*B43</f>
        <v>1805635.2938307773</v>
      </c>
    </row>
    <row r="34" spans="1:30">
      <c r="C34" s="9" t="str">
        <f>C14</f>
        <v>Multifamily - Low Rise</v>
      </c>
      <c r="E34" s="44">
        <f ca="1">SUM(E14,E24)</f>
        <v>926243.25609262148</v>
      </c>
      <c r="F34" s="44">
        <f t="shared" ca="1" si="3"/>
        <v>924139.92640956037</v>
      </c>
      <c r="G34" s="44">
        <f t="shared" ca="1" si="3"/>
        <v>922041.3730050053</v>
      </c>
      <c r="H34" s="44">
        <f t="shared" ca="1" si="3"/>
        <v>919947.58503289847</v>
      </c>
      <c r="I34" s="44">
        <f t="shared" ca="1" si="3"/>
        <v>917858.55167181045</v>
      </c>
      <c r="J34" s="44">
        <f t="shared" ca="1" si="3"/>
        <v>915774.26212488639</v>
      </c>
      <c r="K34" s="44">
        <f t="shared" ca="1" si="3"/>
        <v>913694.70561978838</v>
      </c>
      <c r="L34" s="44">
        <f t="shared" ca="1" si="3"/>
        <v>911619.87140864041</v>
      </c>
      <c r="M34" s="44">
        <f t="shared" ca="1" si="3"/>
        <v>909549.74876797362</v>
      </c>
      <c r="N34" s="44">
        <f t="shared" ca="1" si="3"/>
        <v>907484.32699866977</v>
      </c>
      <c r="O34" s="44">
        <f t="shared" ca="1" si="3"/>
        <v>905423.59542590659</v>
      </c>
      <c r="P34" s="44">
        <f t="shared" ca="1" si="3"/>
        <v>903367.54339910217</v>
      </c>
      <c r="Q34" s="44">
        <f t="shared" ca="1" si="3"/>
        <v>901316.16029185988</v>
      </c>
      <c r="R34" s="44">
        <f t="shared" ca="1" si="3"/>
        <v>899269.43550191447</v>
      </c>
      <c r="S34" s="44">
        <f t="shared" ca="1" si="3"/>
        <v>897227.35845107585</v>
      </c>
      <c r="T34" s="44">
        <f t="shared" ca="1" si="3"/>
        <v>895189.9185851753</v>
      </c>
      <c r="U34" s="44">
        <f t="shared" ca="1" si="3"/>
        <v>893157.10537401051</v>
      </c>
      <c r="V34" s="44">
        <f t="shared" ca="1" si="3"/>
        <v>891128.90831129183</v>
      </c>
      <c r="W34" s="44">
        <f t="shared" ca="1" si="3"/>
        <v>889105.31691458682</v>
      </c>
      <c r="X34" s="44">
        <f t="shared" ca="1" si="3"/>
        <v>887086.32072526717</v>
      </c>
      <c r="Y34" s="44"/>
      <c r="Z34" s="60">
        <f ca="1">INDEX(E34:Y34,1,MATCH($C$9,$E$11:$Y$11,0))*$Z$31*A44*B44</f>
        <v>35503.30241344979</v>
      </c>
    </row>
    <row r="35" spans="1:30">
      <c r="C35" s="9" t="str">
        <f>C15</f>
        <v>Multifamily - High Rise</v>
      </c>
      <c r="E35" s="44">
        <f ca="1">SUM(E15,E25)</f>
        <v>211180.07985625503</v>
      </c>
      <c r="F35" s="44">
        <f t="shared" ca="1" si="3"/>
        <v>210700.52836963299</v>
      </c>
      <c r="G35" s="44">
        <f t="shared" ca="1" si="3"/>
        <v>210222.06585706791</v>
      </c>
      <c r="H35" s="44">
        <f t="shared" ca="1" si="3"/>
        <v>209744.68984569819</v>
      </c>
      <c r="I35" s="44">
        <f t="shared" ca="1" si="3"/>
        <v>209268.39786827751</v>
      </c>
      <c r="J35" s="44">
        <f t="shared" ca="1" si="3"/>
        <v>208793.18746316229</v>
      </c>
      <c r="K35" s="44">
        <f t="shared" ca="1" si="3"/>
        <v>208319.05617429892</v>
      </c>
      <c r="L35" s="44">
        <f t="shared" ca="1" si="3"/>
        <v>207846.00155121088</v>
      </c>
      <c r="M35" s="44">
        <f t="shared" ca="1" si="3"/>
        <v>207374.0211489865</v>
      </c>
      <c r="N35" s="44">
        <f t="shared" ca="1" si="3"/>
        <v>206903.11252826577</v>
      </c>
      <c r="O35" s="44">
        <f t="shared" ca="1" si="3"/>
        <v>206433.27325522827</v>
      </c>
      <c r="P35" s="44">
        <f t="shared" ca="1" si="3"/>
        <v>205964.50090158021</v>
      </c>
      <c r="Q35" s="44">
        <f t="shared" ca="1" si="3"/>
        <v>205496.79304454199</v>
      </c>
      <c r="R35" s="44">
        <f t="shared" ca="1" si="3"/>
        <v>205030.14726683579</v>
      </c>
      <c r="S35" s="44">
        <f t="shared" ca="1" si="3"/>
        <v>204564.56115667295</v>
      </c>
      <c r="T35" s="44">
        <f t="shared" ca="1" si="3"/>
        <v>204100.03230774152</v>
      </c>
      <c r="U35" s="44">
        <f t="shared" ca="1" si="3"/>
        <v>203636.55831919383</v>
      </c>
      <c r="V35" s="44">
        <f t="shared" ca="1" si="3"/>
        <v>203174.13679563423</v>
      </c>
      <c r="W35" s="44">
        <f t="shared" ca="1" si="3"/>
        <v>202712.76534710638</v>
      </c>
      <c r="X35" s="44">
        <f t="shared" ca="1" si="3"/>
        <v>202252.44158908122</v>
      </c>
      <c r="Y35" s="44"/>
      <c r="Z35" s="60">
        <f t="shared" ref="Z35:Z36" ca="1" si="4">INDEX(E35:Y35,1,MATCH($C$9,$E$11:$Y$11,0))*$Z$31*A45*B45</f>
        <v>8094.6232963269867</v>
      </c>
    </row>
    <row r="36" spans="1:30">
      <c r="C36" s="9" t="str">
        <f>C16</f>
        <v>Manufactured</v>
      </c>
      <c r="E36" s="44">
        <f ca="1">SUM(E16,E26)</f>
        <v>572006.3278356482</v>
      </c>
      <c r="F36" s="44">
        <f t="shared" ca="1" si="3"/>
        <v>565893.30394507048</v>
      </c>
      <c r="G36" s="44">
        <f t="shared" ca="1" si="3"/>
        <v>559845.60985814757</v>
      </c>
      <c r="H36" s="44">
        <f t="shared" ca="1" si="3"/>
        <v>553862.54739615123</v>
      </c>
      <c r="I36" s="44">
        <f t="shared" ca="1" si="3"/>
        <v>547943.42584177968</v>
      </c>
      <c r="J36" s="44">
        <f t="shared" ca="1" si="3"/>
        <v>542087.56185941794</v>
      </c>
      <c r="K36" s="44">
        <f t="shared" ca="1" si="3"/>
        <v>536294.27941624937</v>
      </c>
      <c r="L36" s="44">
        <f t="shared" ca="1" si="3"/>
        <v>530562.90970421082</v>
      </c>
      <c r="M36" s="44">
        <f t="shared" ca="1" si="3"/>
        <v>524892.79106278194</v>
      </c>
      <c r="N36" s="44">
        <f t="shared" ca="1" si="3"/>
        <v>519283.26890259917</v>
      </c>
      <c r="O36" s="44">
        <f t="shared" ca="1" si="3"/>
        <v>513733.69562988722</v>
      </c>
      <c r="P36" s="44">
        <f t="shared" ca="1" si="3"/>
        <v>508243.4305716962</v>
      </c>
      <c r="Q36" s="44">
        <f t="shared" ca="1" si="3"/>
        <v>502811.8399019395</v>
      </c>
      <c r="R36" s="44">
        <f t="shared" ca="1" si="3"/>
        <v>497438.2965682213</v>
      </c>
      <c r="S36" s="44">
        <f t="shared" ca="1" si="3"/>
        <v>492122.18021944637</v>
      </c>
      <c r="T36" s="44">
        <f t="shared" ca="1" si="3"/>
        <v>486862.87713420321</v>
      </c>
      <c r="U36" s="44">
        <f t="shared" ca="1" si="3"/>
        <v>481659.78014991269</v>
      </c>
      <c r="V36" s="44">
        <f t="shared" ca="1" si="3"/>
        <v>476512.28859273402</v>
      </c>
      <c r="W36" s="44">
        <f t="shared" ca="1" si="3"/>
        <v>471419.80820821953</v>
      </c>
      <c r="X36" s="44">
        <f t="shared" ca="1" si="3"/>
        <v>466381.75109271082</v>
      </c>
      <c r="Y36" s="44"/>
      <c r="Z36" s="60">
        <f t="shared" ca="1" si="4"/>
        <v>175011.79874832596</v>
      </c>
    </row>
    <row r="37" spans="1:30">
      <c r="E37" s="44"/>
      <c r="F37" s="44"/>
      <c r="G37" s="44"/>
      <c r="H37" s="44"/>
      <c r="I37" s="44"/>
      <c r="J37" s="44"/>
      <c r="K37" s="44"/>
      <c r="L37" s="44"/>
      <c r="M37" s="44"/>
      <c r="N37" s="44"/>
      <c r="O37" s="44"/>
      <c r="P37" s="44"/>
      <c r="Q37" s="44"/>
      <c r="R37" s="44"/>
      <c r="S37" s="44"/>
      <c r="T37" s="44"/>
      <c r="U37" s="44"/>
      <c r="V37" s="44"/>
      <c r="W37" s="44"/>
      <c r="X37" s="44"/>
      <c r="Y37" s="44"/>
    </row>
    <row r="38" spans="1:30">
      <c r="E38" s="44">
        <f t="shared" ref="E38:Z38" ca="1" si="5">SUM(E33:E36)</f>
        <v>5912957.9357845243</v>
      </c>
      <c r="F38" s="44">
        <f t="shared" ca="1" si="5"/>
        <v>5894716.7373226183</v>
      </c>
      <c r="G38" s="44">
        <f t="shared" ca="1" si="5"/>
        <v>5876568.4091907088</v>
      </c>
      <c r="H38" s="44">
        <f t="shared" ca="1" si="5"/>
        <v>5858512.1906713378</v>
      </c>
      <c r="I38" s="44">
        <f t="shared" ca="1" si="5"/>
        <v>5840547.3286504922</v>
      </c>
      <c r="J38" s="44">
        <f t="shared" ca="1" si="5"/>
        <v>5822673.077537531</v>
      </c>
      <c r="K38" s="44">
        <f t="shared" ca="1" si="5"/>
        <v>5804888.6991859814</v>
      </c>
      <c r="L38" s="44">
        <f t="shared" ca="1" si="5"/>
        <v>5787193.462815172</v>
      </c>
      <c r="M38" s="44">
        <f t="shared" ca="1" si="5"/>
        <v>5769586.6449326966</v>
      </c>
      <c r="N38" s="44">
        <f t="shared" ca="1" si="5"/>
        <v>5752067.5292577213</v>
      </c>
      <c r="O38" s="44">
        <f t="shared" ca="1" si="5"/>
        <v>5734635.406645081</v>
      </c>
      <c r="P38" s="44">
        <f t="shared" ca="1" si="5"/>
        <v>5717289.5750102066</v>
      </c>
      <c r="Q38" s="44">
        <f t="shared" ca="1" si="5"/>
        <v>5700029.3392548524</v>
      </c>
      <c r="R38" s="44">
        <f t="shared" ca="1" si="5"/>
        <v>5682854.0111935912</v>
      </c>
      <c r="S38" s="44">
        <f t="shared" ca="1" si="5"/>
        <v>5665762.9094811222</v>
      </c>
      <c r="T38" s="44">
        <f t="shared" ca="1" si="5"/>
        <v>5648755.3595403275</v>
      </c>
      <c r="U38" s="44">
        <f t="shared" ca="1" si="5"/>
        <v>5631830.6934911208</v>
      </c>
      <c r="V38" s="44">
        <f t="shared" ca="1" si="5"/>
        <v>5614988.250080023</v>
      </c>
      <c r="W38" s="44">
        <f t="shared" ca="1" si="5"/>
        <v>5598227.3746105134</v>
      </c>
      <c r="X38" s="44">
        <f t="shared" ca="1" si="5"/>
        <v>5581547.4188741138</v>
      </c>
      <c r="Y38" s="44"/>
      <c r="Z38" s="44">
        <f t="shared" ca="1" si="5"/>
        <v>2024245.0182888801</v>
      </c>
    </row>
    <row r="39" spans="1:30">
      <c r="E39" s="44"/>
      <c r="F39" s="44"/>
      <c r="G39" s="44"/>
      <c r="H39" s="44"/>
      <c r="I39" s="44"/>
      <c r="J39" s="44"/>
      <c r="K39" s="44"/>
      <c r="L39" s="44"/>
      <c r="M39" s="44"/>
      <c r="N39" s="44"/>
      <c r="O39" s="44"/>
      <c r="P39" s="44"/>
      <c r="Q39" s="44"/>
      <c r="R39" s="44"/>
      <c r="S39" s="44"/>
      <c r="T39" s="44"/>
      <c r="U39" s="44"/>
      <c r="V39" s="44"/>
      <c r="W39" s="44"/>
      <c r="X39" s="44"/>
      <c r="Y39" s="44"/>
    </row>
    <row r="40" spans="1:30">
      <c r="E40" s="44"/>
      <c r="F40" s="44"/>
      <c r="G40" s="44"/>
      <c r="H40" s="44"/>
      <c r="I40" s="44"/>
      <c r="J40" s="44"/>
      <c r="K40" s="44"/>
      <c r="L40" s="44"/>
      <c r="M40" s="44"/>
      <c r="N40" s="44"/>
      <c r="O40" s="44"/>
      <c r="P40" s="44"/>
      <c r="Q40" s="44"/>
      <c r="R40" s="44"/>
      <c r="S40" s="44"/>
      <c r="T40" s="44"/>
      <c r="U40" s="44"/>
      <c r="V40" s="44"/>
      <c r="W40" s="44"/>
      <c r="X40" s="44"/>
      <c r="Y40" s="44"/>
    </row>
    <row r="41" spans="1:30" ht="15">
      <c r="A41" s="67" t="s">
        <v>155</v>
      </c>
      <c r="B41" s="67"/>
      <c r="E41" s="56"/>
      <c r="F41" s="56"/>
      <c r="G41" s="44"/>
      <c r="H41" s="44"/>
      <c r="I41" s="44"/>
      <c r="J41" s="44"/>
      <c r="K41" s="44"/>
      <c r="L41" s="44"/>
      <c r="M41" s="44"/>
      <c r="N41" s="44"/>
      <c r="O41" s="44"/>
      <c r="P41" s="44"/>
      <c r="Q41" s="44"/>
      <c r="R41" s="44"/>
      <c r="S41" s="44"/>
      <c r="T41" s="44"/>
      <c r="U41" s="44"/>
      <c r="V41" s="44"/>
      <c r="W41" s="44"/>
      <c r="X41" s="44"/>
      <c r="Y41" s="44"/>
    </row>
    <row r="42" spans="1:30" ht="15">
      <c r="A42" s="68" t="s">
        <v>63</v>
      </c>
      <c r="B42" s="68" t="s">
        <v>153</v>
      </c>
      <c r="C42" s="68" t="s">
        <v>152</v>
      </c>
      <c r="D42" s="68" t="str">
        <f>CONCATENATE(C8," - ",C7)</f>
        <v>Freezer - NR</v>
      </c>
      <c r="E42" s="83">
        <v>2015</v>
      </c>
      <c r="F42" s="84">
        <v>2016</v>
      </c>
      <c r="G42" s="84">
        <v>2017</v>
      </c>
      <c r="H42" s="84">
        <v>2018</v>
      </c>
      <c r="I42" s="84">
        <v>2019</v>
      </c>
      <c r="J42" s="84">
        <v>2020</v>
      </c>
      <c r="K42" s="84">
        <v>2021</v>
      </c>
      <c r="L42" s="84">
        <v>2022</v>
      </c>
      <c r="M42" s="84">
        <v>2023</v>
      </c>
      <c r="N42" s="84">
        <v>2024</v>
      </c>
      <c r="O42" s="84">
        <v>2025</v>
      </c>
      <c r="P42" s="84">
        <v>2026</v>
      </c>
      <c r="Q42" s="84">
        <v>2027</v>
      </c>
      <c r="R42" s="84">
        <v>2028</v>
      </c>
      <c r="S42" s="84">
        <v>2029</v>
      </c>
      <c r="T42" s="84">
        <v>2030</v>
      </c>
      <c r="U42" s="84">
        <v>2031</v>
      </c>
      <c r="V42" s="84">
        <v>2032</v>
      </c>
      <c r="W42" s="84">
        <v>2033</v>
      </c>
      <c r="X42" s="84">
        <v>2034</v>
      </c>
      <c r="Y42" s="85"/>
    </row>
    <row r="43" spans="1:30">
      <c r="A43" s="69">
        <f>INDEX([2]!ResApplic,MATCH($D$42,[2]APPLIC!$B$9:$B$120,0)+1,MATCH($D43,[2]APPLIC!$C$8:$F$8,0)+1)</f>
        <v>1</v>
      </c>
      <c r="B43" s="69">
        <f>VLOOKUP($C$8,[2]!ExistingSat,MATCH($D43,[2]SATS!$C$10:$F$10,0)+1,FALSE)</f>
        <v>0.52766223341265472</v>
      </c>
      <c r="C43" s="69">
        <f>VLOOKUP($D$42,[2]TURN!$B$10:$G$76,6,FALSE)</f>
        <v>4.6082949308755762E-2</v>
      </c>
      <c r="D43" s="9" t="str">
        <f>C13</f>
        <v>Single Family</v>
      </c>
      <c r="E43" s="44">
        <f ca="1">E13*$C43*$A43*$B43</f>
        <v>102213.96848925148</v>
      </c>
      <c r="F43" s="44">
        <f t="shared" ref="F43:X46" ca="1" si="6">F13*$C43*$A43*$B43</f>
        <v>101981.86292082335</v>
      </c>
      <c r="G43" s="44">
        <f t="shared" ca="1" si="6"/>
        <v>101750.28441338002</v>
      </c>
      <c r="H43" s="44">
        <f t="shared" ca="1" si="6"/>
        <v>101519.23177008131</v>
      </c>
      <c r="I43" s="44">
        <f t="shared" ca="1" si="6"/>
        <v>101288.70379680474</v>
      </c>
      <c r="J43" s="44">
        <f t="shared" ca="1" si="6"/>
        <v>101058.69930213942</v>
      </c>
      <c r="K43" s="44">
        <f t="shared" ca="1" si="6"/>
        <v>100829.21709737991</v>
      </c>
      <c r="L43" s="44">
        <f t="shared" ca="1" si="6"/>
        <v>100600.25599652008</v>
      </c>
      <c r="M43" s="44">
        <f t="shared" ca="1" si="6"/>
        <v>100371.8148162469</v>
      </c>
      <c r="N43" s="44">
        <f t="shared" ca="1" si="6"/>
        <v>100143.89237593448</v>
      </c>
      <c r="O43" s="44">
        <f t="shared" ca="1" si="6"/>
        <v>99916.487497637747</v>
      </c>
      <c r="P43" s="44">
        <f t="shared" ca="1" si="6"/>
        <v>99689.599006086588</v>
      </c>
      <c r="Q43" s="44">
        <f t="shared" ca="1" si="6"/>
        <v>99463.225728679638</v>
      </c>
      <c r="R43" s="44">
        <f t="shared" ca="1" si="6"/>
        <v>99237.366495478258</v>
      </c>
      <c r="S43" s="44">
        <f t="shared" ca="1" si="6"/>
        <v>99012.020139200482</v>
      </c>
      <c r="T43" s="44">
        <f t="shared" ca="1" si="6"/>
        <v>98787.185495214944</v>
      </c>
      <c r="U43" s="44">
        <f t="shared" ca="1" si="6"/>
        <v>98562.861401534989</v>
      </c>
      <c r="V43" s="44">
        <f t="shared" ca="1" si="6"/>
        <v>98339.046698812497</v>
      </c>
      <c r="W43" s="44">
        <f t="shared" ca="1" si="6"/>
        <v>98115.740230332012</v>
      </c>
      <c r="X43" s="44">
        <f t="shared" ca="1" si="6"/>
        <v>97892.94084200474</v>
      </c>
      <c r="Y43" s="44"/>
      <c r="Z43" s="44">
        <f ca="1">X13*A43*B43*$Z$31</f>
        <v>1805635.2938307771</v>
      </c>
      <c r="AD43" s="44"/>
    </row>
    <row r="44" spans="1:30">
      <c r="A44" s="69">
        <f>INDEX([2]!ResApplic,MATCH($D$42,[2]APPLIC!$B$9:$B$120,0)+1,MATCH($D44,[2]APPLIC!$C$8:$F$8,0)+1)</f>
        <v>1</v>
      </c>
      <c r="B44" s="69">
        <f>VLOOKUP($C$8,[2]!ExistingSat,MATCH($D44,[2]SATS!$C$10:$F$10,0)+1,FALSE)</f>
        <v>4.7085148422193572E-2</v>
      </c>
      <c r="C44" s="69">
        <f>VLOOKUP($D$42,[2]TURN!$B$10:$G$76,6,FALSE)</f>
        <v>4.6082949308755762E-2</v>
      </c>
      <c r="D44" s="9" t="str">
        <f>C14</f>
        <v>Multifamily - Low Rise</v>
      </c>
      <c r="E44" s="44">
        <f t="shared" ref="E44:T45" ca="1" si="7">E14*$C44*$A44*$B44</f>
        <v>2009.7834648929465</v>
      </c>
      <c r="F44" s="44">
        <f t="shared" ca="1" si="7"/>
        <v>2005.2196128050321</v>
      </c>
      <c r="G44" s="44">
        <f t="shared" ca="1" si="7"/>
        <v>2000.6661243937244</v>
      </c>
      <c r="H44" s="44">
        <f t="shared" ca="1" si="7"/>
        <v>1996.1229761250031</v>
      </c>
      <c r="I44" s="44">
        <f t="shared" ca="1" si="7"/>
        <v>1991.5901445182869</v>
      </c>
      <c r="J44" s="44">
        <f t="shared" ca="1" si="7"/>
        <v>1987.0676061463171</v>
      </c>
      <c r="K44" s="44">
        <f t="shared" ca="1" si="7"/>
        <v>1982.5553376350322</v>
      </c>
      <c r="L44" s="44">
        <f t="shared" ca="1" si="7"/>
        <v>1978.0533156634497</v>
      </c>
      <c r="M44" s="44">
        <f t="shared" ca="1" si="7"/>
        <v>1973.5615169635444</v>
      </c>
      <c r="N44" s="44">
        <f t="shared" ca="1" si="7"/>
        <v>1969.0799183201298</v>
      </c>
      <c r="O44" s="44">
        <f t="shared" ca="1" si="7"/>
        <v>1964.6084965707355</v>
      </c>
      <c r="P44" s="44">
        <f t="shared" ca="1" si="7"/>
        <v>1960.1472286054893</v>
      </c>
      <c r="Q44" s="44">
        <f t="shared" ca="1" si="7"/>
        <v>1955.6960913669971</v>
      </c>
      <c r="R44" s="44">
        <f t="shared" ca="1" si="7"/>
        <v>1951.2550618502244</v>
      </c>
      <c r="S44" s="44">
        <f t="shared" ca="1" si="7"/>
        <v>1946.8241171023769</v>
      </c>
      <c r="T44" s="44">
        <f t="shared" ca="1" si="7"/>
        <v>1942.4032342227817</v>
      </c>
      <c r="U44" s="44">
        <f t="shared" ca="1" si="6"/>
        <v>1937.9923903627682</v>
      </c>
      <c r="V44" s="44">
        <f t="shared" ca="1" si="6"/>
        <v>1933.5915627255533</v>
      </c>
      <c r="W44" s="44">
        <f t="shared" ca="1" si="6"/>
        <v>1929.2007285661189</v>
      </c>
      <c r="X44" s="44">
        <f t="shared" ca="1" si="6"/>
        <v>1924.8198651910975</v>
      </c>
      <c r="Y44" s="44"/>
      <c r="Z44" s="44">
        <f t="shared" ref="Z44:Z46" ca="1" si="8">X14*A44*B44*$Z$31</f>
        <v>35503.30241344979</v>
      </c>
      <c r="AD44" s="44"/>
    </row>
    <row r="45" spans="1:30">
      <c r="A45" s="69">
        <f>INDEX([2]!ResApplic,MATCH($D$42,[2]APPLIC!$B$9:$B$120,0)+1,MATCH($D45,[2]APPLIC!$C$8:$F$8,0)+1)</f>
        <v>1</v>
      </c>
      <c r="B45" s="69">
        <f>VLOOKUP($C$8,[2]!ExistingSat,MATCH($D45,[2]SATS!$C$10:$F$10,0)+1,FALSE)</f>
        <v>4.7085148422193572E-2</v>
      </c>
      <c r="C45" s="69">
        <f>VLOOKUP($D$42,[2]TURN!$B$10:$G$76,6,FALSE)</f>
        <v>4.6082949308755762E-2</v>
      </c>
      <c r="D45" s="9" t="str">
        <f>C15</f>
        <v>Multifamily - High Rise</v>
      </c>
      <c r="E45" s="44">
        <f t="shared" ca="1" si="7"/>
        <v>458.22329049965253</v>
      </c>
      <c r="F45" s="44">
        <f t="shared" ca="1" si="6"/>
        <v>457.18274889026623</v>
      </c>
      <c r="G45" s="44">
        <f t="shared" ca="1" si="6"/>
        <v>456.14457016129933</v>
      </c>
      <c r="H45" s="44">
        <f t="shared" ca="1" si="6"/>
        <v>455.10874894708093</v>
      </c>
      <c r="I45" s="44">
        <f t="shared" ca="1" si="6"/>
        <v>454.07527989412455</v>
      </c>
      <c r="J45" s="44">
        <f t="shared" ca="1" si="6"/>
        <v>453.04415766110066</v>
      </c>
      <c r="K45" s="44">
        <f t="shared" ca="1" si="6"/>
        <v>452.01537691880856</v>
      </c>
      <c r="L45" s="44">
        <f t="shared" ca="1" si="6"/>
        <v>450.98893235014935</v>
      </c>
      <c r="M45" s="44">
        <f t="shared" ca="1" si="6"/>
        <v>449.96481865009855</v>
      </c>
      <c r="N45" s="44">
        <f t="shared" ca="1" si="6"/>
        <v>448.94303052567801</v>
      </c>
      <c r="O45" s="44">
        <f t="shared" ca="1" si="6"/>
        <v>447.92356269592938</v>
      </c>
      <c r="P45" s="44">
        <f t="shared" ca="1" si="6"/>
        <v>446.90640989188597</v>
      </c>
      <c r="Q45" s="44">
        <f t="shared" ca="1" si="6"/>
        <v>445.89156685654632</v>
      </c>
      <c r="R45" s="44">
        <f t="shared" ca="1" si="6"/>
        <v>444.87902834484646</v>
      </c>
      <c r="S45" s="44">
        <f t="shared" ca="1" si="6"/>
        <v>443.86878912363318</v>
      </c>
      <c r="T45" s="44">
        <f t="shared" ca="1" si="6"/>
        <v>442.8608439716366</v>
      </c>
      <c r="U45" s="44">
        <f t="shared" ca="1" si="6"/>
        <v>441.8551876794433</v>
      </c>
      <c r="V45" s="44">
        <f t="shared" ca="1" si="6"/>
        <v>440.85181504947002</v>
      </c>
      <c r="W45" s="44">
        <f t="shared" ca="1" si="6"/>
        <v>439.85072089593558</v>
      </c>
      <c r="X45" s="44">
        <f t="shared" ca="1" si="6"/>
        <v>438.8519000448353</v>
      </c>
      <c r="Y45" s="44"/>
      <c r="Z45" s="44">
        <f t="shared" ca="1" si="8"/>
        <v>8094.6232963269867</v>
      </c>
      <c r="AD45" s="44"/>
    </row>
    <row r="46" spans="1:30">
      <c r="A46" s="69">
        <f>INDEX([2]!ResApplic,MATCH($D$42,[2]APPLIC!$B$9:$B$120,0)+1,MATCH($D46,[2]APPLIC!$C$8:$F$8,0)+1)</f>
        <v>1</v>
      </c>
      <c r="B46" s="69">
        <f>VLOOKUP($C$8,[2]!ExistingSat,MATCH($D46,[2]SATS!$C$10:$F$10,0)+1,FALSE)</f>
        <v>0.44147575101117187</v>
      </c>
      <c r="C46" s="69">
        <f>VLOOKUP($D$42,[2]TURN!$B$10:$G$76,6,FALSE)</f>
        <v>4.6082949308755762E-2</v>
      </c>
      <c r="D46" s="9" t="str">
        <f>C16</f>
        <v>Manufactured</v>
      </c>
      <c r="E46" s="44">
        <f ca="1">E16*$C46*$A46*$B46</f>
        <v>11637.185399280434</v>
      </c>
      <c r="F46" s="44">
        <f t="shared" ca="1" si="6"/>
        <v>11512.818956283105</v>
      </c>
      <c r="G46" s="44">
        <f t="shared" ca="1" si="6"/>
        <v>11389.781615780334</v>
      </c>
      <c r="H46" s="44">
        <f t="shared" ca="1" si="6"/>
        <v>11268.059173671736</v>
      </c>
      <c r="I46" s="44">
        <f t="shared" ca="1" si="6"/>
        <v>11147.637577655947</v>
      </c>
      <c r="J46" s="44">
        <f t="shared" ca="1" si="6"/>
        <v>11028.502925608369</v>
      </c>
      <c r="K46" s="44">
        <f t="shared" ca="1" si="6"/>
        <v>10910.641463976219</v>
      </c>
      <c r="L46" s="44">
        <f t="shared" ca="1" si="6"/>
        <v>10794.03958619074</v>
      </c>
      <c r="M46" s="44">
        <f t="shared" ca="1" si="6"/>
        <v>10678.683831096394</v>
      </c>
      <c r="N46" s="44">
        <f t="shared" ca="1" si="6"/>
        <v>10564.560881396834</v>
      </c>
      <c r="O46" s="44">
        <f t="shared" ca="1" si="6"/>
        <v>10451.657562117478</v>
      </c>
      <c r="P46" s="44">
        <f t="shared" ca="1" si="6"/>
        <v>10339.960839084515</v>
      </c>
      <c r="Q46" s="44">
        <f t="shared" ca="1" si="6"/>
        <v>10229.457817420178</v>
      </c>
      <c r="R46" s="44">
        <f t="shared" ca="1" si="6"/>
        <v>10120.13574005408</v>
      </c>
      <c r="S46" s="44">
        <f t="shared" ca="1" si="6"/>
        <v>10011.981986250477</v>
      </c>
      <c r="T46" s="44">
        <f t="shared" ca="1" si="6"/>
        <v>9904.9840701512567</v>
      </c>
      <c r="U46" s="44">
        <f t="shared" ca="1" si="6"/>
        <v>9799.1296393345001</v>
      </c>
      <c r="V46" s="44">
        <f t="shared" ca="1" si="6"/>
        <v>9694.406473388457</v>
      </c>
      <c r="W46" s="44">
        <f t="shared" ca="1" si="6"/>
        <v>9590.8024825007524</v>
      </c>
      <c r="X46" s="44">
        <f t="shared" ca="1" si="6"/>
        <v>9488.3057060626707</v>
      </c>
      <c r="Y46" s="44"/>
      <c r="Z46" s="44">
        <f t="shared" ca="1" si="8"/>
        <v>175011.79874832593</v>
      </c>
      <c r="AD46" s="44"/>
    </row>
    <row r="47" spans="1:30">
      <c r="E47" s="44"/>
      <c r="F47" s="44"/>
      <c r="G47" s="44"/>
      <c r="H47" s="44"/>
      <c r="I47" s="44"/>
      <c r="J47" s="44"/>
      <c r="K47" s="44"/>
      <c r="L47" s="44"/>
      <c r="M47" s="44"/>
      <c r="N47" s="44"/>
      <c r="O47" s="44"/>
      <c r="P47" s="44"/>
      <c r="Q47" s="44"/>
      <c r="R47" s="44"/>
      <c r="S47" s="44"/>
      <c r="T47" s="44"/>
      <c r="U47" s="44"/>
      <c r="V47" s="44"/>
      <c r="W47" s="44"/>
      <c r="X47" s="44"/>
      <c r="Y47" s="44"/>
    </row>
    <row r="48" spans="1:30">
      <c r="E48" s="44">
        <f t="shared" ref="E48:X48" ca="1" si="9">SUM(E43:E46)</f>
        <v>116319.16064392451</v>
      </c>
      <c r="F48" s="44">
        <f t="shared" ca="1" si="9"/>
        <v>115957.08423880175</v>
      </c>
      <c r="G48" s="44">
        <f t="shared" ca="1" si="9"/>
        <v>115596.87672371538</v>
      </c>
      <c r="H48" s="44">
        <f t="shared" ca="1" si="9"/>
        <v>115238.52266882513</v>
      </c>
      <c r="I48" s="44">
        <f t="shared" ca="1" si="9"/>
        <v>114882.00679887309</v>
      </c>
      <c r="J48" s="44">
        <f t="shared" ca="1" si="9"/>
        <v>114527.3139915552</v>
      </c>
      <c r="K48" s="44">
        <f t="shared" ca="1" si="9"/>
        <v>114174.42927590996</v>
      </c>
      <c r="L48" s="44">
        <f t="shared" ca="1" si="9"/>
        <v>113823.33783072443</v>
      </c>
      <c r="M48" s="44">
        <f t="shared" ca="1" si="9"/>
        <v>113474.02498295694</v>
      </c>
      <c r="N48" s="44">
        <f t="shared" ca="1" si="9"/>
        <v>113126.47620617712</v>
      </c>
      <c r="O48" s="44">
        <f t="shared" ca="1" si="9"/>
        <v>112780.67711902189</v>
      </c>
      <c r="P48" s="44">
        <f t="shared" ca="1" si="9"/>
        <v>112436.61348366848</v>
      </c>
      <c r="Q48" s="44">
        <f t="shared" ca="1" si="9"/>
        <v>112094.27120432335</v>
      </c>
      <c r="R48" s="44">
        <f t="shared" ca="1" si="9"/>
        <v>111753.63632572742</v>
      </c>
      <c r="S48" s="44">
        <f t="shared" ca="1" si="9"/>
        <v>111414.69503167698</v>
      </c>
      <c r="T48" s="44">
        <f t="shared" ca="1" si="9"/>
        <v>111077.43364356062</v>
      </c>
      <c r="U48" s="44">
        <f t="shared" ca="1" si="9"/>
        <v>110741.83861891169</v>
      </c>
      <c r="V48" s="44">
        <f t="shared" ca="1" si="9"/>
        <v>110407.89654997598</v>
      </c>
      <c r="W48" s="44">
        <f t="shared" ca="1" si="9"/>
        <v>110075.59416229482</v>
      </c>
      <c r="X48" s="44">
        <f t="shared" ca="1" si="9"/>
        <v>109744.91831330334</v>
      </c>
      <c r="Y48" s="44"/>
      <c r="Z48" s="44">
        <f ca="1">SUM(E48:X48)</f>
        <v>2259646.807813928</v>
      </c>
      <c r="AD48" s="44"/>
    </row>
    <row r="49" spans="1:30">
      <c r="E49" s="44"/>
      <c r="F49" s="44"/>
      <c r="G49" s="44"/>
      <c r="H49" s="44"/>
      <c r="I49" s="44"/>
      <c r="J49" s="44"/>
      <c r="K49" s="44"/>
      <c r="L49" s="44"/>
      <c r="M49" s="44"/>
      <c r="N49" s="44"/>
      <c r="O49" s="44"/>
      <c r="P49" s="44"/>
      <c r="Q49" s="44"/>
      <c r="R49" s="44"/>
      <c r="S49" s="44"/>
      <c r="T49" s="44"/>
      <c r="U49" s="44"/>
      <c r="V49" s="44"/>
      <c r="W49" s="44"/>
      <c r="X49" s="44"/>
      <c r="Y49" s="44"/>
      <c r="Z49" s="44"/>
      <c r="AD49" s="44"/>
    </row>
    <row r="50" spans="1:30" ht="15">
      <c r="A50" s="68" t="s">
        <v>63</v>
      </c>
      <c r="B50" s="68" t="s">
        <v>153</v>
      </c>
      <c r="C50" s="68" t="s">
        <v>152</v>
      </c>
      <c r="D50" s="68" t="str">
        <f>CONCATENATE(C8," - ","NEW")</f>
        <v>Freezer - NEW</v>
      </c>
      <c r="E50" s="83">
        <v>2015</v>
      </c>
      <c r="F50" s="84">
        <v>2016</v>
      </c>
      <c r="G50" s="84">
        <v>2017</v>
      </c>
      <c r="H50" s="84">
        <v>2018</v>
      </c>
      <c r="I50" s="84">
        <v>2019</v>
      </c>
      <c r="J50" s="84">
        <v>2020</v>
      </c>
      <c r="K50" s="84">
        <v>2021</v>
      </c>
      <c r="L50" s="84">
        <v>2022</v>
      </c>
      <c r="M50" s="84">
        <v>2023</v>
      </c>
      <c r="N50" s="84">
        <v>2024</v>
      </c>
      <c r="O50" s="84">
        <v>2025</v>
      </c>
      <c r="P50" s="84">
        <v>2026</v>
      </c>
      <c r="Q50" s="84">
        <v>2027</v>
      </c>
      <c r="R50" s="84">
        <v>2028</v>
      </c>
      <c r="S50" s="84">
        <v>2029</v>
      </c>
      <c r="T50" s="84">
        <v>2030</v>
      </c>
      <c r="U50" s="84">
        <v>2031</v>
      </c>
      <c r="V50" s="84">
        <v>2032</v>
      </c>
      <c r="W50" s="84">
        <v>2033</v>
      </c>
      <c r="X50" s="84">
        <v>2034</v>
      </c>
      <c r="Y50" s="85"/>
    </row>
    <row r="51" spans="1:30">
      <c r="A51" s="69">
        <f>INDEX([2]!ResApplic,MATCH($D$50,[2]APPLIC!$B$9:$B$120,0)+1,MATCH($D51,[2]APPLIC!$C$8:$F$8,0)+1)</f>
        <v>1</v>
      </c>
      <c r="B51" s="69">
        <f>VLOOKUP($C$8,[2]!ExistingSat,MATCH($D51,[2]SATS!$C$10:$F$10,0)+1,FALSE)</f>
        <v>0.52766223341265472</v>
      </c>
      <c r="C51" s="69">
        <f>VLOOKUP($D$50,[2]TURN!$B$10:$G$76,6,FALSE)</f>
        <v>1</v>
      </c>
      <c r="D51" s="9" t="str">
        <f>D43</f>
        <v>Single Family</v>
      </c>
      <c r="E51" s="44">
        <f>E23*$C51*$A51*$B51</f>
        <v>0</v>
      </c>
      <c r="F51" s="44">
        <f t="shared" ref="F51:X54" si="10">F23*$C51*$A51*$B51</f>
        <v>0</v>
      </c>
      <c r="G51" s="44">
        <f t="shared" si="10"/>
        <v>0</v>
      </c>
      <c r="H51" s="44">
        <f t="shared" si="10"/>
        <v>0</v>
      </c>
      <c r="I51" s="44">
        <f t="shared" si="10"/>
        <v>0</v>
      </c>
      <c r="J51" s="44">
        <f t="shared" si="10"/>
        <v>0</v>
      </c>
      <c r="K51" s="44">
        <f t="shared" si="10"/>
        <v>0</v>
      </c>
      <c r="L51" s="44">
        <f t="shared" si="10"/>
        <v>0</v>
      </c>
      <c r="M51" s="44">
        <f t="shared" si="10"/>
        <v>0</v>
      </c>
      <c r="N51" s="44">
        <f t="shared" si="10"/>
        <v>0</v>
      </c>
      <c r="O51" s="44">
        <f t="shared" si="10"/>
        <v>0</v>
      </c>
      <c r="P51" s="44">
        <f t="shared" si="10"/>
        <v>0</v>
      </c>
      <c r="Q51" s="44">
        <f t="shared" si="10"/>
        <v>0</v>
      </c>
      <c r="R51" s="44">
        <f t="shared" si="10"/>
        <v>0</v>
      </c>
      <c r="S51" s="44">
        <f t="shared" si="10"/>
        <v>0</v>
      </c>
      <c r="T51" s="44">
        <f t="shared" si="10"/>
        <v>0</v>
      </c>
      <c r="U51" s="44">
        <f t="shared" si="10"/>
        <v>0</v>
      </c>
      <c r="V51" s="44">
        <f t="shared" si="10"/>
        <v>0</v>
      </c>
      <c r="W51" s="44">
        <f t="shared" si="10"/>
        <v>0</v>
      </c>
      <c r="X51" s="44">
        <f t="shared" si="10"/>
        <v>0</v>
      </c>
      <c r="Y51" s="44"/>
      <c r="Z51" s="44">
        <f>SUM(E23:X23)*A51*B51*$Z$31</f>
        <v>0</v>
      </c>
      <c r="AD51" s="44"/>
    </row>
    <row r="52" spans="1:30">
      <c r="A52" s="69">
        <f>INDEX([2]!ResApplic,MATCH($D$50,[2]APPLIC!$B$9:$B$120,0)+1,MATCH($D52,[2]APPLIC!$C$8:$F$8,0)+1)</f>
        <v>1</v>
      </c>
      <c r="B52" s="69">
        <f>VLOOKUP($C$8,[2]!ExistingSat,MATCH($D52,[2]SATS!$C$10:$F$10,0)+1,FALSE)</f>
        <v>4.7085148422193572E-2</v>
      </c>
      <c r="C52" s="69">
        <f>VLOOKUP($D$50,[2]TURN!$B$10:$G$76,6,FALSE)</f>
        <v>1</v>
      </c>
      <c r="D52" s="9" t="str">
        <f t="shared" ref="D52:D54" si="11">D44</f>
        <v>Multifamily - Low Rise</v>
      </c>
      <c r="E52" s="44">
        <f t="shared" ref="E52:T54" si="12">E24*$C52*$A52*$B52</f>
        <v>0</v>
      </c>
      <c r="F52" s="44">
        <f t="shared" si="12"/>
        <v>0</v>
      </c>
      <c r="G52" s="44">
        <f t="shared" si="12"/>
        <v>0</v>
      </c>
      <c r="H52" s="44">
        <f t="shared" si="12"/>
        <v>0</v>
      </c>
      <c r="I52" s="44">
        <f t="shared" si="12"/>
        <v>0</v>
      </c>
      <c r="J52" s="44">
        <f t="shared" si="12"/>
        <v>0</v>
      </c>
      <c r="K52" s="44">
        <f t="shared" si="12"/>
        <v>0</v>
      </c>
      <c r="L52" s="44">
        <f t="shared" si="12"/>
        <v>0</v>
      </c>
      <c r="M52" s="44">
        <f t="shared" si="12"/>
        <v>0</v>
      </c>
      <c r="N52" s="44">
        <f t="shared" si="12"/>
        <v>0</v>
      </c>
      <c r="O52" s="44">
        <f t="shared" si="12"/>
        <v>0</v>
      </c>
      <c r="P52" s="44">
        <f t="shared" si="12"/>
        <v>0</v>
      </c>
      <c r="Q52" s="44">
        <f t="shared" si="12"/>
        <v>0</v>
      </c>
      <c r="R52" s="44">
        <f t="shared" si="12"/>
        <v>0</v>
      </c>
      <c r="S52" s="44">
        <f t="shared" si="12"/>
        <v>0</v>
      </c>
      <c r="T52" s="44">
        <f t="shared" si="12"/>
        <v>0</v>
      </c>
      <c r="U52" s="44">
        <f t="shared" si="10"/>
        <v>0</v>
      </c>
      <c r="V52" s="44">
        <f t="shared" si="10"/>
        <v>0</v>
      </c>
      <c r="W52" s="44">
        <f t="shared" si="10"/>
        <v>0</v>
      </c>
      <c r="X52" s="44">
        <f t="shared" si="10"/>
        <v>0</v>
      </c>
      <c r="Y52" s="44"/>
      <c r="Z52" s="44">
        <f t="shared" ref="Z52:Z54" si="13">SUM(E24:X24)*A52*B52*$Z$31</f>
        <v>0</v>
      </c>
      <c r="AD52" s="44"/>
    </row>
    <row r="53" spans="1:30">
      <c r="A53" s="69">
        <f>INDEX([2]!ResApplic,MATCH($D$50,[2]APPLIC!$B$9:$B$120,0)+1,MATCH($D53,[2]APPLIC!$C$8:$F$8,0)+1)</f>
        <v>1</v>
      </c>
      <c r="B53" s="69">
        <f>VLOOKUP($C$8,[2]!ExistingSat,MATCH($D53,[2]SATS!$C$10:$F$10,0)+1,FALSE)</f>
        <v>4.7085148422193572E-2</v>
      </c>
      <c r="C53" s="69">
        <f>VLOOKUP($D$50,[2]TURN!$B$10:$G$76,6,FALSE)</f>
        <v>1</v>
      </c>
      <c r="D53" s="9" t="str">
        <f t="shared" si="11"/>
        <v>Multifamily - High Rise</v>
      </c>
      <c r="E53" s="44">
        <f t="shared" si="12"/>
        <v>0</v>
      </c>
      <c r="F53" s="44">
        <f t="shared" si="10"/>
        <v>0</v>
      </c>
      <c r="G53" s="44">
        <f t="shared" si="10"/>
        <v>0</v>
      </c>
      <c r="H53" s="44">
        <f t="shared" si="10"/>
        <v>0</v>
      </c>
      <c r="I53" s="44">
        <f t="shared" si="10"/>
        <v>0</v>
      </c>
      <c r="J53" s="44">
        <f t="shared" si="10"/>
        <v>0</v>
      </c>
      <c r="K53" s="44">
        <f t="shared" si="10"/>
        <v>0</v>
      </c>
      <c r="L53" s="44">
        <f t="shared" si="10"/>
        <v>0</v>
      </c>
      <c r="M53" s="44">
        <f t="shared" si="10"/>
        <v>0</v>
      </c>
      <c r="N53" s="44">
        <f t="shared" si="10"/>
        <v>0</v>
      </c>
      <c r="O53" s="44">
        <f t="shared" si="10"/>
        <v>0</v>
      </c>
      <c r="P53" s="44">
        <f t="shared" si="10"/>
        <v>0</v>
      </c>
      <c r="Q53" s="44">
        <f t="shared" si="10"/>
        <v>0</v>
      </c>
      <c r="R53" s="44">
        <f t="shared" si="10"/>
        <v>0</v>
      </c>
      <c r="S53" s="44">
        <f t="shared" si="10"/>
        <v>0</v>
      </c>
      <c r="T53" s="44">
        <f t="shared" si="10"/>
        <v>0</v>
      </c>
      <c r="U53" s="44">
        <f t="shared" si="10"/>
        <v>0</v>
      </c>
      <c r="V53" s="44">
        <f t="shared" si="10"/>
        <v>0</v>
      </c>
      <c r="W53" s="44">
        <f t="shared" si="10"/>
        <v>0</v>
      </c>
      <c r="X53" s="44">
        <f t="shared" si="10"/>
        <v>0</v>
      </c>
      <c r="Y53" s="44"/>
      <c r="Z53" s="44">
        <f t="shared" si="13"/>
        <v>0</v>
      </c>
      <c r="AD53" s="44"/>
    </row>
    <row r="54" spans="1:30">
      <c r="A54" s="69">
        <f>INDEX([2]!ResApplic,MATCH($D$50,[2]APPLIC!$B$9:$B$120,0)+1,MATCH($D54,[2]APPLIC!$C$8:$F$8,0)+1)</f>
        <v>1</v>
      </c>
      <c r="B54" s="69">
        <f>VLOOKUP($C$8,[2]!ExistingSat,MATCH($D54,[2]SATS!$C$10:$F$10,0)+1,FALSE)</f>
        <v>0.44147575101117187</v>
      </c>
      <c r="C54" s="69">
        <f>VLOOKUP($D$50,[2]TURN!$B$10:$G$76,6,FALSE)</f>
        <v>1</v>
      </c>
      <c r="D54" s="9" t="str">
        <f t="shared" si="11"/>
        <v>Manufactured</v>
      </c>
      <c r="E54" s="44">
        <f t="shared" si="12"/>
        <v>0</v>
      </c>
      <c r="F54" s="44">
        <f t="shared" si="10"/>
        <v>0</v>
      </c>
      <c r="G54" s="44">
        <f t="shared" si="10"/>
        <v>0</v>
      </c>
      <c r="H54" s="44">
        <f t="shared" si="10"/>
        <v>0</v>
      </c>
      <c r="I54" s="44">
        <f t="shared" si="10"/>
        <v>0</v>
      </c>
      <c r="J54" s="44">
        <f t="shared" si="10"/>
        <v>0</v>
      </c>
      <c r="K54" s="44">
        <f t="shared" si="10"/>
        <v>0</v>
      </c>
      <c r="L54" s="44">
        <f t="shared" si="10"/>
        <v>0</v>
      </c>
      <c r="M54" s="44">
        <f t="shared" si="10"/>
        <v>0</v>
      </c>
      <c r="N54" s="44">
        <f t="shared" si="10"/>
        <v>0</v>
      </c>
      <c r="O54" s="44">
        <f t="shared" si="10"/>
        <v>0</v>
      </c>
      <c r="P54" s="44">
        <f t="shared" si="10"/>
        <v>0</v>
      </c>
      <c r="Q54" s="44">
        <f t="shared" si="10"/>
        <v>0</v>
      </c>
      <c r="R54" s="44">
        <f t="shared" si="10"/>
        <v>0</v>
      </c>
      <c r="S54" s="44">
        <f t="shared" si="10"/>
        <v>0</v>
      </c>
      <c r="T54" s="44">
        <f t="shared" si="10"/>
        <v>0</v>
      </c>
      <c r="U54" s="44">
        <f t="shared" si="10"/>
        <v>0</v>
      </c>
      <c r="V54" s="44">
        <f t="shared" si="10"/>
        <v>0</v>
      </c>
      <c r="W54" s="44">
        <f t="shared" si="10"/>
        <v>0</v>
      </c>
      <c r="X54" s="44">
        <f t="shared" si="10"/>
        <v>0</v>
      </c>
      <c r="Y54" s="44"/>
      <c r="Z54" s="44">
        <f t="shared" si="13"/>
        <v>0</v>
      </c>
      <c r="AD54" s="44"/>
    </row>
    <row r="55" spans="1:30">
      <c r="E55" s="44"/>
      <c r="F55" s="44"/>
      <c r="G55" s="44"/>
      <c r="H55" s="44"/>
      <c r="I55" s="44"/>
      <c r="J55" s="44"/>
      <c r="K55" s="44"/>
      <c r="L55" s="44"/>
      <c r="M55" s="44"/>
      <c r="N55" s="44"/>
      <c r="O55" s="44"/>
      <c r="P55" s="44"/>
      <c r="Q55" s="44"/>
      <c r="R55" s="44"/>
      <c r="S55" s="44"/>
      <c r="T55" s="44"/>
      <c r="U55" s="44"/>
      <c r="V55" s="44"/>
      <c r="W55" s="44"/>
      <c r="X55" s="44"/>
      <c r="Y55" s="44"/>
    </row>
    <row r="56" spans="1:30">
      <c r="E56" s="44">
        <f t="shared" ref="E56:X56" si="14">SUM(E51:E54)</f>
        <v>0</v>
      </c>
      <c r="F56" s="44">
        <f t="shared" si="14"/>
        <v>0</v>
      </c>
      <c r="G56" s="44">
        <f t="shared" si="14"/>
        <v>0</v>
      </c>
      <c r="H56" s="44">
        <f t="shared" si="14"/>
        <v>0</v>
      </c>
      <c r="I56" s="44">
        <f t="shared" si="14"/>
        <v>0</v>
      </c>
      <c r="J56" s="44">
        <f t="shared" si="14"/>
        <v>0</v>
      </c>
      <c r="K56" s="44">
        <f t="shared" si="14"/>
        <v>0</v>
      </c>
      <c r="L56" s="44">
        <f t="shared" si="14"/>
        <v>0</v>
      </c>
      <c r="M56" s="44">
        <f t="shared" si="14"/>
        <v>0</v>
      </c>
      <c r="N56" s="44">
        <f t="shared" si="14"/>
        <v>0</v>
      </c>
      <c r="O56" s="44">
        <f t="shared" si="14"/>
        <v>0</v>
      </c>
      <c r="P56" s="44">
        <f t="shared" si="14"/>
        <v>0</v>
      </c>
      <c r="Q56" s="44">
        <f t="shared" si="14"/>
        <v>0</v>
      </c>
      <c r="R56" s="44">
        <f t="shared" si="14"/>
        <v>0</v>
      </c>
      <c r="S56" s="44">
        <f t="shared" si="14"/>
        <v>0</v>
      </c>
      <c r="T56" s="44">
        <f t="shared" si="14"/>
        <v>0</v>
      </c>
      <c r="U56" s="44">
        <f t="shared" si="14"/>
        <v>0</v>
      </c>
      <c r="V56" s="44">
        <f t="shared" si="14"/>
        <v>0</v>
      </c>
      <c r="W56" s="44">
        <f t="shared" si="14"/>
        <v>0</v>
      </c>
      <c r="X56" s="44">
        <f t="shared" si="14"/>
        <v>0</v>
      </c>
      <c r="Y56" s="44"/>
      <c r="Z56" s="44">
        <f>SUM(E56:X56)</f>
        <v>0</v>
      </c>
      <c r="AD56" s="44"/>
    </row>
    <row r="57" spans="1:30">
      <c r="E57" s="44"/>
      <c r="F57" s="44"/>
      <c r="G57" s="44"/>
      <c r="H57" s="44"/>
      <c r="I57" s="44"/>
      <c r="J57" s="44"/>
      <c r="K57" s="44"/>
      <c r="L57" s="44"/>
      <c r="M57" s="44"/>
      <c r="N57" s="44"/>
      <c r="O57" s="44"/>
      <c r="P57" s="44"/>
      <c r="Q57" s="44"/>
      <c r="R57" s="44"/>
      <c r="S57" s="44"/>
      <c r="T57" s="44"/>
      <c r="U57" s="44"/>
      <c r="V57" s="44"/>
      <c r="W57" s="44"/>
      <c r="X57" s="44"/>
      <c r="Y57" s="44"/>
      <c r="Z57" s="44"/>
      <c r="AD57" s="44"/>
    </row>
    <row r="58" spans="1:30" ht="15.75" thickBot="1">
      <c r="E58" s="68" t="s">
        <v>64</v>
      </c>
      <c r="F58" s="44"/>
      <c r="G58" s="44"/>
      <c r="H58" s="44"/>
      <c r="I58" s="44"/>
      <c r="J58" s="44"/>
      <c r="K58" s="44"/>
      <c r="L58" s="44"/>
      <c r="M58" s="44"/>
      <c r="N58" s="44"/>
      <c r="O58" s="44"/>
      <c r="P58" s="44"/>
      <c r="Q58" s="44"/>
      <c r="R58" s="44"/>
      <c r="S58" s="44"/>
      <c r="T58" s="44"/>
      <c r="U58" s="44"/>
      <c r="V58" s="44"/>
      <c r="W58" s="44"/>
      <c r="X58" s="44"/>
      <c r="Y58" s="44"/>
    </row>
    <row r="59" spans="1:30" ht="15.75" thickBot="1">
      <c r="A59" s="86" t="s">
        <v>156</v>
      </c>
      <c r="D59" s="68" t="str">
        <f>D42</f>
        <v>Freezer - NR</v>
      </c>
      <c r="E59" s="71">
        <f>VLOOKUP($D$42,[2]ACHIEV!$B$9:$X$100,MATCH(E$11,$E$11:$Y$11,0)+2,FALSE)</f>
        <v>2.5643970768378654E-3</v>
      </c>
      <c r="F59" s="71">
        <f>VLOOKUP($D$42,[2]ACHIEV!$B$9:$X$100,MATCH(F$11,$E$11:$Y$11,0)+2,FALSE)</f>
        <v>7.6904586297764643E-3</v>
      </c>
      <c r="G59" s="71">
        <f>VLOOKUP($D$42,[2]ACHIEV!$B$9:$X$100,MATCH(G$11,$E$11:$Y$11,0)+2,FALSE)</f>
        <v>1.6792013047419844E-2</v>
      </c>
      <c r="H59" s="71">
        <f>VLOOKUP($D$42,[2]ACHIEV!$B$9:$X$100,MATCH(H$11,$E$11:$Y$11,0)+2,FALSE)</f>
        <v>3.15969387774655E-2</v>
      </c>
      <c r="I59" s="71">
        <f>VLOOKUP($D$42,[2]ACHIEV!$B$9:$X$100,MATCH(I$11,$E$11:$Y$11,0)+2,FALSE)</f>
        <v>5.406874819795171E-2</v>
      </c>
      <c r="J59" s="71">
        <f>VLOOKUP($D$42,[2]ACHIEV!$B$9:$X$100,MATCH(J$11,$E$11:$Y$11,0)+2,FALSE)</f>
        <v>8.6253181011834101E-2</v>
      </c>
      <c r="K59" s="71">
        <f>VLOOKUP($D$42,[2]ACHIEV!$B$9:$X$100,MATCH(K$11,$E$11:$Y$11,0)+2,FALSE)</f>
        <v>0.1300328481838382</v>
      </c>
      <c r="L59" s="71">
        <f>VLOOKUP($D$42,[2]ACHIEV!$B$9:$X$100,MATCH(L$11,$E$11:$Y$11,0)+2,FALSE)</f>
        <v>0.18678710893858319</v>
      </c>
      <c r="M59" s="71">
        <f>VLOOKUP($D$42,[2]ACHIEV!$B$9:$X$100,MATCH(M$11,$E$11:$Y$11,0)+2,FALSE)</f>
        <v>0.2569823480072907</v>
      </c>
      <c r="N59" s="71">
        <f>VLOOKUP($D$42,[2]ACHIEV!$B$9:$X$100,MATCH(N$11,$E$11:$Y$11,0)+2,FALSE)</f>
        <v>0.33975920985004748</v>
      </c>
      <c r="O59" s="71">
        <f>VLOOKUP($D$42,[2]ACHIEV!$B$9:$X$100,MATCH(O$11,$E$11:$Y$11,0)+2,FALSE)</f>
        <v>0.43262946935754232</v>
      </c>
      <c r="P59" s="71">
        <f>VLOOKUP($D$42,[2]ACHIEV!$B$9:$X$100,MATCH(P$11,$E$11:$Y$11,0)+2,FALSE)</f>
        <v>0.53142594003645804</v>
      </c>
      <c r="Q59" s="71">
        <f>VLOOKUP($D$42,[2]ACHIEV!$B$9:$X$100,MATCH(Q$11,$E$11:$Y$11,0)+2,FALSE)</f>
        <v>0.63063487292644704</v>
      </c>
      <c r="R59" s="71">
        <f>VLOOKUP($D$42,[2]ACHIEV!$B$9:$X$100,MATCH(R$11,$E$11:$Y$11,0)+2,FALSE)</f>
        <v>0.7241560234206913</v>
      </c>
      <c r="S59" s="71">
        <f>VLOOKUP($D$42,[2]ACHIEV!$B$9:$X$100,MATCH(S$11,$E$11:$Y$11,0)+2,FALSE)</f>
        <v>0.80638203131755359</v>
      </c>
      <c r="T59" s="71">
        <f>VLOOKUP($D$42,[2]ACHIEV!$B$9:$X$100,MATCH(T$11,$E$11:$Y$11,0)+2,FALSE)</f>
        <v>0.87331559734491926</v>
      </c>
      <c r="U59" s="71">
        <f>VLOOKUP($D$42,[2]ACHIEV!$B$9:$X$100,MATCH(U$11,$E$11:$Y$11,0)+2,FALSE)</f>
        <v>0.92334516248836807</v>
      </c>
      <c r="V59" s="71">
        <f>VLOOKUP($D$42,[2]ACHIEV!$B$9:$X$100,MATCH(V$11,$E$11:$Y$11,0)+2,FALSE)</f>
        <v>0.95737002770730018</v>
      </c>
      <c r="W59" s="71">
        <f>VLOOKUP($D$42,[2]ACHIEV!$B$9:$X$100,MATCH(W$11,$E$11:$Y$11,0)+2,FALSE)</f>
        <v>0.97821608704807483</v>
      </c>
      <c r="X59" s="71">
        <f>VLOOKUP($D$42,[2]ACHIEV!$B$9:$X$100,MATCH(X$11,$E$11:$Y$11,0)+2,FALSE)</f>
        <v>0.98821608704807484</v>
      </c>
      <c r="Y59" s="463"/>
      <c r="Z59" s="462">
        <v>0.85</v>
      </c>
    </row>
    <row r="60" spans="1:30">
      <c r="D60" s="9" t="str">
        <f>C23</f>
        <v>Single Family</v>
      </c>
      <c r="E60" s="44">
        <f ca="1">(E43+E51)*E$59*$Z$59</f>
        <v>222.79962170495907</v>
      </c>
      <c r="F60" s="44">
        <f t="shared" ref="F60:X60" ca="1" si="15">(F43+F51)*F$59*$Z$59</f>
        <v>666.64420311310732</v>
      </c>
      <c r="G60" s="44">
        <f t="shared" ca="1" si="15"/>
        <v>1452.3032879309337</v>
      </c>
      <c r="H60" s="44">
        <f t="shared" ca="1" si="15"/>
        <v>2726.5424083284015</v>
      </c>
      <c r="I60" s="44">
        <f t="shared" ca="1" si="15"/>
        <v>4655.0704077533983</v>
      </c>
      <c r="J60" s="44">
        <f t="shared" ca="1" si="15"/>
        <v>7409.1391411687528</v>
      </c>
      <c r="K60" s="44">
        <f t="shared" ca="1" si="15"/>
        <v>11144.443737421034</v>
      </c>
      <c r="L60" s="44">
        <f t="shared" ca="1" si="15"/>
        <v>15972.20632966065</v>
      </c>
      <c r="M60" s="44">
        <f t="shared" ca="1" si="15"/>
        <v>21924.716948447283</v>
      </c>
      <c r="N60" s="44">
        <f t="shared" ca="1" si="15"/>
        <v>28921.088283212339</v>
      </c>
      <c r="O60" s="44">
        <f t="shared" ca="1" si="15"/>
        <v>36742.794421246654</v>
      </c>
      <c r="P60" s="44">
        <f t="shared" ca="1" si="15"/>
        <v>45030.993034117048</v>
      </c>
      <c r="Q60" s="44">
        <f t="shared" ca="1" si="15"/>
        <v>53316.231910521339</v>
      </c>
      <c r="R60" s="44">
        <f t="shared" ca="1" si="15"/>
        <v>61083.836191691182</v>
      </c>
      <c r="S60" s="44">
        <f t="shared" ca="1" si="15"/>
        <v>67865.286835997569</v>
      </c>
      <c r="T60" s="44">
        <f t="shared" ca="1" si="15"/>
        <v>73331.531424160436</v>
      </c>
      <c r="U60" s="44">
        <f t="shared" ca="1" si="15"/>
        <v>77356.410084700998</v>
      </c>
      <c r="V60" s="44">
        <f t="shared" ca="1" si="15"/>
        <v>80024.827483338857</v>
      </c>
      <c r="W60" s="44">
        <f t="shared" ca="1" si="15"/>
        <v>81581.636163049639</v>
      </c>
      <c r="X60" s="44">
        <f t="shared" ca="1" si="15"/>
        <v>82228.472106237401</v>
      </c>
      <c r="Y60" s="44"/>
    </row>
    <row r="61" spans="1:30">
      <c r="D61" s="9" t="str">
        <f>C24</f>
        <v>Multifamily - Low Rise</v>
      </c>
      <c r="E61" s="44">
        <f t="shared" ref="E61:X61" ca="1" si="16">(E44+E52)*E$59*$Z$59</f>
        <v>4.3808004160812661</v>
      </c>
      <c r="F61" s="44">
        <f t="shared" ca="1" si="16"/>
        <v>13.107899704509457</v>
      </c>
      <c r="G61" s="44">
        <f t="shared" ca="1" si="16"/>
        <v>28.555929914697767</v>
      </c>
      <c r="H61" s="44">
        <f t="shared" ca="1" si="16"/>
        <v>53.610669148576854</v>
      </c>
      <c r="I61" s="44">
        <f t="shared" ca="1" si="16"/>
        <v>91.530368131859277</v>
      </c>
      <c r="J61" s="44">
        <f t="shared" ca="1" si="16"/>
        <v>145.68226662833663</v>
      </c>
      <c r="K61" s="44">
        <f t="shared" ca="1" si="16"/>
        <v>219.12771964954109</v>
      </c>
      <c r="L61" s="44">
        <f t="shared" ca="1" si="16"/>
        <v>314.05363113528125</v>
      </c>
      <c r="M61" s="44">
        <f t="shared" ca="1" si="16"/>
        <v>431.09490168120379</v>
      </c>
      <c r="N61" s="44">
        <f t="shared" ca="1" si="16"/>
        <v>568.66108160303679</v>
      </c>
      <c r="O61" s="44">
        <f t="shared" ca="1" si="16"/>
        <v>722.45540166170883</v>
      </c>
      <c r="P61" s="44">
        <f t="shared" ca="1" si="16"/>
        <v>885.42212103580073</v>
      </c>
      <c r="Q61" s="44">
        <f t="shared" ca="1" si="16"/>
        <v>1048.330632652679</v>
      </c>
      <c r="R61" s="44">
        <f t="shared" ca="1" si="16"/>
        <v>1201.0611403286105</v>
      </c>
      <c r="S61" s="44">
        <f t="shared" ca="1" si="16"/>
        <v>1334.4013882419649</v>
      </c>
      <c r="T61" s="44">
        <f t="shared" ca="1" si="16"/>
        <v>1441.881384662976</v>
      </c>
      <c r="U61" s="44">
        <f t="shared" ca="1" si="16"/>
        <v>1521.0205137936214</v>
      </c>
      <c r="V61" s="44">
        <f t="shared" ca="1" si="16"/>
        <v>1573.4882167839901</v>
      </c>
      <c r="W61" s="44">
        <f t="shared" ca="1" si="16"/>
        <v>1604.0989096540072</v>
      </c>
      <c r="X61" s="44">
        <f t="shared" ca="1" si="16"/>
        <v>1616.8172621338169</v>
      </c>
      <c r="Y61" s="44"/>
    </row>
    <row r="62" spans="1:30">
      <c r="D62" s="9" t="str">
        <f>C25</f>
        <v>Multifamily - High Rise</v>
      </c>
      <c r="E62" s="44">
        <f t="shared" ref="E62:X62" ca="1" si="17">(E45+E53)*E$59*$Z$59</f>
        <v>0.99880649669188648</v>
      </c>
      <c r="F62" s="44">
        <f t="shared" ca="1" si="17"/>
        <v>2.9885532640998633</v>
      </c>
      <c r="G62" s="44">
        <f t="shared" ca="1" si="17"/>
        <v>6.5106477376095162</v>
      </c>
      <c r="H62" s="44">
        <f t="shared" ca="1" si="17"/>
        <v>12.223036785934358</v>
      </c>
      <c r="I62" s="44">
        <f t="shared" ca="1" si="17"/>
        <v>20.868589675783387</v>
      </c>
      <c r="J62" s="44">
        <f t="shared" ca="1" si="17"/>
        <v>33.215024776532303</v>
      </c>
      <c r="K62" s="44">
        <f t="shared" ca="1" si="17"/>
        <v>49.96031985109726</v>
      </c>
      <c r="L62" s="44">
        <f t="shared" ca="1" si="17"/>
        <v>71.603081011435279</v>
      </c>
      <c r="M62" s="44">
        <f t="shared" ca="1" si="17"/>
        <v>98.288063274770508</v>
      </c>
      <c r="N62" s="44">
        <f t="shared" ca="1" si="17"/>
        <v>129.65264992122658</v>
      </c>
      <c r="O62" s="44">
        <f t="shared" ca="1" si="17"/>
        <v>164.71719325559781</v>
      </c>
      <c r="P62" s="44">
        <f t="shared" ca="1" si="17"/>
        <v>201.87301013734699</v>
      </c>
      <c r="Q62" s="44">
        <f t="shared" ca="1" si="17"/>
        <v>239.01555586301959</v>
      </c>
      <c r="R62" s="44">
        <f t="shared" ca="1" si="17"/>
        <v>273.83755385904527</v>
      </c>
      <c r="S62" s="44">
        <f t="shared" ca="1" si="17"/>
        <v>304.23864344018142</v>
      </c>
      <c r="T62" s="44">
        <f t="shared" ca="1" si="17"/>
        <v>328.74369011970015</v>
      </c>
      <c r="U62" s="44">
        <f t="shared" ca="1" si="17"/>
        <v>346.78712255457333</v>
      </c>
      <c r="V62" s="44">
        <f t="shared" ca="1" si="17"/>
        <v>358.74956723041595</v>
      </c>
      <c r="W62" s="44">
        <f t="shared" ca="1" si="17"/>
        <v>365.7286934180824</v>
      </c>
      <c r="X62" s="44">
        <f t="shared" ca="1" si="17"/>
        <v>368.62843133753199</v>
      </c>
      <c r="Y62" s="44"/>
    </row>
    <row r="63" spans="1:30">
      <c r="D63" s="9" t="str">
        <f>C26</f>
        <v>Manufactured</v>
      </c>
      <c r="E63" s="44">
        <f t="shared" ref="E63:X63" ca="1" si="18">(E46+E54)*E$59*$Z$59</f>
        <v>25.366009587454776</v>
      </c>
      <c r="F63" s="44">
        <f t="shared" ca="1" si="18"/>
        <v>75.258029211091255</v>
      </c>
      <c r="G63" s="44">
        <f t="shared" ca="1" si="18"/>
        <v>162.56875727452913</v>
      </c>
      <c r="H63" s="44">
        <f t="shared" ca="1" si="18"/>
        <v>302.63074947365965</v>
      </c>
      <c r="I63" s="44">
        <f t="shared" ca="1" si="18"/>
        <v>512.32798781005818</v>
      </c>
      <c r="J63" s="44">
        <f t="shared" ca="1" si="18"/>
        <v>808.55694026223443</v>
      </c>
      <c r="K63" s="44">
        <f t="shared" ca="1" si="18"/>
        <v>1205.9305173124833</v>
      </c>
      <c r="L63" s="44">
        <f t="shared" ca="1" si="18"/>
        <v>1713.7593308622108</v>
      </c>
      <c r="M63" s="44">
        <f t="shared" ca="1" si="18"/>
        <v>2332.5982578612457</v>
      </c>
      <c r="N63" s="44">
        <f t="shared" ca="1" si="18"/>
        <v>3050.9958288546932</v>
      </c>
      <c r="O63" s="44">
        <f t="shared" ca="1" si="18"/>
        <v>3843.4408052547842</v>
      </c>
      <c r="P63" s="44">
        <f t="shared" ca="1" si="18"/>
        <v>4670.6848975230541</v>
      </c>
      <c r="Q63" s="44">
        <f t="shared" ca="1" si="18"/>
        <v>5483.3949061759404</v>
      </c>
      <c r="R63" s="44">
        <f t="shared" ca="1" si="18"/>
        <v>6229.2736658959002</v>
      </c>
      <c r="S63" s="44">
        <f t="shared" ca="1" si="18"/>
        <v>6862.4600158493022</v>
      </c>
      <c r="T63" s="44">
        <f t="shared" ca="1" si="18"/>
        <v>7352.6505179286469</v>
      </c>
      <c r="U63" s="44">
        <f t="shared" ca="1" si="18"/>
        <v>7690.7821067145123</v>
      </c>
      <c r="V63" s="44">
        <f t="shared" ca="1" si="18"/>
        <v>7888.9640649286766</v>
      </c>
      <c r="W63" s="44">
        <f t="shared" ca="1" si="18"/>
        <v>7974.5956846704212</v>
      </c>
      <c r="X63" s="44">
        <f t="shared" ca="1" si="18"/>
        <v>7970.0218869269975</v>
      </c>
      <c r="Y63" s="44"/>
    </row>
    <row r="65" spans="1:29">
      <c r="E65" s="44">
        <f t="shared" ref="E65:X65" ca="1" si="19">SUM(E60:E63)</f>
        <v>253.54523820518699</v>
      </c>
      <c r="F65" s="44">
        <f t="shared" ca="1" si="19"/>
        <v>757.99868529280798</v>
      </c>
      <c r="G65" s="44">
        <f t="shared" ca="1" si="19"/>
        <v>1649.9386228577703</v>
      </c>
      <c r="H65" s="44">
        <f t="shared" ca="1" si="19"/>
        <v>3095.0068637365725</v>
      </c>
      <c r="I65" s="44">
        <f t="shared" ca="1" si="19"/>
        <v>5279.7973533710992</v>
      </c>
      <c r="J65" s="44">
        <f t="shared" ca="1" si="19"/>
        <v>8396.5933728358559</v>
      </c>
      <c r="K65" s="44">
        <f t="shared" ca="1" si="19"/>
        <v>12619.462294234156</v>
      </c>
      <c r="L65" s="44">
        <f t="shared" ca="1" si="19"/>
        <v>18071.622372669575</v>
      </c>
      <c r="M65" s="44">
        <f t="shared" ca="1" si="19"/>
        <v>24786.698171264503</v>
      </c>
      <c r="N65" s="44">
        <f t="shared" ca="1" si="19"/>
        <v>32670.397843591294</v>
      </c>
      <c r="O65" s="44">
        <f t="shared" ca="1" si="19"/>
        <v>41473.407821418747</v>
      </c>
      <c r="P65" s="44">
        <f t="shared" ca="1" si="19"/>
        <v>50788.973062813246</v>
      </c>
      <c r="Q65" s="44">
        <f t="shared" ca="1" si="19"/>
        <v>60086.973005212982</v>
      </c>
      <c r="R65" s="44">
        <f t="shared" ca="1" si="19"/>
        <v>68788.008551774736</v>
      </c>
      <c r="S65" s="44">
        <f t="shared" ca="1" si="19"/>
        <v>76366.38688352902</v>
      </c>
      <c r="T65" s="44">
        <f t="shared" ca="1" si="19"/>
        <v>82454.807016871768</v>
      </c>
      <c r="U65" s="44">
        <f t="shared" ca="1" si="19"/>
        <v>86914.999827763706</v>
      </c>
      <c r="V65" s="44">
        <f t="shared" ca="1" si="19"/>
        <v>89846.029332281949</v>
      </c>
      <c r="W65" s="44">
        <f t="shared" ca="1" si="19"/>
        <v>91526.059450792163</v>
      </c>
      <c r="X65" s="44">
        <f t="shared" ca="1" si="19"/>
        <v>92183.939686635757</v>
      </c>
      <c r="Y65" s="44"/>
    </row>
    <row r="66" spans="1:29">
      <c r="E66" s="44"/>
      <c r="F66" s="44"/>
      <c r="G66" s="44"/>
      <c r="H66" s="44"/>
      <c r="I66" s="44"/>
      <c r="J66" s="44"/>
      <c r="K66" s="44"/>
      <c r="L66" s="44"/>
      <c r="M66" s="44"/>
      <c r="N66" s="44"/>
      <c r="O66" s="44"/>
      <c r="P66" s="44"/>
      <c r="Q66" s="44"/>
      <c r="R66" s="44"/>
      <c r="S66" s="44"/>
      <c r="T66" s="44"/>
      <c r="U66" s="44"/>
      <c r="V66" s="44"/>
      <c r="W66" s="44"/>
      <c r="X66" s="44"/>
      <c r="Y66" s="44"/>
    </row>
    <row r="67" spans="1:29">
      <c r="E67" s="44"/>
      <c r="F67" s="44"/>
      <c r="G67" s="44"/>
      <c r="H67" s="44"/>
      <c r="I67" s="44"/>
      <c r="J67" s="44"/>
      <c r="K67" s="44"/>
      <c r="L67" s="44"/>
      <c r="M67" s="44"/>
      <c r="N67" s="44"/>
      <c r="O67" s="44"/>
      <c r="P67" s="44"/>
      <c r="Q67" s="44"/>
      <c r="R67" s="44"/>
      <c r="S67" s="44"/>
      <c r="T67" s="44"/>
      <c r="U67" s="44"/>
      <c r="V67" s="44"/>
      <c r="W67" s="44"/>
      <c r="X67" s="44"/>
      <c r="Y67" s="44"/>
    </row>
    <row r="69" spans="1:29" customFormat="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spans="1:29" customFormat="1" ht="15">
      <c r="A70" s="86" t="s">
        <v>65</v>
      </c>
      <c r="B70" s="9"/>
      <c r="C70" s="9"/>
      <c r="D70" s="72" t="s">
        <v>146</v>
      </c>
      <c r="E70" s="9" t="s">
        <v>4720</v>
      </c>
      <c r="F70" s="9"/>
      <c r="G70" s="9"/>
      <c r="H70" s="9"/>
      <c r="I70" s="9"/>
      <c r="J70" s="9"/>
      <c r="K70" s="9"/>
      <c r="L70" s="9"/>
      <c r="M70" s="9"/>
      <c r="N70" s="9"/>
      <c r="O70" s="9"/>
      <c r="P70" s="9"/>
      <c r="Q70" s="9"/>
      <c r="R70" s="9"/>
      <c r="S70" s="9"/>
      <c r="T70" s="9"/>
      <c r="U70" s="9"/>
      <c r="V70" s="9"/>
      <c r="W70" s="9"/>
      <c r="X70" s="9"/>
      <c r="Y70" s="9"/>
      <c r="Z70" s="9"/>
      <c r="AA70" s="9"/>
      <c r="AB70" s="9"/>
      <c r="AC70" s="9"/>
    </row>
    <row r="71" spans="1:29" customFormat="1" ht="15">
      <c r="A71" s="68" t="s">
        <v>66</v>
      </c>
      <c r="B71" s="68" t="s">
        <v>24</v>
      </c>
      <c r="C71" s="68"/>
      <c r="D71" s="68">
        <v>1</v>
      </c>
      <c r="E71" s="79">
        <f t="shared" ref="E71:X71" si="20">E11</f>
        <v>2016</v>
      </c>
      <c r="F71" s="73">
        <f t="shared" si="20"/>
        <v>2017</v>
      </c>
      <c r="G71" s="73">
        <f t="shared" si="20"/>
        <v>2018</v>
      </c>
      <c r="H71" s="73">
        <f t="shared" si="20"/>
        <v>2019</v>
      </c>
      <c r="I71" s="73">
        <f t="shared" si="20"/>
        <v>2020</v>
      </c>
      <c r="J71" s="73">
        <f t="shared" si="20"/>
        <v>2021</v>
      </c>
      <c r="K71" s="73">
        <f t="shared" si="20"/>
        <v>2022</v>
      </c>
      <c r="L71" s="73">
        <f t="shared" si="20"/>
        <v>2023</v>
      </c>
      <c r="M71" s="73">
        <f t="shared" si="20"/>
        <v>2024</v>
      </c>
      <c r="N71" s="73">
        <f t="shared" si="20"/>
        <v>2025</v>
      </c>
      <c r="O71" s="73">
        <f t="shared" si="20"/>
        <v>2026</v>
      </c>
      <c r="P71" s="73">
        <f t="shared" si="20"/>
        <v>2027</v>
      </c>
      <c r="Q71" s="73">
        <f t="shared" si="20"/>
        <v>2028</v>
      </c>
      <c r="R71" s="73">
        <f t="shared" si="20"/>
        <v>2029</v>
      </c>
      <c r="S71" s="73">
        <f t="shared" si="20"/>
        <v>2030</v>
      </c>
      <c r="T71" s="73">
        <f t="shared" si="20"/>
        <v>2031</v>
      </c>
      <c r="U71" s="73">
        <f t="shared" si="20"/>
        <v>2032</v>
      </c>
      <c r="V71" s="73">
        <f t="shared" si="20"/>
        <v>2033</v>
      </c>
      <c r="W71" s="73">
        <f t="shared" si="20"/>
        <v>2034</v>
      </c>
      <c r="X71" s="73">
        <f t="shared" si="20"/>
        <v>2035</v>
      </c>
      <c r="Y71" s="74" t="s">
        <v>151</v>
      </c>
      <c r="Z71" s="9"/>
      <c r="AA71" s="9"/>
      <c r="AB71" s="9"/>
      <c r="AC71" s="9"/>
    </row>
    <row r="72" spans="1:29" customFormat="1" ht="26.25">
      <c r="A72" s="68" t="s">
        <v>46</v>
      </c>
      <c r="B72" s="68" t="s">
        <v>67</v>
      </c>
      <c r="C72" s="68" t="s">
        <v>68</v>
      </c>
      <c r="D72" s="68" t="s">
        <v>69</v>
      </c>
      <c r="E72" s="80" t="str">
        <f t="shared" ref="E72:X72" si="21">CONCATENATE("aMW_",E71)</f>
        <v>aMW_2016</v>
      </c>
      <c r="F72" s="75" t="str">
        <f t="shared" si="21"/>
        <v>aMW_2017</v>
      </c>
      <c r="G72" s="75" t="str">
        <f t="shared" si="21"/>
        <v>aMW_2018</v>
      </c>
      <c r="H72" s="75" t="str">
        <f t="shared" si="21"/>
        <v>aMW_2019</v>
      </c>
      <c r="I72" s="75" t="str">
        <f t="shared" si="21"/>
        <v>aMW_2020</v>
      </c>
      <c r="J72" s="75" t="str">
        <f t="shared" si="21"/>
        <v>aMW_2021</v>
      </c>
      <c r="K72" s="75" t="str">
        <f t="shared" si="21"/>
        <v>aMW_2022</v>
      </c>
      <c r="L72" s="75" t="str">
        <f t="shared" si="21"/>
        <v>aMW_2023</v>
      </c>
      <c r="M72" s="75" t="str">
        <f t="shared" si="21"/>
        <v>aMW_2024</v>
      </c>
      <c r="N72" s="75" t="str">
        <f t="shared" si="21"/>
        <v>aMW_2025</v>
      </c>
      <c r="O72" s="75" t="str">
        <f t="shared" si="21"/>
        <v>aMW_2026</v>
      </c>
      <c r="P72" s="75" t="str">
        <f t="shared" si="21"/>
        <v>aMW_2027</v>
      </c>
      <c r="Q72" s="75" t="str">
        <f t="shared" si="21"/>
        <v>aMW_2028</v>
      </c>
      <c r="R72" s="75" t="str">
        <f t="shared" si="21"/>
        <v>aMW_2029</v>
      </c>
      <c r="S72" s="75" t="str">
        <f t="shared" si="21"/>
        <v>aMW_2030</v>
      </c>
      <c r="T72" s="75" t="str">
        <f t="shared" si="21"/>
        <v>aMW_2031</v>
      </c>
      <c r="U72" s="75" t="str">
        <f t="shared" si="21"/>
        <v>aMW_2032</v>
      </c>
      <c r="V72" s="75" t="str">
        <f t="shared" si="21"/>
        <v>aMW_2033</v>
      </c>
      <c r="W72" s="75" t="str">
        <f t="shared" si="21"/>
        <v>aMW_2034</v>
      </c>
      <c r="X72" s="75" t="str">
        <f t="shared" si="21"/>
        <v>aMW_2035</v>
      </c>
      <c r="Y72" s="76" t="s">
        <v>151</v>
      </c>
      <c r="Z72" s="9"/>
      <c r="AA72" s="61" t="s">
        <v>4722</v>
      </c>
      <c r="AB72" s="9"/>
      <c r="AC72" s="61"/>
    </row>
    <row r="73" spans="1:29" customFormat="1">
      <c r="A73" s="77">
        <f>VLOOKUP($D73,MeasureOutput,3,FALSE)</f>
        <v>24.935350493035692</v>
      </c>
      <c r="B73" s="77">
        <f>VLOOKUP($D73,MeasureOutput,11,FALSE)</f>
        <v>152.54724887599428</v>
      </c>
      <c r="C73" s="9" t="str">
        <f>C13</f>
        <v>Single Family</v>
      </c>
      <c r="D73" t="s">
        <v>4686</v>
      </c>
      <c r="E73" s="38">
        <f t="shared" ref="E73:N76" ca="1" si="22">VLOOKUP($C73,$D$60:$Z$63,E$32,FALSE)*$D$71*$A73/8760/1000</f>
        <v>6.3419939006037864E-4</v>
      </c>
      <c r="F73" s="38">
        <f t="shared" ca="1" si="22"/>
        <v>1.8976035226913022E-3</v>
      </c>
      <c r="G73" s="38">
        <f t="shared" ca="1" si="22"/>
        <v>4.133983048715293E-3</v>
      </c>
      <c r="H73" s="38">
        <f t="shared" ca="1" si="22"/>
        <v>7.7611062312550605E-3</v>
      </c>
      <c r="I73" s="38">
        <f t="shared" ca="1" si="22"/>
        <v>1.3250663491676891E-2</v>
      </c>
      <c r="J73" s="38">
        <f t="shared" ca="1" si="22"/>
        <v>2.1090123440263963E-2</v>
      </c>
      <c r="K73" s="38">
        <f t="shared" ca="1" si="22"/>
        <v>3.172267244777513E-2</v>
      </c>
      <c r="L73" s="38">
        <f t="shared" ca="1" si="22"/>
        <v>4.5464904449448805E-2</v>
      </c>
      <c r="M73" s="38">
        <f t="shared" ca="1" si="22"/>
        <v>6.2408733055951245E-2</v>
      </c>
      <c r="N73" s="38">
        <f t="shared" ca="1" si="22"/>
        <v>8.232391244085932E-2</v>
      </c>
      <c r="O73" s="38">
        <f t="shared" ref="O73:X76" ca="1" si="23">VLOOKUP($C73,$D$60:$Z$63,O$32,FALSE)*$D$71*$A73/8760/1000</f>
        <v>0.10458840833188834</v>
      </c>
      <c r="P73" s="38">
        <f t="shared" ca="1" si="23"/>
        <v>0.12818077561131933</v>
      </c>
      <c r="Q73" s="38">
        <f t="shared" ca="1" si="23"/>
        <v>0.1517647179973543</v>
      </c>
      <c r="R73" s="38">
        <f t="shared" ca="1" si="23"/>
        <v>0.17387521288801347</v>
      </c>
      <c r="S73" s="38">
        <f t="shared" ca="1" si="23"/>
        <v>0.19317862027009139</v>
      </c>
      <c r="T73" s="38">
        <f t="shared" ca="1" si="23"/>
        <v>0.20873829203795677</v>
      </c>
      <c r="U73" s="38">
        <f t="shared" ca="1" si="23"/>
        <v>0.22019511396632652</v>
      </c>
      <c r="V73" s="38">
        <f t="shared" ca="1" si="23"/>
        <v>0.22779076728787326</v>
      </c>
      <c r="W73" s="38">
        <f t="shared" ca="1" si="23"/>
        <v>0.2322222250594701</v>
      </c>
      <c r="X73" s="38">
        <f t="shared" ca="1" si="23"/>
        <v>0.2340634443465569</v>
      </c>
      <c r="Y73" s="38">
        <f ca="1">(VLOOKUP(C73,$D$51:$Z$54,$X$32+2,FALSE)+VLOOKUP(C73,$D$43:$Z$46,$X$32+2,FALSE))*A73*$D$71/8760/1000</f>
        <v>5.1397430267426847</v>
      </c>
      <c r="Z73" s="9"/>
      <c r="AA73" s="38">
        <f ca="1">SUM(E73:X73)</f>
        <v>2.1452854793155476</v>
      </c>
      <c r="AB73" s="9"/>
      <c r="AC73" s="62"/>
    </row>
    <row r="74" spans="1:29" customFormat="1">
      <c r="A74" s="77">
        <f>VLOOKUP($D74,MeasureOutput,3,FALSE)</f>
        <v>24.935350493035692</v>
      </c>
      <c r="B74" s="77">
        <f>VLOOKUP($D74,MeasureOutput,11,FALSE)</f>
        <v>152.54724887599428</v>
      </c>
      <c r="C74" s="9" t="str">
        <f>C14</f>
        <v>Multifamily - Low Rise</v>
      </c>
      <c r="D74" t="s">
        <v>4686</v>
      </c>
      <c r="E74" s="38">
        <f t="shared" ca="1" si="22"/>
        <v>1.2469953631851936E-5</v>
      </c>
      <c r="F74" s="38">
        <f t="shared" ca="1" si="22"/>
        <v>3.7311652209988845E-5</v>
      </c>
      <c r="G74" s="38">
        <f t="shared" ca="1" si="22"/>
        <v>8.1284488707483054E-5</v>
      </c>
      <c r="H74" s="38">
        <f t="shared" ca="1" si="22"/>
        <v>1.5260283394816657E-4</v>
      </c>
      <c r="I74" s="38">
        <f t="shared" ca="1" si="22"/>
        <v>2.6054130252562736E-4</v>
      </c>
      <c r="J74" s="38">
        <f t="shared" ca="1" si="22"/>
        <v>4.1468474646089626E-4</v>
      </c>
      <c r="K74" s="38">
        <f t="shared" ca="1" si="22"/>
        <v>6.2374731646129816E-4</v>
      </c>
      <c r="L74" s="38">
        <f t="shared" ca="1" si="22"/>
        <v>8.9395403721104845E-4</v>
      </c>
      <c r="M74" s="38">
        <f t="shared" ca="1" si="22"/>
        <v>1.2271121540161618E-3</v>
      </c>
      <c r="N74" s="38">
        <f t="shared" ca="1" si="22"/>
        <v>1.6186944499452618E-3</v>
      </c>
      <c r="O74" s="38">
        <f t="shared" ca="1" si="23"/>
        <v>2.0564701662125102E-3</v>
      </c>
      <c r="P74" s="38">
        <f t="shared" ca="1" si="23"/>
        <v>2.5203551281181235E-3</v>
      </c>
      <c r="Q74" s="38">
        <f t="shared" ca="1" si="23"/>
        <v>2.9840744015731048E-3</v>
      </c>
      <c r="R74" s="38">
        <f t="shared" ca="1" si="23"/>
        <v>3.4188219746186105E-3</v>
      </c>
      <c r="S74" s="38">
        <f t="shared" ca="1" si="23"/>
        <v>3.7983751500236061E-3</v>
      </c>
      <c r="T74" s="38">
        <f t="shared" ca="1" si="23"/>
        <v>4.1043170885793285E-3</v>
      </c>
      <c r="U74" s="38">
        <f t="shared" ca="1" si="23"/>
        <v>4.3295867144453404E-3</v>
      </c>
      <c r="V74" s="38">
        <f t="shared" ca="1" si="23"/>
        <v>4.4789360938550819E-3</v>
      </c>
      <c r="W74" s="38">
        <f t="shared" ca="1" si="23"/>
        <v>4.5660694677761493E-3</v>
      </c>
      <c r="X74" s="38">
        <f t="shared" ca="1" si="23"/>
        <v>4.6022722733444167E-3</v>
      </c>
      <c r="Y74" s="38">
        <f t="shared" ref="Y74:Y76" ca="1" si="24">(VLOOKUP(C74,$D$51:$Z$54,$X$32+2,FALSE)+VLOOKUP(C74,$D$43:$Z$46,$X$32+2,FALSE))*A74*$D$71/8760/1000</f>
        <v>0.1010601928469875</v>
      </c>
      <c r="Z74" s="9"/>
      <c r="AA74" s="38">
        <f t="shared" ref="AA74:AA76" ca="1" si="25">SUM(E74:X74)</f>
        <v>4.2181681393664051E-2</v>
      </c>
      <c r="AB74" s="9"/>
      <c r="AC74" s="62"/>
    </row>
    <row r="75" spans="1:29" customFormat="1">
      <c r="A75" s="77">
        <f>VLOOKUP($D75,MeasureOutput,3,FALSE)</f>
        <v>24.935350493035692</v>
      </c>
      <c r="B75" s="77">
        <f>VLOOKUP($D75,MeasureOutput,11,FALSE)</f>
        <v>152.54724887599428</v>
      </c>
      <c r="C75" s="9" t="str">
        <f>C15</f>
        <v>Multifamily - High Rise</v>
      </c>
      <c r="D75" t="s">
        <v>4686</v>
      </c>
      <c r="E75" s="38">
        <f t="shared" ca="1" si="22"/>
        <v>2.843103889238959E-6</v>
      </c>
      <c r="F75" s="38">
        <f t="shared" ca="1" si="22"/>
        <v>8.5069204460543326E-6</v>
      </c>
      <c r="G75" s="38">
        <f t="shared" ca="1" si="22"/>
        <v>1.8532566583788033E-5</v>
      </c>
      <c r="H75" s="38">
        <f t="shared" ca="1" si="22"/>
        <v>3.4792888852344946E-5</v>
      </c>
      <c r="I75" s="38">
        <f t="shared" ca="1" si="22"/>
        <v>5.9402465509247135E-5</v>
      </c>
      <c r="J75" s="38">
        <f t="shared" ca="1" si="22"/>
        <v>9.4546607812522548E-5</v>
      </c>
      <c r="K75" s="38">
        <f t="shared" ca="1" si="22"/>
        <v>1.4221211030037432E-4</v>
      </c>
      <c r="L75" s="38">
        <f t="shared" ca="1" si="22"/>
        <v>2.0381825586773599E-4</v>
      </c>
      <c r="M75" s="38">
        <f t="shared" ca="1" si="22"/>
        <v>2.7977708984452878E-4</v>
      </c>
      <c r="N75" s="38">
        <f t="shared" ca="1" si="22"/>
        <v>3.6905642330326954E-4</v>
      </c>
      <c r="O75" s="38">
        <f t="shared" ca="1" si="23"/>
        <v>4.6886768790609887E-4</v>
      </c>
      <c r="P75" s="38">
        <f t="shared" ca="1" si="23"/>
        <v>5.7463176516654051E-4</v>
      </c>
      <c r="Q75" s="38">
        <f t="shared" ca="1" si="23"/>
        <v>6.8035806606531342E-4</v>
      </c>
      <c r="R75" s="38">
        <f t="shared" ca="1" si="23"/>
        <v>7.7947892507201281E-4</v>
      </c>
      <c r="S75" s="38">
        <f t="shared" ca="1" si="23"/>
        <v>8.6601566298020983E-4</v>
      </c>
      <c r="T75" s="38">
        <f t="shared" ca="1" si="23"/>
        <v>9.3576930770646537E-4</v>
      </c>
      <c r="U75" s="38">
        <f t="shared" ca="1" si="23"/>
        <v>9.8712995974538928E-4</v>
      </c>
      <c r="V75" s="38">
        <f t="shared" ca="1" si="23"/>
        <v>1.0211810728442115E-3</v>
      </c>
      <c r="W75" s="38">
        <f t="shared" ca="1" si="23"/>
        <v>1.0410471638972467E-3</v>
      </c>
      <c r="X75" s="38">
        <f t="shared" ca="1" si="23"/>
        <v>1.0493012713583677E-3</v>
      </c>
      <c r="Y75" s="38">
        <f t="shared" ca="1" si="24"/>
        <v>2.3041354909018871E-2</v>
      </c>
      <c r="Z75" s="9"/>
      <c r="AA75" s="38">
        <f t="shared" ca="1" si="25"/>
        <v>9.6172693151509604E-3</v>
      </c>
      <c r="AB75" s="9"/>
      <c r="AC75" s="62"/>
    </row>
    <row r="76" spans="1:29" customFormat="1">
      <c r="A76" s="77">
        <f>VLOOKUP($D76,MeasureOutput,3,FALSE)</f>
        <v>24.935350493035692</v>
      </c>
      <c r="B76" s="77">
        <f>VLOOKUP($D76,MeasureOutput,11,FALSE)</f>
        <v>152.54724887599428</v>
      </c>
      <c r="C76" s="9" t="str">
        <f>C16</f>
        <v>Manufactured</v>
      </c>
      <c r="D76" t="s">
        <v>4686</v>
      </c>
      <c r="E76" s="38">
        <f t="shared" ca="1" si="22"/>
        <v>7.2204376674987278E-5</v>
      </c>
      <c r="F76" s="38">
        <f t="shared" ca="1" si="22"/>
        <v>2.1422207029608208E-4</v>
      </c>
      <c r="G76" s="38">
        <f t="shared" ca="1" si="22"/>
        <v>4.6275216231251481E-4</v>
      </c>
      <c r="H76" s="38">
        <f t="shared" ca="1" si="22"/>
        <v>8.6143879087851368E-4</v>
      </c>
      <c r="I76" s="38">
        <f t="shared" ca="1" si="22"/>
        <v>1.4583422309857896E-3</v>
      </c>
      <c r="J76" s="38">
        <f t="shared" ca="1" si="22"/>
        <v>2.3015582989743535E-3</v>
      </c>
      <c r="K76" s="38">
        <f t="shared" ca="1" si="22"/>
        <v>3.4326826620359151E-3</v>
      </c>
      <c r="L76" s="38">
        <f t="shared" ca="1" si="22"/>
        <v>4.8782179881004051E-3</v>
      </c>
      <c r="M76" s="38">
        <f t="shared" ca="1" si="22"/>
        <v>6.6397437350701602E-3</v>
      </c>
      <c r="N76" s="38">
        <f t="shared" ca="1" si="22"/>
        <v>8.6846632814248544E-3</v>
      </c>
      <c r="O76" s="38">
        <f t="shared" ca="1" si="23"/>
        <v>1.0940358855966141E-2</v>
      </c>
      <c r="P76" s="38">
        <f t="shared" ca="1" si="23"/>
        <v>1.32951101555098E-2</v>
      </c>
      <c r="Q76" s="38">
        <f t="shared" ca="1" si="23"/>
        <v>1.5608490168632836E-2</v>
      </c>
      <c r="R76" s="38">
        <f t="shared" ca="1" si="23"/>
        <v>1.7731634951615477E-2</v>
      </c>
      <c r="S76" s="38">
        <f t="shared" ca="1" si="23"/>
        <v>1.9534000655210687E-2</v>
      </c>
      <c r="T76" s="38">
        <f t="shared" ca="1" si="23"/>
        <v>2.0929328506546944E-2</v>
      </c>
      <c r="U76" s="38">
        <f t="shared" ca="1" si="23"/>
        <v>2.1891820479051805E-2</v>
      </c>
      <c r="V76" s="38">
        <f t="shared" ca="1" si="23"/>
        <v>2.2455945660497734E-2</v>
      </c>
      <c r="W76" s="38">
        <f t="shared" ca="1" si="23"/>
        <v>2.269969616866517E-2</v>
      </c>
      <c r="X76" s="38">
        <f t="shared" ca="1" si="23"/>
        <v>2.268667684790986E-2</v>
      </c>
      <c r="Y76" s="38">
        <f t="shared" ca="1" si="24"/>
        <v>0.49817129477238964</v>
      </c>
      <c r="Z76" s="9"/>
      <c r="AA76" s="38">
        <f t="shared" ca="1" si="25"/>
        <v>0.21677888804636003</v>
      </c>
      <c r="AB76" s="9"/>
      <c r="AC76" s="62"/>
    </row>
    <row r="77" spans="1:29" customFormat="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spans="1:29" customFormat="1">
      <c r="A78" s="9"/>
      <c r="B78" s="78">
        <f ca="1">SUMPRODUCT(B73:B76,AA73:AA76)/AA78</f>
        <v>152.54724887599428</v>
      </c>
      <c r="C78" s="9"/>
      <c r="D78" s="62"/>
      <c r="E78" s="44">
        <f ca="1">SUM(E73:E76)</f>
        <v>7.2171682425645688E-4</v>
      </c>
      <c r="F78" s="44">
        <f t="shared" ref="F78:X78" ca="1" si="26">SUM(F73:F76)</f>
        <v>2.1576441656434276E-3</v>
      </c>
      <c r="G78" s="44">
        <f t="shared" ca="1" si="26"/>
        <v>4.6965522663190784E-3</v>
      </c>
      <c r="H78" s="44">
        <f t="shared" ca="1" si="26"/>
        <v>8.8099407449340854E-3</v>
      </c>
      <c r="I78" s="44">
        <f t="shared" ca="1" si="26"/>
        <v>1.5028949490697555E-2</v>
      </c>
      <c r="J78" s="44">
        <f t="shared" ca="1" si="26"/>
        <v>2.3900913093511736E-2</v>
      </c>
      <c r="K78" s="44">
        <f t="shared" ca="1" si="26"/>
        <v>3.5921314536572713E-2</v>
      </c>
      <c r="L78" s="44">
        <f t="shared" ca="1" si="26"/>
        <v>5.1440894730627997E-2</v>
      </c>
      <c r="M78" s="44">
        <f t="shared" ca="1" si="26"/>
        <v>7.0555366034882092E-2</v>
      </c>
      <c r="N78" s="44">
        <f t="shared" ca="1" si="26"/>
        <v>9.2996326595532711E-2</v>
      </c>
      <c r="O78" s="44">
        <f t="shared" ca="1" si="26"/>
        <v>0.1180541050419731</v>
      </c>
      <c r="P78" s="44">
        <f t="shared" ca="1" si="26"/>
        <v>0.14457087266011379</v>
      </c>
      <c r="Q78" s="44">
        <f t="shared" ca="1" si="26"/>
        <v>0.17103764063362556</v>
      </c>
      <c r="R78" s="44">
        <f t="shared" ca="1" si="26"/>
        <v>0.19580514873931956</v>
      </c>
      <c r="S78" s="44">
        <f t="shared" ca="1" si="26"/>
        <v>0.21737701173830587</v>
      </c>
      <c r="T78" s="44">
        <f t="shared" ca="1" si="26"/>
        <v>0.23470770694078952</v>
      </c>
      <c r="U78" s="44">
        <f t="shared" ca="1" si="26"/>
        <v>0.24740365111956905</v>
      </c>
      <c r="V78" s="44">
        <f t="shared" ca="1" si="26"/>
        <v>0.25574683011507027</v>
      </c>
      <c r="W78" s="44">
        <f t="shared" ca="1" si="26"/>
        <v>0.26052903785980869</v>
      </c>
      <c r="X78" s="44">
        <f t="shared" ca="1" si="26"/>
        <v>0.26240169473916952</v>
      </c>
      <c r="Y78" s="44">
        <f ca="1">SUM(Y73:Y76)</f>
        <v>5.7620158692710808</v>
      </c>
      <c r="Z78" s="44"/>
      <c r="AA78" s="44">
        <f ca="1">SUM(E78:X78)</f>
        <v>2.4138633180707227</v>
      </c>
      <c r="AB78" s="9"/>
      <c r="AC78" s="38"/>
    </row>
    <row r="79" spans="1:29" customFormat="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spans="1:29" customFormat="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spans="1:29" customFormat="1" ht="15">
      <c r="A81" s="86" t="s">
        <v>70</v>
      </c>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spans="1:29" customFormat="1" ht="15">
      <c r="A82" s="9"/>
      <c r="B82" s="9"/>
      <c r="C82" s="9"/>
      <c r="D82" s="9"/>
      <c r="E82" s="79">
        <f t="shared" ref="E82:X82" si="27">E11</f>
        <v>2016</v>
      </c>
      <c r="F82" s="73">
        <f t="shared" si="27"/>
        <v>2017</v>
      </c>
      <c r="G82" s="73">
        <f t="shared" si="27"/>
        <v>2018</v>
      </c>
      <c r="H82" s="73">
        <f t="shared" si="27"/>
        <v>2019</v>
      </c>
      <c r="I82" s="73">
        <f t="shared" si="27"/>
        <v>2020</v>
      </c>
      <c r="J82" s="73">
        <f t="shared" si="27"/>
        <v>2021</v>
      </c>
      <c r="K82" s="73">
        <f t="shared" si="27"/>
        <v>2022</v>
      </c>
      <c r="L82" s="73">
        <f t="shared" si="27"/>
        <v>2023</v>
      </c>
      <c r="M82" s="73">
        <f t="shared" si="27"/>
        <v>2024</v>
      </c>
      <c r="N82" s="73">
        <f t="shared" si="27"/>
        <v>2025</v>
      </c>
      <c r="O82" s="73">
        <f t="shared" si="27"/>
        <v>2026</v>
      </c>
      <c r="P82" s="73">
        <f t="shared" si="27"/>
        <v>2027</v>
      </c>
      <c r="Q82" s="73">
        <f t="shared" si="27"/>
        <v>2028</v>
      </c>
      <c r="R82" s="73">
        <f t="shared" si="27"/>
        <v>2029</v>
      </c>
      <c r="S82" s="73">
        <f t="shared" si="27"/>
        <v>2030</v>
      </c>
      <c r="T82" s="73">
        <f t="shared" si="27"/>
        <v>2031</v>
      </c>
      <c r="U82" s="73">
        <f t="shared" si="27"/>
        <v>2032</v>
      </c>
      <c r="V82" s="73">
        <f t="shared" si="27"/>
        <v>2033</v>
      </c>
      <c r="W82" s="73">
        <f t="shared" si="27"/>
        <v>2034</v>
      </c>
      <c r="X82" s="73">
        <f t="shared" si="27"/>
        <v>2035</v>
      </c>
      <c r="Y82" s="74" t="s">
        <v>151</v>
      </c>
      <c r="Z82" s="9"/>
      <c r="AA82" s="9"/>
      <c r="AB82" s="9"/>
      <c r="AC82" s="9"/>
    </row>
    <row r="83" spans="1:29" customFormat="1" ht="15">
      <c r="A83" s="9"/>
      <c r="B83" s="9"/>
      <c r="C83" s="54" t="s">
        <v>67</v>
      </c>
      <c r="D83" s="54" t="s">
        <v>67</v>
      </c>
      <c r="E83" s="80" t="str">
        <f t="shared" ref="E83:X83" si="28">CONCATENATE("aMW_",E82)</f>
        <v>aMW_2016</v>
      </c>
      <c r="F83" s="75" t="str">
        <f t="shared" si="28"/>
        <v>aMW_2017</v>
      </c>
      <c r="G83" s="75" t="str">
        <f t="shared" si="28"/>
        <v>aMW_2018</v>
      </c>
      <c r="H83" s="75" t="str">
        <f t="shared" si="28"/>
        <v>aMW_2019</v>
      </c>
      <c r="I83" s="75" t="str">
        <f t="shared" si="28"/>
        <v>aMW_2020</v>
      </c>
      <c r="J83" s="75" t="str">
        <f t="shared" si="28"/>
        <v>aMW_2021</v>
      </c>
      <c r="K83" s="75" t="str">
        <f t="shared" si="28"/>
        <v>aMW_2022</v>
      </c>
      <c r="L83" s="75" t="str">
        <f t="shared" si="28"/>
        <v>aMW_2023</v>
      </c>
      <c r="M83" s="75" t="str">
        <f t="shared" si="28"/>
        <v>aMW_2024</v>
      </c>
      <c r="N83" s="75" t="str">
        <f t="shared" si="28"/>
        <v>aMW_2025</v>
      </c>
      <c r="O83" s="75" t="str">
        <f t="shared" si="28"/>
        <v>aMW_2026</v>
      </c>
      <c r="P83" s="75" t="str">
        <f t="shared" si="28"/>
        <v>aMW_2027</v>
      </c>
      <c r="Q83" s="75" t="str">
        <f t="shared" si="28"/>
        <v>aMW_2028</v>
      </c>
      <c r="R83" s="75" t="str">
        <f t="shared" si="28"/>
        <v>aMW_2029</v>
      </c>
      <c r="S83" s="75" t="str">
        <f t="shared" si="28"/>
        <v>aMW_2030</v>
      </c>
      <c r="T83" s="75" t="str">
        <f t="shared" si="28"/>
        <v>aMW_2031</v>
      </c>
      <c r="U83" s="75" t="str">
        <f t="shared" si="28"/>
        <v>aMW_2032</v>
      </c>
      <c r="V83" s="75" t="str">
        <f t="shared" si="28"/>
        <v>aMW_2033</v>
      </c>
      <c r="W83" s="75" t="str">
        <f t="shared" si="28"/>
        <v>aMW_2034</v>
      </c>
      <c r="X83" s="75" t="str">
        <f t="shared" si="28"/>
        <v>aMW_2035</v>
      </c>
      <c r="Y83" s="76" t="s">
        <v>151</v>
      </c>
      <c r="Z83" s="9"/>
      <c r="AA83" s="9"/>
      <c r="AB83" s="9"/>
      <c r="AC83" s="9"/>
    </row>
    <row r="84" spans="1:29" customFormat="1">
      <c r="A84" s="9"/>
      <c r="B84" s="9" t="s">
        <v>71</v>
      </c>
      <c r="C84" s="55" t="s">
        <v>72</v>
      </c>
      <c r="D84" s="55" t="s">
        <v>73</v>
      </c>
      <c r="E84" s="44">
        <f>DSUM($B$72:$Y$76,E$72,$C$83:$D84)</f>
        <v>0</v>
      </c>
      <c r="F84" s="44">
        <f>DSUM($B$72:$Y$76,F$72,$C$83:$D84)</f>
        <v>0</v>
      </c>
      <c r="G84" s="44">
        <f>DSUM($B$72:$Y$76,G$72,$C$83:$D84)</f>
        <v>0</v>
      </c>
      <c r="H84" s="44">
        <f>DSUM($B$72:$Y$76,H$72,$C$83:$D84)</f>
        <v>0</v>
      </c>
      <c r="I84" s="44">
        <f>DSUM($B$72:$Y$76,I$72,$C$83:$D84)</f>
        <v>0</v>
      </c>
      <c r="J84" s="44">
        <f>DSUM($B$72:$Y$76,J$72,$C$83:$D84)</f>
        <v>0</v>
      </c>
      <c r="K84" s="44">
        <f>DSUM($B$72:$Y$76,K$72,$C$83:$D84)</f>
        <v>0</v>
      </c>
      <c r="L84" s="44">
        <f>DSUM($B$72:$Y$76,L$72,$C$83:$D84)</f>
        <v>0</v>
      </c>
      <c r="M84" s="44">
        <f>DSUM($B$72:$Y$76,M$72,$C$83:$D84)</f>
        <v>0</v>
      </c>
      <c r="N84" s="44">
        <f>DSUM($B$72:$Y$76,N$72,$C$83:$D84)</f>
        <v>0</v>
      </c>
      <c r="O84" s="44">
        <f>DSUM($B$72:$Y$76,O$72,$C$83:$D84)</f>
        <v>0</v>
      </c>
      <c r="P84" s="44">
        <f>DSUM($B$72:$Y$76,P$72,$C$83:$D84)</f>
        <v>0</v>
      </c>
      <c r="Q84" s="44">
        <f>DSUM($B$72:$Y$76,Q$72,$C$83:$D84)</f>
        <v>0</v>
      </c>
      <c r="R84" s="44">
        <f>DSUM($B$72:$Y$76,R$72,$C$83:$D84)</f>
        <v>0</v>
      </c>
      <c r="S84" s="44">
        <f>DSUM($B$72:$Y$76,S$72,$C$83:$D84)</f>
        <v>0</v>
      </c>
      <c r="T84" s="44">
        <f>DSUM($B$72:$Y$76,T$72,$C$83:$D84)</f>
        <v>0</v>
      </c>
      <c r="U84" s="44">
        <f>DSUM($B$72:$Y$76,U$72,$C$83:$D84)</f>
        <v>0</v>
      </c>
      <c r="V84" s="44">
        <f>DSUM($B$72:$Y$76,V$72,$C$83:$D84)</f>
        <v>0</v>
      </c>
      <c r="W84" s="44">
        <f>DSUM($B$72:$Y$76,W$72,$C$83:$D84)</f>
        <v>0</v>
      </c>
      <c r="X84" s="44">
        <f>DSUM($B$72:$Y$76,X$72,$C$83:$D84)</f>
        <v>0</v>
      </c>
      <c r="Y84" s="44">
        <f>DSUM($B$72:$Y$76,Y$72,$C$83:$D84)</f>
        <v>0</v>
      </c>
      <c r="Z84" s="9"/>
      <c r="AA84" s="9"/>
      <c r="AB84" s="9"/>
      <c r="AC84" s="9"/>
    </row>
    <row r="85" spans="1:29" customFormat="1">
      <c r="A85" s="9"/>
      <c r="B85" s="9" t="s">
        <v>4948</v>
      </c>
      <c r="C85" s="55" t="s">
        <v>75</v>
      </c>
      <c r="D85" s="55" t="s">
        <v>76</v>
      </c>
      <c r="E85" s="44">
        <f>DSUM($B$72:$Y$76,E$72,$C$83:$D85)</f>
        <v>0</v>
      </c>
      <c r="F85" s="44">
        <f>DSUM($B$72:$Y$76,F$72,$C$83:$D85)</f>
        <v>0</v>
      </c>
      <c r="G85" s="44">
        <f>DSUM($B$72:$Y$76,G$72,$C$83:$D85)</f>
        <v>0</v>
      </c>
      <c r="H85" s="44">
        <f>DSUM($B$72:$Y$76,H$72,$C$83:$D85)</f>
        <v>0</v>
      </c>
      <c r="I85" s="44">
        <f>DSUM($B$72:$Y$76,I$72,$C$83:$D85)</f>
        <v>0</v>
      </c>
      <c r="J85" s="44">
        <f>DSUM($B$72:$Y$76,J$72,$C$83:$D85)</f>
        <v>0</v>
      </c>
      <c r="K85" s="44">
        <f>DSUM($B$72:$Y$76,K$72,$C$83:$D85)</f>
        <v>0</v>
      </c>
      <c r="L85" s="44">
        <f>DSUM($B$72:$Y$76,L$72,$C$83:$D85)</f>
        <v>0</v>
      </c>
      <c r="M85" s="44">
        <f>DSUM($B$72:$Y$76,M$72,$C$83:$D85)</f>
        <v>0</v>
      </c>
      <c r="N85" s="44">
        <f>DSUM($B$72:$Y$76,N$72,$C$83:$D85)</f>
        <v>0</v>
      </c>
      <c r="O85" s="44">
        <f>DSUM($B$72:$Y$76,O$72,$C$83:$D85)</f>
        <v>0</v>
      </c>
      <c r="P85" s="44">
        <f>DSUM($B$72:$Y$76,P$72,$C$83:$D85)</f>
        <v>0</v>
      </c>
      <c r="Q85" s="44">
        <f>DSUM($B$72:$Y$76,Q$72,$C$83:$D85)</f>
        <v>0</v>
      </c>
      <c r="R85" s="44">
        <f>DSUM($B$72:$Y$76,R$72,$C$83:$D85)</f>
        <v>0</v>
      </c>
      <c r="S85" s="44">
        <f>DSUM($B$72:$Y$76,S$72,$C$83:$D85)</f>
        <v>0</v>
      </c>
      <c r="T85" s="44">
        <f>DSUM($B$72:$Y$76,T$72,$C$83:$D85)</f>
        <v>0</v>
      </c>
      <c r="U85" s="44">
        <f>DSUM($B$72:$Y$76,U$72,$C$83:$D85)</f>
        <v>0</v>
      </c>
      <c r="V85" s="44">
        <f>DSUM($B$72:$Y$76,V$72,$C$83:$D85)</f>
        <v>0</v>
      </c>
      <c r="W85" s="44">
        <f>DSUM($B$72:$Y$76,W$72,$C$83:$D85)</f>
        <v>0</v>
      </c>
      <c r="X85" s="44">
        <f>DSUM($B$72:$Y$76,X$72,$C$83:$D85)</f>
        <v>0</v>
      </c>
      <c r="Y85" s="44">
        <f>DSUM($B$72:$Y$76,Y$72,$C$83:$D85)</f>
        <v>0</v>
      </c>
      <c r="Z85" s="9"/>
      <c r="AA85" s="9"/>
      <c r="AB85" s="9"/>
      <c r="AC85" s="9"/>
    </row>
    <row r="86" spans="1:29" customFormat="1">
      <c r="A86" s="9"/>
      <c r="B86" s="9" t="s">
        <v>77</v>
      </c>
      <c r="C86" s="55" t="s">
        <v>78</v>
      </c>
      <c r="D86" s="55" t="s">
        <v>79</v>
      </c>
      <c r="E86" s="44">
        <f>DSUM($B$72:$Y$76,E$72,$C$83:$D86)</f>
        <v>0</v>
      </c>
      <c r="F86" s="44">
        <f>DSUM($B$72:$Y$76,F$72,$C$83:$D86)</f>
        <v>0</v>
      </c>
      <c r="G86" s="44">
        <f>DSUM($B$72:$Y$76,G$72,$C$83:$D86)</f>
        <v>0</v>
      </c>
      <c r="H86" s="44">
        <f>DSUM($B$72:$Y$76,H$72,$C$83:$D86)</f>
        <v>0</v>
      </c>
      <c r="I86" s="44">
        <f>DSUM($B$72:$Y$76,I$72,$C$83:$D86)</f>
        <v>0</v>
      </c>
      <c r="J86" s="44">
        <f>DSUM($B$72:$Y$76,J$72,$C$83:$D86)</f>
        <v>0</v>
      </c>
      <c r="K86" s="44">
        <f>DSUM($B$72:$Y$76,K$72,$C$83:$D86)</f>
        <v>0</v>
      </c>
      <c r="L86" s="44">
        <f>DSUM($B$72:$Y$76,L$72,$C$83:$D86)</f>
        <v>0</v>
      </c>
      <c r="M86" s="44">
        <f>DSUM($B$72:$Y$76,M$72,$C$83:$D86)</f>
        <v>0</v>
      </c>
      <c r="N86" s="44">
        <f>DSUM($B$72:$Y$76,N$72,$C$83:$D86)</f>
        <v>0</v>
      </c>
      <c r="O86" s="44">
        <f>DSUM($B$72:$Y$76,O$72,$C$83:$D86)</f>
        <v>0</v>
      </c>
      <c r="P86" s="44">
        <f>DSUM($B$72:$Y$76,P$72,$C$83:$D86)</f>
        <v>0</v>
      </c>
      <c r="Q86" s="44">
        <f>DSUM($B$72:$Y$76,Q$72,$C$83:$D86)</f>
        <v>0</v>
      </c>
      <c r="R86" s="44">
        <f>DSUM($B$72:$Y$76,R$72,$C$83:$D86)</f>
        <v>0</v>
      </c>
      <c r="S86" s="44">
        <f>DSUM($B$72:$Y$76,S$72,$C$83:$D86)</f>
        <v>0</v>
      </c>
      <c r="T86" s="44">
        <f>DSUM($B$72:$Y$76,T$72,$C$83:$D86)</f>
        <v>0</v>
      </c>
      <c r="U86" s="44">
        <f>DSUM($B$72:$Y$76,U$72,$C$83:$D86)</f>
        <v>0</v>
      </c>
      <c r="V86" s="44">
        <f>DSUM($B$72:$Y$76,V$72,$C$83:$D86)</f>
        <v>0</v>
      </c>
      <c r="W86" s="44">
        <f>DSUM($B$72:$Y$76,W$72,$C$83:$D86)</f>
        <v>0</v>
      </c>
      <c r="X86" s="44">
        <f>DSUM($B$72:$Y$76,X$72,$C$83:$D86)</f>
        <v>0</v>
      </c>
      <c r="Y86" s="44">
        <f>DSUM($B$72:$Y$76,Y$72,$C$83:$D86)</f>
        <v>0</v>
      </c>
      <c r="Z86" s="9"/>
      <c r="AA86" s="9"/>
      <c r="AB86" s="9"/>
      <c r="AC86" s="9"/>
    </row>
    <row r="87" spans="1:29" customFormat="1">
      <c r="A87" s="9"/>
      <c r="B87" s="9" t="s">
        <v>80</v>
      </c>
      <c r="C87" s="55" t="s">
        <v>81</v>
      </c>
      <c r="D87" s="55" t="s">
        <v>82</v>
      </c>
      <c r="E87" s="44">
        <f>DSUM($B$72:$Y$76,E$72,$C$83:$D87)</f>
        <v>0</v>
      </c>
      <c r="F87" s="44">
        <f>DSUM($B$72:$Y$76,F$72,$C$83:$D87)</f>
        <v>0</v>
      </c>
      <c r="G87" s="44">
        <f>DSUM($B$72:$Y$76,G$72,$C$83:$D87)</f>
        <v>0</v>
      </c>
      <c r="H87" s="44">
        <f>DSUM($B$72:$Y$76,H$72,$C$83:$D87)</f>
        <v>0</v>
      </c>
      <c r="I87" s="44">
        <f>DSUM($B$72:$Y$76,I$72,$C$83:$D87)</f>
        <v>0</v>
      </c>
      <c r="J87" s="44">
        <f>DSUM($B$72:$Y$76,J$72,$C$83:$D87)</f>
        <v>0</v>
      </c>
      <c r="K87" s="44">
        <f>DSUM($B$72:$Y$76,K$72,$C$83:$D87)</f>
        <v>0</v>
      </c>
      <c r="L87" s="44">
        <f>DSUM($B$72:$Y$76,L$72,$C$83:$D87)</f>
        <v>0</v>
      </c>
      <c r="M87" s="44">
        <f>DSUM($B$72:$Y$76,M$72,$C$83:$D87)</f>
        <v>0</v>
      </c>
      <c r="N87" s="44">
        <f>DSUM($B$72:$Y$76,N$72,$C$83:$D87)</f>
        <v>0</v>
      </c>
      <c r="O87" s="44">
        <f>DSUM($B$72:$Y$76,O$72,$C$83:$D87)</f>
        <v>0</v>
      </c>
      <c r="P87" s="44">
        <f>DSUM($B$72:$Y$76,P$72,$C$83:$D87)</f>
        <v>0</v>
      </c>
      <c r="Q87" s="44">
        <f>DSUM($B$72:$Y$76,Q$72,$C$83:$D87)</f>
        <v>0</v>
      </c>
      <c r="R87" s="44">
        <f>DSUM($B$72:$Y$76,R$72,$C$83:$D87)</f>
        <v>0</v>
      </c>
      <c r="S87" s="44">
        <f>DSUM($B$72:$Y$76,S$72,$C$83:$D87)</f>
        <v>0</v>
      </c>
      <c r="T87" s="44">
        <f>DSUM($B$72:$Y$76,T$72,$C$83:$D87)</f>
        <v>0</v>
      </c>
      <c r="U87" s="44">
        <f>DSUM($B$72:$Y$76,U$72,$C$83:$D87)</f>
        <v>0</v>
      </c>
      <c r="V87" s="44">
        <f>DSUM($B$72:$Y$76,V$72,$C$83:$D87)</f>
        <v>0</v>
      </c>
      <c r="W87" s="44">
        <f>DSUM($B$72:$Y$76,W$72,$C$83:$D87)</f>
        <v>0</v>
      </c>
      <c r="X87" s="44">
        <f>DSUM($B$72:$Y$76,X$72,$C$83:$D87)</f>
        <v>0</v>
      </c>
      <c r="Y87" s="44">
        <f>DSUM($B$72:$Y$76,Y$72,$C$83:$D87)</f>
        <v>0</v>
      </c>
      <c r="Z87" s="9"/>
      <c r="AA87" s="9"/>
      <c r="AB87" s="9"/>
      <c r="AC87" s="9"/>
    </row>
    <row r="88" spans="1:29" customFormat="1">
      <c r="A88" s="9"/>
      <c r="B88" s="9" t="s">
        <v>83</v>
      </c>
      <c r="C88" s="55" t="s">
        <v>84</v>
      </c>
      <c r="D88" s="55" t="s">
        <v>85</v>
      </c>
      <c r="E88" s="44">
        <f>DSUM($B$72:$Y$76,E$72,$C$83:$D88)</f>
        <v>0</v>
      </c>
      <c r="F88" s="44">
        <f>DSUM($B$72:$Y$76,F$72,$C$83:$D88)</f>
        <v>0</v>
      </c>
      <c r="G88" s="44">
        <f>DSUM($B$72:$Y$76,G$72,$C$83:$D88)</f>
        <v>0</v>
      </c>
      <c r="H88" s="44">
        <f>DSUM($B$72:$Y$76,H$72,$C$83:$D88)</f>
        <v>0</v>
      </c>
      <c r="I88" s="44">
        <f>DSUM($B$72:$Y$76,I$72,$C$83:$D88)</f>
        <v>0</v>
      </c>
      <c r="J88" s="44">
        <f>DSUM($B$72:$Y$76,J$72,$C$83:$D88)</f>
        <v>0</v>
      </c>
      <c r="K88" s="44">
        <f>DSUM($B$72:$Y$76,K$72,$C$83:$D88)</f>
        <v>0</v>
      </c>
      <c r="L88" s="44">
        <f>DSUM($B$72:$Y$76,L$72,$C$83:$D88)</f>
        <v>0</v>
      </c>
      <c r="M88" s="44">
        <f>DSUM($B$72:$Y$76,M$72,$C$83:$D88)</f>
        <v>0</v>
      </c>
      <c r="N88" s="44">
        <f>DSUM($B$72:$Y$76,N$72,$C$83:$D88)</f>
        <v>0</v>
      </c>
      <c r="O88" s="44">
        <f>DSUM($B$72:$Y$76,O$72,$C$83:$D88)</f>
        <v>0</v>
      </c>
      <c r="P88" s="44">
        <f>DSUM($B$72:$Y$76,P$72,$C$83:$D88)</f>
        <v>0</v>
      </c>
      <c r="Q88" s="44">
        <f>DSUM($B$72:$Y$76,Q$72,$C$83:$D88)</f>
        <v>0</v>
      </c>
      <c r="R88" s="44">
        <f>DSUM($B$72:$Y$76,R$72,$C$83:$D88)</f>
        <v>0</v>
      </c>
      <c r="S88" s="44">
        <f>DSUM($B$72:$Y$76,S$72,$C$83:$D88)</f>
        <v>0</v>
      </c>
      <c r="T88" s="44">
        <f>DSUM($B$72:$Y$76,T$72,$C$83:$D88)</f>
        <v>0</v>
      </c>
      <c r="U88" s="44">
        <f>DSUM($B$72:$Y$76,U$72,$C$83:$D88)</f>
        <v>0</v>
      </c>
      <c r="V88" s="44">
        <f>DSUM($B$72:$Y$76,V$72,$C$83:$D88)</f>
        <v>0</v>
      </c>
      <c r="W88" s="44">
        <f>DSUM($B$72:$Y$76,W$72,$C$83:$D88)</f>
        <v>0</v>
      </c>
      <c r="X88" s="44">
        <f>DSUM($B$72:$Y$76,X$72,$C$83:$D88)</f>
        <v>0</v>
      </c>
      <c r="Y88" s="44">
        <f>DSUM($B$72:$Y$76,Y$72,$C$83:$D88)</f>
        <v>0</v>
      </c>
      <c r="Z88" s="9"/>
      <c r="AA88" s="9"/>
      <c r="AB88" s="9"/>
      <c r="AC88" s="9"/>
    </row>
    <row r="89" spans="1:29" customFormat="1">
      <c r="A89" s="9"/>
      <c r="B89" s="9" t="s">
        <v>86</v>
      </c>
      <c r="C89" s="55" t="s">
        <v>87</v>
      </c>
      <c r="D89" s="55" t="s">
        <v>88</v>
      </c>
      <c r="E89" s="44">
        <f>DSUM($B$72:$Y$76,E$72,$C$83:$D89)</f>
        <v>0</v>
      </c>
      <c r="F89" s="44">
        <f>DSUM($B$72:$Y$76,F$72,$C$83:$D89)</f>
        <v>0</v>
      </c>
      <c r="G89" s="44">
        <f>DSUM($B$72:$Y$76,G$72,$C$83:$D89)</f>
        <v>0</v>
      </c>
      <c r="H89" s="44">
        <f>DSUM($B$72:$Y$76,H$72,$C$83:$D89)</f>
        <v>0</v>
      </c>
      <c r="I89" s="44">
        <f>DSUM($B$72:$Y$76,I$72,$C$83:$D89)</f>
        <v>0</v>
      </c>
      <c r="J89" s="44">
        <f>DSUM($B$72:$Y$76,J$72,$C$83:$D89)</f>
        <v>0</v>
      </c>
      <c r="K89" s="44">
        <f>DSUM($B$72:$Y$76,K$72,$C$83:$D89)</f>
        <v>0</v>
      </c>
      <c r="L89" s="44">
        <f>DSUM($B$72:$Y$76,L$72,$C$83:$D89)</f>
        <v>0</v>
      </c>
      <c r="M89" s="44">
        <f>DSUM($B$72:$Y$76,M$72,$C$83:$D89)</f>
        <v>0</v>
      </c>
      <c r="N89" s="44">
        <f>DSUM($B$72:$Y$76,N$72,$C$83:$D89)</f>
        <v>0</v>
      </c>
      <c r="O89" s="44">
        <f>DSUM($B$72:$Y$76,O$72,$C$83:$D89)</f>
        <v>0</v>
      </c>
      <c r="P89" s="44">
        <f>DSUM($B$72:$Y$76,P$72,$C$83:$D89)</f>
        <v>0</v>
      </c>
      <c r="Q89" s="44">
        <f>DSUM($B$72:$Y$76,Q$72,$C$83:$D89)</f>
        <v>0</v>
      </c>
      <c r="R89" s="44">
        <f>DSUM($B$72:$Y$76,R$72,$C$83:$D89)</f>
        <v>0</v>
      </c>
      <c r="S89" s="44">
        <f>DSUM($B$72:$Y$76,S$72,$C$83:$D89)</f>
        <v>0</v>
      </c>
      <c r="T89" s="44">
        <f>DSUM($B$72:$Y$76,T$72,$C$83:$D89)</f>
        <v>0</v>
      </c>
      <c r="U89" s="44">
        <f>DSUM($B$72:$Y$76,U$72,$C$83:$D89)</f>
        <v>0</v>
      </c>
      <c r="V89" s="44">
        <f>DSUM($B$72:$Y$76,V$72,$C$83:$D89)</f>
        <v>0</v>
      </c>
      <c r="W89" s="44">
        <f>DSUM($B$72:$Y$76,W$72,$C$83:$D89)</f>
        <v>0</v>
      </c>
      <c r="X89" s="44">
        <f>DSUM($B$72:$Y$76,X$72,$C$83:$D89)</f>
        <v>0</v>
      </c>
      <c r="Y89" s="44">
        <f>DSUM($B$72:$Y$76,Y$72,$C$83:$D89)</f>
        <v>0</v>
      </c>
      <c r="Z89" s="9"/>
      <c r="AA89" s="9"/>
      <c r="AB89" s="9"/>
      <c r="AC89" s="9"/>
    </row>
    <row r="90" spans="1:29" customFormat="1">
      <c r="A90" s="9"/>
      <c r="B90" s="9" t="s">
        <v>89</v>
      </c>
      <c r="C90" s="55" t="s">
        <v>90</v>
      </c>
      <c r="D90" s="55" t="s">
        <v>91</v>
      </c>
      <c r="E90" s="44">
        <f>DSUM($B$72:$Y$76,E$72,$C$83:$D90)</f>
        <v>0</v>
      </c>
      <c r="F90" s="44">
        <f>DSUM($B$72:$Y$76,F$72,$C$83:$D90)</f>
        <v>0</v>
      </c>
      <c r="G90" s="44">
        <f>DSUM($B$72:$Y$76,G$72,$C$83:$D90)</f>
        <v>0</v>
      </c>
      <c r="H90" s="44">
        <f>DSUM($B$72:$Y$76,H$72,$C$83:$D90)</f>
        <v>0</v>
      </c>
      <c r="I90" s="44">
        <f>DSUM($B$72:$Y$76,I$72,$C$83:$D90)</f>
        <v>0</v>
      </c>
      <c r="J90" s="44">
        <f>DSUM($B$72:$Y$76,J$72,$C$83:$D90)</f>
        <v>0</v>
      </c>
      <c r="K90" s="44">
        <f>DSUM($B$72:$Y$76,K$72,$C$83:$D90)</f>
        <v>0</v>
      </c>
      <c r="L90" s="44">
        <f>DSUM($B$72:$Y$76,L$72,$C$83:$D90)</f>
        <v>0</v>
      </c>
      <c r="M90" s="44">
        <f>DSUM($B$72:$Y$76,M$72,$C$83:$D90)</f>
        <v>0</v>
      </c>
      <c r="N90" s="44">
        <f>DSUM($B$72:$Y$76,N$72,$C$83:$D90)</f>
        <v>0</v>
      </c>
      <c r="O90" s="44">
        <f>DSUM($B$72:$Y$76,O$72,$C$83:$D90)</f>
        <v>0</v>
      </c>
      <c r="P90" s="44">
        <f>DSUM($B$72:$Y$76,P$72,$C$83:$D90)</f>
        <v>0</v>
      </c>
      <c r="Q90" s="44">
        <f>DSUM($B$72:$Y$76,Q$72,$C$83:$D90)</f>
        <v>0</v>
      </c>
      <c r="R90" s="44">
        <f>DSUM($B$72:$Y$76,R$72,$C$83:$D90)</f>
        <v>0</v>
      </c>
      <c r="S90" s="44">
        <f>DSUM($B$72:$Y$76,S$72,$C$83:$D90)</f>
        <v>0</v>
      </c>
      <c r="T90" s="44">
        <f>DSUM($B$72:$Y$76,T$72,$C$83:$D90)</f>
        <v>0</v>
      </c>
      <c r="U90" s="44">
        <f>DSUM($B$72:$Y$76,U$72,$C$83:$D90)</f>
        <v>0</v>
      </c>
      <c r="V90" s="44">
        <f>DSUM($B$72:$Y$76,V$72,$C$83:$D90)</f>
        <v>0</v>
      </c>
      <c r="W90" s="44">
        <f>DSUM($B$72:$Y$76,W$72,$C$83:$D90)</f>
        <v>0</v>
      </c>
      <c r="X90" s="44">
        <f>DSUM($B$72:$Y$76,X$72,$C$83:$D90)</f>
        <v>0</v>
      </c>
      <c r="Y90" s="44">
        <f>DSUM($B$72:$Y$76,Y$72,$C$83:$D90)</f>
        <v>0</v>
      </c>
      <c r="Z90" s="9"/>
      <c r="AA90" s="9"/>
      <c r="AB90" s="9"/>
      <c r="AC90" s="9"/>
    </row>
    <row r="91" spans="1:29" customFormat="1">
      <c r="A91" s="9"/>
      <c r="B91" s="9" t="s">
        <v>92</v>
      </c>
      <c r="C91" s="55" t="s">
        <v>93</v>
      </c>
      <c r="D91" s="55" t="s">
        <v>94</v>
      </c>
      <c r="E91" s="44">
        <f>DSUM($B$72:$Y$76,E$72,$C$83:$D91)</f>
        <v>0</v>
      </c>
      <c r="F91" s="44">
        <f>DSUM($B$72:$Y$76,F$72,$C$83:$D91)</f>
        <v>0</v>
      </c>
      <c r="G91" s="44">
        <f>DSUM($B$72:$Y$76,G$72,$C$83:$D91)</f>
        <v>0</v>
      </c>
      <c r="H91" s="44">
        <f>DSUM($B$72:$Y$76,H$72,$C$83:$D91)</f>
        <v>0</v>
      </c>
      <c r="I91" s="44">
        <f>DSUM($B$72:$Y$76,I$72,$C$83:$D91)</f>
        <v>0</v>
      </c>
      <c r="J91" s="44">
        <f>DSUM($B$72:$Y$76,J$72,$C$83:$D91)</f>
        <v>0</v>
      </c>
      <c r="K91" s="44">
        <f>DSUM($B$72:$Y$76,K$72,$C$83:$D91)</f>
        <v>0</v>
      </c>
      <c r="L91" s="44">
        <f>DSUM($B$72:$Y$76,L$72,$C$83:$D91)</f>
        <v>0</v>
      </c>
      <c r="M91" s="44">
        <f>DSUM($B$72:$Y$76,M$72,$C$83:$D91)</f>
        <v>0</v>
      </c>
      <c r="N91" s="44">
        <f>DSUM($B$72:$Y$76,N$72,$C$83:$D91)</f>
        <v>0</v>
      </c>
      <c r="O91" s="44">
        <f>DSUM($B$72:$Y$76,O$72,$C$83:$D91)</f>
        <v>0</v>
      </c>
      <c r="P91" s="44">
        <f>DSUM($B$72:$Y$76,P$72,$C$83:$D91)</f>
        <v>0</v>
      </c>
      <c r="Q91" s="44">
        <f>DSUM($B$72:$Y$76,Q$72,$C$83:$D91)</f>
        <v>0</v>
      </c>
      <c r="R91" s="44">
        <f>DSUM($B$72:$Y$76,R$72,$C$83:$D91)</f>
        <v>0</v>
      </c>
      <c r="S91" s="44">
        <f>DSUM($B$72:$Y$76,S$72,$C$83:$D91)</f>
        <v>0</v>
      </c>
      <c r="T91" s="44">
        <f>DSUM($B$72:$Y$76,T$72,$C$83:$D91)</f>
        <v>0</v>
      </c>
      <c r="U91" s="44">
        <f>DSUM($B$72:$Y$76,U$72,$C$83:$D91)</f>
        <v>0</v>
      </c>
      <c r="V91" s="44">
        <f>DSUM($B$72:$Y$76,V$72,$C$83:$D91)</f>
        <v>0</v>
      </c>
      <c r="W91" s="44">
        <f>DSUM($B$72:$Y$76,W$72,$C$83:$D91)</f>
        <v>0</v>
      </c>
      <c r="X91" s="44">
        <f>DSUM($B$72:$Y$76,X$72,$C$83:$D91)</f>
        <v>0</v>
      </c>
      <c r="Y91" s="44">
        <f>DSUM($B$72:$Y$76,Y$72,$C$83:$D91)</f>
        <v>0</v>
      </c>
      <c r="Z91" s="9"/>
      <c r="AA91" s="9"/>
      <c r="AB91" s="9"/>
      <c r="AC91" s="9"/>
    </row>
    <row r="92" spans="1:29" customFormat="1">
      <c r="A92" s="9"/>
      <c r="B92" s="9" t="s">
        <v>95</v>
      </c>
      <c r="C92" s="55" t="s">
        <v>96</v>
      </c>
      <c r="D92" s="55" t="s">
        <v>97</v>
      </c>
      <c r="E92" s="44">
        <f>DSUM($B$72:$Y$76,E$72,$C$83:$D92)</f>
        <v>0</v>
      </c>
      <c r="F92" s="44">
        <f>DSUM($B$72:$Y$76,F$72,$C$83:$D92)</f>
        <v>0</v>
      </c>
      <c r="G92" s="44">
        <f>DSUM($B$72:$Y$76,G$72,$C$83:$D92)</f>
        <v>0</v>
      </c>
      <c r="H92" s="44">
        <f>DSUM($B$72:$Y$76,H$72,$C$83:$D92)</f>
        <v>0</v>
      </c>
      <c r="I92" s="44">
        <f>DSUM($B$72:$Y$76,I$72,$C$83:$D92)</f>
        <v>0</v>
      </c>
      <c r="J92" s="44">
        <f>DSUM($B$72:$Y$76,J$72,$C$83:$D92)</f>
        <v>0</v>
      </c>
      <c r="K92" s="44">
        <f>DSUM($B$72:$Y$76,K$72,$C$83:$D92)</f>
        <v>0</v>
      </c>
      <c r="L92" s="44">
        <f>DSUM($B$72:$Y$76,L$72,$C$83:$D92)</f>
        <v>0</v>
      </c>
      <c r="M92" s="44">
        <f>DSUM($B$72:$Y$76,M$72,$C$83:$D92)</f>
        <v>0</v>
      </c>
      <c r="N92" s="44">
        <f>DSUM($B$72:$Y$76,N$72,$C$83:$D92)</f>
        <v>0</v>
      </c>
      <c r="O92" s="44">
        <f>DSUM($B$72:$Y$76,O$72,$C$83:$D92)</f>
        <v>0</v>
      </c>
      <c r="P92" s="44">
        <f>DSUM($B$72:$Y$76,P$72,$C$83:$D92)</f>
        <v>0</v>
      </c>
      <c r="Q92" s="44">
        <f>DSUM($B$72:$Y$76,Q$72,$C$83:$D92)</f>
        <v>0</v>
      </c>
      <c r="R92" s="44">
        <f>DSUM($B$72:$Y$76,R$72,$C$83:$D92)</f>
        <v>0</v>
      </c>
      <c r="S92" s="44">
        <f>DSUM($B$72:$Y$76,S$72,$C$83:$D92)</f>
        <v>0</v>
      </c>
      <c r="T92" s="44">
        <f>DSUM($B$72:$Y$76,T$72,$C$83:$D92)</f>
        <v>0</v>
      </c>
      <c r="U92" s="44">
        <f>DSUM($B$72:$Y$76,U$72,$C$83:$D92)</f>
        <v>0</v>
      </c>
      <c r="V92" s="44">
        <f>DSUM($B$72:$Y$76,V$72,$C$83:$D92)</f>
        <v>0</v>
      </c>
      <c r="W92" s="44">
        <f>DSUM($B$72:$Y$76,W$72,$C$83:$D92)</f>
        <v>0</v>
      </c>
      <c r="X92" s="44">
        <f>DSUM($B$72:$Y$76,X$72,$C$83:$D92)</f>
        <v>0</v>
      </c>
      <c r="Y92" s="44">
        <f>DSUM($B$72:$Y$76,Y$72,$C$83:$D92)</f>
        <v>0</v>
      </c>
      <c r="Z92" s="9"/>
      <c r="AA92" s="9"/>
      <c r="AB92" s="9"/>
      <c r="AC92" s="9"/>
    </row>
    <row r="93" spans="1:29" customFormat="1">
      <c r="A93" s="9"/>
      <c r="B93" s="9" t="s">
        <v>98</v>
      </c>
      <c r="C93" s="55" t="s">
        <v>99</v>
      </c>
      <c r="D93" s="55" t="s">
        <v>100</v>
      </c>
      <c r="E93" s="44">
        <f>DSUM($B$72:$Y$76,E$72,$C$83:$D93)</f>
        <v>0</v>
      </c>
      <c r="F93" s="44">
        <f>DSUM($B$72:$Y$76,F$72,$C$83:$D93)</f>
        <v>0</v>
      </c>
      <c r="G93" s="44">
        <f>DSUM($B$72:$Y$76,G$72,$C$83:$D93)</f>
        <v>0</v>
      </c>
      <c r="H93" s="44">
        <f>DSUM($B$72:$Y$76,H$72,$C$83:$D93)</f>
        <v>0</v>
      </c>
      <c r="I93" s="44">
        <f>DSUM($B$72:$Y$76,I$72,$C$83:$D93)</f>
        <v>0</v>
      </c>
      <c r="J93" s="44">
        <f>DSUM($B$72:$Y$76,J$72,$C$83:$D93)</f>
        <v>0</v>
      </c>
      <c r="K93" s="44">
        <f>DSUM($B$72:$Y$76,K$72,$C$83:$D93)</f>
        <v>0</v>
      </c>
      <c r="L93" s="44">
        <f>DSUM($B$72:$Y$76,L$72,$C$83:$D93)</f>
        <v>0</v>
      </c>
      <c r="M93" s="44">
        <f>DSUM($B$72:$Y$76,M$72,$C$83:$D93)</f>
        <v>0</v>
      </c>
      <c r="N93" s="44">
        <f>DSUM($B$72:$Y$76,N$72,$C$83:$D93)</f>
        <v>0</v>
      </c>
      <c r="O93" s="44">
        <f>DSUM($B$72:$Y$76,O$72,$C$83:$D93)</f>
        <v>0</v>
      </c>
      <c r="P93" s="44">
        <f>DSUM($B$72:$Y$76,P$72,$C$83:$D93)</f>
        <v>0</v>
      </c>
      <c r="Q93" s="44">
        <f>DSUM($B$72:$Y$76,Q$72,$C$83:$D93)</f>
        <v>0</v>
      </c>
      <c r="R93" s="44">
        <f>DSUM($B$72:$Y$76,R$72,$C$83:$D93)</f>
        <v>0</v>
      </c>
      <c r="S93" s="44">
        <f>DSUM($B$72:$Y$76,S$72,$C$83:$D93)</f>
        <v>0</v>
      </c>
      <c r="T93" s="44">
        <f>DSUM($B$72:$Y$76,T$72,$C$83:$D93)</f>
        <v>0</v>
      </c>
      <c r="U93" s="44">
        <f>DSUM($B$72:$Y$76,U$72,$C$83:$D93)</f>
        <v>0</v>
      </c>
      <c r="V93" s="44">
        <f>DSUM($B$72:$Y$76,V$72,$C$83:$D93)</f>
        <v>0</v>
      </c>
      <c r="W93" s="44">
        <f>DSUM($B$72:$Y$76,W$72,$C$83:$D93)</f>
        <v>0</v>
      </c>
      <c r="X93" s="44">
        <f>DSUM($B$72:$Y$76,X$72,$C$83:$D93)</f>
        <v>0</v>
      </c>
      <c r="Y93" s="44">
        <f>DSUM($B$72:$Y$76,Y$72,$C$83:$D93)</f>
        <v>0</v>
      </c>
      <c r="Z93" s="9"/>
      <c r="AA93" s="9"/>
      <c r="AB93" s="9"/>
      <c r="AC93" s="9"/>
    </row>
    <row r="94" spans="1:29" customFormat="1">
      <c r="A94" s="9"/>
      <c r="B94" s="9" t="s">
        <v>101</v>
      </c>
      <c r="C94" s="55" t="s">
        <v>102</v>
      </c>
      <c r="D94" s="55" t="s">
        <v>103</v>
      </c>
      <c r="E94" s="44">
        <f>DSUM($B$72:$Y$76,E$72,$C$83:$D94)</f>
        <v>0</v>
      </c>
      <c r="F94" s="44">
        <f>DSUM($B$72:$Y$76,F$72,$C$83:$D94)</f>
        <v>0</v>
      </c>
      <c r="G94" s="44">
        <f>DSUM($B$72:$Y$76,G$72,$C$83:$D94)</f>
        <v>0</v>
      </c>
      <c r="H94" s="44">
        <f>DSUM($B$72:$Y$76,H$72,$C$83:$D94)</f>
        <v>0</v>
      </c>
      <c r="I94" s="44">
        <f>DSUM($B$72:$Y$76,I$72,$C$83:$D94)</f>
        <v>0</v>
      </c>
      <c r="J94" s="44">
        <f>DSUM($B$72:$Y$76,J$72,$C$83:$D94)</f>
        <v>0</v>
      </c>
      <c r="K94" s="44">
        <f>DSUM($B$72:$Y$76,K$72,$C$83:$D94)</f>
        <v>0</v>
      </c>
      <c r="L94" s="44">
        <f>DSUM($B$72:$Y$76,L$72,$C$83:$D94)</f>
        <v>0</v>
      </c>
      <c r="M94" s="44">
        <f>DSUM($B$72:$Y$76,M$72,$C$83:$D94)</f>
        <v>0</v>
      </c>
      <c r="N94" s="44">
        <f>DSUM($B$72:$Y$76,N$72,$C$83:$D94)</f>
        <v>0</v>
      </c>
      <c r="O94" s="44">
        <f>DSUM($B$72:$Y$76,O$72,$C$83:$D94)</f>
        <v>0</v>
      </c>
      <c r="P94" s="44">
        <f>DSUM($B$72:$Y$76,P$72,$C$83:$D94)</f>
        <v>0</v>
      </c>
      <c r="Q94" s="44">
        <f>DSUM($B$72:$Y$76,Q$72,$C$83:$D94)</f>
        <v>0</v>
      </c>
      <c r="R94" s="44">
        <f>DSUM($B$72:$Y$76,R$72,$C$83:$D94)</f>
        <v>0</v>
      </c>
      <c r="S94" s="44">
        <f>DSUM($B$72:$Y$76,S$72,$C$83:$D94)</f>
        <v>0</v>
      </c>
      <c r="T94" s="44">
        <f>DSUM($B$72:$Y$76,T$72,$C$83:$D94)</f>
        <v>0</v>
      </c>
      <c r="U94" s="44">
        <f>DSUM($B$72:$Y$76,U$72,$C$83:$D94)</f>
        <v>0</v>
      </c>
      <c r="V94" s="44">
        <f>DSUM($B$72:$Y$76,V$72,$C$83:$D94)</f>
        <v>0</v>
      </c>
      <c r="W94" s="44">
        <f>DSUM($B$72:$Y$76,W$72,$C$83:$D94)</f>
        <v>0</v>
      </c>
      <c r="X94" s="44">
        <f>DSUM($B$72:$Y$76,X$72,$C$83:$D94)</f>
        <v>0</v>
      </c>
      <c r="Y94" s="44">
        <f>DSUM($B$72:$Y$76,Y$72,$C$83:$D94)</f>
        <v>0</v>
      </c>
      <c r="Z94" s="9"/>
      <c r="AA94" s="9"/>
      <c r="AB94" s="9"/>
      <c r="AC94" s="9"/>
    </row>
    <row r="95" spans="1:29" customFormat="1">
      <c r="A95" s="9"/>
      <c r="B95" s="9" t="s">
        <v>104</v>
      </c>
      <c r="C95" s="55" t="s">
        <v>105</v>
      </c>
      <c r="D95" s="55" t="s">
        <v>106</v>
      </c>
      <c r="E95" s="44">
        <f>DSUM($B$72:$Y$76,E$72,$C$83:$D95)</f>
        <v>0</v>
      </c>
      <c r="F95" s="44">
        <f>DSUM($B$72:$Y$76,F$72,$C$83:$D95)</f>
        <v>0</v>
      </c>
      <c r="G95" s="44">
        <f>DSUM($B$72:$Y$76,G$72,$C$83:$D95)</f>
        <v>0</v>
      </c>
      <c r="H95" s="44">
        <f>DSUM($B$72:$Y$76,H$72,$C$83:$D95)</f>
        <v>0</v>
      </c>
      <c r="I95" s="44">
        <f>DSUM($B$72:$Y$76,I$72,$C$83:$D95)</f>
        <v>0</v>
      </c>
      <c r="J95" s="44">
        <f>DSUM($B$72:$Y$76,J$72,$C$83:$D95)</f>
        <v>0</v>
      </c>
      <c r="K95" s="44">
        <f>DSUM($B$72:$Y$76,K$72,$C$83:$D95)</f>
        <v>0</v>
      </c>
      <c r="L95" s="44">
        <f>DSUM($B$72:$Y$76,L$72,$C$83:$D95)</f>
        <v>0</v>
      </c>
      <c r="M95" s="44">
        <f>DSUM($B$72:$Y$76,M$72,$C$83:$D95)</f>
        <v>0</v>
      </c>
      <c r="N95" s="44">
        <f>DSUM($B$72:$Y$76,N$72,$C$83:$D95)</f>
        <v>0</v>
      </c>
      <c r="O95" s="44">
        <f>DSUM($B$72:$Y$76,O$72,$C$83:$D95)</f>
        <v>0</v>
      </c>
      <c r="P95" s="44">
        <f>DSUM($B$72:$Y$76,P$72,$C$83:$D95)</f>
        <v>0</v>
      </c>
      <c r="Q95" s="44">
        <f>DSUM($B$72:$Y$76,Q$72,$C$83:$D95)</f>
        <v>0</v>
      </c>
      <c r="R95" s="44">
        <f>DSUM($B$72:$Y$76,R$72,$C$83:$D95)</f>
        <v>0</v>
      </c>
      <c r="S95" s="44">
        <f>DSUM($B$72:$Y$76,S$72,$C$83:$D95)</f>
        <v>0</v>
      </c>
      <c r="T95" s="44">
        <f>DSUM($B$72:$Y$76,T$72,$C$83:$D95)</f>
        <v>0</v>
      </c>
      <c r="U95" s="44">
        <f>DSUM($B$72:$Y$76,U$72,$C$83:$D95)</f>
        <v>0</v>
      </c>
      <c r="V95" s="44">
        <f>DSUM($B$72:$Y$76,V$72,$C$83:$D95)</f>
        <v>0</v>
      </c>
      <c r="W95" s="44">
        <f>DSUM($B$72:$Y$76,W$72,$C$83:$D95)</f>
        <v>0</v>
      </c>
      <c r="X95" s="44">
        <f>DSUM($B$72:$Y$76,X$72,$C$83:$D95)</f>
        <v>0</v>
      </c>
      <c r="Y95" s="44">
        <f>DSUM($B$72:$Y$76,Y$72,$C$83:$D95)</f>
        <v>0</v>
      </c>
      <c r="Z95" s="9"/>
      <c r="AA95" s="9"/>
      <c r="AB95" s="9"/>
      <c r="AC95" s="9"/>
    </row>
    <row r="96" spans="1:29" customFormat="1">
      <c r="A96" s="9"/>
      <c r="B96" s="9" t="s">
        <v>107</v>
      </c>
      <c r="C96" s="55" t="s">
        <v>108</v>
      </c>
      <c r="D96" s="55" t="s">
        <v>109</v>
      </c>
      <c r="E96" s="44">
        <f>DSUM($B$72:$Y$76,E$72,$C$83:$D96)</f>
        <v>0</v>
      </c>
      <c r="F96" s="44">
        <f>DSUM($B$72:$Y$76,F$72,$C$83:$D96)</f>
        <v>0</v>
      </c>
      <c r="G96" s="44">
        <f>DSUM($B$72:$Y$76,G$72,$C$83:$D96)</f>
        <v>0</v>
      </c>
      <c r="H96" s="44">
        <f>DSUM($B$72:$Y$76,H$72,$C$83:$D96)</f>
        <v>0</v>
      </c>
      <c r="I96" s="44">
        <f>DSUM($B$72:$Y$76,I$72,$C$83:$D96)</f>
        <v>0</v>
      </c>
      <c r="J96" s="44">
        <f>DSUM($B$72:$Y$76,J$72,$C$83:$D96)</f>
        <v>0</v>
      </c>
      <c r="K96" s="44">
        <f>DSUM($B$72:$Y$76,K$72,$C$83:$D96)</f>
        <v>0</v>
      </c>
      <c r="L96" s="44">
        <f>DSUM($B$72:$Y$76,L$72,$C$83:$D96)</f>
        <v>0</v>
      </c>
      <c r="M96" s="44">
        <f>DSUM($B$72:$Y$76,M$72,$C$83:$D96)</f>
        <v>0</v>
      </c>
      <c r="N96" s="44">
        <f>DSUM($B$72:$Y$76,N$72,$C$83:$D96)</f>
        <v>0</v>
      </c>
      <c r="O96" s="44">
        <f>DSUM($B$72:$Y$76,O$72,$C$83:$D96)</f>
        <v>0</v>
      </c>
      <c r="P96" s="44">
        <f>DSUM($B$72:$Y$76,P$72,$C$83:$D96)</f>
        <v>0</v>
      </c>
      <c r="Q96" s="44">
        <f>DSUM($B$72:$Y$76,Q$72,$C$83:$D96)</f>
        <v>0</v>
      </c>
      <c r="R96" s="44">
        <f>DSUM($B$72:$Y$76,R$72,$C$83:$D96)</f>
        <v>0</v>
      </c>
      <c r="S96" s="44">
        <f>DSUM($B$72:$Y$76,S$72,$C$83:$D96)</f>
        <v>0</v>
      </c>
      <c r="T96" s="44">
        <f>DSUM($B$72:$Y$76,T$72,$C$83:$D96)</f>
        <v>0</v>
      </c>
      <c r="U96" s="44">
        <f>DSUM($B$72:$Y$76,U$72,$C$83:$D96)</f>
        <v>0</v>
      </c>
      <c r="V96" s="44">
        <f>DSUM($B$72:$Y$76,V$72,$C$83:$D96)</f>
        <v>0</v>
      </c>
      <c r="W96" s="44">
        <f>DSUM($B$72:$Y$76,W$72,$C$83:$D96)</f>
        <v>0</v>
      </c>
      <c r="X96" s="44">
        <f>DSUM($B$72:$Y$76,X$72,$C$83:$D96)</f>
        <v>0</v>
      </c>
      <c r="Y96" s="44">
        <f>DSUM($B$72:$Y$76,Y$72,$C$83:$D96)</f>
        <v>0</v>
      </c>
      <c r="Z96" s="9"/>
      <c r="AA96" s="9"/>
      <c r="AB96" s="9"/>
      <c r="AC96" s="9"/>
    </row>
    <row r="97" spans="1:29" customFormat="1">
      <c r="A97" s="9"/>
      <c r="B97" s="9" t="s">
        <v>110</v>
      </c>
      <c r="C97" s="55" t="s">
        <v>111</v>
      </c>
      <c r="D97" s="55" t="s">
        <v>112</v>
      </c>
      <c r="E97" s="44">
        <f>DSUM($B$72:$Y$76,E$72,$C$83:$D97)</f>
        <v>0</v>
      </c>
      <c r="F97" s="44">
        <f>DSUM($B$72:$Y$76,F$72,$C$83:$D97)</f>
        <v>0</v>
      </c>
      <c r="G97" s="44">
        <f>DSUM($B$72:$Y$76,G$72,$C$83:$D97)</f>
        <v>0</v>
      </c>
      <c r="H97" s="44">
        <f>DSUM($B$72:$Y$76,H$72,$C$83:$D97)</f>
        <v>0</v>
      </c>
      <c r="I97" s="44">
        <f>DSUM($B$72:$Y$76,I$72,$C$83:$D97)</f>
        <v>0</v>
      </c>
      <c r="J97" s="44">
        <f>DSUM($B$72:$Y$76,J$72,$C$83:$D97)</f>
        <v>0</v>
      </c>
      <c r="K97" s="44">
        <f>DSUM($B$72:$Y$76,K$72,$C$83:$D97)</f>
        <v>0</v>
      </c>
      <c r="L97" s="44">
        <f>DSUM($B$72:$Y$76,L$72,$C$83:$D97)</f>
        <v>0</v>
      </c>
      <c r="M97" s="44">
        <f>DSUM($B$72:$Y$76,M$72,$C$83:$D97)</f>
        <v>0</v>
      </c>
      <c r="N97" s="44">
        <f>DSUM($B$72:$Y$76,N$72,$C$83:$D97)</f>
        <v>0</v>
      </c>
      <c r="O97" s="44">
        <f>DSUM($B$72:$Y$76,O$72,$C$83:$D97)</f>
        <v>0</v>
      </c>
      <c r="P97" s="44">
        <f>DSUM($B$72:$Y$76,P$72,$C$83:$D97)</f>
        <v>0</v>
      </c>
      <c r="Q97" s="44">
        <f>DSUM($B$72:$Y$76,Q$72,$C$83:$D97)</f>
        <v>0</v>
      </c>
      <c r="R97" s="44">
        <f>DSUM($B$72:$Y$76,R$72,$C$83:$D97)</f>
        <v>0</v>
      </c>
      <c r="S97" s="44">
        <f>DSUM($B$72:$Y$76,S$72,$C$83:$D97)</f>
        <v>0</v>
      </c>
      <c r="T97" s="44">
        <f>DSUM($B$72:$Y$76,T$72,$C$83:$D97)</f>
        <v>0</v>
      </c>
      <c r="U97" s="44">
        <f>DSUM($B$72:$Y$76,U$72,$C$83:$D97)</f>
        <v>0</v>
      </c>
      <c r="V97" s="44">
        <f>DSUM($B$72:$Y$76,V$72,$C$83:$D97)</f>
        <v>0</v>
      </c>
      <c r="W97" s="44">
        <f>DSUM($B$72:$Y$76,W$72,$C$83:$D97)</f>
        <v>0</v>
      </c>
      <c r="X97" s="44">
        <f>DSUM($B$72:$Y$76,X$72,$C$83:$D97)</f>
        <v>0</v>
      </c>
      <c r="Y97" s="44">
        <f>DSUM($B$72:$Y$76,Y$72,$C$83:$D97)</f>
        <v>0</v>
      </c>
      <c r="Z97" s="9"/>
      <c r="AA97" s="9"/>
      <c r="AB97" s="9"/>
      <c r="AC97" s="9"/>
    </row>
    <row r="98" spans="1:29" customFormat="1">
      <c r="A98" s="9"/>
      <c r="B98" s="9" t="s">
        <v>113</v>
      </c>
      <c r="C98" s="55" t="s">
        <v>114</v>
      </c>
      <c r="D98" s="55" t="s">
        <v>115</v>
      </c>
      <c r="E98" s="44">
        <f>DSUM($B$72:$Y$76,E$72,$C$83:$D98)</f>
        <v>0</v>
      </c>
      <c r="F98" s="44">
        <f>DSUM($B$72:$Y$76,F$72,$C$83:$D98)</f>
        <v>0</v>
      </c>
      <c r="G98" s="44">
        <f>DSUM($B$72:$Y$76,G$72,$C$83:$D98)</f>
        <v>0</v>
      </c>
      <c r="H98" s="44">
        <f>DSUM($B$72:$Y$76,H$72,$C$83:$D98)</f>
        <v>0</v>
      </c>
      <c r="I98" s="44">
        <f>DSUM($B$72:$Y$76,I$72,$C$83:$D98)</f>
        <v>0</v>
      </c>
      <c r="J98" s="44">
        <f>DSUM($B$72:$Y$76,J$72,$C$83:$D98)</f>
        <v>0</v>
      </c>
      <c r="K98" s="44">
        <f>DSUM($B$72:$Y$76,K$72,$C$83:$D98)</f>
        <v>0</v>
      </c>
      <c r="L98" s="44">
        <f>DSUM($B$72:$Y$76,L$72,$C$83:$D98)</f>
        <v>0</v>
      </c>
      <c r="M98" s="44">
        <f>DSUM($B$72:$Y$76,M$72,$C$83:$D98)</f>
        <v>0</v>
      </c>
      <c r="N98" s="44">
        <f>DSUM($B$72:$Y$76,N$72,$C$83:$D98)</f>
        <v>0</v>
      </c>
      <c r="O98" s="44">
        <f>DSUM($B$72:$Y$76,O$72,$C$83:$D98)</f>
        <v>0</v>
      </c>
      <c r="P98" s="44">
        <f>DSUM($B$72:$Y$76,P$72,$C$83:$D98)</f>
        <v>0</v>
      </c>
      <c r="Q98" s="44">
        <f>DSUM($B$72:$Y$76,Q$72,$C$83:$D98)</f>
        <v>0</v>
      </c>
      <c r="R98" s="44">
        <f>DSUM($B$72:$Y$76,R$72,$C$83:$D98)</f>
        <v>0</v>
      </c>
      <c r="S98" s="44">
        <f>DSUM($B$72:$Y$76,S$72,$C$83:$D98)</f>
        <v>0</v>
      </c>
      <c r="T98" s="44">
        <f>DSUM($B$72:$Y$76,T$72,$C$83:$D98)</f>
        <v>0</v>
      </c>
      <c r="U98" s="44">
        <f>DSUM($B$72:$Y$76,U$72,$C$83:$D98)</f>
        <v>0</v>
      </c>
      <c r="V98" s="44">
        <f>DSUM($B$72:$Y$76,V$72,$C$83:$D98)</f>
        <v>0</v>
      </c>
      <c r="W98" s="44">
        <f>DSUM($B$72:$Y$76,W$72,$C$83:$D98)</f>
        <v>0</v>
      </c>
      <c r="X98" s="44">
        <f>DSUM($B$72:$Y$76,X$72,$C$83:$D98)</f>
        <v>0</v>
      </c>
      <c r="Y98" s="44">
        <f>DSUM($B$72:$Y$76,Y$72,$C$83:$D98)</f>
        <v>0</v>
      </c>
      <c r="Z98" s="9"/>
      <c r="AA98" s="9"/>
      <c r="AB98" s="9"/>
      <c r="AC98" s="9"/>
    </row>
    <row r="99" spans="1:29" customFormat="1">
      <c r="A99" s="9"/>
      <c r="B99" s="9" t="s">
        <v>116</v>
      </c>
      <c r="C99" s="55" t="s">
        <v>117</v>
      </c>
      <c r="D99" s="55" t="s">
        <v>118</v>
      </c>
      <c r="E99" s="44">
        <f>DSUM($B$72:$Y$76,E$72,$C$83:$D99)</f>
        <v>0</v>
      </c>
      <c r="F99" s="44">
        <f>DSUM($B$72:$Y$76,F$72,$C$83:$D99)</f>
        <v>0</v>
      </c>
      <c r="G99" s="44">
        <f>DSUM($B$72:$Y$76,G$72,$C$83:$D99)</f>
        <v>0</v>
      </c>
      <c r="H99" s="44">
        <f>DSUM($B$72:$Y$76,H$72,$C$83:$D99)</f>
        <v>0</v>
      </c>
      <c r="I99" s="44">
        <f>DSUM($B$72:$Y$76,I$72,$C$83:$D99)</f>
        <v>0</v>
      </c>
      <c r="J99" s="44">
        <f>DSUM($B$72:$Y$76,J$72,$C$83:$D99)</f>
        <v>0</v>
      </c>
      <c r="K99" s="44">
        <f>DSUM($B$72:$Y$76,K$72,$C$83:$D99)</f>
        <v>0</v>
      </c>
      <c r="L99" s="44">
        <f>DSUM($B$72:$Y$76,L$72,$C$83:$D99)</f>
        <v>0</v>
      </c>
      <c r="M99" s="44">
        <f>DSUM($B$72:$Y$76,M$72,$C$83:$D99)</f>
        <v>0</v>
      </c>
      <c r="N99" s="44">
        <f>DSUM($B$72:$Y$76,N$72,$C$83:$D99)</f>
        <v>0</v>
      </c>
      <c r="O99" s="44">
        <f>DSUM($B$72:$Y$76,O$72,$C$83:$D99)</f>
        <v>0</v>
      </c>
      <c r="P99" s="44">
        <f>DSUM($B$72:$Y$76,P$72,$C$83:$D99)</f>
        <v>0</v>
      </c>
      <c r="Q99" s="44">
        <f>DSUM($B$72:$Y$76,Q$72,$C$83:$D99)</f>
        <v>0</v>
      </c>
      <c r="R99" s="44">
        <f>DSUM($B$72:$Y$76,R$72,$C$83:$D99)</f>
        <v>0</v>
      </c>
      <c r="S99" s="44">
        <f>DSUM($B$72:$Y$76,S$72,$C$83:$D99)</f>
        <v>0</v>
      </c>
      <c r="T99" s="44">
        <f>DSUM($B$72:$Y$76,T$72,$C$83:$D99)</f>
        <v>0</v>
      </c>
      <c r="U99" s="44">
        <f>DSUM($B$72:$Y$76,U$72,$C$83:$D99)</f>
        <v>0</v>
      </c>
      <c r="V99" s="44">
        <f>DSUM($B$72:$Y$76,V$72,$C$83:$D99)</f>
        <v>0</v>
      </c>
      <c r="W99" s="44">
        <f>DSUM($B$72:$Y$76,W$72,$C$83:$D99)</f>
        <v>0</v>
      </c>
      <c r="X99" s="44">
        <f>DSUM($B$72:$Y$76,X$72,$C$83:$D99)</f>
        <v>0</v>
      </c>
      <c r="Y99" s="44">
        <f>DSUM($B$72:$Y$76,Y$72,$C$83:$D99)</f>
        <v>0</v>
      </c>
      <c r="Z99" s="9"/>
      <c r="AA99" s="9"/>
      <c r="AB99" s="9"/>
      <c r="AC99" s="9"/>
    </row>
    <row r="100" spans="1:29" customFormat="1">
      <c r="A100" s="9"/>
      <c r="B100" s="9" t="s">
        <v>119</v>
      </c>
      <c r="C100" s="55" t="s">
        <v>120</v>
      </c>
      <c r="D100" s="55" t="s">
        <v>121</v>
      </c>
      <c r="E100" s="44">
        <f ca="1">DSUM($B$72:$Y$76,E$72,$C$83:$D100)</f>
        <v>7.2171682425645688E-4</v>
      </c>
      <c r="F100" s="44">
        <f ca="1">DSUM($B$72:$Y$76,F$72,$C$83:$D100)</f>
        <v>2.1576441656434276E-3</v>
      </c>
      <c r="G100" s="44">
        <f ca="1">DSUM($B$72:$Y$76,G$72,$C$83:$D100)</f>
        <v>4.6965522663190784E-3</v>
      </c>
      <c r="H100" s="44">
        <f ca="1">DSUM($B$72:$Y$76,H$72,$C$83:$D100)</f>
        <v>8.8099407449340854E-3</v>
      </c>
      <c r="I100" s="44">
        <f ca="1">DSUM($B$72:$Y$76,I$72,$C$83:$D100)</f>
        <v>1.5028949490697555E-2</v>
      </c>
      <c r="J100" s="44">
        <f ca="1">DSUM($B$72:$Y$76,J$72,$C$83:$D100)</f>
        <v>2.3900913093511736E-2</v>
      </c>
      <c r="K100" s="44">
        <f ca="1">DSUM($B$72:$Y$76,K$72,$C$83:$D100)</f>
        <v>3.5921314536572713E-2</v>
      </c>
      <c r="L100" s="44">
        <f ca="1">DSUM($B$72:$Y$76,L$72,$C$83:$D100)</f>
        <v>5.1440894730627997E-2</v>
      </c>
      <c r="M100" s="44">
        <f ca="1">DSUM($B$72:$Y$76,M$72,$C$83:$D100)</f>
        <v>7.0555366034882092E-2</v>
      </c>
      <c r="N100" s="44">
        <f ca="1">DSUM($B$72:$Y$76,N$72,$C$83:$D100)</f>
        <v>9.2996326595532711E-2</v>
      </c>
      <c r="O100" s="44">
        <f ca="1">DSUM($B$72:$Y$76,O$72,$C$83:$D100)</f>
        <v>0.1180541050419731</v>
      </c>
      <c r="P100" s="44">
        <f ca="1">DSUM($B$72:$Y$76,P$72,$C$83:$D100)</f>
        <v>0.14457087266011379</v>
      </c>
      <c r="Q100" s="44">
        <f ca="1">DSUM($B$72:$Y$76,Q$72,$C$83:$D100)</f>
        <v>0.17103764063362556</v>
      </c>
      <c r="R100" s="44">
        <f ca="1">DSUM($B$72:$Y$76,R$72,$C$83:$D100)</f>
        <v>0.19580514873931956</v>
      </c>
      <c r="S100" s="44">
        <f ca="1">DSUM($B$72:$Y$76,S$72,$C$83:$D100)</f>
        <v>0.21737701173830587</v>
      </c>
      <c r="T100" s="44">
        <f ca="1">DSUM($B$72:$Y$76,T$72,$C$83:$D100)</f>
        <v>0.23470770694078952</v>
      </c>
      <c r="U100" s="44">
        <f ca="1">DSUM($B$72:$Y$76,U$72,$C$83:$D100)</f>
        <v>0.24740365111956905</v>
      </c>
      <c r="V100" s="44">
        <f ca="1">DSUM($B$72:$Y$76,V$72,$C$83:$D100)</f>
        <v>0.25574683011507027</v>
      </c>
      <c r="W100" s="44">
        <f ca="1">DSUM($B$72:$Y$76,W$72,$C$83:$D100)</f>
        <v>0.26052903785980869</v>
      </c>
      <c r="X100" s="44">
        <f ca="1">DSUM($B$72:$Y$76,X$72,$C$83:$D100)</f>
        <v>0.26240169473916952</v>
      </c>
      <c r="Y100" s="44">
        <f ca="1">DSUM($B$72:$Y$76,Y$72,$C$83:$D100)</f>
        <v>5.7620158692710808</v>
      </c>
      <c r="Z100" s="9"/>
      <c r="AA100" s="9"/>
      <c r="AB100" s="9"/>
      <c r="AC100" s="9"/>
    </row>
    <row r="101" spans="1:29" customFormat="1">
      <c r="A101" s="9"/>
      <c r="B101" s="9" t="s">
        <v>122</v>
      </c>
      <c r="C101" s="55" t="s">
        <v>123</v>
      </c>
      <c r="D101" s="55" t="s">
        <v>124</v>
      </c>
      <c r="E101" s="44">
        <f ca="1">DSUM($B$72:$Y$76,E$72,$C$83:$D101)</f>
        <v>7.2171682425645688E-4</v>
      </c>
      <c r="F101" s="44">
        <f ca="1">DSUM($B$72:$Y$76,F$72,$C$83:$D101)</f>
        <v>2.1576441656434276E-3</v>
      </c>
      <c r="G101" s="44">
        <f ca="1">DSUM($B$72:$Y$76,G$72,$C$83:$D101)</f>
        <v>4.6965522663190784E-3</v>
      </c>
      <c r="H101" s="44">
        <f ca="1">DSUM($B$72:$Y$76,H$72,$C$83:$D101)</f>
        <v>8.8099407449340854E-3</v>
      </c>
      <c r="I101" s="44">
        <f ca="1">DSUM($B$72:$Y$76,I$72,$C$83:$D101)</f>
        <v>1.5028949490697555E-2</v>
      </c>
      <c r="J101" s="44">
        <f ca="1">DSUM($B$72:$Y$76,J$72,$C$83:$D101)</f>
        <v>2.3900913093511736E-2</v>
      </c>
      <c r="K101" s="44">
        <f ca="1">DSUM($B$72:$Y$76,K$72,$C$83:$D101)</f>
        <v>3.5921314536572713E-2</v>
      </c>
      <c r="L101" s="44">
        <f ca="1">DSUM($B$72:$Y$76,L$72,$C$83:$D101)</f>
        <v>5.1440894730627997E-2</v>
      </c>
      <c r="M101" s="44">
        <f ca="1">DSUM($B$72:$Y$76,M$72,$C$83:$D101)</f>
        <v>7.0555366034882092E-2</v>
      </c>
      <c r="N101" s="44">
        <f ca="1">DSUM($B$72:$Y$76,N$72,$C$83:$D101)</f>
        <v>9.2996326595532711E-2</v>
      </c>
      <c r="O101" s="44">
        <f ca="1">DSUM($B$72:$Y$76,O$72,$C$83:$D101)</f>
        <v>0.1180541050419731</v>
      </c>
      <c r="P101" s="44">
        <f ca="1">DSUM($B$72:$Y$76,P$72,$C$83:$D101)</f>
        <v>0.14457087266011379</v>
      </c>
      <c r="Q101" s="44">
        <f ca="1">DSUM($B$72:$Y$76,Q$72,$C$83:$D101)</f>
        <v>0.17103764063362556</v>
      </c>
      <c r="R101" s="44">
        <f ca="1">DSUM($B$72:$Y$76,R$72,$C$83:$D101)</f>
        <v>0.19580514873931956</v>
      </c>
      <c r="S101" s="44">
        <f ca="1">DSUM($B$72:$Y$76,S$72,$C$83:$D101)</f>
        <v>0.21737701173830587</v>
      </c>
      <c r="T101" s="44">
        <f ca="1">DSUM($B$72:$Y$76,T$72,$C$83:$D101)</f>
        <v>0.23470770694078952</v>
      </c>
      <c r="U101" s="44">
        <f ca="1">DSUM($B$72:$Y$76,U$72,$C$83:$D101)</f>
        <v>0.24740365111956905</v>
      </c>
      <c r="V101" s="44">
        <f ca="1">DSUM($B$72:$Y$76,V$72,$C$83:$D101)</f>
        <v>0.25574683011507027</v>
      </c>
      <c r="W101" s="44">
        <f ca="1">DSUM($B$72:$Y$76,W$72,$C$83:$D101)</f>
        <v>0.26052903785980869</v>
      </c>
      <c r="X101" s="44">
        <f ca="1">DSUM($B$72:$Y$76,X$72,$C$83:$D101)</f>
        <v>0.26240169473916952</v>
      </c>
      <c r="Y101" s="44">
        <f ca="1">DSUM($B$72:$Y$76,Y$72,$C$83:$D101)</f>
        <v>5.7620158692710808</v>
      </c>
      <c r="Z101" s="9"/>
      <c r="AA101" s="9"/>
      <c r="AB101" s="9"/>
      <c r="AC101" s="9"/>
    </row>
    <row r="102" spans="1:29" customFormat="1">
      <c r="A102" s="9"/>
      <c r="B102" s="9" t="s">
        <v>125</v>
      </c>
      <c r="C102" s="55" t="s">
        <v>126</v>
      </c>
      <c r="D102" s="55" t="s">
        <v>127</v>
      </c>
      <c r="E102" s="44">
        <f ca="1">DSUM($B$72:$Y$76,E$72,$C$83:$D102)</f>
        <v>7.2171682425645688E-4</v>
      </c>
      <c r="F102" s="44">
        <f ca="1">DSUM($B$72:$Y$76,F$72,$C$83:$D102)</f>
        <v>2.1576441656434276E-3</v>
      </c>
      <c r="G102" s="44">
        <f ca="1">DSUM($B$72:$Y$76,G$72,$C$83:$D102)</f>
        <v>4.6965522663190784E-3</v>
      </c>
      <c r="H102" s="44">
        <f ca="1">DSUM($B$72:$Y$76,H$72,$C$83:$D102)</f>
        <v>8.8099407449340854E-3</v>
      </c>
      <c r="I102" s="44">
        <f ca="1">DSUM($B$72:$Y$76,I$72,$C$83:$D102)</f>
        <v>1.5028949490697555E-2</v>
      </c>
      <c r="J102" s="44">
        <f ca="1">DSUM($B$72:$Y$76,J$72,$C$83:$D102)</f>
        <v>2.3900913093511736E-2</v>
      </c>
      <c r="K102" s="44">
        <f ca="1">DSUM($B$72:$Y$76,K$72,$C$83:$D102)</f>
        <v>3.5921314536572713E-2</v>
      </c>
      <c r="L102" s="44">
        <f ca="1">DSUM($B$72:$Y$76,L$72,$C$83:$D102)</f>
        <v>5.1440894730627997E-2</v>
      </c>
      <c r="M102" s="44">
        <f ca="1">DSUM($B$72:$Y$76,M$72,$C$83:$D102)</f>
        <v>7.0555366034882092E-2</v>
      </c>
      <c r="N102" s="44">
        <f ca="1">DSUM($B$72:$Y$76,N$72,$C$83:$D102)</f>
        <v>9.2996326595532711E-2</v>
      </c>
      <c r="O102" s="44">
        <f ca="1">DSUM($B$72:$Y$76,O$72,$C$83:$D102)</f>
        <v>0.1180541050419731</v>
      </c>
      <c r="P102" s="44">
        <f ca="1">DSUM($B$72:$Y$76,P$72,$C$83:$D102)</f>
        <v>0.14457087266011379</v>
      </c>
      <c r="Q102" s="44">
        <f ca="1">DSUM($B$72:$Y$76,Q$72,$C$83:$D102)</f>
        <v>0.17103764063362556</v>
      </c>
      <c r="R102" s="44">
        <f ca="1">DSUM($B$72:$Y$76,R$72,$C$83:$D102)</f>
        <v>0.19580514873931956</v>
      </c>
      <c r="S102" s="44">
        <f ca="1">DSUM($B$72:$Y$76,S$72,$C$83:$D102)</f>
        <v>0.21737701173830587</v>
      </c>
      <c r="T102" s="44">
        <f ca="1">DSUM($B$72:$Y$76,T$72,$C$83:$D102)</f>
        <v>0.23470770694078952</v>
      </c>
      <c r="U102" s="44">
        <f ca="1">DSUM($B$72:$Y$76,U$72,$C$83:$D102)</f>
        <v>0.24740365111956905</v>
      </c>
      <c r="V102" s="44">
        <f ca="1">DSUM($B$72:$Y$76,V$72,$C$83:$D102)</f>
        <v>0.25574683011507027</v>
      </c>
      <c r="W102" s="44">
        <f ca="1">DSUM($B$72:$Y$76,W$72,$C$83:$D102)</f>
        <v>0.26052903785980869</v>
      </c>
      <c r="X102" s="44">
        <f ca="1">DSUM($B$72:$Y$76,X$72,$C$83:$D102)</f>
        <v>0.26240169473916952</v>
      </c>
      <c r="Y102" s="44">
        <f ca="1">DSUM($B$72:$Y$76,Y$72,$C$83:$D102)</f>
        <v>5.7620158692710808</v>
      </c>
      <c r="Z102" s="9"/>
      <c r="AA102" s="9"/>
      <c r="AB102" s="9"/>
      <c r="AC102" s="9"/>
    </row>
    <row r="103" spans="1:29" customFormat="1">
      <c r="A103" s="9"/>
      <c r="B103" s="9" t="s">
        <v>128</v>
      </c>
      <c r="C103" s="55" t="s">
        <v>129</v>
      </c>
      <c r="D103" s="55" t="s">
        <v>130</v>
      </c>
      <c r="E103" s="44">
        <f ca="1">DSUM($B$72:$Y$76,E$72,$C$83:$D103)</f>
        <v>7.2171682425645688E-4</v>
      </c>
      <c r="F103" s="44">
        <f ca="1">DSUM($B$72:$Y$76,F$72,$C$83:$D103)</f>
        <v>2.1576441656434276E-3</v>
      </c>
      <c r="G103" s="44">
        <f ca="1">DSUM($B$72:$Y$76,G$72,$C$83:$D103)</f>
        <v>4.6965522663190784E-3</v>
      </c>
      <c r="H103" s="44">
        <f ca="1">DSUM($B$72:$Y$76,H$72,$C$83:$D103)</f>
        <v>8.8099407449340854E-3</v>
      </c>
      <c r="I103" s="44">
        <f ca="1">DSUM($B$72:$Y$76,I$72,$C$83:$D103)</f>
        <v>1.5028949490697555E-2</v>
      </c>
      <c r="J103" s="44">
        <f ca="1">DSUM($B$72:$Y$76,J$72,$C$83:$D103)</f>
        <v>2.3900913093511736E-2</v>
      </c>
      <c r="K103" s="44">
        <f ca="1">DSUM($B$72:$Y$76,K$72,$C$83:$D103)</f>
        <v>3.5921314536572713E-2</v>
      </c>
      <c r="L103" s="44">
        <f ca="1">DSUM($B$72:$Y$76,L$72,$C$83:$D103)</f>
        <v>5.1440894730627997E-2</v>
      </c>
      <c r="M103" s="44">
        <f ca="1">DSUM($B$72:$Y$76,M$72,$C$83:$D103)</f>
        <v>7.0555366034882092E-2</v>
      </c>
      <c r="N103" s="44">
        <f ca="1">DSUM($B$72:$Y$76,N$72,$C$83:$D103)</f>
        <v>9.2996326595532711E-2</v>
      </c>
      <c r="O103" s="44">
        <f ca="1">DSUM($B$72:$Y$76,O$72,$C$83:$D103)</f>
        <v>0.1180541050419731</v>
      </c>
      <c r="P103" s="44">
        <f ca="1">DSUM($B$72:$Y$76,P$72,$C$83:$D103)</f>
        <v>0.14457087266011379</v>
      </c>
      <c r="Q103" s="44">
        <f ca="1">DSUM($B$72:$Y$76,Q$72,$C$83:$D103)</f>
        <v>0.17103764063362556</v>
      </c>
      <c r="R103" s="44">
        <f ca="1">DSUM($B$72:$Y$76,R$72,$C$83:$D103)</f>
        <v>0.19580514873931956</v>
      </c>
      <c r="S103" s="44">
        <f ca="1">DSUM($B$72:$Y$76,S$72,$C$83:$D103)</f>
        <v>0.21737701173830587</v>
      </c>
      <c r="T103" s="44">
        <f ca="1">DSUM($B$72:$Y$76,T$72,$C$83:$D103)</f>
        <v>0.23470770694078952</v>
      </c>
      <c r="U103" s="44">
        <f ca="1">DSUM($B$72:$Y$76,U$72,$C$83:$D103)</f>
        <v>0.24740365111956905</v>
      </c>
      <c r="V103" s="44">
        <f ca="1">DSUM($B$72:$Y$76,V$72,$C$83:$D103)</f>
        <v>0.25574683011507027</v>
      </c>
      <c r="W103" s="44">
        <f ca="1">DSUM($B$72:$Y$76,W$72,$C$83:$D103)</f>
        <v>0.26052903785980869</v>
      </c>
      <c r="X103" s="44">
        <f ca="1">DSUM($B$72:$Y$76,X$72,$C$83:$D103)</f>
        <v>0.26240169473916952</v>
      </c>
      <c r="Y103" s="44">
        <f ca="1">DSUM($B$72:$Y$76,Y$72,$C$83:$D103)</f>
        <v>5.7620158692710808</v>
      </c>
      <c r="Z103" s="9"/>
      <c r="AA103" s="9"/>
      <c r="AB103" s="9"/>
      <c r="AC103" s="9"/>
    </row>
    <row r="104" spans="1:29" customFormat="1">
      <c r="A104" s="9"/>
      <c r="B104" s="9" t="s">
        <v>131</v>
      </c>
      <c r="C104" s="55" t="s">
        <v>132</v>
      </c>
      <c r="D104" s="55" t="s">
        <v>133</v>
      </c>
      <c r="E104" s="44">
        <f ca="1">DSUM($B$72:$Y$76,E$72,$C$83:$D104)</f>
        <v>7.2171682425645688E-4</v>
      </c>
      <c r="F104" s="44">
        <f ca="1">DSUM($B$72:$Y$76,F$72,$C$83:$D104)</f>
        <v>2.1576441656434276E-3</v>
      </c>
      <c r="G104" s="44">
        <f ca="1">DSUM($B$72:$Y$76,G$72,$C$83:$D104)</f>
        <v>4.6965522663190784E-3</v>
      </c>
      <c r="H104" s="44">
        <f ca="1">DSUM($B$72:$Y$76,H$72,$C$83:$D104)</f>
        <v>8.8099407449340854E-3</v>
      </c>
      <c r="I104" s="44">
        <f ca="1">DSUM($B$72:$Y$76,I$72,$C$83:$D104)</f>
        <v>1.5028949490697555E-2</v>
      </c>
      <c r="J104" s="44">
        <f ca="1">DSUM($B$72:$Y$76,J$72,$C$83:$D104)</f>
        <v>2.3900913093511736E-2</v>
      </c>
      <c r="K104" s="44">
        <f ca="1">DSUM($B$72:$Y$76,K$72,$C$83:$D104)</f>
        <v>3.5921314536572713E-2</v>
      </c>
      <c r="L104" s="44">
        <f ca="1">DSUM($B$72:$Y$76,L$72,$C$83:$D104)</f>
        <v>5.1440894730627997E-2</v>
      </c>
      <c r="M104" s="44">
        <f ca="1">DSUM($B$72:$Y$76,M$72,$C$83:$D104)</f>
        <v>7.0555366034882092E-2</v>
      </c>
      <c r="N104" s="44">
        <f ca="1">DSUM($B$72:$Y$76,N$72,$C$83:$D104)</f>
        <v>9.2996326595532711E-2</v>
      </c>
      <c r="O104" s="44">
        <f ca="1">DSUM($B$72:$Y$76,O$72,$C$83:$D104)</f>
        <v>0.1180541050419731</v>
      </c>
      <c r="P104" s="44">
        <f ca="1">DSUM($B$72:$Y$76,P$72,$C$83:$D104)</f>
        <v>0.14457087266011379</v>
      </c>
      <c r="Q104" s="44">
        <f ca="1">DSUM($B$72:$Y$76,Q$72,$C$83:$D104)</f>
        <v>0.17103764063362556</v>
      </c>
      <c r="R104" s="44">
        <f ca="1">DSUM($B$72:$Y$76,R$72,$C$83:$D104)</f>
        <v>0.19580514873931956</v>
      </c>
      <c r="S104" s="44">
        <f ca="1">DSUM($B$72:$Y$76,S$72,$C$83:$D104)</f>
        <v>0.21737701173830587</v>
      </c>
      <c r="T104" s="44">
        <f ca="1">DSUM($B$72:$Y$76,T$72,$C$83:$D104)</f>
        <v>0.23470770694078952</v>
      </c>
      <c r="U104" s="44">
        <f ca="1">DSUM($B$72:$Y$76,U$72,$C$83:$D104)</f>
        <v>0.24740365111956905</v>
      </c>
      <c r="V104" s="44">
        <f ca="1">DSUM($B$72:$Y$76,V$72,$C$83:$D104)</f>
        <v>0.25574683011507027</v>
      </c>
      <c r="W104" s="44">
        <f ca="1">DSUM($B$72:$Y$76,W$72,$C$83:$D104)</f>
        <v>0.26052903785980869</v>
      </c>
      <c r="X104" s="44">
        <f ca="1">DSUM($B$72:$Y$76,X$72,$C$83:$D104)</f>
        <v>0.26240169473916952</v>
      </c>
      <c r="Y104" s="44">
        <f ca="1">DSUM($B$72:$Y$76,Y$72,$C$83:$D104)</f>
        <v>5.7620158692710808</v>
      </c>
      <c r="Z104" s="9"/>
      <c r="AA104" s="9"/>
      <c r="AB104" s="9"/>
      <c r="AC104" s="9"/>
    </row>
    <row r="105" spans="1:29" customFormat="1">
      <c r="A105" s="9"/>
      <c r="B105" s="9" t="s">
        <v>4907</v>
      </c>
      <c r="C105" s="55" t="s">
        <v>135</v>
      </c>
      <c r="D105" s="55" t="s">
        <v>4928</v>
      </c>
      <c r="E105" s="44">
        <f ca="1">DSUM($B$72:$Y$76,E$72,$C$83:$D105)</f>
        <v>7.2171682425645688E-4</v>
      </c>
      <c r="F105" s="44">
        <f ca="1">DSUM($B$72:$Y$76,F$72,$C$83:$D105)</f>
        <v>2.1576441656434276E-3</v>
      </c>
      <c r="G105" s="44">
        <f ca="1">DSUM($B$72:$Y$76,G$72,$C$83:$D105)</f>
        <v>4.6965522663190784E-3</v>
      </c>
      <c r="H105" s="44">
        <f ca="1">DSUM($B$72:$Y$76,H$72,$C$83:$D105)</f>
        <v>8.8099407449340854E-3</v>
      </c>
      <c r="I105" s="44">
        <f ca="1">DSUM($B$72:$Y$76,I$72,$C$83:$D105)</f>
        <v>1.5028949490697555E-2</v>
      </c>
      <c r="J105" s="44">
        <f ca="1">DSUM($B$72:$Y$76,J$72,$C$83:$D105)</f>
        <v>2.3900913093511736E-2</v>
      </c>
      <c r="K105" s="44">
        <f ca="1">DSUM($B$72:$Y$76,K$72,$C$83:$D105)</f>
        <v>3.5921314536572713E-2</v>
      </c>
      <c r="L105" s="44">
        <f ca="1">DSUM($B$72:$Y$76,L$72,$C$83:$D105)</f>
        <v>5.1440894730627997E-2</v>
      </c>
      <c r="M105" s="44">
        <f ca="1">DSUM($B$72:$Y$76,M$72,$C$83:$D105)</f>
        <v>7.0555366034882092E-2</v>
      </c>
      <c r="N105" s="44">
        <f ca="1">DSUM($B$72:$Y$76,N$72,$C$83:$D105)</f>
        <v>9.2996326595532711E-2</v>
      </c>
      <c r="O105" s="44">
        <f ca="1">DSUM($B$72:$Y$76,O$72,$C$83:$D105)</f>
        <v>0.1180541050419731</v>
      </c>
      <c r="P105" s="44">
        <f ca="1">DSUM($B$72:$Y$76,P$72,$C$83:$D105)</f>
        <v>0.14457087266011379</v>
      </c>
      <c r="Q105" s="44">
        <f ca="1">DSUM($B$72:$Y$76,Q$72,$C$83:$D105)</f>
        <v>0.17103764063362556</v>
      </c>
      <c r="R105" s="44">
        <f ca="1">DSUM($B$72:$Y$76,R$72,$C$83:$D105)</f>
        <v>0.19580514873931956</v>
      </c>
      <c r="S105" s="44">
        <f ca="1">DSUM($B$72:$Y$76,S$72,$C$83:$D105)</f>
        <v>0.21737701173830587</v>
      </c>
      <c r="T105" s="44">
        <f ca="1">DSUM($B$72:$Y$76,T$72,$C$83:$D105)</f>
        <v>0.23470770694078952</v>
      </c>
      <c r="U105" s="44">
        <f ca="1">DSUM($B$72:$Y$76,U$72,$C$83:$D105)</f>
        <v>0.24740365111956905</v>
      </c>
      <c r="V105" s="44">
        <f ca="1">DSUM($B$72:$Y$76,V$72,$C$83:$D105)</f>
        <v>0.25574683011507027</v>
      </c>
      <c r="W105" s="44">
        <f ca="1">DSUM($B$72:$Y$76,W$72,$C$83:$D105)</f>
        <v>0.26052903785980869</v>
      </c>
      <c r="X105" s="44">
        <f ca="1">DSUM($B$72:$Y$76,X$72,$C$83:$D105)</f>
        <v>0.26240169473916952</v>
      </c>
      <c r="Y105" s="44">
        <f ca="1">DSUM($B$72:$Y$76,Y$72,$C$83:$D105)</f>
        <v>5.7620158692710808</v>
      </c>
      <c r="Z105" s="9"/>
      <c r="AA105" s="9"/>
      <c r="AB105" s="9"/>
      <c r="AC105" s="9"/>
    </row>
    <row r="106" spans="1:29" customFormat="1">
      <c r="A106" s="9"/>
      <c r="B106" s="9" t="s">
        <v>4908</v>
      </c>
      <c r="C106" s="55" t="s">
        <v>4918</v>
      </c>
      <c r="D106" s="55" t="s">
        <v>4929</v>
      </c>
      <c r="E106" s="44">
        <f ca="1">DSUM($B$72:$Y$76,E$72,$C$83:$D106)</f>
        <v>7.2171682425645688E-4</v>
      </c>
      <c r="F106" s="44">
        <f ca="1">DSUM($B$72:$Y$76,F$72,$C$83:$D106)</f>
        <v>2.1576441656434276E-3</v>
      </c>
      <c r="G106" s="44">
        <f ca="1">DSUM($B$72:$Y$76,G$72,$C$83:$D106)</f>
        <v>4.6965522663190784E-3</v>
      </c>
      <c r="H106" s="44">
        <f ca="1">DSUM($B$72:$Y$76,H$72,$C$83:$D106)</f>
        <v>8.8099407449340854E-3</v>
      </c>
      <c r="I106" s="44">
        <f ca="1">DSUM($B$72:$Y$76,I$72,$C$83:$D106)</f>
        <v>1.5028949490697555E-2</v>
      </c>
      <c r="J106" s="44">
        <f ca="1">DSUM($B$72:$Y$76,J$72,$C$83:$D106)</f>
        <v>2.3900913093511736E-2</v>
      </c>
      <c r="K106" s="44">
        <f ca="1">DSUM($B$72:$Y$76,K$72,$C$83:$D106)</f>
        <v>3.5921314536572713E-2</v>
      </c>
      <c r="L106" s="44">
        <f ca="1">DSUM($B$72:$Y$76,L$72,$C$83:$D106)</f>
        <v>5.1440894730627997E-2</v>
      </c>
      <c r="M106" s="44">
        <f ca="1">DSUM($B$72:$Y$76,M$72,$C$83:$D106)</f>
        <v>7.0555366034882092E-2</v>
      </c>
      <c r="N106" s="44">
        <f ca="1">DSUM($B$72:$Y$76,N$72,$C$83:$D106)</f>
        <v>9.2996326595532711E-2</v>
      </c>
      <c r="O106" s="44">
        <f ca="1">DSUM($B$72:$Y$76,O$72,$C$83:$D106)</f>
        <v>0.1180541050419731</v>
      </c>
      <c r="P106" s="44">
        <f ca="1">DSUM($B$72:$Y$76,P$72,$C$83:$D106)</f>
        <v>0.14457087266011379</v>
      </c>
      <c r="Q106" s="44">
        <f ca="1">DSUM($B$72:$Y$76,Q$72,$C$83:$D106)</f>
        <v>0.17103764063362556</v>
      </c>
      <c r="R106" s="44">
        <f ca="1">DSUM($B$72:$Y$76,R$72,$C$83:$D106)</f>
        <v>0.19580514873931956</v>
      </c>
      <c r="S106" s="44">
        <f ca="1">DSUM($B$72:$Y$76,S$72,$C$83:$D106)</f>
        <v>0.21737701173830587</v>
      </c>
      <c r="T106" s="44">
        <f ca="1">DSUM($B$72:$Y$76,T$72,$C$83:$D106)</f>
        <v>0.23470770694078952</v>
      </c>
      <c r="U106" s="44">
        <f ca="1">DSUM($B$72:$Y$76,U$72,$C$83:$D106)</f>
        <v>0.24740365111956905</v>
      </c>
      <c r="V106" s="44">
        <f ca="1">DSUM($B$72:$Y$76,V$72,$C$83:$D106)</f>
        <v>0.25574683011507027</v>
      </c>
      <c r="W106" s="44">
        <f ca="1">DSUM($B$72:$Y$76,W$72,$C$83:$D106)</f>
        <v>0.26052903785980869</v>
      </c>
      <c r="X106" s="44">
        <f ca="1">DSUM($B$72:$Y$76,X$72,$C$83:$D106)</f>
        <v>0.26240169473916952</v>
      </c>
      <c r="Y106" s="44">
        <f ca="1">DSUM($B$72:$Y$76,Y$72,$C$83:$D106)</f>
        <v>5.7620158692710808</v>
      </c>
      <c r="Z106" s="9"/>
      <c r="AA106" s="9"/>
      <c r="AB106" s="9"/>
      <c r="AC106" s="9"/>
    </row>
    <row r="107" spans="1:29" customFormat="1">
      <c r="A107" s="9"/>
      <c r="B107" s="9" t="s">
        <v>4909</v>
      </c>
      <c r="C107" s="55" t="s">
        <v>4919</v>
      </c>
      <c r="D107" s="55" t="s">
        <v>4930</v>
      </c>
      <c r="E107" s="44">
        <f ca="1">DSUM($B$72:$Y$76,E$72,$C$83:$D107)</f>
        <v>7.2171682425645688E-4</v>
      </c>
      <c r="F107" s="44">
        <f ca="1">DSUM($B$72:$Y$76,F$72,$C$83:$D107)</f>
        <v>2.1576441656434276E-3</v>
      </c>
      <c r="G107" s="44">
        <f ca="1">DSUM($B$72:$Y$76,G$72,$C$83:$D107)</f>
        <v>4.6965522663190784E-3</v>
      </c>
      <c r="H107" s="44">
        <f ca="1">DSUM($B$72:$Y$76,H$72,$C$83:$D107)</f>
        <v>8.8099407449340854E-3</v>
      </c>
      <c r="I107" s="44">
        <f ca="1">DSUM($B$72:$Y$76,I$72,$C$83:$D107)</f>
        <v>1.5028949490697555E-2</v>
      </c>
      <c r="J107" s="44">
        <f ca="1">DSUM($B$72:$Y$76,J$72,$C$83:$D107)</f>
        <v>2.3900913093511736E-2</v>
      </c>
      <c r="K107" s="44">
        <f ca="1">DSUM($B$72:$Y$76,K$72,$C$83:$D107)</f>
        <v>3.5921314536572713E-2</v>
      </c>
      <c r="L107" s="44">
        <f ca="1">DSUM($B$72:$Y$76,L$72,$C$83:$D107)</f>
        <v>5.1440894730627997E-2</v>
      </c>
      <c r="M107" s="44">
        <f ca="1">DSUM($B$72:$Y$76,M$72,$C$83:$D107)</f>
        <v>7.0555366034882092E-2</v>
      </c>
      <c r="N107" s="44">
        <f ca="1">DSUM($B$72:$Y$76,N$72,$C$83:$D107)</f>
        <v>9.2996326595532711E-2</v>
      </c>
      <c r="O107" s="44">
        <f ca="1">DSUM($B$72:$Y$76,O$72,$C$83:$D107)</f>
        <v>0.1180541050419731</v>
      </c>
      <c r="P107" s="44">
        <f ca="1">DSUM($B$72:$Y$76,P$72,$C$83:$D107)</f>
        <v>0.14457087266011379</v>
      </c>
      <c r="Q107" s="44">
        <f ca="1">DSUM($B$72:$Y$76,Q$72,$C$83:$D107)</f>
        <v>0.17103764063362556</v>
      </c>
      <c r="R107" s="44">
        <f ca="1">DSUM($B$72:$Y$76,R$72,$C$83:$D107)</f>
        <v>0.19580514873931956</v>
      </c>
      <c r="S107" s="44">
        <f ca="1">DSUM($B$72:$Y$76,S$72,$C$83:$D107)</f>
        <v>0.21737701173830587</v>
      </c>
      <c r="T107" s="44">
        <f ca="1">DSUM($B$72:$Y$76,T$72,$C$83:$D107)</f>
        <v>0.23470770694078952</v>
      </c>
      <c r="U107" s="44">
        <f ca="1">DSUM($B$72:$Y$76,U$72,$C$83:$D107)</f>
        <v>0.24740365111956905</v>
      </c>
      <c r="V107" s="44">
        <f ca="1">DSUM($B$72:$Y$76,V$72,$C$83:$D107)</f>
        <v>0.25574683011507027</v>
      </c>
      <c r="W107" s="44">
        <f ca="1">DSUM($B$72:$Y$76,W$72,$C$83:$D107)</f>
        <v>0.26052903785980869</v>
      </c>
      <c r="X107" s="44">
        <f ca="1">DSUM($B$72:$Y$76,X$72,$C$83:$D107)</f>
        <v>0.26240169473916952</v>
      </c>
      <c r="Y107" s="44">
        <f ca="1">DSUM($B$72:$Y$76,Y$72,$C$83:$D107)</f>
        <v>5.7620158692710808</v>
      </c>
      <c r="Z107" s="9"/>
      <c r="AA107" s="9"/>
      <c r="AB107" s="9"/>
      <c r="AC107" s="9"/>
    </row>
    <row r="108" spans="1:29" customFormat="1">
      <c r="A108" s="9"/>
      <c r="B108" s="9" t="s">
        <v>4910</v>
      </c>
      <c r="C108" s="55" t="s">
        <v>4920</v>
      </c>
      <c r="D108" s="55" t="s">
        <v>4931</v>
      </c>
      <c r="E108" s="44">
        <f ca="1">DSUM($B$72:$Y$76,E$72,$C$83:$D108)</f>
        <v>7.2171682425645688E-4</v>
      </c>
      <c r="F108" s="44">
        <f ca="1">DSUM($B$72:$Y$76,F$72,$C$83:$D108)</f>
        <v>2.1576441656434276E-3</v>
      </c>
      <c r="G108" s="44">
        <f ca="1">DSUM($B$72:$Y$76,G$72,$C$83:$D108)</f>
        <v>4.6965522663190784E-3</v>
      </c>
      <c r="H108" s="44">
        <f ca="1">DSUM($B$72:$Y$76,H$72,$C$83:$D108)</f>
        <v>8.8099407449340854E-3</v>
      </c>
      <c r="I108" s="44">
        <f ca="1">DSUM($B$72:$Y$76,I$72,$C$83:$D108)</f>
        <v>1.5028949490697555E-2</v>
      </c>
      <c r="J108" s="44">
        <f ca="1">DSUM($B$72:$Y$76,J$72,$C$83:$D108)</f>
        <v>2.3900913093511736E-2</v>
      </c>
      <c r="K108" s="44">
        <f ca="1">DSUM($B$72:$Y$76,K$72,$C$83:$D108)</f>
        <v>3.5921314536572713E-2</v>
      </c>
      <c r="L108" s="44">
        <f ca="1">DSUM($B$72:$Y$76,L$72,$C$83:$D108)</f>
        <v>5.1440894730627997E-2</v>
      </c>
      <c r="M108" s="44">
        <f ca="1">DSUM($B$72:$Y$76,M$72,$C$83:$D108)</f>
        <v>7.0555366034882092E-2</v>
      </c>
      <c r="N108" s="44">
        <f ca="1">DSUM($B$72:$Y$76,N$72,$C$83:$D108)</f>
        <v>9.2996326595532711E-2</v>
      </c>
      <c r="O108" s="44">
        <f ca="1">DSUM($B$72:$Y$76,O$72,$C$83:$D108)</f>
        <v>0.1180541050419731</v>
      </c>
      <c r="P108" s="44">
        <f ca="1">DSUM($B$72:$Y$76,P$72,$C$83:$D108)</f>
        <v>0.14457087266011379</v>
      </c>
      <c r="Q108" s="44">
        <f ca="1">DSUM($B$72:$Y$76,Q$72,$C$83:$D108)</f>
        <v>0.17103764063362556</v>
      </c>
      <c r="R108" s="44">
        <f ca="1">DSUM($B$72:$Y$76,R$72,$C$83:$D108)</f>
        <v>0.19580514873931956</v>
      </c>
      <c r="S108" s="44">
        <f ca="1">DSUM($B$72:$Y$76,S$72,$C$83:$D108)</f>
        <v>0.21737701173830587</v>
      </c>
      <c r="T108" s="44">
        <f ca="1">DSUM($B$72:$Y$76,T$72,$C$83:$D108)</f>
        <v>0.23470770694078952</v>
      </c>
      <c r="U108" s="44">
        <f ca="1">DSUM($B$72:$Y$76,U$72,$C$83:$D108)</f>
        <v>0.24740365111956905</v>
      </c>
      <c r="V108" s="44">
        <f ca="1">DSUM($B$72:$Y$76,V$72,$C$83:$D108)</f>
        <v>0.25574683011507027</v>
      </c>
      <c r="W108" s="44">
        <f ca="1">DSUM($B$72:$Y$76,W$72,$C$83:$D108)</f>
        <v>0.26052903785980869</v>
      </c>
      <c r="X108" s="44">
        <f ca="1">DSUM($B$72:$Y$76,X$72,$C$83:$D108)</f>
        <v>0.26240169473916952</v>
      </c>
      <c r="Y108" s="44">
        <f ca="1">DSUM($B$72:$Y$76,Y$72,$C$83:$D108)</f>
        <v>5.7620158692710808</v>
      </c>
      <c r="Z108" s="9"/>
      <c r="AA108" s="9"/>
      <c r="AB108" s="9"/>
      <c r="AC108" s="9"/>
    </row>
    <row r="109" spans="1:29" customFormat="1">
      <c r="A109" s="9"/>
      <c r="B109" s="9" t="s">
        <v>4911</v>
      </c>
      <c r="C109" s="55" t="s">
        <v>4921</v>
      </c>
      <c r="D109" s="55" t="s">
        <v>4932</v>
      </c>
      <c r="E109" s="44">
        <f ca="1">DSUM($B$72:$Y$76,E$72,$C$83:$D109)</f>
        <v>7.2171682425645688E-4</v>
      </c>
      <c r="F109" s="44">
        <f ca="1">DSUM($B$72:$Y$76,F$72,$C$83:$D109)</f>
        <v>2.1576441656434276E-3</v>
      </c>
      <c r="G109" s="44">
        <f ca="1">DSUM($B$72:$Y$76,G$72,$C$83:$D109)</f>
        <v>4.6965522663190784E-3</v>
      </c>
      <c r="H109" s="44">
        <f ca="1">DSUM($B$72:$Y$76,H$72,$C$83:$D109)</f>
        <v>8.8099407449340854E-3</v>
      </c>
      <c r="I109" s="44">
        <f ca="1">DSUM($B$72:$Y$76,I$72,$C$83:$D109)</f>
        <v>1.5028949490697555E-2</v>
      </c>
      <c r="J109" s="44">
        <f ca="1">DSUM($B$72:$Y$76,J$72,$C$83:$D109)</f>
        <v>2.3900913093511736E-2</v>
      </c>
      <c r="K109" s="44">
        <f ca="1">DSUM($B$72:$Y$76,K$72,$C$83:$D109)</f>
        <v>3.5921314536572713E-2</v>
      </c>
      <c r="L109" s="44">
        <f ca="1">DSUM($B$72:$Y$76,L$72,$C$83:$D109)</f>
        <v>5.1440894730627997E-2</v>
      </c>
      <c r="M109" s="44">
        <f ca="1">DSUM($B$72:$Y$76,M$72,$C$83:$D109)</f>
        <v>7.0555366034882092E-2</v>
      </c>
      <c r="N109" s="44">
        <f ca="1">DSUM($B$72:$Y$76,N$72,$C$83:$D109)</f>
        <v>9.2996326595532711E-2</v>
      </c>
      <c r="O109" s="44">
        <f ca="1">DSUM($B$72:$Y$76,O$72,$C$83:$D109)</f>
        <v>0.1180541050419731</v>
      </c>
      <c r="P109" s="44">
        <f ca="1">DSUM($B$72:$Y$76,P$72,$C$83:$D109)</f>
        <v>0.14457087266011379</v>
      </c>
      <c r="Q109" s="44">
        <f ca="1">DSUM($B$72:$Y$76,Q$72,$C$83:$D109)</f>
        <v>0.17103764063362556</v>
      </c>
      <c r="R109" s="44">
        <f ca="1">DSUM($B$72:$Y$76,R$72,$C$83:$D109)</f>
        <v>0.19580514873931956</v>
      </c>
      <c r="S109" s="44">
        <f ca="1">DSUM($B$72:$Y$76,S$72,$C$83:$D109)</f>
        <v>0.21737701173830587</v>
      </c>
      <c r="T109" s="44">
        <f ca="1">DSUM($B$72:$Y$76,T$72,$C$83:$D109)</f>
        <v>0.23470770694078952</v>
      </c>
      <c r="U109" s="44">
        <f ca="1">DSUM($B$72:$Y$76,U$72,$C$83:$D109)</f>
        <v>0.24740365111956905</v>
      </c>
      <c r="V109" s="44">
        <f ca="1">DSUM($B$72:$Y$76,V$72,$C$83:$D109)</f>
        <v>0.25574683011507027</v>
      </c>
      <c r="W109" s="44">
        <f ca="1">DSUM($B$72:$Y$76,W$72,$C$83:$D109)</f>
        <v>0.26052903785980869</v>
      </c>
      <c r="X109" s="44">
        <f ca="1">DSUM($B$72:$Y$76,X$72,$C$83:$D109)</f>
        <v>0.26240169473916952</v>
      </c>
      <c r="Y109" s="44">
        <f ca="1">DSUM($B$72:$Y$76,Y$72,$C$83:$D109)</f>
        <v>5.7620158692710808</v>
      </c>
      <c r="Z109" s="9"/>
      <c r="AA109" s="9"/>
      <c r="AB109" s="9"/>
      <c r="AC109" s="9"/>
    </row>
    <row r="110" spans="1:29" customFormat="1">
      <c r="A110" s="9"/>
      <c r="B110" s="9" t="s">
        <v>4912</v>
      </c>
      <c r="C110" s="55" t="s">
        <v>4922</v>
      </c>
      <c r="D110" s="55" t="s">
        <v>4933</v>
      </c>
      <c r="E110" s="44">
        <f ca="1">DSUM($B$72:$Y$76,E$72,$C$83:$D110)</f>
        <v>7.2171682425645688E-4</v>
      </c>
      <c r="F110" s="44">
        <f ca="1">DSUM($B$72:$Y$76,F$72,$C$83:$D110)</f>
        <v>2.1576441656434276E-3</v>
      </c>
      <c r="G110" s="44">
        <f ca="1">DSUM($B$72:$Y$76,G$72,$C$83:$D110)</f>
        <v>4.6965522663190784E-3</v>
      </c>
      <c r="H110" s="44">
        <f ca="1">DSUM($B$72:$Y$76,H$72,$C$83:$D110)</f>
        <v>8.8099407449340854E-3</v>
      </c>
      <c r="I110" s="44">
        <f ca="1">DSUM($B$72:$Y$76,I$72,$C$83:$D110)</f>
        <v>1.5028949490697555E-2</v>
      </c>
      <c r="J110" s="44">
        <f ca="1">DSUM($B$72:$Y$76,J$72,$C$83:$D110)</f>
        <v>2.3900913093511736E-2</v>
      </c>
      <c r="K110" s="44">
        <f ca="1">DSUM($B$72:$Y$76,K$72,$C$83:$D110)</f>
        <v>3.5921314536572713E-2</v>
      </c>
      <c r="L110" s="44">
        <f ca="1">DSUM($B$72:$Y$76,L$72,$C$83:$D110)</f>
        <v>5.1440894730627997E-2</v>
      </c>
      <c r="M110" s="44">
        <f ca="1">DSUM($B$72:$Y$76,M$72,$C$83:$D110)</f>
        <v>7.0555366034882092E-2</v>
      </c>
      <c r="N110" s="44">
        <f ca="1">DSUM($B$72:$Y$76,N$72,$C$83:$D110)</f>
        <v>9.2996326595532711E-2</v>
      </c>
      <c r="O110" s="44">
        <f ca="1">DSUM($B$72:$Y$76,O$72,$C$83:$D110)</f>
        <v>0.1180541050419731</v>
      </c>
      <c r="P110" s="44">
        <f ca="1">DSUM($B$72:$Y$76,P$72,$C$83:$D110)</f>
        <v>0.14457087266011379</v>
      </c>
      <c r="Q110" s="44">
        <f ca="1">DSUM($B$72:$Y$76,Q$72,$C$83:$D110)</f>
        <v>0.17103764063362556</v>
      </c>
      <c r="R110" s="44">
        <f ca="1">DSUM($B$72:$Y$76,R$72,$C$83:$D110)</f>
        <v>0.19580514873931956</v>
      </c>
      <c r="S110" s="44">
        <f ca="1">DSUM($B$72:$Y$76,S$72,$C$83:$D110)</f>
        <v>0.21737701173830587</v>
      </c>
      <c r="T110" s="44">
        <f ca="1">DSUM($B$72:$Y$76,T$72,$C$83:$D110)</f>
        <v>0.23470770694078952</v>
      </c>
      <c r="U110" s="44">
        <f ca="1">DSUM($B$72:$Y$76,U$72,$C$83:$D110)</f>
        <v>0.24740365111956905</v>
      </c>
      <c r="V110" s="44">
        <f ca="1">DSUM($B$72:$Y$76,V$72,$C$83:$D110)</f>
        <v>0.25574683011507027</v>
      </c>
      <c r="W110" s="44">
        <f ca="1">DSUM($B$72:$Y$76,W$72,$C$83:$D110)</f>
        <v>0.26052903785980869</v>
      </c>
      <c r="X110" s="44">
        <f ca="1">DSUM($B$72:$Y$76,X$72,$C$83:$D110)</f>
        <v>0.26240169473916952</v>
      </c>
      <c r="Y110" s="44">
        <f ca="1">DSUM($B$72:$Y$76,Y$72,$C$83:$D110)</f>
        <v>5.7620158692710808</v>
      </c>
      <c r="Z110" s="9"/>
      <c r="AA110" s="9"/>
      <c r="AB110" s="9"/>
      <c r="AC110" s="9"/>
    </row>
    <row r="111" spans="1:29" customFormat="1">
      <c r="A111" s="9"/>
      <c r="B111" s="9" t="s">
        <v>4913</v>
      </c>
      <c r="C111" s="55" t="s">
        <v>4923</v>
      </c>
      <c r="D111" s="55" t="s">
        <v>4934</v>
      </c>
      <c r="E111" s="44">
        <f ca="1">DSUM($B$72:$Y$76,E$72,$C$83:$D111)</f>
        <v>7.2171682425645688E-4</v>
      </c>
      <c r="F111" s="44">
        <f ca="1">DSUM($B$72:$Y$76,F$72,$C$83:$D111)</f>
        <v>2.1576441656434276E-3</v>
      </c>
      <c r="G111" s="44">
        <f ca="1">DSUM($B$72:$Y$76,G$72,$C$83:$D111)</f>
        <v>4.6965522663190784E-3</v>
      </c>
      <c r="H111" s="44">
        <f ca="1">DSUM($B$72:$Y$76,H$72,$C$83:$D111)</f>
        <v>8.8099407449340854E-3</v>
      </c>
      <c r="I111" s="44">
        <f ca="1">DSUM($B$72:$Y$76,I$72,$C$83:$D111)</f>
        <v>1.5028949490697555E-2</v>
      </c>
      <c r="J111" s="44">
        <f ca="1">DSUM($B$72:$Y$76,J$72,$C$83:$D111)</f>
        <v>2.3900913093511736E-2</v>
      </c>
      <c r="K111" s="44">
        <f ca="1">DSUM($B$72:$Y$76,K$72,$C$83:$D111)</f>
        <v>3.5921314536572713E-2</v>
      </c>
      <c r="L111" s="44">
        <f ca="1">DSUM($B$72:$Y$76,L$72,$C$83:$D111)</f>
        <v>5.1440894730627997E-2</v>
      </c>
      <c r="M111" s="44">
        <f ca="1">DSUM($B$72:$Y$76,M$72,$C$83:$D111)</f>
        <v>7.0555366034882092E-2</v>
      </c>
      <c r="N111" s="44">
        <f ca="1">DSUM($B$72:$Y$76,N$72,$C$83:$D111)</f>
        <v>9.2996326595532711E-2</v>
      </c>
      <c r="O111" s="44">
        <f ca="1">DSUM($B$72:$Y$76,O$72,$C$83:$D111)</f>
        <v>0.1180541050419731</v>
      </c>
      <c r="P111" s="44">
        <f ca="1">DSUM($B$72:$Y$76,P$72,$C$83:$D111)</f>
        <v>0.14457087266011379</v>
      </c>
      <c r="Q111" s="44">
        <f ca="1">DSUM($B$72:$Y$76,Q$72,$C$83:$D111)</f>
        <v>0.17103764063362556</v>
      </c>
      <c r="R111" s="44">
        <f ca="1">DSUM($B$72:$Y$76,R$72,$C$83:$D111)</f>
        <v>0.19580514873931956</v>
      </c>
      <c r="S111" s="44">
        <f ca="1">DSUM($B$72:$Y$76,S$72,$C$83:$D111)</f>
        <v>0.21737701173830587</v>
      </c>
      <c r="T111" s="44">
        <f ca="1">DSUM($B$72:$Y$76,T$72,$C$83:$D111)</f>
        <v>0.23470770694078952</v>
      </c>
      <c r="U111" s="44">
        <f ca="1">DSUM($B$72:$Y$76,U$72,$C$83:$D111)</f>
        <v>0.24740365111956905</v>
      </c>
      <c r="V111" s="44">
        <f ca="1">DSUM($B$72:$Y$76,V$72,$C$83:$D111)</f>
        <v>0.25574683011507027</v>
      </c>
      <c r="W111" s="44">
        <f ca="1">DSUM($B$72:$Y$76,W$72,$C$83:$D111)</f>
        <v>0.26052903785980869</v>
      </c>
      <c r="X111" s="44">
        <f ca="1">DSUM($B$72:$Y$76,X$72,$C$83:$D111)</f>
        <v>0.26240169473916952</v>
      </c>
      <c r="Y111" s="44">
        <f ca="1">DSUM($B$72:$Y$76,Y$72,$C$83:$D111)</f>
        <v>5.7620158692710808</v>
      </c>
      <c r="Z111" s="9"/>
      <c r="AA111" s="9"/>
      <c r="AB111" s="9"/>
      <c r="AC111" s="9"/>
    </row>
    <row r="112" spans="1:29" customFormat="1">
      <c r="A112" s="9"/>
      <c r="B112" s="9" t="s">
        <v>4914</v>
      </c>
      <c r="C112" s="55" t="s">
        <v>4924</v>
      </c>
      <c r="D112" s="55" t="s">
        <v>4935</v>
      </c>
      <c r="E112" s="44">
        <f ca="1">DSUM($B$72:$Y$76,E$72,$C$83:$D112)</f>
        <v>7.2171682425645688E-4</v>
      </c>
      <c r="F112" s="44">
        <f ca="1">DSUM($B$72:$Y$76,F$72,$C$83:$D112)</f>
        <v>2.1576441656434276E-3</v>
      </c>
      <c r="G112" s="44">
        <f ca="1">DSUM($B$72:$Y$76,G$72,$C$83:$D112)</f>
        <v>4.6965522663190784E-3</v>
      </c>
      <c r="H112" s="44">
        <f ca="1">DSUM($B$72:$Y$76,H$72,$C$83:$D112)</f>
        <v>8.8099407449340854E-3</v>
      </c>
      <c r="I112" s="44">
        <f ca="1">DSUM($B$72:$Y$76,I$72,$C$83:$D112)</f>
        <v>1.5028949490697555E-2</v>
      </c>
      <c r="J112" s="44">
        <f ca="1">DSUM($B$72:$Y$76,J$72,$C$83:$D112)</f>
        <v>2.3900913093511736E-2</v>
      </c>
      <c r="K112" s="44">
        <f ca="1">DSUM($B$72:$Y$76,K$72,$C$83:$D112)</f>
        <v>3.5921314536572713E-2</v>
      </c>
      <c r="L112" s="44">
        <f ca="1">DSUM($B$72:$Y$76,L$72,$C$83:$D112)</f>
        <v>5.1440894730627997E-2</v>
      </c>
      <c r="M112" s="44">
        <f ca="1">DSUM($B$72:$Y$76,M$72,$C$83:$D112)</f>
        <v>7.0555366034882092E-2</v>
      </c>
      <c r="N112" s="44">
        <f ca="1">DSUM($B$72:$Y$76,N$72,$C$83:$D112)</f>
        <v>9.2996326595532711E-2</v>
      </c>
      <c r="O112" s="44">
        <f ca="1">DSUM($B$72:$Y$76,O$72,$C$83:$D112)</f>
        <v>0.1180541050419731</v>
      </c>
      <c r="P112" s="44">
        <f ca="1">DSUM($B$72:$Y$76,P$72,$C$83:$D112)</f>
        <v>0.14457087266011379</v>
      </c>
      <c r="Q112" s="44">
        <f ca="1">DSUM($B$72:$Y$76,Q$72,$C$83:$D112)</f>
        <v>0.17103764063362556</v>
      </c>
      <c r="R112" s="44">
        <f ca="1">DSUM($B$72:$Y$76,R$72,$C$83:$D112)</f>
        <v>0.19580514873931956</v>
      </c>
      <c r="S112" s="44">
        <f ca="1">DSUM($B$72:$Y$76,S$72,$C$83:$D112)</f>
        <v>0.21737701173830587</v>
      </c>
      <c r="T112" s="44">
        <f ca="1">DSUM($B$72:$Y$76,T$72,$C$83:$D112)</f>
        <v>0.23470770694078952</v>
      </c>
      <c r="U112" s="44">
        <f ca="1">DSUM($B$72:$Y$76,U$72,$C$83:$D112)</f>
        <v>0.24740365111956905</v>
      </c>
      <c r="V112" s="44">
        <f ca="1">DSUM($B$72:$Y$76,V$72,$C$83:$D112)</f>
        <v>0.25574683011507027</v>
      </c>
      <c r="W112" s="44">
        <f ca="1">DSUM($B$72:$Y$76,W$72,$C$83:$D112)</f>
        <v>0.26052903785980869</v>
      </c>
      <c r="X112" s="44">
        <f ca="1">DSUM($B$72:$Y$76,X$72,$C$83:$D112)</f>
        <v>0.26240169473916952</v>
      </c>
      <c r="Y112" s="44">
        <f ca="1">DSUM($B$72:$Y$76,Y$72,$C$83:$D112)</f>
        <v>5.7620158692710808</v>
      </c>
      <c r="Z112" s="9"/>
      <c r="AA112" s="9"/>
      <c r="AB112" s="9"/>
      <c r="AC112" s="9"/>
    </row>
    <row r="113" spans="1:29" customFormat="1">
      <c r="A113" s="9"/>
      <c r="B113" s="9" t="s">
        <v>4915</v>
      </c>
      <c r="C113" s="55" t="s">
        <v>4925</v>
      </c>
      <c r="D113" s="55" t="s">
        <v>4936</v>
      </c>
      <c r="E113" s="44">
        <f ca="1">DSUM($B$72:$Y$76,E$72,$C$83:$D113)</f>
        <v>7.2171682425645688E-4</v>
      </c>
      <c r="F113" s="44">
        <f ca="1">DSUM($B$72:$Y$76,F$72,$C$83:$D113)</f>
        <v>2.1576441656434276E-3</v>
      </c>
      <c r="G113" s="44">
        <f ca="1">DSUM($B$72:$Y$76,G$72,$C$83:$D113)</f>
        <v>4.6965522663190784E-3</v>
      </c>
      <c r="H113" s="44">
        <f ca="1">DSUM($B$72:$Y$76,H$72,$C$83:$D113)</f>
        <v>8.8099407449340854E-3</v>
      </c>
      <c r="I113" s="44">
        <f ca="1">DSUM($B$72:$Y$76,I$72,$C$83:$D113)</f>
        <v>1.5028949490697555E-2</v>
      </c>
      <c r="J113" s="44">
        <f ca="1">DSUM($B$72:$Y$76,J$72,$C$83:$D113)</f>
        <v>2.3900913093511736E-2</v>
      </c>
      <c r="K113" s="44">
        <f ca="1">DSUM($B$72:$Y$76,K$72,$C$83:$D113)</f>
        <v>3.5921314536572713E-2</v>
      </c>
      <c r="L113" s="44">
        <f ca="1">DSUM($B$72:$Y$76,L$72,$C$83:$D113)</f>
        <v>5.1440894730627997E-2</v>
      </c>
      <c r="M113" s="44">
        <f ca="1">DSUM($B$72:$Y$76,M$72,$C$83:$D113)</f>
        <v>7.0555366034882092E-2</v>
      </c>
      <c r="N113" s="44">
        <f ca="1">DSUM($B$72:$Y$76,N$72,$C$83:$D113)</f>
        <v>9.2996326595532711E-2</v>
      </c>
      <c r="O113" s="44">
        <f ca="1">DSUM($B$72:$Y$76,O$72,$C$83:$D113)</f>
        <v>0.1180541050419731</v>
      </c>
      <c r="P113" s="44">
        <f ca="1">DSUM($B$72:$Y$76,P$72,$C$83:$D113)</f>
        <v>0.14457087266011379</v>
      </c>
      <c r="Q113" s="44">
        <f ca="1">DSUM($B$72:$Y$76,Q$72,$C$83:$D113)</f>
        <v>0.17103764063362556</v>
      </c>
      <c r="R113" s="44">
        <f ca="1">DSUM($B$72:$Y$76,R$72,$C$83:$D113)</f>
        <v>0.19580514873931956</v>
      </c>
      <c r="S113" s="44">
        <f ca="1">DSUM($B$72:$Y$76,S$72,$C$83:$D113)</f>
        <v>0.21737701173830587</v>
      </c>
      <c r="T113" s="44">
        <f ca="1">DSUM($B$72:$Y$76,T$72,$C$83:$D113)</f>
        <v>0.23470770694078952</v>
      </c>
      <c r="U113" s="44">
        <f ca="1">DSUM($B$72:$Y$76,U$72,$C$83:$D113)</f>
        <v>0.24740365111956905</v>
      </c>
      <c r="V113" s="44">
        <f ca="1">DSUM($B$72:$Y$76,V$72,$C$83:$D113)</f>
        <v>0.25574683011507027</v>
      </c>
      <c r="W113" s="44">
        <f ca="1">DSUM($B$72:$Y$76,W$72,$C$83:$D113)</f>
        <v>0.26052903785980869</v>
      </c>
      <c r="X113" s="44">
        <f ca="1">DSUM($B$72:$Y$76,X$72,$C$83:$D113)</f>
        <v>0.26240169473916952</v>
      </c>
      <c r="Y113" s="44">
        <f ca="1">DSUM($B$72:$Y$76,Y$72,$C$83:$D113)</f>
        <v>5.7620158692710808</v>
      </c>
      <c r="Z113" s="9"/>
      <c r="AA113" s="9"/>
      <c r="AB113" s="9"/>
      <c r="AC113" s="9"/>
    </row>
    <row r="114" spans="1:29" customFormat="1">
      <c r="A114" s="9"/>
      <c r="B114" s="9" t="s">
        <v>4916</v>
      </c>
      <c r="C114" s="55" t="s">
        <v>4926</v>
      </c>
      <c r="D114" s="55" t="s">
        <v>4937</v>
      </c>
      <c r="E114" s="44">
        <f ca="1">DSUM($B$72:$Y$76,E$72,$C$83:$D114)</f>
        <v>7.2171682425645688E-4</v>
      </c>
      <c r="F114" s="44">
        <f ca="1">DSUM($B$72:$Y$76,F$72,$C$83:$D114)</f>
        <v>2.1576441656434276E-3</v>
      </c>
      <c r="G114" s="44">
        <f ca="1">DSUM($B$72:$Y$76,G$72,$C$83:$D114)</f>
        <v>4.6965522663190784E-3</v>
      </c>
      <c r="H114" s="44">
        <f ca="1">DSUM($B$72:$Y$76,H$72,$C$83:$D114)</f>
        <v>8.8099407449340854E-3</v>
      </c>
      <c r="I114" s="44">
        <f ca="1">DSUM($B$72:$Y$76,I$72,$C$83:$D114)</f>
        <v>1.5028949490697555E-2</v>
      </c>
      <c r="J114" s="44">
        <f ca="1">DSUM($B$72:$Y$76,J$72,$C$83:$D114)</f>
        <v>2.3900913093511736E-2</v>
      </c>
      <c r="K114" s="44">
        <f ca="1">DSUM($B$72:$Y$76,K$72,$C$83:$D114)</f>
        <v>3.5921314536572713E-2</v>
      </c>
      <c r="L114" s="44">
        <f ca="1">DSUM($B$72:$Y$76,L$72,$C$83:$D114)</f>
        <v>5.1440894730627997E-2</v>
      </c>
      <c r="M114" s="44">
        <f ca="1">DSUM($B$72:$Y$76,M$72,$C$83:$D114)</f>
        <v>7.0555366034882092E-2</v>
      </c>
      <c r="N114" s="44">
        <f ca="1">DSUM($B$72:$Y$76,N$72,$C$83:$D114)</f>
        <v>9.2996326595532711E-2</v>
      </c>
      <c r="O114" s="44">
        <f ca="1">DSUM($B$72:$Y$76,O$72,$C$83:$D114)</f>
        <v>0.1180541050419731</v>
      </c>
      <c r="P114" s="44">
        <f ca="1">DSUM($B$72:$Y$76,P$72,$C$83:$D114)</f>
        <v>0.14457087266011379</v>
      </c>
      <c r="Q114" s="44">
        <f ca="1">DSUM($B$72:$Y$76,Q$72,$C$83:$D114)</f>
        <v>0.17103764063362556</v>
      </c>
      <c r="R114" s="44">
        <f ca="1">DSUM($B$72:$Y$76,R$72,$C$83:$D114)</f>
        <v>0.19580514873931956</v>
      </c>
      <c r="S114" s="44">
        <f ca="1">DSUM($B$72:$Y$76,S$72,$C$83:$D114)</f>
        <v>0.21737701173830587</v>
      </c>
      <c r="T114" s="44">
        <f ca="1">DSUM($B$72:$Y$76,T$72,$C$83:$D114)</f>
        <v>0.23470770694078952</v>
      </c>
      <c r="U114" s="44">
        <f ca="1">DSUM($B$72:$Y$76,U$72,$C$83:$D114)</f>
        <v>0.24740365111956905</v>
      </c>
      <c r="V114" s="44">
        <f ca="1">DSUM($B$72:$Y$76,V$72,$C$83:$D114)</f>
        <v>0.25574683011507027</v>
      </c>
      <c r="W114" s="44">
        <f ca="1">DSUM($B$72:$Y$76,W$72,$C$83:$D114)</f>
        <v>0.26052903785980869</v>
      </c>
      <c r="X114" s="44">
        <f ca="1">DSUM($B$72:$Y$76,X$72,$C$83:$D114)</f>
        <v>0.26240169473916952</v>
      </c>
      <c r="Y114" s="44">
        <f ca="1">DSUM($B$72:$Y$76,Y$72,$C$83:$D114)</f>
        <v>5.7620158692710808</v>
      </c>
      <c r="Z114" s="9"/>
      <c r="AA114" s="9"/>
      <c r="AB114" s="9"/>
      <c r="AC114" s="9"/>
    </row>
    <row r="115" spans="1:29" customFormat="1">
      <c r="A115" s="9"/>
      <c r="B115" s="9" t="s">
        <v>4917</v>
      </c>
      <c r="C115" s="55" t="s">
        <v>4927</v>
      </c>
      <c r="D115" s="55" t="s">
        <v>136</v>
      </c>
      <c r="E115" s="44">
        <f ca="1">DSUM($B$72:$Y$76,E$72,$C$83:$D115)</f>
        <v>7.2171682425645688E-4</v>
      </c>
      <c r="F115" s="44">
        <f ca="1">DSUM($B$72:$Y$76,F$72,$C$83:$D115)</f>
        <v>2.1576441656434276E-3</v>
      </c>
      <c r="G115" s="44">
        <f ca="1">DSUM($B$72:$Y$76,G$72,$C$83:$D115)</f>
        <v>4.6965522663190784E-3</v>
      </c>
      <c r="H115" s="44">
        <f ca="1">DSUM($B$72:$Y$76,H$72,$C$83:$D115)</f>
        <v>8.8099407449340854E-3</v>
      </c>
      <c r="I115" s="44">
        <f ca="1">DSUM($B$72:$Y$76,I$72,$C$83:$D115)</f>
        <v>1.5028949490697555E-2</v>
      </c>
      <c r="J115" s="44">
        <f ca="1">DSUM($B$72:$Y$76,J$72,$C$83:$D115)</f>
        <v>2.3900913093511736E-2</v>
      </c>
      <c r="K115" s="44">
        <f ca="1">DSUM($B$72:$Y$76,K$72,$C$83:$D115)</f>
        <v>3.5921314536572713E-2</v>
      </c>
      <c r="L115" s="44">
        <f ca="1">DSUM($B$72:$Y$76,L$72,$C$83:$D115)</f>
        <v>5.1440894730627997E-2</v>
      </c>
      <c r="M115" s="44">
        <f ca="1">DSUM($B$72:$Y$76,M$72,$C$83:$D115)</f>
        <v>7.0555366034882092E-2</v>
      </c>
      <c r="N115" s="44">
        <f ca="1">DSUM($B$72:$Y$76,N$72,$C$83:$D115)</f>
        <v>9.2996326595532711E-2</v>
      </c>
      <c r="O115" s="44">
        <f ca="1">DSUM($B$72:$Y$76,O$72,$C$83:$D115)</f>
        <v>0.1180541050419731</v>
      </c>
      <c r="P115" s="44">
        <f ca="1">DSUM($B$72:$Y$76,P$72,$C$83:$D115)</f>
        <v>0.14457087266011379</v>
      </c>
      <c r="Q115" s="44">
        <f ca="1">DSUM($B$72:$Y$76,Q$72,$C$83:$D115)</f>
        <v>0.17103764063362556</v>
      </c>
      <c r="R115" s="44">
        <f ca="1">DSUM($B$72:$Y$76,R$72,$C$83:$D115)</f>
        <v>0.19580514873931956</v>
      </c>
      <c r="S115" s="44">
        <f ca="1">DSUM($B$72:$Y$76,S$72,$C$83:$D115)</f>
        <v>0.21737701173830587</v>
      </c>
      <c r="T115" s="44">
        <f ca="1">DSUM($B$72:$Y$76,T$72,$C$83:$D115)</f>
        <v>0.23470770694078952</v>
      </c>
      <c r="U115" s="44">
        <f ca="1">DSUM($B$72:$Y$76,U$72,$C$83:$D115)</f>
        <v>0.24740365111956905</v>
      </c>
      <c r="V115" s="44">
        <f ca="1">DSUM($B$72:$Y$76,V$72,$C$83:$D115)</f>
        <v>0.25574683011507027</v>
      </c>
      <c r="W115" s="44">
        <f ca="1">DSUM($B$72:$Y$76,W$72,$C$83:$D115)</f>
        <v>0.26052903785980869</v>
      </c>
      <c r="X115" s="44">
        <f ca="1">DSUM($B$72:$Y$76,X$72,$C$83:$D115)</f>
        <v>0.26240169473916952</v>
      </c>
      <c r="Y115" s="44">
        <f ca="1">DSUM($B$72:$Y$76,Y$72,$C$83:$D115)</f>
        <v>5.7620158692710808</v>
      </c>
      <c r="Z115" s="9"/>
      <c r="AA115" s="9"/>
      <c r="AB115" s="9"/>
      <c r="AC115" s="9"/>
    </row>
    <row r="116" spans="1:29" customForma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spans="1:29" customForma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spans="1:29" customFormat="1" ht="15">
      <c r="A118" s="86" t="s">
        <v>137</v>
      </c>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spans="1:29" customFormat="1" ht="15">
      <c r="A119" s="9"/>
      <c r="B119" s="9"/>
      <c r="C119" s="9"/>
      <c r="D119" s="72" t="str">
        <f>C8</f>
        <v>Freezer</v>
      </c>
      <c r="E119" s="79">
        <f t="shared" ref="E119:X119" si="29">E11</f>
        <v>2016</v>
      </c>
      <c r="F119" s="73">
        <f t="shared" si="29"/>
        <v>2017</v>
      </c>
      <c r="G119" s="73">
        <f t="shared" si="29"/>
        <v>2018</v>
      </c>
      <c r="H119" s="73">
        <f t="shared" si="29"/>
        <v>2019</v>
      </c>
      <c r="I119" s="73">
        <f t="shared" si="29"/>
        <v>2020</v>
      </c>
      <c r="J119" s="73">
        <f t="shared" si="29"/>
        <v>2021</v>
      </c>
      <c r="K119" s="73">
        <f t="shared" si="29"/>
        <v>2022</v>
      </c>
      <c r="L119" s="73">
        <f t="shared" si="29"/>
        <v>2023</v>
      </c>
      <c r="M119" s="73">
        <f t="shared" si="29"/>
        <v>2024</v>
      </c>
      <c r="N119" s="73">
        <f t="shared" si="29"/>
        <v>2025</v>
      </c>
      <c r="O119" s="73">
        <f t="shared" si="29"/>
        <v>2026</v>
      </c>
      <c r="P119" s="73">
        <f t="shared" si="29"/>
        <v>2027</v>
      </c>
      <c r="Q119" s="73">
        <f t="shared" si="29"/>
        <v>2028</v>
      </c>
      <c r="R119" s="73">
        <f t="shared" si="29"/>
        <v>2029</v>
      </c>
      <c r="S119" s="73">
        <f t="shared" si="29"/>
        <v>2030</v>
      </c>
      <c r="T119" s="73">
        <f t="shared" si="29"/>
        <v>2031</v>
      </c>
      <c r="U119" s="73">
        <f t="shared" si="29"/>
        <v>2032</v>
      </c>
      <c r="V119" s="73">
        <f t="shared" si="29"/>
        <v>2033</v>
      </c>
      <c r="W119" s="73">
        <f t="shared" si="29"/>
        <v>2034</v>
      </c>
      <c r="X119" s="73">
        <f t="shared" si="29"/>
        <v>2035</v>
      </c>
      <c r="Y119" s="74" t="s">
        <v>151</v>
      </c>
      <c r="Z119" s="9"/>
      <c r="AA119" s="9"/>
      <c r="AB119" s="9"/>
      <c r="AC119" s="9"/>
    </row>
    <row r="120" spans="1:29" customFormat="1" ht="15">
      <c r="A120" s="9"/>
      <c r="B120" s="9"/>
      <c r="C120" s="9"/>
      <c r="D120" s="9" t="str">
        <f>C8</f>
        <v>Freezer</v>
      </c>
      <c r="E120" s="80" t="str">
        <f t="shared" ref="E120:X120" si="30">CONCATENATE("aMW_",E119)</f>
        <v>aMW_2016</v>
      </c>
      <c r="F120" s="75" t="str">
        <f t="shared" si="30"/>
        <v>aMW_2017</v>
      </c>
      <c r="G120" s="75" t="str">
        <f t="shared" si="30"/>
        <v>aMW_2018</v>
      </c>
      <c r="H120" s="75" t="str">
        <f t="shared" si="30"/>
        <v>aMW_2019</v>
      </c>
      <c r="I120" s="75" t="str">
        <f t="shared" si="30"/>
        <v>aMW_2020</v>
      </c>
      <c r="J120" s="75" t="str">
        <f t="shared" si="30"/>
        <v>aMW_2021</v>
      </c>
      <c r="K120" s="75" t="str">
        <f t="shared" si="30"/>
        <v>aMW_2022</v>
      </c>
      <c r="L120" s="75" t="str">
        <f t="shared" si="30"/>
        <v>aMW_2023</v>
      </c>
      <c r="M120" s="75" t="str">
        <f t="shared" si="30"/>
        <v>aMW_2024</v>
      </c>
      <c r="N120" s="75" t="str">
        <f t="shared" si="30"/>
        <v>aMW_2025</v>
      </c>
      <c r="O120" s="75" t="str">
        <f t="shared" si="30"/>
        <v>aMW_2026</v>
      </c>
      <c r="P120" s="75" t="str">
        <f t="shared" si="30"/>
        <v>aMW_2027</v>
      </c>
      <c r="Q120" s="75" t="str">
        <f t="shared" si="30"/>
        <v>aMW_2028</v>
      </c>
      <c r="R120" s="75" t="str">
        <f t="shared" si="30"/>
        <v>aMW_2029</v>
      </c>
      <c r="S120" s="75" t="str">
        <f t="shared" si="30"/>
        <v>aMW_2030</v>
      </c>
      <c r="T120" s="75" t="str">
        <f t="shared" si="30"/>
        <v>aMW_2031</v>
      </c>
      <c r="U120" s="75" t="str">
        <f t="shared" si="30"/>
        <v>aMW_2032</v>
      </c>
      <c r="V120" s="75" t="str">
        <f t="shared" si="30"/>
        <v>aMW_2033</v>
      </c>
      <c r="W120" s="75" t="str">
        <f t="shared" si="30"/>
        <v>aMW_2034</v>
      </c>
      <c r="X120" s="75" t="str">
        <f t="shared" si="30"/>
        <v>aMW_2035</v>
      </c>
      <c r="Y120" s="76" t="s">
        <v>151</v>
      </c>
      <c r="Z120" s="9"/>
      <c r="AA120" s="9"/>
      <c r="AB120" s="9"/>
      <c r="AC120" s="9"/>
    </row>
    <row r="121" spans="1:29" customFormat="1">
      <c r="A121" s="9"/>
      <c r="B121" s="9"/>
      <c r="C121" s="9"/>
      <c r="D121" s="9" t="s">
        <v>71</v>
      </c>
      <c r="E121" s="38">
        <f t="shared" ref="E121:Y121" si="31">E84</f>
        <v>0</v>
      </c>
      <c r="F121" s="38">
        <f t="shared" si="31"/>
        <v>0</v>
      </c>
      <c r="G121" s="38">
        <f t="shared" si="31"/>
        <v>0</v>
      </c>
      <c r="H121" s="38">
        <f t="shared" si="31"/>
        <v>0</v>
      </c>
      <c r="I121" s="38">
        <f t="shared" si="31"/>
        <v>0</v>
      </c>
      <c r="J121" s="38">
        <f t="shared" si="31"/>
        <v>0</v>
      </c>
      <c r="K121" s="38">
        <f t="shared" si="31"/>
        <v>0</v>
      </c>
      <c r="L121" s="38">
        <f t="shared" si="31"/>
        <v>0</v>
      </c>
      <c r="M121" s="38">
        <f t="shared" si="31"/>
        <v>0</v>
      </c>
      <c r="N121" s="38">
        <f t="shared" si="31"/>
        <v>0</v>
      </c>
      <c r="O121" s="38">
        <f t="shared" si="31"/>
        <v>0</v>
      </c>
      <c r="P121" s="38">
        <f t="shared" si="31"/>
        <v>0</v>
      </c>
      <c r="Q121" s="38">
        <f t="shared" si="31"/>
        <v>0</v>
      </c>
      <c r="R121" s="38">
        <f t="shared" si="31"/>
        <v>0</v>
      </c>
      <c r="S121" s="38">
        <f t="shared" si="31"/>
        <v>0</v>
      </c>
      <c r="T121" s="38">
        <f t="shared" si="31"/>
        <v>0</v>
      </c>
      <c r="U121" s="38">
        <f t="shared" si="31"/>
        <v>0</v>
      </c>
      <c r="V121" s="38">
        <f t="shared" si="31"/>
        <v>0</v>
      </c>
      <c r="W121" s="38">
        <f t="shared" si="31"/>
        <v>0</v>
      </c>
      <c r="X121" s="38">
        <f t="shared" si="31"/>
        <v>0</v>
      </c>
      <c r="Y121" s="38">
        <f t="shared" si="31"/>
        <v>0</v>
      </c>
      <c r="Z121" s="9"/>
      <c r="AA121" s="9"/>
      <c r="AB121" s="9"/>
      <c r="AC121" s="9"/>
    </row>
    <row r="122" spans="1:29" customFormat="1">
      <c r="A122" s="9"/>
      <c r="B122" s="9"/>
      <c r="C122" s="9"/>
      <c r="D122" s="9" t="s">
        <v>4948</v>
      </c>
      <c r="E122" s="38">
        <f t="shared" ref="E122:Y134" si="32">E85-E84</f>
        <v>0</v>
      </c>
      <c r="F122" s="38">
        <f t="shared" si="32"/>
        <v>0</v>
      </c>
      <c r="G122" s="38">
        <f t="shared" si="32"/>
        <v>0</v>
      </c>
      <c r="H122" s="38">
        <f t="shared" si="32"/>
        <v>0</v>
      </c>
      <c r="I122" s="38">
        <f t="shared" si="32"/>
        <v>0</v>
      </c>
      <c r="J122" s="38">
        <f t="shared" si="32"/>
        <v>0</v>
      </c>
      <c r="K122" s="38">
        <f t="shared" si="32"/>
        <v>0</v>
      </c>
      <c r="L122" s="38">
        <f t="shared" si="32"/>
        <v>0</v>
      </c>
      <c r="M122" s="38">
        <f t="shared" si="32"/>
        <v>0</v>
      </c>
      <c r="N122" s="38">
        <f t="shared" si="32"/>
        <v>0</v>
      </c>
      <c r="O122" s="38">
        <f t="shared" si="32"/>
        <v>0</v>
      </c>
      <c r="P122" s="38">
        <f t="shared" si="32"/>
        <v>0</v>
      </c>
      <c r="Q122" s="38">
        <f t="shared" si="32"/>
        <v>0</v>
      </c>
      <c r="R122" s="38">
        <f t="shared" si="32"/>
        <v>0</v>
      </c>
      <c r="S122" s="38">
        <f t="shared" si="32"/>
        <v>0</v>
      </c>
      <c r="T122" s="38">
        <f t="shared" si="32"/>
        <v>0</v>
      </c>
      <c r="U122" s="38">
        <f t="shared" si="32"/>
        <v>0</v>
      </c>
      <c r="V122" s="38">
        <f t="shared" si="32"/>
        <v>0</v>
      </c>
      <c r="W122" s="38">
        <f t="shared" si="32"/>
        <v>0</v>
      </c>
      <c r="X122" s="38">
        <f t="shared" si="32"/>
        <v>0</v>
      </c>
      <c r="Y122" s="38">
        <f t="shared" si="32"/>
        <v>0</v>
      </c>
      <c r="Z122" s="9"/>
      <c r="AA122" s="9"/>
      <c r="AB122" s="9"/>
      <c r="AC122" s="9"/>
    </row>
    <row r="123" spans="1:29" customFormat="1">
      <c r="A123" s="9"/>
      <c r="B123" s="9"/>
      <c r="C123" s="9"/>
      <c r="D123" s="9" t="s">
        <v>77</v>
      </c>
      <c r="E123" s="38">
        <f t="shared" si="32"/>
        <v>0</v>
      </c>
      <c r="F123" s="38">
        <f t="shared" si="32"/>
        <v>0</v>
      </c>
      <c r="G123" s="38">
        <f t="shared" si="32"/>
        <v>0</v>
      </c>
      <c r="H123" s="38">
        <f t="shared" si="32"/>
        <v>0</v>
      </c>
      <c r="I123" s="38">
        <f t="shared" si="32"/>
        <v>0</v>
      </c>
      <c r="J123" s="38">
        <f t="shared" si="32"/>
        <v>0</v>
      </c>
      <c r="K123" s="38">
        <f t="shared" si="32"/>
        <v>0</v>
      </c>
      <c r="L123" s="38">
        <f t="shared" si="32"/>
        <v>0</v>
      </c>
      <c r="M123" s="38">
        <f t="shared" si="32"/>
        <v>0</v>
      </c>
      <c r="N123" s="38">
        <f t="shared" si="32"/>
        <v>0</v>
      </c>
      <c r="O123" s="38">
        <f t="shared" si="32"/>
        <v>0</v>
      </c>
      <c r="P123" s="38">
        <f t="shared" si="32"/>
        <v>0</v>
      </c>
      <c r="Q123" s="38">
        <f t="shared" si="32"/>
        <v>0</v>
      </c>
      <c r="R123" s="38">
        <f t="shared" si="32"/>
        <v>0</v>
      </c>
      <c r="S123" s="38">
        <f t="shared" si="32"/>
        <v>0</v>
      </c>
      <c r="T123" s="38">
        <f t="shared" si="32"/>
        <v>0</v>
      </c>
      <c r="U123" s="38">
        <f t="shared" si="32"/>
        <v>0</v>
      </c>
      <c r="V123" s="38">
        <f t="shared" si="32"/>
        <v>0</v>
      </c>
      <c r="W123" s="38">
        <f t="shared" si="32"/>
        <v>0</v>
      </c>
      <c r="X123" s="38">
        <f t="shared" si="32"/>
        <v>0</v>
      </c>
      <c r="Y123" s="38">
        <f t="shared" ref="Y123" si="33">Y86-Y85</f>
        <v>0</v>
      </c>
      <c r="Z123" s="9"/>
      <c r="AA123" s="9"/>
      <c r="AB123" s="9"/>
      <c r="AC123" s="9"/>
    </row>
    <row r="124" spans="1:29" customFormat="1">
      <c r="A124" s="9"/>
      <c r="B124" s="9"/>
      <c r="C124" s="9"/>
      <c r="D124" s="9" t="s">
        <v>80</v>
      </c>
      <c r="E124" s="38">
        <f t="shared" si="32"/>
        <v>0</v>
      </c>
      <c r="F124" s="38">
        <f t="shared" si="32"/>
        <v>0</v>
      </c>
      <c r="G124" s="38">
        <f t="shared" si="32"/>
        <v>0</v>
      </c>
      <c r="H124" s="38">
        <f t="shared" si="32"/>
        <v>0</v>
      </c>
      <c r="I124" s="38">
        <f t="shared" si="32"/>
        <v>0</v>
      </c>
      <c r="J124" s="38">
        <f t="shared" si="32"/>
        <v>0</v>
      </c>
      <c r="K124" s="38">
        <f t="shared" si="32"/>
        <v>0</v>
      </c>
      <c r="L124" s="38">
        <f t="shared" si="32"/>
        <v>0</v>
      </c>
      <c r="M124" s="38">
        <f t="shared" si="32"/>
        <v>0</v>
      </c>
      <c r="N124" s="38">
        <f t="shared" si="32"/>
        <v>0</v>
      </c>
      <c r="O124" s="38">
        <f t="shared" si="32"/>
        <v>0</v>
      </c>
      <c r="P124" s="38">
        <f t="shared" si="32"/>
        <v>0</v>
      </c>
      <c r="Q124" s="38">
        <f t="shared" si="32"/>
        <v>0</v>
      </c>
      <c r="R124" s="38">
        <f t="shared" si="32"/>
        <v>0</v>
      </c>
      <c r="S124" s="38">
        <f t="shared" si="32"/>
        <v>0</v>
      </c>
      <c r="T124" s="38">
        <f t="shared" si="32"/>
        <v>0</v>
      </c>
      <c r="U124" s="38">
        <f t="shared" si="32"/>
        <v>0</v>
      </c>
      <c r="V124" s="38">
        <f t="shared" si="32"/>
        <v>0</v>
      </c>
      <c r="W124" s="38">
        <f t="shared" si="32"/>
        <v>0</v>
      </c>
      <c r="X124" s="38">
        <f t="shared" si="32"/>
        <v>0</v>
      </c>
      <c r="Y124" s="38">
        <f t="shared" ref="Y124" si="34">Y87-Y86</f>
        <v>0</v>
      </c>
      <c r="Z124" s="9"/>
      <c r="AA124" s="9"/>
      <c r="AB124" s="9"/>
      <c r="AC124" s="9"/>
    </row>
    <row r="125" spans="1:29" customFormat="1">
      <c r="A125" s="9"/>
      <c r="B125" s="9"/>
      <c r="C125" s="9"/>
      <c r="D125" s="9" t="s">
        <v>83</v>
      </c>
      <c r="E125" s="38">
        <f t="shared" si="32"/>
        <v>0</v>
      </c>
      <c r="F125" s="38">
        <f t="shared" si="32"/>
        <v>0</v>
      </c>
      <c r="G125" s="38">
        <f t="shared" si="32"/>
        <v>0</v>
      </c>
      <c r="H125" s="38">
        <f t="shared" si="32"/>
        <v>0</v>
      </c>
      <c r="I125" s="38">
        <f t="shared" si="32"/>
        <v>0</v>
      </c>
      <c r="J125" s="38">
        <f t="shared" si="32"/>
        <v>0</v>
      </c>
      <c r="K125" s="38">
        <f t="shared" si="32"/>
        <v>0</v>
      </c>
      <c r="L125" s="38">
        <f t="shared" si="32"/>
        <v>0</v>
      </c>
      <c r="M125" s="38">
        <f t="shared" si="32"/>
        <v>0</v>
      </c>
      <c r="N125" s="38">
        <f t="shared" si="32"/>
        <v>0</v>
      </c>
      <c r="O125" s="38">
        <f t="shared" si="32"/>
        <v>0</v>
      </c>
      <c r="P125" s="38">
        <f t="shared" si="32"/>
        <v>0</v>
      </c>
      <c r="Q125" s="38">
        <f t="shared" si="32"/>
        <v>0</v>
      </c>
      <c r="R125" s="38">
        <f t="shared" si="32"/>
        <v>0</v>
      </c>
      <c r="S125" s="38">
        <f t="shared" si="32"/>
        <v>0</v>
      </c>
      <c r="T125" s="38">
        <f t="shared" si="32"/>
        <v>0</v>
      </c>
      <c r="U125" s="38">
        <f t="shared" si="32"/>
        <v>0</v>
      </c>
      <c r="V125" s="38">
        <f t="shared" si="32"/>
        <v>0</v>
      </c>
      <c r="W125" s="38">
        <f t="shared" si="32"/>
        <v>0</v>
      </c>
      <c r="X125" s="38">
        <f t="shared" si="32"/>
        <v>0</v>
      </c>
      <c r="Y125" s="38">
        <f t="shared" ref="Y125" si="35">Y88-Y87</f>
        <v>0</v>
      </c>
      <c r="Z125" s="9"/>
      <c r="AA125" s="9"/>
      <c r="AB125" s="9"/>
      <c r="AC125" s="9"/>
    </row>
    <row r="126" spans="1:29" customFormat="1">
      <c r="A126" s="9"/>
      <c r="B126" s="9"/>
      <c r="C126" s="9"/>
      <c r="D126" s="9" t="s">
        <v>86</v>
      </c>
      <c r="E126" s="38">
        <f t="shared" si="32"/>
        <v>0</v>
      </c>
      <c r="F126" s="38">
        <f>F89-F88</f>
        <v>0</v>
      </c>
      <c r="G126" s="38">
        <f t="shared" si="32"/>
        <v>0</v>
      </c>
      <c r="H126" s="38">
        <f t="shared" si="32"/>
        <v>0</v>
      </c>
      <c r="I126" s="38">
        <f t="shared" si="32"/>
        <v>0</v>
      </c>
      <c r="J126" s="38">
        <f t="shared" si="32"/>
        <v>0</v>
      </c>
      <c r="K126" s="38">
        <f t="shared" si="32"/>
        <v>0</v>
      </c>
      <c r="L126" s="38">
        <f t="shared" si="32"/>
        <v>0</v>
      </c>
      <c r="M126" s="38">
        <f t="shared" si="32"/>
        <v>0</v>
      </c>
      <c r="N126" s="38">
        <f t="shared" si="32"/>
        <v>0</v>
      </c>
      <c r="O126" s="38">
        <f t="shared" si="32"/>
        <v>0</v>
      </c>
      <c r="P126" s="38">
        <f t="shared" si="32"/>
        <v>0</v>
      </c>
      <c r="Q126" s="38">
        <f t="shared" si="32"/>
        <v>0</v>
      </c>
      <c r="R126" s="38">
        <f t="shared" si="32"/>
        <v>0</v>
      </c>
      <c r="S126" s="38">
        <f t="shared" si="32"/>
        <v>0</v>
      </c>
      <c r="T126" s="38">
        <f t="shared" si="32"/>
        <v>0</v>
      </c>
      <c r="U126" s="38">
        <f t="shared" si="32"/>
        <v>0</v>
      </c>
      <c r="V126" s="38">
        <f t="shared" si="32"/>
        <v>0</v>
      </c>
      <c r="W126" s="38">
        <f t="shared" si="32"/>
        <v>0</v>
      </c>
      <c r="X126" s="38">
        <f t="shared" si="32"/>
        <v>0</v>
      </c>
      <c r="Y126" s="38">
        <f t="shared" ref="Y126" si="36">Y89-Y88</f>
        <v>0</v>
      </c>
      <c r="Z126" s="9"/>
      <c r="AA126" s="9"/>
      <c r="AB126" s="9"/>
      <c r="AC126" s="9"/>
    </row>
    <row r="127" spans="1:29" customFormat="1">
      <c r="A127" s="9"/>
      <c r="B127" s="9"/>
      <c r="C127" s="9"/>
      <c r="D127" s="9" t="s">
        <v>89</v>
      </c>
      <c r="E127" s="38">
        <f t="shared" si="32"/>
        <v>0</v>
      </c>
      <c r="F127" s="38">
        <f t="shared" si="32"/>
        <v>0</v>
      </c>
      <c r="G127" s="38">
        <f t="shared" si="32"/>
        <v>0</v>
      </c>
      <c r="H127" s="38">
        <f t="shared" si="32"/>
        <v>0</v>
      </c>
      <c r="I127" s="38">
        <f t="shared" si="32"/>
        <v>0</v>
      </c>
      <c r="J127" s="38">
        <f t="shared" si="32"/>
        <v>0</v>
      </c>
      <c r="K127" s="38">
        <f t="shared" si="32"/>
        <v>0</v>
      </c>
      <c r="L127" s="38">
        <f t="shared" si="32"/>
        <v>0</v>
      </c>
      <c r="M127" s="38">
        <f t="shared" si="32"/>
        <v>0</v>
      </c>
      <c r="N127" s="38">
        <f t="shared" si="32"/>
        <v>0</v>
      </c>
      <c r="O127" s="38">
        <f t="shared" si="32"/>
        <v>0</v>
      </c>
      <c r="P127" s="38">
        <f t="shared" si="32"/>
        <v>0</v>
      </c>
      <c r="Q127" s="38">
        <f t="shared" si="32"/>
        <v>0</v>
      </c>
      <c r="R127" s="38">
        <f t="shared" si="32"/>
        <v>0</v>
      </c>
      <c r="S127" s="38">
        <f t="shared" si="32"/>
        <v>0</v>
      </c>
      <c r="T127" s="38">
        <f t="shared" si="32"/>
        <v>0</v>
      </c>
      <c r="U127" s="38">
        <f t="shared" si="32"/>
        <v>0</v>
      </c>
      <c r="V127" s="38">
        <f t="shared" si="32"/>
        <v>0</v>
      </c>
      <c r="W127" s="38">
        <f t="shared" si="32"/>
        <v>0</v>
      </c>
      <c r="X127" s="38">
        <f t="shared" si="32"/>
        <v>0</v>
      </c>
      <c r="Y127" s="38">
        <f t="shared" ref="Y127" si="37">Y90-Y89</f>
        <v>0</v>
      </c>
      <c r="Z127" s="9"/>
      <c r="AA127" s="9"/>
      <c r="AB127" s="9"/>
      <c r="AC127" s="9"/>
    </row>
    <row r="128" spans="1:29" customFormat="1">
      <c r="A128" s="9"/>
      <c r="B128" s="9"/>
      <c r="C128" s="9"/>
      <c r="D128" s="9" t="s">
        <v>92</v>
      </c>
      <c r="E128" s="38">
        <f t="shared" si="32"/>
        <v>0</v>
      </c>
      <c r="F128" s="38">
        <f t="shared" si="32"/>
        <v>0</v>
      </c>
      <c r="G128" s="38">
        <f t="shared" si="32"/>
        <v>0</v>
      </c>
      <c r="H128" s="38">
        <f t="shared" si="32"/>
        <v>0</v>
      </c>
      <c r="I128" s="38">
        <f t="shared" si="32"/>
        <v>0</v>
      </c>
      <c r="J128" s="38">
        <f t="shared" si="32"/>
        <v>0</v>
      </c>
      <c r="K128" s="38">
        <f t="shared" si="32"/>
        <v>0</v>
      </c>
      <c r="L128" s="38">
        <f t="shared" si="32"/>
        <v>0</v>
      </c>
      <c r="M128" s="38">
        <f t="shared" si="32"/>
        <v>0</v>
      </c>
      <c r="N128" s="38">
        <f t="shared" si="32"/>
        <v>0</v>
      </c>
      <c r="O128" s="38">
        <f t="shared" si="32"/>
        <v>0</v>
      </c>
      <c r="P128" s="38">
        <f t="shared" si="32"/>
        <v>0</v>
      </c>
      <c r="Q128" s="38">
        <f t="shared" si="32"/>
        <v>0</v>
      </c>
      <c r="R128" s="38">
        <f t="shared" si="32"/>
        <v>0</v>
      </c>
      <c r="S128" s="38">
        <f t="shared" si="32"/>
        <v>0</v>
      </c>
      <c r="T128" s="38">
        <f t="shared" si="32"/>
        <v>0</v>
      </c>
      <c r="U128" s="38">
        <f t="shared" si="32"/>
        <v>0</v>
      </c>
      <c r="V128" s="38">
        <f t="shared" si="32"/>
        <v>0</v>
      </c>
      <c r="W128" s="38">
        <f t="shared" si="32"/>
        <v>0</v>
      </c>
      <c r="X128" s="38">
        <f t="shared" si="32"/>
        <v>0</v>
      </c>
      <c r="Y128" s="38">
        <f t="shared" ref="Y128" si="38">Y91-Y90</f>
        <v>0</v>
      </c>
      <c r="Z128" s="9"/>
      <c r="AA128" s="9"/>
      <c r="AB128" s="9"/>
      <c r="AC128" s="9"/>
    </row>
    <row r="129" spans="1:29" customFormat="1">
      <c r="A129" s="9"/>
      <c r="B129" s="9"/>
      <c r="C129" s="9"/>
      <c r="D129" s="9" t="s">
        <v>95</v>
      </c>
      <c r="E129" s="38">
        <f t="shared" si="32"/>
        <v>0</v>
      </c>
      <c r="F129" s="38">
        <f t="shared" si="32"/>
        <v>0</v>
      </c>
      <c r="G129" s="38">
        <f t="shared" si="32"/>
        <v>0</v>
      </c>
      <c r="H129" s="38">
        <f t="shared" si="32"/>
        <v>0</v>
      </c>
      <c r="I129" s="38">
        <f t="shared" si="32"/>
        <v>0</v>
      </c>
      <c r="J129" s="38">
        <f t="shared" si="32"/>
        <v>0</v>
      </c>
      <c r="K129" s="38">
        <f t="shared" si="32"/>
        <v>0</v>
      </c>
      <c r="L129" s="38">
        <f t="shared" si="32"/>
        <v>0</v>
      </c>
      <c r="M129" s="38">
        <f t="shared" si="32"/>
        <v>0</v>
      </c>
      <c r="N129" s="38">
        <f t="shared" si="32"/>
        <v>0</v>
      </c>
      <c r="O129" s="38">
        <f t="shared" si="32"/>
        <v>0</v>
      </c>
      <c r="P129" s="38">
        <f t="shared" si="32"/>
        <v>0</v>
      </c>
      <c r="Q129" s="38">
        <f t="shared" si="32"/>
        <v>0</v>
      </c>
      <c r="R129" s="38">
        <f t="shared" si="32"/>
        <v>0</v>
      </c>
      <c r="S129" s="38">
        <f t="shared" si="32"/>
        <v>0</v>
      </c>
      <c r="T129" s="38">
        <f t="shared" si="32"/>
        <v>0</v>
      </c>
      <c r="U129" s="38">
        <f t="shared" si="32"/>
        <v>0</v>
      </c>
      <c r="V129" s="38">
        <f t="shared" si="32"/>
        <v>0</v>
      </c>
      <c r="W129" s="38">
        <f t="shared" si="32"/>
        <v>0</v>
      </c>
      <c r="X129" s="38">
        <f t="shared" si="32"/>
        <v>0</v>
      </c>
      <c r="Y129" s="38">
        <f t="shared" ref="Y129" si="39">Y92-Y91</f>
        <v>0</v>
      </c>
      <c r="Z129" s="9"/>
      <c r="AA129" s="9"/>
      <c r="AB129" s="9"/>
      <c r="AC129" s="9"/>
    </row>
    <row r="130" spans="1:29" customFormat="1">
      <c r="A130" s="9"/>
      <c r="B130" s="9"/>
      <c r="C130" s="9"/>
      <c r="D130" s="9" t="s">
        <v>98</v>
      </c>
      <c r="E130" s="38">
        <f t="shared" si="32"/>
        <v>0</v>
      </c>
      <c r="F130" s="38">
        <f t="shared" si="32"/>
        <v>0</v>
      </c>
      <c r="G130" s="38">
        <f t="shared" si="32"/>
        <v>0</v>
      </c>
      <c r="H130" s="38">
        <f t="shared" si="32"/>
        <v>0</v>
      </c>
      <c r="I130" s="38">
        <f t="shared" si="32"/>
        <v>0</v>
      </c>
      <c r="J130" s="38">
        <f t="shared" si="32"/>
        <v>0</v>
      </c>
      <c r="K130" s="38">
        <f t="shared" si="32"/>
        <v>0</v>
      </c>
      <c r="L130" s="38">
        <f t="shared" si="32"/>
        <v>0</v>
      </c>
      <c r="M130" s="38">
        <f t="shared" si="32"/>
        <v>0</v>
      </c>
      <c r="N130" s="38">
        <f t="shared" si="32"/>
        <v>0</v>
      </c>
      <c r="O130" s="38">
        <f t="shared" si="32"/>
        <v>0</v>
      </c>
      <c r="P130" s="38">
        <f t="shared" si="32"/>
        <v>0</v>
      </c>
      <c r="Q130" s="38">
        <f t="shared" si="32"/>
        <v>0</v>
      </c>
      <c r="R130" s="38">
        <f t="shared" si="32"/>
        <v>0</v>
      </c>
      <c r="S130" s="38">
        <f t="shared" si="32"/>
        <v>0</v>
      </c>
      <c r="T130" s="38">
        <f t="shared" si="32"/>
        <v>0</v>
      </c>
      <c r="U130" s="38">
        <f t="shared" si="32"/>
        <v>0</v>
      </c>
      <c r="V130" s="38">
        <f t="shared" si="32"/>
        <v>0</v>
      </c>
      <c r="W130" s="38">
        <f t="shared" si="32"/>
        <v>0</v>
      </c>
      <c r="X130" s="38">
        <f t="shared" si="32"/>
        <v>0</v>
      </c>
      <c r="Y130" s="38">
        <f t="shared" ref="Y130" si="40">Y93-Y92</f>
        <v>0</v>
      </c>
      <c r="Z130" s="9"/>
      <c r="AA130" s="9"/>
      <c r="AB130" s="9"/>
      <c r="AC130" s="9"/>
    </row>
    <row r="131" spans="1:29" customFormat="1">
      <c r="A131" s="9"/>
      <c r="B131" s="9"/>
      <c r="C131" s="9"/>
      <c r="D131" s="9" t="s">
        <v>101</v>
      </c>
      <c r="E131" s="38">
        <f t="shared" si="32"/>
        <v>0</v>
      </c>
      <c r="F131" s="38">
        <f t="shared" si="32"/>
        <v>0</v>
      </c>
      <c r="G131" s="38">
        <f t="shared" si="32"/>
        <v>0</v>
      </c>
      <c r="H131" s="38">
        <f t="shared" si="32"/>
        <v>0</v>
      </c>
      <c r="I131" s="38">
        <f t="shared" si="32"/>
        <v>0</v>
      </c>
      <c r="J131" s="38">
        <f t="shared" si="32"/>
        <v>0</v>
      </c>
      <c r="K131" s="38">
        <f t="shared" si="32"/>
        <v>0</v>
      </c>
      <c r="L131" s="38">
        <f t="shared" si="32"/>
        <v>0</v>
      </c>
      <c r="M131" s="38">
        <f t="shared" si="32"/>
        <v>0</v>
      </c>
      <c r="N131" s="38">
        <f t="shared" si="32"/>
        <v>0</v>
      </c>
      <c r="O131" s="38">
        <f t="shared" si="32"/>
        <v>0</v>
      </c>
      <c r="P131" s="38">
        <f t="shared" si="32"/>
        <v>0</v>
      </c>
      <c r="Q131" s="38">
        <f t="shared" si="32"/>
        <v>0</v>
      </c>
      <c r="R131" s="38">
        <f t="shared" si="32"/>
        <v>0</v>
      </c>
      <c r="S131" s="38">
        <f t="shared" si="32"/>
        <v>0</v>
      </c>
      <c r="T131" s="38">
        <f t="shared" si="32"/>
        <v>0</v>
      </c>
      <c r="U131" s="38">
        <f t="shared" si="32"/>
        <v>0</v>
      </c>
      <c r="V131" s="38">
        <f t="shared" si="32"/>
        <v>0</v>
      </c>
      <c r="W131" s="38">
        <f t="shared" si="32"/>
        <v>0</v>
      </c>
      <c r="X131" s="38">
        <f t="shared" si="32"/>
        <v>0</v>
      </c>
      <c r="Y131" s="38">
        <f t="shared" ref="Y131" si="41">Y94-Y93</f>
        <v>0</v>
      </c>
      <c r="Z131" s="9"/>
      <c r="AA131" s="9"/>
      <c r="AB131" s="9"/>
      <c r="AC131" s="9"/>
    </row>
    <row r="132" spans="1:29" customFormat="1">
      <c r="A132" s="9"/>
      <c r="B132" s="9"/>
      <c r="C132" s="9"/>
      <c r="D132" s="9" t="s">
        <v>104</v>
      </c>
      <c r="E132" s="38">
        <f t="shared" si="32"/>
        <v>0</v>
      </c>
      <c r="F132" s="38">
        <f t="shared" si="32"/>
        <v>0</v>
      </c>
      <c r="G132" s="38">
        <f t="shared" si="32"/>
        <v>0</v>
      </c>
      <c r="H132" s="38">
        <f t="shared" si="32"/>
        <v>0</v>
      </c>
      <c r="I132" s="38">
        <f t="shared" si="32"/>
        <v>0</v>
      </c>
      <c r="J132" s="38">
        <f t="shared" si="32"/>
        <v>0</v>
      </c>
      <c r="K132" s="38">
        <f t="shared" si="32"/>
        <v>0</v>
      </c>
      <c r="L132" s="38">
        <f t="shared" si="32"/>
        <v>0</v>
      </c>
      <c r="M132" s="38">
        <f t="shared" si="32"/>
        <v>0</v>
      </c>
      <c r="N132" s="38">
        <f t="shared" si="32"/>
        <v>0</v>
      </c>
      <c r="O132" s="38">
        <f t="shared" si="32"/>
        <v>0</v>
      </c>
      <c r="P132" s="38">
        <f t="shared" si="32"/>
        <v>0</v>
      </c>
      <c r="Q132" s="38">
        <f t="shared" si="32"/>
        <v>0</v>
      </c>
      <c r="R132" s="38">
        <f t="shared" si="32"/>
        <v>0</v>
      </c>
      <c r="S132" s="38">
        <f t="shared" si="32"/>
        <v>0</v>
      </c>
      <c r="T132" s="38">
        <f t="shared" si="32"/>
        <v>0</v>
      </c>
      <c r="U132" s="38">
        <f t="shared" si="32"/>
        <v>0</v>
      </c>
      <c r="V132" s="38">
        <f t="shared" si="32"/>
        <v>0</v>
      </c>
      <c r="W132" s="38">
        <f t="shared" si="32"/>
        <v>0</v>
      </c>
      <c r="X132" s="38">
        <f t="shared" si="32"/>
        <v>0</v>
      </c>
      <c r="Y132" s="38">
        <f t="shared" ref="Y132" si="42">Y95-Y94</f>
        <v>0</v>
      </c>
      <c r="Z132" s="9"/>
      <c r="AA132" s="9"/>
      <c r="AB132" s="9"/>
      <c r="AC132" s="9"/>
    </row>
    <row r="133" spans="1:29" customFormat="1">
      <c r="A133" s="9"/>
      <c r="B133" s="9"/>
      <c r="C133" s="9"/>
      <c r="D133" s="9" t="s">
        <v>107</v>
      </c>
      <c r="E133" s="38">
        <f t="shared" si="32"/>
        <v>0</v>
      </c>
      <c r="F133" s="38">
        <f t="shared" si="32"/>
        <v>0</v>
      </c>
      <c r="G133" s="38">
        <f t="shared" si="32"/>
        <v>0</v>
      </c>
      <c r="H133" s="38">
        <f t="shared" si="32"/>
        <v>0</v>
      </c>
      <c r="I133" s="38">
        <f t="shared" si="32"/>
        <v>0</v>
      </c>
      <c r="J133" s="38">
        <f t="shared" si="32"/>
        <v>0</v>
      </c>
      <c r="K133" s="38">
        <f t="shared" si="32"/>
        <v>0</v>
      </c>
      <c r="L133" s="38">
        <f t="shared" si="32"/>
        <v>0</v>
      </c>
      <c r="M133" s="38">
        <f t="shared" si="32"/>
        <v>0</v>
      </c>
      <c r="N133" s="38">
        <f t="shared" si="32"/>
        <v>0</v>
      </c>
      <c r="O133" s="38">
        <f t="shared" si="32"/>
        <v>0</v>
      </c>
      <c r="P133" s="38">
        <f t="shared" si="32"/>
        <v>0</v>
      </c>
      <c r="Q133" s="38">
        <f t="shared" si="32"/>
        <v>0</v>
      </c>
      <c r="R133" s="38">
        <f t="shared" si="32"/>
        <v>0</v>
      </c>
      <c r="S133" s="38">
        <f t="shared" si="32"/>
        <v>0</v>
      </c>
      <c r="T133" s="38">
        <f t="shared" si="32"/>
        <v>0</v>
      </c>
      <c r="U133" s="38">
        <f t="shared" si="32"/>
        <v>0</v>
      </c>
      <c r="V133" s="38">
        <f t="shared" si="32"/>
        <v>0</v>
      </c>
      <c r="W133" s="38">
        <f t="shared" si="32"/>
        <v>0</v>
      </c>
      <c r="X133" s="38">
        <f t="shared" si="32"/>
        <v>0</v>
      </c>
      <c r="Y133" s="38">
        <f t="shared" ref="Y133" si="43">Y96-Y95</f>
        <v>0</v>
      </c>
      <c r="Z133" s="9"/>
      <c r="AA133" s="9"/>
      <c r="AB133" s="9"/>
      <c r="AC133" s="9"/>
    </row>
    <row r="134" spans="1:29" customFormat="1">
      <c r="A134" s="9"/>
      <c r="B134" s="9"/>
      <c r="C134" s="9"/>
      <c r="D134" s="9" t="s">
        <v>110</v>
      </c>
      <c r="E134" s="38">
        <f t="shared" si="32"/>
        <v>0</v>
      </c>
      <c r="F134" s="38">
        <f t="shared" si="32"/>
        <v>0</v>
      </c>
      <c r="G134" s="38">
        <f t="shared" si="32"/>
        <v>0</v>
      </c>
      <c r="H134" s="38">
        <f t="shared" si="32"/>
        <v>0</v>
      </c>
      <c r="I134" s="38">
        <f t="shared" ref="I134:Y134" si="44">I97-I96</f>
        <v>0</v>
      </c>
      <c r="J134" s="38">
        <f t="shared" si="44"/>
        <v>0</v>
      </c>
      <c r="K134" s="38">
        <f t="shared" si="44"/>
        <v>0</v>
      </c>
      <c r="L134" s="38">
        <f t="shared" si="44"/>
        <v>0</v>
      </c>
      <c r="M134" s="38">
        <f t="shared" si="44"/>
        <v>0</v>
      </c>
      <c r="N134" s="38">
        <f t="shared" si="44"/>
        <v>0</v>
      </c>
      <c r="O134" s="38">
        <f t="shared" si="44"/>
        <v>0</v>
      </c>
      <c r="P134" s="38">
        <f t="shared" si="44"/>
        <v>0</v>
      </c>
      <c r="Q134" s="38">
        <f t="shared" si="44"/>
        <v>0</v>
      </c>
      <c r="R134" s="38">
        <f t="shared" si="44"/>
        <v>0</v>
      </c>
      <c r="S134" s="38">
        <f t="shared" si="44"/>
        <v>0</v>
      </c>
      <c r="T134" s="38">
        <f t="shared" si="44"/>
        <v>0</v>
      </c>
      <c r="U134" s="38">
        <f t="shared" si="44"/>
        <v>0</v>
      </c>
      <c r="V134" s="38">
        <f t="shared" si="44"/>
        <v>0</v>
      </c>
      <c r="W134" s="38">
        <f t="shared" si="44"/>
        <v>0</v>
      </c>
      <c r="X134" s="38">
        <f t="shared" si="44"/>
        <v>0</v>
      </c>
      <c r="Y134" s="38">
        <f t="shared" si="44"/>
        <v>0</v>
      </c>
      <c r="Z134" s="9"/>
      <c r="AA134" s="9"/>
      <c r="AB134" s="9"/>
      <c r="AC134" s="9"/>
    </row>
    <row r="135" spans="1:29" customFormat="1">
      <c r="A135" s="9"/>
      <c r="B135" s="9"/>
      <c r="C135" s="9"/>
      <c r="D135" s="9" t="s">
        <v>113</v>
      </c>
      <c r="E135" s="38">
        <f t="shared" ref="E135:Y135" si="45">E98-E97</f>
        <v>0</v>
      </c>
      <c r="F135" s="38">
        <f t="shared" si="45"/>
        <v>0</v>
      </c>
      <c r="G135" s="38">
        <f t="shared" si="45"/>
        <v>0</v>
      </c>
      <c r="H135" s="38">
        <f t="shared" si="45"/>
        <v>0</v>
      </c>
      <c r="I135" s="38">
        <f t="shared" si="45"/>
        <v>0</v>
      </c>
      <c r="J135" s="38">
        <f t="shared" si="45"/>
        <v>0</v>
      </c>
      <c r="K135" s="38">
        <f t="shared" si="45"/>
        <v>0</v>
      </c>
      <c r="L135" s="38">
        <f t="shared" si="45"/>
        <v>0</v>
      </c>
      <c r="M135" s="38">
        <f t="shared" si="45"/>
        <v>0</v>
      </c>
      <c r="N135" s="38">
        <f t="shared" si="45"/>
        <v>0</v>
      </c>
      <c r="O135" s="38">
        <f t="shared" si="45"/>
        <v>0</v>
      </c>
      <c r="P135" s="38">
        <f t="shared" si="45"/>
        <v>0</v>
      </c>
      <c r="Q135" s="38">
        <f t="shared" si="45"/>
        <v>0</v>
      </c>
      <c r="R135" s="38">
        <f t="shared" si="45"/>
        <v>0</v>
      </c>
      <c r="S135" s="38">
        <f t="shared" si="45"/>
        <v>0</v>
      </c>
      <c r="T135" s="38">
        <f t="shared" si="45"/>
        <v>0</v>
      </c>
      <c r="U135" s="38">
        <f t="shared" si="45"/>
        <v>0</v>
      </c>
      <c r="V135" s="38">
        <f t="shared" si="45"/>
        <v>0</v>
      </c>
      <c r="W135" s="38">
        <f t="shared" si="45"/>
        <v>0</v>
      </c>
      <c r="X135" s="38">
        <f t="shared" si="45"/>
        <v>0</v>
      </c>
      <c r="Y135" s="38">
        <f t="shared" si="45"/>
        <v>0</v>
      </c>
      <c r="Z135" s="9"/>
      <c r="AA135" s="9"/>
      <c r="AB135" s="9"/>
      <c r="AC135" s="9"/>
    </row>
    <row r="136" spans="1:29" customFormat="1">
      <c r="A136" s="9"/>
      <c r="B136" s="9"/>
      <c r="C136" s="9"/>
      <c r="D136" s="9" t="s">
        <v>116</v>
      </c>
      <c r="E136" s="38">
        <f t="shared" ref="E136:Y136" si="46">E99-E98</f>
        <v>0</v>
      </c>
      <c r="F136" s="38">
        <f t="shared" si="46"/>
        <v>0</v>
      </c>
      <c r="G136" s="38">
        <f t="shared" si="46"/>
        <v>0</v>
      </c>
      <c r="H136" s="38">
        <f t="shared" si="46"/>
        <v>0</v>
      </c>
      <c r="I136" s="38">
        <f t="shared" si="46"/>
        <v>0</v>
      </c>
      <c r="J136" s="38">
        <f t="shared" si="46"/>
        <v>0</v>
      </c>
      <c r="K136" s="38">
        <f t="shared" si="46"/>
        <v>0</v>
      </c>
      <c r="L136" s="38">
        <f t="shared" si="46"/>
        <v>0</v>
      </c>
      <c r="M136" s="38">
        <f t="shared" si="46"/>
        <v>0</v>
      </c>
      <c r="N136" s="38">
        <f t="shared" si="46"/>
        <v>0</v>
      </c>
      <c r="O136" s="38">
        <f t="shared" si="46"/>
        <v>0</v>
      </c>
      <c r="P136" s="38">
        <f t="shared" si="46"/>
        <v>0</v>
      </c>
      <c r="Q136" s="38">
        <f t="shared" si="46"/>
        <v>0</v>
      </c>
      <c r="R136" s="38">
        <f t="shared" si="46"/>
        <v>0</v>
      </c>
      <c r="S136" s="38">
        <f t="shared" si="46"/>
        <v>0</v>
      </c>
      <c r="T136" s="38">
        <f t="shared" si="46"/>
        <v>0</v>
      </c>
      <c r="U136" s="38">
        <f t="shared" si="46"/>
        <v>0</v>
      </c>
      <c r="V136" s="38">
        <f t="shared" si="46"/>
        <v>0</v>
      </c>
      <c r="W136" s="38">
        <f t="shared" si="46"/>
        <v>0</v>
      </c>
      <c r="X136" s="38">
        <f t="shared" si="46"/>
        <v>0</v>
      </c>
      <c r="Y136" s="38">
        <f t="shared" si="46"/>
        <v>0</v>
      </c>
      <c r="Z136" s="9"/>
      <c r="AA136" s="9"/>
      <c r="AB136" s="9"/>
      <c r="AC136" s="9"/>
    </row>
    <row r="137" spans="1:29" customFormat="1">
      <c r="A137" s="9"/>
      <c r="B137" s="9"/>
      <c r="C137" s="9"/>
      <c r="D137" s="9" t="s">
        <v>119</v>
      </c>
      <c r="E137" s="38">
        <f t="shared" ref="E137:Y137" ca="1" si="47">E100-E99</f>
        <v>7.2171682425645688E-4</v>
      </c>
      <c r="F137" s="38">
        <f t="shared" ca="1" si="47"/>
        <v>2.1576441656434276E-3</v>
      </c>
      <c r="G137" s="38">
        <f t="shared" ca="1" si="47"/>
        <v>4.6965522663190784E-3</v>
      </c>
      <c r="H137" s="38">
        <f t="shared" ca="1" si="47"/>
        <v>8.8099407449340854E-3</v>
      </c>
      <c r="I137" s="38">
        <f t="shared" ca="1" si="47"/>
        <v>1.5028949490697555E-2</v>
      </c>
      <c r="J137" s="38">
        <f t="shared" ca="1" si="47"/>
        <v>2.3900913093511736E-2</v>
      </c>
      <c r="K137" s="38">
        <f t="shared" ca="1" si="47"/>
        <v>3.5921314536572713E-2</v>
      </c>
      <c r="L137" s="38">
        <f t="shared" ca="1" si="47"/>
        <v>5.1440894730627997E-2</v>
      </c>
      <c r="M137" s="38">
        <f t="shared" ca="1" si="47"/>
        <v>7.0555366034882092E-2</v>
      </c>
      <c r="N137" s="38">
        <f t="shared" ca="1" si="47"/>
        <v>9.2996326595532711E-2</v>
      </c>
      <c r="O137" s="38">
        <f t="shared" ca="1" si="47"/>
        <v>0.1180541050419731</v>
      </c>
      <c r="P137" s="38">
        <f t="shared" ca="1" si="47"/>
        <v>0.14457087266011379</v>
      </c>
      <c r="Q137" s="38">
        <f t="shared" ca="1" si="47"/>
        <v>0.17103764063362556</v>
      </c>
      <c r="R137" s="38">
        <f t="shared" ca="1" si="47"/>
        <v>0.19580514873931956</v>
      </c>
      <c r="S137" s="38">
        <f t="shared" ca="1" si="47"/>
        <v>0.21737701173830587</v>
      </c>
      <c r="T137" s="38">
        <f t="shared" ca="1" si="47"/>
        <v>0.23470770694078952</v>
      </c>
      <c r="U137" s="38">
        <f t="shared" ca="1" si="47"/>
        <v>0.24740365111956905</v>
      </c>
      <c r="V137" s="38">
        <f t="shared" ca="1" si="47"/>
        <v>0.25574683011507027</v>
      </c>
      <c r="W137" s="38">
        <f t="shared" ca="1" si="47"/>
        <v>0.26052903785980869</v>
      </c>
      <c r="X137" s="38">
        <f t="shared" ca="1" si="47"/>
        <v>0.26240169473916952</v>
      </c>
      <c r="Y137" s="38">
        <f t="shared" ca="1" si="47"/>
        <v>5.7620158692710808</v>
      </c>
      <c r="Z137" s="9"/>
      <c r="AA137" s="9"/>
      <c r="AB137" s="9"/>
      <c r="AC137" s="9"/>
    </row>
    <row r="138" spans="1:29" customFormat="1">
      <c r="A138" s="9"/>
      <c r="B138" s="9"/>
      <c r="C138" s="9"/>
      <c r="D138" s="9" t="s">
        <v>122</v>
      </c>
      <c r="E138" s="38">
        <f t="shared" ref="E138:Y138" ca="1" si="48">E101-E100</f>
        <v>0</v>
      </c>
      <c r="F138" s="38">
        <f t="shared" ca="1" si="48"/>
        <v>0</v>
      </c>
      <c r="G138" s="38">
        <f t="shared" ca="1" si="48"/>
        <v>0</v>
      </c>
      <c r="H138" s="38">
        <f t="shared" ca="1" si="48"/>
        <v>0</v>
      </c>
      <c r="I138" s="38">
        <f t="shared" ca="1" si="48"/>
        <v>0</v>
      </c>
      <c r="J138" s="38">
        <f t="shared" ca="1" si="48"/>
        <v>0</v>
      </c>
      <c r="K138" s="38">
        <f t="shared" ca="1" si="48"/>
        <v>0</v>
      </c>
      <c r="L138" s="38">
        <f t="shared" ca="1" si="48"/>
        <v>0</v>
      </c>
      <c r="M138" s="38">
        <f t="shared" ca="1" si="48"/>
        <v>0</v>
      </c>
      <c r="N138" s="38">
        <f t="shared" ca="1" si="48"/>
        <v>0</v>
      </c>
      <c r="O138" s="38">
        <f t="shared" ca="1" si="48"/>
        <v>0</v>
      </c>
      <c r="P138" s="38">
        <f t="shared" ca="1" si="48"/>
        <v>0</v>
      </c>
      <c r="Q138" s="38">
        <f t="shared" ca="1" si="48"/>
        <v>0</v>
      </c>
      <c r="R138" s="38">
        <f t="shared" ca="1" si="48"/>
        <v>0</v>
      </c>
      <c r="S138" s="38">
        <f t="shared" ca="1" si="48"/>
        <v>0</v>
      </c>
      <c r="T138" s="38">
        <f t="shared" ca="1" si="48"/>
        <v>0</v>
      </c>
      <c r="U138" s="38">
        <f t="shared" ca="1" si="48"/>
        <v>0</v>
      </c>
      <c r="V138" s="38">
        <f t="shared" ca="1" si="48"/>
        <v>0</v>
      </c>
      <c r="W138" s="38">
        <f t="shared" ca="1" si="48"/>
        <v>0</v>
      </c>
      <c r="X138" s="38">
        <f t="shared" ca="1" si="48"/>
        <v>0</v>
      </c>
      <c r="Y138" s="38">
        <f t="shared" ca="1" si="48"/>
        <v>0</v>
      </c>
      <c r="Z138" s="9"/>
      <c r="AA138" s="9"/>
      <c r="AB138" s="9"/>
      <c r="AC138" s="9"/>
    </row>
    <row r="139" spans="1:29" customFormat="1">
      <c r="A139" s="9"/>
      <c r="B139" s="9"/>
      <c r="C139" s="9"/>
      <c r="D139" s="9" t="s">
        <v>125</v>
      </c>
      <c r="E139" s="38">
        <f t="shared" ref="E139:Y139" ca="1" si="49">E102-E101</f>
        <v>0</v>
      </c>
      <c r="F139" s="38">
        <f t="shared" ca="1" si="49"/>
        <v>0</v>
      </c>
      <c r="G139" s="38">
        <f t="shared" ca="1" si="49"/>
        <v>0</v>
      </c>
      <c r="H139" s="38">
        <f t="shared" ca="1" si="49"/>
        <v>0</v>
      </c>
      <c r="I139" s="38">
        <f t="shared" ca="1" si="49"/>
        <v>0</v>
      </c>
      <c r="J139" s="38">
        <f t="shared" ca="1" si="49"/>
        <v>0</v>
      </c>
      <c r="K139" s="38">
        <f t="shared" ca="1" si="49"/>
        <v>0</v>
      </c>
      <c r="L139" s="38">
        <f t="shared" ca="1" si="49"/>
        <v>0</v>
      </c>
      <c r="M139" s="38">
        <f t="shared" ca="1" si="49"/>
        <v>0</v>
      </c>
      <c r="N139" s="38">
        <f t="shared" ca="1" si="49"/>
        <v>0</v>
      </c>
      <c r="O139" s="38">
        <f t="shared" ca="1" si="49"/>
        <v>0</v>
      </c>
      <c r="P139" s="38">
        <f t="shared" ca="1" si="49"/>
        <v>0</v>
      </c>
      <c r="Q139" s="38">
        <f t="shared" ca="1" si="49"/>
        <v>0</v>
      </c>
      <c r="R139" s="38">
        <f t="shared" ca="1" si="49"/>
        <v>0</v>
      </c>
      <c r="S139" s="38">
        <f t="shared" ca="1" si="49"/>
        <v>0</v>
      </c>
      <c r="T139" s="38">
        <f t="shared" ca="1" si="49"/>
        <v>0</v>
      </c>
      <c r="U139" s="38">
        <f t="shared" ca="1" si="49"/>
        <v>0</v>
      </c>
      <c r="V139" s="38">
        <f t="shared" ca="1" si="49"/>
        <v>0</v>
      </c>
      <c r="W139" s="38">
        <f t="shared" ca="1" si="49"/>
        <v>0</v>
      </c>
      <c r="X139" s="38">
        <f t="shared" ca="1" si="49"/>
        <v>0</v>
      </c>
      <c r="Y139" s="38">
        <f t="shared" ca="1" si="49"/>
        <v>0</v>
      </c>
      <c r="Z139" s="9"/>
      <c r="AA139" s="9"/>
      <c r="AB139" s="9"/>
      <c r="AC139" s="9"/>
    </row>
    <row r="140" spans="1:29" customFormat="1">
      <c r="A140" s="9"/>
      <c r="B140" s="9"/>
      <c r="C140" s="9"/>
      <c r="D140" s="9" t="s">
        <v>128</v>
      </c>
      <c r="E140" s="38">
        <f t="shared" ref="E140:Y140" ca="1" si="50">E103-E102</f>
        <v>0</v>
      </c>
      <c r="F140" s="38">
        <f t="shared" ca="1" si="50"/>
        <v>0</v>
      </c>
      <c r="G140" s="38">
        <f t="shared" ca="1" si="50"/>
        <v>0</v>
      </c>
      <c r="H140" s="38">
        <f t="shared" ca="1" si="50"/>
        <v>0</v>
      </c>
      <c r="I140" s="38">
        <f t="shared" ca="1" si="50"/>
        <v>0</v>
      </c>
      <c r="J140" s="38">
        <f t="shared" ca="1" si="50"/>
        <v>0</v>
      </c>
      <c r="K140" s="38">
        <f t="shared" ca="1" si="50"/>
        <v>0</v>
      </c>
      <c r="L140" s="38">
        <f t="shared" ca="1" si="50"/>
        <v>0</v>
      </c>
      <c r="M140" s="38">
        <f t="shared" ca="1" si="50"/>
        <v>0</v>
      </c>
      <c r="N140" s="38">
        <f t="shared" ca="1" si="50"/>
        <v>0</v>
      </c>
      <c r="O140" s="38">
        <f t="shared" ca="1" si="50"/>
        <v>0</v>
      </c>
      <c r="P140" s="38">
        <f t="shared" ca="1" si="50"/>
        <v>0</v>
      </c>
      <c r="Q140" s="38">
        <f t="shared" ca="1" si="50"/>
        <v>0</v>
      </c>
      <c r="R140" s="38">
        <f t="shared" ca="1" si="50"/>
        <v>0</v>
      </c>
      <c r="S140" s="38">
        <f t="shared" ca="1" si="50"/>
        <v>0</v>
      </c>
      <c r="T140" s="38">
        <f t="shared" ca="1" si="50"/>
        <v>0</v>
      </c>
      <c r="U140" s="38">
        <f t="shared" ca="1" si="50"/>
        <v>0</v>
      </c>
      <c r="V140" s="38">
        <f t="shared" ca="1" si="50"/>
        <v>0</v>
      </c>
      <c r="W140" s="38">
        <f t="shared" ca="1" si="50"/>
        <v>0</v>
      </c>
      <c r="X140" s="38">
        <f t="shared" ca="1" si="50"/>
        <v>0</v>
      </c>
      <c r="Y140" s="38">
        <f t="shared" ca="1" si="50"/>
        <v>0</v>
      </c>
      <c r="Z140" s="9"/>
      <c r="AA140" s="9"/>
      <c r="AB140" s="9"/>
      <c r="AC140" s="9"/>
    </row>
    <row r="141" spans="1:29" customFormat="1">
      <c r="A141" s="9"/>
      <c r="B141" s="9"/>
      <c r="C141" s="9"/>
      <c r="D141" s="9" t="s">
        <v>131</v>
      </c>
      <c r="E141" s="38">
        <f t="shared" ref="E141:Y141" ca="1" si="51">E104-E103</f>
        <v>0</v>
      </c>
      <c r="F141" s="38">
        <f t="shared" ca="1" si="51"/>
        <v>0</v>
      </c>
      <c r="G141" s="38">
        <f t="shared" ca="1" si="51"/>
        <v>0</v>
      </c>
      <c r="H141" s="38">
        <f t="shared" ca="1" si="51"/>
        <v>0</v>
      </c>
      <c r="I141" s="38">
        <f t="shared" ca="1" si="51"/>
        <v>0</v>
      </c>
      <c r="J141" s="38">
        <f t="shared" ca="1" si="51"/>
        <v>0</v>
      </c>
      <c r="K141" s="38">
        <f t="shared" ca="1" si="51"/>
        <v>0</v>
      </c>
      <c r="L141" s="38">
        <f t="shared" ca="1" si="51"/>
        <v>0</v>
      </c>
      <c r="M141" s="38">
        <f t="shared" ca="1" si="51"/>
        <v>0</v>
      </c>
      <c r="N141" s="38">
        <f t="shared" ca="1" si="51"/>
        <v>0</v>
      </c>
      <c r="O141" s="38">
        <f t="shared" ca="1" si="51"/>
        <v>0</v>
      </c>
      <c r="P141" s="38">
        <f t="shared" ca="1" si="51"/>
        <v>0</v>
      </c>
      <c r="Q141" s="38">
        <f t="shared" ca="1" si="51"/>
        <v>0</v>
      </c>
      <c r="R141" s="38">
        <f t="shared" ca="1" si="51"/>
        <v>0</v>
      </c>
      <c r="S141" s="38">
        <f t="shared" ca="1" si="51"/>
        <v>0</v>
      </c>
      <c r="T141" s="38">
        <f t="shared" ca="1" si="51"/>
        <v>0</v>
      </c>
      <c r="U141" s="38">
        <f t="shared" ca="1" si="51"/>
        <v>0</v>
      </c>
      <c r="V141" s="38">
        <f t="shared" ca="1" si="51"/>
        <v>0</v>
      </c>
      <c r="W141" s="38">
        <f t="shared" ca="1" si="51"/>
        <v>0</v>
      </c>
      <c r="X141" s="38">
        <f t="shared" ca="1" si="51"/>
        <v>0</v>
      </c>
      <c r="Y141" s="38">
        <f t="shared" ca="1" si="51"/>
        <v>0</v>
      </c>
      <c r="Z141" s="9"/>
      <c r="AA141" s="9"/>
      <c r="AB141" s="9"/>
      <c r="AC141" s="9"/>
    </row>
    <row r="142" spans="1:29" customFormat="1">
      <c r="A142" s="9"/>
      <c r="B142" s="9"/>
      <c r="C142" s="9"/>
      <c r="D142" s="9" t="s">
        <v>4907</v>
      </c>
      <c r="E142" s="38">
        <f t="shared" ref="E142:Y142" ca="1" si="52">E105-E104</f>
        <v>0</v>
      </c>
      <c r="F142" s="38">
        <f t="shared" ca="1" si="52"/>
        <v>0</v>
      </c>
      <c r="G142" s="38">
        <f t="shared" ca="1" si="52"/>
        <v>0</v>
      </c>
      <c r="H142" s="38">
        <f t="shared" ca="1" si="52"/>
        <v>0</v>
      </c>
      <c r="I142" s="38">
        <f t="shared" ca="1" si="52"/>
        <v>0</v>
      </c>
      <c r="J142" s="38">
        <f t="shared" ca="1" si="52"/>
        <v>0</v>
      </c>
      <c r="K142" s="38">
        <f t="shared" ca="1" si="52"/>
        <v>0</v>
      </c>
      <c r="L142" s="38">
        <f t="shared" ca="1" si="52"/>
        <v>0</v>
      </c>
      <c r="M142" s="38">
        <f t="shared" ca="1" si="52"/>
        <v>0</v>
      </c>
      <c r="N142" s="38">
        <f t="shared" ca="1" si="52"/>
        <v>0</v>
      </c>
      <c r="O142" s="38">
        <f t="shared" ca="1" si="52"/>
        <v>0</v>
      </c>
      <c r="P142" s="38">
        <f t="shared" ca="1" si="52"/>
        <v>0</v>
      </c>
      <c r="Q142" s="38">
        <f t="shared" ca="1" si="52"/>
        <v>0</v>
      </c>
      <c r="R142" s="38">
        <f t="shared" ca="1" si="52"/>
        <v>0</v>
      </c>
      <c r="S142" s="38">
        <f t="shared" ca="1" si="52"/>
        <v>0</v>
      </c>
      <c r="T142" s="38">
        <f t="shared" ca="1" si="52"/>
        <v>0</v>
      </c>
      <c r="U142" s="38">
        <f t="shared" ca="1" si="52"/>
        <v>0</v>
      </c>
      <c r="V142" s="38">
        <f t="shared" ca="1" si="52"/>
        <v>0</v>
      </c>
      <c r="W142" s="38">
        <f t="shared" ca="1" si="52"/>
        <v>0</v>
      </c>
      <c r="X142" s="38">
        <f t="shared" ca="1" si="52"/>
        <v>0</v>
      </c>
      <c r="Y142" s="38">
        <f t="shared" ca="1" si="52"/>
        <v>0</v>
      </c>
      <c r="Z142" s="9"/>
      <c r="AA142" s="9"/>
      <c r="AB142" s="9"/>
      <c r="AC142" s="9"/>
    </row>
    <row r="143" spans="1:29" customFormat="1">
      <c r="A143" s="9"/>
      <c r="B143" s="9"/>
      <c r="C143" s="9"/>
      <c r="D143" s="9" t="s">
        <v>4908</v>
      </c>
      <c r="E143" s="38">
        <f t="shared" ref="E143:Y143" ca="1" si="53">E106-E105</f>
        <v>0</v>
      </c>
      <c r="F143" s="38">
        <f t="shared" ca="1" si="53"/>
        <v>0</v>
      </c>
      <c r="G143" s="38">
        <f t="shared" ca="1" si="53"/>
        <v>0</v>
      </c>
      <c r="H143" s="38">
        <f t="shared" ca="1" si="53"/>
        <v>0</v>
      </c>
      <c r="I143" s="38">
        <f t="shared" ca="1" si="53"/>
        <v>0</v>
      </c>
      <c r="J143" s="38">
        <f t="shared" ca="1" si="53"/>
        <v>0</v>
      </c>
      <c r="K143" s="38">
        <f t="shared" ca="1" si="53"/>
        <v>0</v>
      </c>
      <c r="L143" s="38">
        <f t="shared" ca="1" si="53"/>
        <v>0</v>
      </c>
      <c r="M143" s="38">
        <f t="shared" ca="1" si="53"/>
        <v>0</v>
      </c>
      <c r="N143" s="38">
        <f t="shared" ca="1" si="53"/>
        <v>0</v>
      </c>
      <c r="O143" s="38">
        <f t="shared" ca="1" si="53"/>
        <v>0</v>
      </c>
      <c r="P143" s="38">
        <f t="shared" ca="1" si="53"/>
        <v>0</v>
      </c>
      <c r="Q143" s="38">
        <f t="shared" ca="1" si="53"/>
        <v>0</v>
      </c>
      <c r="R143" s="38">
        <f t="shared" ca="1" si="53"/>
        <v>0</v>
      </c>
      <c r="S143" s="38">
        <f t="shared" ca="1" si="53"/>
        <v>0</v>
      </c>
      <c r="T143" s="38">
        <f t="shared" ca="1" si="53"/>
        <v>0</v>
      </c>
      <c r="U143" s="38">
        <f t="shared" ca="1" si="53"/>
        <v>0</v>
      </c>
      <c r="V143" s="38">
        <f t="shared" ca="1" si="53"/>
        <v>0</v>
      </c>
      <c r="W143" s="38">
        <f t="shared" ca="1" si="53"/>
        <v>0</v>
      </c>
      <c r="X143" s="38">
        <f t="shared" ca="1" si="53"/>
        <v>0</v>
      </c>
      <c r="Y143" s="38">
        <f t="shared" ca="1" si="53"/>
        <v>0</v>
      </c>
      <c r="Z143" s="9"/>
      <c r="AA143" s="9"/>
      <c r="AB143" s="9"/>
      <c r="AC143" s="9"/>
    </row>
    <row r="144" spans="1:29" customFormat="1">
      <c r="A144" s="9"/>
      <c r="B144" s="9"/>
      <c r="C144" s="9"/>
      <c r="D144" s="9" t="s">
        <v>4909</v>
      </c>
      <c r="E144" s="38">
        <f t="shared" ref="E144:Y144" ca="1" si="54">E107-E106</f>
        <v>0</v>
      </c>
      <c r="F144" s="38">
        <f t="shared" ca="1" si="54"/>
        <v>0</v>
      </c>
      <c r="G144" s="38">
        <f t="shared" ca="1" si="54"/>
        <v>0</v>
      </c>
      <c r="H144" s="38">
        <f t="shared" ca="1" si="54"/>
        <v>0</v>
      </c>
      <c r="I144" s="38">
        <f t="shared" ca="1" si="54"/>
        <v>0</v>
      </c>
      <c r="J144" s="38">
        <f t="shared" ca="1" si="54"/>
        <v>0</v>
      </c>
      <c r="K144" s="38">
        <f t="shared" ca="1" si="54"/>
        <v>0</v>
      </c>
      <c r="L144" s="38">
        <f t="shared" ca="1" si="54"/>
        <v>0</v>
      </c>
      <c r="M144" s="38">
        <f t="shared" ca="1" si="54"/>
        <v>0</v>
      </c>
      <c r="N144" s="38">
        <f t="shared" ca="1" si="54"/>
        <v>0</v>
      </c>
      <c r="O144" s="38">
        <f t="shared" ca="1" si="54"/>
        <v>0</v>
      </c>
      <c r="P144" s="38">
        <f t="shared" ca="1" si="54"/>
        <v>0</v>
      </c>
      <c r="Q144" s="38">
        <f t="shared" ca="1" si="54"/>
        <v>0</v>
      </c>
      <c r="R144" s="38">
        <f t="shared" ca="1" si="54"/>
        <v>0</v>
      </c>
      <c r="S144" s="38">
        <f t="shared" ca="1" si="54"/>
        <v>0</v>
      </c>
      <c r="T144" s="38">
        <f t="shared" ca="1" si="54"/>
        <v>0</v>
      </c>
      <c r="U144" s="38">
        <f t="shared" ca="1" si="54"/>
        <v>0</v>
      </c>
      <c r="V144" s="38">
        <f t="shared" ca="1" si="54"/>
        <v>0</v>
      </c>
      <c r="W144" s="38">
        <f t="shared" ca="1" si="54"/>
        <v>0</v>
      </c>
      <c r="X144" s="38">
        <f t="shared" ca="1" si="54"/>
        <v>0</v>
      </c>
      <c r="Y144" s="38">
        <f t="shared" ca="1" si="54"/>
        <v>0</v>
      </c>
      <c r="Z144" s="9"/>
      <c r="AA144" s="9"/>
      <c r="AB144" s="9"/>
      <c r="AC144" s="9"/>
    </row>
    <row r="145" spans="1:29" customFormat="1">
      <c r="A145" s="9"/>
      <c r="B145" s="9"/>
      <c r="C145" s="9"/>
      <c r="D145" s="9" t="s">
        <v>4910</v>
      </c>
      <c r="E145" s="38">
        <f t="shared" ref="E145:Y145" ca="1" si="55">E108-E107</f>
        <v>0</v>
      </c>
      <c r="F145" s="38">
        <f t="shared" ca="1" si="55"/>
        <v>0</v>
      </c>
      <c r="G145" s="38">
        <f t="shared" ca="1" si="55"/>
        <v>0</v>
      </c>
      <c r="H145" s="38">
        <f t="shared" ca="1" si="55"/>
        <v>0</v>
      </c>
      <c r="I145" s="38">
        <f t="shared" ca="1" si="55"/>
        <v>0</v>
      </c>
      <c r="J145" s="38">
        <f t="shared" ca="1" si="55"/>
        <v>0</v>
      </c>
      <c r="K145" s="38">
        <f t="shared" ca="1" si="55"/>
        <v>0</v>
      </c>
      <c r="L145" s="38">
        <f t="shared" ca="1" si="55"/>
        <v>0</v>
      </c>
      <c r="M145" s="38">
        <f t="shared" ca="1" si="55"/>
        <v>0</v>
      </c>
      <c r="N145" s="38">
        <f t="shared" ca="1" si="55"/>
        <v>0</v>
      </c>
      <c r="O145" s="38">
        <f t="shared" ca="1" si="55"/>
        <v>0</v>
      </c>
      <c r="P145" s="38">
        <f t="shared" ca="1" si="55"/>
        <v>0</v>
      </c>
      <c r="Q145" s="38">
        <f t="shared" ca="1" si="55"/>
        <v>0</v>
      </c>
      <c r="R145" s="38">
        <f t="shared" ca="1" si="55"/>
        <v>0</v>
      </c>
      <c r="S145" s="38">
        <f t="shared" ca="1" si="55"/>
        <v>0</v>
      </c>
      <c r="T145" s="38">
        <f t="shared" ca="1" si="55"/>
        <v>0</v>
      </c>
      <c r="U145" s="38">
        <f t="shared" ca="1" si="55"/>
        <v>0</v>
      </c>
      <c r="V145" s="38">
        <f t="shared" ca="1" si="55"/>
        <v>0</v>
      </c>
      <c r="W145" s="38">
        <f t="shared" ca="1" si="55"/>
        <v>0</v>
      </c>
      <c r="X145" s="38">
        <f t="shared" ca="1" si="55"/>
        <v>0</v>
      </c>
      <c r="Y145" s="38">
        <f t="shared" ca="1" si="55"/>
        <v>0</v>
      </c>
      <c r="Z145" s="9"/>
      <c r="AA145" s="9"/>
      <c r="AB145" s="9"/>
      <c r="AC145" s="9"/>
    </row>
    <row r="146" spans="1:29" customFormat="1">
      <c r="A146" s="9"/>
      <c r="B146" s="9"/>
      <c r="C146" s="9"/>
      <c r="D146" s="9" t="s">
        <v>4911</v>
      </c>
      <c r="E146" s="38">
        <f t="shared" ref="E146:Y146" ca="1" si="56">E109-E108</f>
        <v>0</v>
      </c>
      <c r="F146" s="38">
        <f t="shared" ca="1" si="56"/>
        <v>0</v>
      </c>
      <c r="G146" s="38">
        <f t="shared" ca="1" si="56"/>
        <v>0</v>
      </c>
      <c r="H146" s="38">
        <f t="shared" ca="1" si="56"/>
        <v>0</v>
      </c>
      <c r="I146" s="38">
        <f t="shared" ca="1" si="56"/>
        <v>0</v>
      </c>
      <c r="J146" s="38">
        <f t="shared" ca="1" si="56"/>
        <v>0</v>
      </c>
      <c r="K146" s="38">
        <f t="shared" ca="1" si="56"/>
        <v>0</v>
      </c>
      <c r="L146" s="38">
        <f t="shared" ca="1" si="56"/>
        <v>0</v>
      </c>
      <c r="M146" s="38">
        <f t="shared" ca="1" si="56"/>
        <v>0</v>
      </c>
      <c r="N146" s="38">
        <f t="shared" ca="1" si="56"/>
        <v>0</v>
      </c>
      <c r="O146" s="38">
        <f t="shared" ca="1" si="56"/>
        <v>0</v>
      </c>
      <c r="P146" s="38">
        <f t="shared" ca="1" si="56"/>
        <v>0</v>
      </c>
      <c r="Q146" s="38">
        <f t="shared" ca="1" si="56"/>
        <v>0</v>
      </c>
      <c r="R146" s="38">
        <f t="shared" ca="1" si="56"/>
        <v>0</v>
      </c>
      <c r="S146" s="38">
        <f t="shared" ca="1" si="56"/>
        <v>0</v>
      </c>
      <c r="T146" s="38">
        <f t="shared" ca="1" si="56"/>
        <v>0</v>
      </c>
      <c r="U146" s="38">
        <f t="shared" ca="1" si="56"/>
        <v>0</v>
      </c>
      <c r="V146" s="38">
        <f t="shared" ca="1" si="56"/>
        <v>0</v>
      </c>
      <c r="W146" s="38">
        <f t="shared" ca="1" si="56"/>
        <v>0</v>
      </c>
      <c r="X146" s="38">
        <f t="shared" ca="1" si="56"/>
        <v>0</v>
      </c>
      <c r="Y146" s="38">
        <f t="shared" ca="1" si="56"/>
        <v>0</v>
      </c>
      <c r="Z146" s="9"/>
      <c r="AA146" s="9"/>
      <c r="AB146" s="9"/>
      <c r="AC146" s="9"/>
    </row>
    <row r="147" spans="1:29" customFormat="1">
      <c r="A147" s="9"/>
      <c r="B147" s="9"/>
      <c r="C147" s="9"/>
      <c r="D147" s="9" t="s">
        <v>4912</v>
      </c>
      <c r="E147" s="38">
        <f ca="1">E110-E109</f>
        <v>0</v>
      </c>
      <c r="F147" s="38">
        <f t="shared" ref="F147:Y147" ca="1" si="57">F110-F109</f>
        <v>0</v>
      </c>
      <c r="G147" s="38">
        <f t="shared" ca="1" si="57"/>
        <v>0</v>
      </c>
      <c r="H147" s="38">
        <f t="shared" ca="1" si="57"/>
        <v>0</v>
      </c>
      <c r="I147" s="38">
        <f t="shared" ca="1" si="57"/>
        <v>0</v>
      </c>
      <c r="J147" s="38">
        <f t="shared" ca="1" si="57"/>
        <v>0</v>
      </c>
      <c r="K147" s="38">
        <f t="shared" ca="1" si="57"/>
        <v>0</v>
      </c>
      <c r="L147" s="38">
        <f t="shared" ca="1" si="57"/>
        <v>0</v>
      </c>
      <c r="M147" s="38">
        <f t="shared" ca="1" si="57"/>
        <v>0</v>
      </c>
      <c r="N147" s="38">
        <f t="shared" ca="1" si="57"/>
        <v>0</v>
      </c>
      <c r="O147" s="38">
        <f t="shared" ca="1" si="57"/>
        <v>0</v>
      </c>
      <c r="P147" s="38">
        <f t="shared" ca="1" si="57"/>
        <v>0</v>
      </c>
      <c r="Q147" s="38">
        <f t="shared" ca="1" si="57"/>
        <v>0</v>
      </c>
      <c r="R147" s="38">
        <f t="shared" ca="1" si="57"/>
        <v>0</v>
      </c>
      <c r="S147" s="38">
        <f t="shared" ca="1" si="57"/>
        <v>0</v>
      </c>
      <c r="T147" s="38">
        <f t="shared" ca="1" si="57"/>
        <v>0</v>
      </c>
      <c r="U147" s="38">
        <f t="shared" ca="1" si="57"/>
        <v>0</v>
      </c>
      <c r="V147" s="38">
        <f t="shared" ca="1" si="57"/>
        <v>0</v>
      </c>
      <c r="W147" s="38">
        <f t="shared" ca="1" si="57"/>
        <v>0</v>
      </c>
      <c r="X147" s="38">
        <f t="shared" ca="1" si="57"/>
        <v>0</v>
      </c>
      <c r="Y147" s="38">
        <f t="shared" ca="1" si="57"/>
        <v>0</v>
      </c>
      <c r="Z147" s="9"/>
      <c r="AA147" s="9"/>
      <c r="AB147" s="9"/>
      <c r="AC147" s="9"/>
    </row>
    <row r="148" spans="1:29" customFormat="1">
      <c r="A148" s="9"/>
      <c r="B148" s="9"/>
      <c r="C148" s="9"/>
      <c r="D148" s="9" t="s">
        <v>4913</v>
      </c>
      <c r="E148" s="38">
        <f t="shared" ref="E148:Y148" ca="1" si="58">E111-E110</f>
        <v>0</v>
      </c>
      <c r="F148" s="38">
        <f t="shared" ca="1" si="58"/>
        <v>0</v>
      </c>
      <c r="G148" s="38">
        <f t="shared" ca="1" si="58"/>
        <v>0</v>
      </c>
      <c r="H148" s="38">
        <f t="shared" ca="1" si="58"/>
        <v>0</v>
      </c>
      <c r="I148" s="38">
        <f t="shared" ca="1" si="58"/>
        <v>0</v>
      </c>
      <c r="J148" s="38">
        <f t="shared" ca="1" si="58"/>
        <v>0</v>
      </c>
      <c r="K148" s="38">
        <f t="shared" ca="1" si="58"/>
        <v>0</v>
      </c>
      <c r="L148" s="38">
        <f t="shared" ca="1" si="58"/>
        <v>0</v>
      </c>
      <c r="M148" s="38">
        <f t="shared" ca="1" si="58"/>
        <v>0</v>
      </c>
      <c r="N148" s="38">
        <f t="shared" ca="1" si="58"/>
        <v>0</v>
      </c>
      <c r="O148" s="38">
        <f t="shared" ca="1" si="58"/>
        <v>0</v>
      </c>
      <c r="P148" s="38">
        <f t="shared" ca="1" si="58"/>
        <v>0</v>
      </c>
      <c r="Q148" s="38">
        <f t="shared" ca="1" si="58"/>
        <v>0</v>
      </c>
      <c r="R148" s="38">
        <f t="shared" ca="1" si="58"/>
        <v>0</v>
      </c>
      <c r="S148" s="38">
        <f t="shared" ca="1" si="58"/>
        <v>0</v>
      </c>
      <c r="T148" s="38">
        <f t="shared" ca="1" si="58"/>
        <v>0</v>
      </c>
      <c r="U148" s="38">
        <f t="shared" ca="1" si="58"/>
        <v>0</v>
      </c>
      <c r="V148" s="38">
        <f t="shared" ca="1" si="58"/>
        <v>0</v>
      </c>
      <c r="W148" s="38">
        <f t="shared" ca="1" si="58"/>
        <v>0</v>
      </c>
      <c r="X148" s="38">
        <f t="shared" ca="1" si="58"/>
        <v>0</v>
      </c>
      <c r="Y148" s="38">
        <f t="shared" ca="1" si="58"/>
        <v>0</v>
      </c>
      <c r="Z148" s="9"/>
      <c r="AA148" s="9"/>
      <c r="AB148" s="9"/>
      <c r="AC148" s="9"/>
    </row>
    <row r="149" spans="1:29" customFormat="1">
      <c r="A149" s="9"/>
      <c r="B149" s="9"/>
      <c r="C149" s="9"/>
      <c r="D149" s="9" t="s">
        <v>4914</v>
      </c>
      <c r="E149" s="38">
        <f t="shared" ref="E149:Y149" ca="1" si="59">E112-E111</f>
        <v>0</v>
      </c>
      <c r="F149" s="38">
        <f t="shared" ca="1" si="59"/>
        <v>0</v>
      </c>
      <c r="G149" s="38">
        <f t="shared" ca="1" si="59"/>
        <v>0</v>
      </c>
      <c r="H149" s="38">
        <f t="shared" ca="1" si="59"/>
        <v>0</v>
      </c>
      <c r="I149" s="38">
        <f t="shared" ca="1" si="59"/>
        <v>0</v>
      </c>
      <c r="J149" s="38">
        <f t="shared" ca="1" si="59"/>
        <v>0</v>
      </c>
      <c r="K149" s="38">
        <f t="shared" ca="1" si="59"/>
        <v>0</v>
      </c>
      <c r="L149" s="38">
        <f t="shared" ca="1" si="59"/>
        <v>0</v>
      </c>
      <c r="M149" s="38">
        <f t="shared" ca="1" si="59"/>
        <v>0</v>
      </c>
      <c r="N149" s="38">
        <f t="shared" ca="1" si="59"/>
        <v>0</v>
      </c>
      <c r="O149" s="38">
        <f t="shared" ca="1" si="59"/>
        <v>0</v>
      </c>
      <c r="P149" s="38">
        <f t="shared" ca="1" si="59"/>
        <v>0</v>
      </c>
      <c r="Q149" s="38">
        <f t="shared" ca="1" si="59"/>
        <v>0</v>
      </c>
      <c r="R149" s="38">
        <f t="shared" ca="1" si="59"/>
        <v>0</v>
      </c>
      <c r="S149" s="38">
        <f t="shared" ca="1" si="59"/>
        <v>0</v>
      </c>
      <c r="T149" s="38">
        <f t="shared" ca="1" si="59"/>
        <v>0</v>
      </c>
      <c r="U149" s="38">
        <f t="shared" ca="1" si="59"/>
        <v>0</v>
      </c>
      <c r="V149" s="38">
        <f t="shared" ca="1" si="59"/>
        <v>0</v>
      </c>
      <c r="W149" s="38">
        <f t="shared" ca="1" si="59"/>
        <v>0</v>
      </c>
      <c r="X149" s="38">
        <f t="shared" ca="1" si="59"/>
        <v>0</v>
      </c>
      <c r="Y149" s="38">
        <f t="shared" ca="1" si="59"/>
        <v>0</v>
      </c>
      <c r="Z149" s="9"/>
      <c r="AA149" s="9"/>
      <c r="AB149" s="9"/>
      <c r="AC149" s="9"/>
    </row>
    <row r="150" spans="1:29" customFormat="1">
      <c r="A150" s="9"/>
      <c r="B150" s="9"/>
      <c r="C150" s="9"/>
      <c r="D150" s="9" t="s">
        <v>4915</v>
      </c>
      <c r="E150" s="38">
        <f t="shared" ref="E150:Y150" ca="1" si="60">E113-E112</f>
        <v>0</v>
      </c>
      <c r="F150" s="38">
        <f t="shared" ca="1" si="60"/>
        <v>0</v>
      </c>
      <c r="G150" s="38">
        <f t="shared" ca="1" si="60"/>
        <v>0</v>
      </c>
      <c r="H150" s="38">
        <f t="shared" ca="1" si="60"/>
        <v>0</v>
      </c>
      <c r="I150" s="38">
        <f t="shared" ca="1" si="60"/>
        <v>0</v>
      </c>
      <c r="J150" s="38">
        <f t="shared" ca="1" si="60"/>
        <v>0</v>
      </c>
      <c r="K150" s="38">
        <f t="shared" ca="1" si="60"/>
        <v>0</v>
      </c>
      <c r="L150" s="38">
        <f t="shared" ca="1" si="60"/>
        <v>0</v>
      </c>
      <c r="M150" s="38">
        <f t="shared" ca="1" si="60"/>
        <v>0</v>
      </c>
      <c r="N150" s="38">
        <f t="shared" ca="1" si="60"/>
        <v>0</v>
      </c>
      <c r="O150" s="38">
        <f t="shared" ca="1" si="60"/>
        <v>0</v>
      </c>
      <c r="P150" s="38">
        <f t="shared" ca="1" si="60"/>
        <v>0</v>
      </c>
      <c r="Q150" s="38">
        <f t="shared" ca="1" si="60"/>
        <v>0</v>
      </c>
      <c r="R150" s="38">
        <f t="shared" ca="1" si="60"/>
        <v>0</v>
      </c>
      <c r="S150" s="38">
        <f t="shared" ca="1" si="60"/>
        <v>0</v>
      </c>
      <c r="T150" s="38">
        <f t="shared" ca="1" si="60"/>
        <v>0</v>
      </c>
      <c r="U150" s="38">
        <f t="shared" ca="1" si="60"/>
        <v>0</v>
      </c>
      <c r="V150" s="38">
        <f t="shared" ca="1" si="60"/>
        <v>0</v>
      </c>
      <c r="W150" s="38">
        <f t="shared" ca="1" si="60"/>
        <v>0</v>
      </c>
      <c r="X150" s="38">
        <f t="shared" ca="1" si="60"/>
        <v>0</v>
      </c>
      <c r="Y150" s="38">
        <f t="shared" ca="1" si="60"/>
        <v>0</v>
      </c>
      <c r="Z150" s="9"/>
      <c r="AA150" s="9"/>
      <c r="AB150" s="9"/>
      <c r="AC150" s="9"/>
    </row>
    <row r="151" spans="1:29" customFormat="1">
      <c r="A151" s="9"/>
      <c r="B151" s="9"/>
      <c r="C151" s="9"/>
      <c r="D151" s="9" t="s">
        <v>4916</v>
      </c>
      <c r="E151" s="38">
        <f t="shared" ref="E151:Y151" ca="1" si="61">E114-E113</f>
        <v>0</v>
      </c>
      <c r="F151" s="38">
        <f t="shared" ca="1" si="61"/>
        <v>0</v>
      </c>
      <c r="G151" s="38">
        <f t="shared" ca="1" si="61"/>
        <v>0</v>
      </c>
      <c r="H151" s="38">
        <f t="shared" ca="1" si="61"/>
        <v>0</v>
      </c>
      <c r="I151" s="38">
        <f t="shared" ca="1" si="61"/>
        <v>0</v>
      </c>
      <c r="J151" s="38">
        <f t="shared" ca="1" si="61"/>
        <v>0</v>
      </c>
      <c r="K151" s="38">
        <f t="shared" ca="1" si="61"/>
        <v>0</v>
      </c>
      <c r="L151" s="38">
        <f t="shared" ca="1" si="61"/>
        <v>0</v>
      </c>
      <c r="M151" s="38">
        <f t="shared" ca="1" si="61"/>
        <v>0</v>
      </c>
      <c r="N151" s="38">
        <f t="shared" ca="1" si="61"/>
        <v>0</v>
      </c>
      <c r="O151" s="38">
        <f t="shared" ca="1" si="61"/>
        <v>0</v>
      </c>
      <c r="P151" s="38">
        <f t="shared" ca="1" si="61"/>
        <v>0</v>
      </c>
      <c r="Q151" s="38">
        <f t="shared" ca="1" si="61"/>
        <v>0</v>
      </c>
      <c r="R151" s="38">
        <f t="shared" ca="1" si="61"/>
        <v>0</v>
      </c>
      <c r="S151" s="38">
        <f t="shared" ca="1" si="61"/>
        <v>0</v>
      </c>
      <c r="T151" s="38">
        <f t="shared" ca="1" si="61"/>
        <v>0</v>
      </c>
      <c r="U151" s="38">
        <f t="shared" ca="1" si="61"/>
        <v>0</v>
      </c>
      <c r="V151" s="38">
        <f t="shared" ca="1" si="61"/>
        <v>0</v>
      </c>
      <c r="W151" s="38">
        <f t="shared" ca="1" si="61"/>
        <v>0</v>
      </c>
      <c r="X151" s="38">
        <f t="shared" ca="1" si="61"/>
        <v>0</v>
      </c>
      <c r="Y151" s="38">
        <f t="shared" ca="1" si="61"/>
        <v>0</v>
      </c>
      <c r="Z151" s="9"/>
      <c r="AA151" s="9"/>
      <c r="AB151" s="9"/>
      <c r="AC151" s="9"/>
    </row>
    <row r="152" spans="1:29" customFormat="1">
      <c r="A152" s="9"/>
      <c r="B152" s="9"/>
      <c r="C152" s="9"/>
      <c r="D152" s="9" t="s">
        <v>4917</v>
      </c>
      <c r="E152" s="38">
        <f t="shared" ref="E152:X152" ca="1" si="62">E115-E104</f>
        <v>0</v>
      </c>
      <c r="F152" s="38">
        <f t="shared" ca="1" si="62"/>
        <v>0</v>
      </c>
      <c r="G152" s="38">
        <f t="shared" ca="1" si="62"/>
        <v>0</v>
      </c>
      <c r="H152" s="38">
        <f t="shared" ca="1" si="62"/>
        <v>0</v>
      </c>
      <c r="I152" s="38">
        <f t="shared" ca="1" si="62"/>
        <v>0</v>
      </c>
      <c r="J152" s="38">
        <f t="shared" ca="1" si="62"/>
        <v>0</v>
      </c>
      <c r="K152" s="38">
        <f t="shared" ca="1" si="62"/>
        <v>0</v>
      </c>
      <c r="L152" s="38">
        <f t="shared" ca="1" si="62"/>
        <v>0</v>
      </c>
      <c r="M152" s="38">
        <f t="shared" ca="1" si="62"/>
        <v>0</v>
      </c>
      <c r="N152" s="38">
        <f t="shared" ca="1" si="62"/>
        <v>0</v>
      </c>
      <c r="O152" s="38">
        <f t="shared" ca="1" si="62"/>
        <v>0</v>
      </c>
      <c r="P152" s="38">
        <f t="shared" ca="1" si="62"/>
        <v>0</v>
      </c>
      <c r="Q152" s="38">
        <f t="shared" ca="1" si="62"/>
        <v>0</v>
      </c>
      <c r="R152" s="38">
        <f t="shared" ca="1" si="62"/>
        <v>0</v>
      </c>
      <c r="S152" s="38">
        <f t="shared" ca="1" si="62"/>
        <v>0</v>
      </c>
      <c r="T152" s="38">
        <f t="shared" ca="1" si="62"/>
        <v>0</v>
      </c>
      <c r="U152" s="38">
        <f t="shared" ca="1" si="62"/>
        <v>0</v>
      </c>
      <c r="V152" s="38">
        <f t="shared" ca="1" si="62"/>
        <v>0</v>
      </c>
      <c r="W152" s="38">
        <f t="shared" ca="1" si="62"/>
        <v>0</v>
      </c>
      <c r="X152" s="38">
        <f t="shared" ca="1" si="62"/>
        <v>0</v>
      </c>
      <c r="Y152" s="38">
        <f t="shared" ref="Y152" ca="1" si="63">Y115-Y114</f>
        <v>0</v>
      </c>
      <c r="Z152" s="9"/>
      <c r="AA152" s="9"/>
      <c r="AB152" s="9"/>
      <c r="AC152" s="9"/>
    </row>
    <row r="153" spans="1:29" customForma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spans="1:29" customFormat="1" ht="15">
      <c r="A154" s="9"/>
      <c r="B154" s="9"/>
      <c r="C154" s="9"/>
      <c r="D154" s="81" t="s">
        <v>139</v>
      </c>
      <c r="E154" s="82">
        <f t="shared" ref="E154:X154" ca="1" si="64">SUM(E121:E152)</f>
        <v>7.2171682425645688E-4</v>
      </c>
      <c r="F154" s="82">
        <f t="shared" ca="1" si="64"/>
        <v>2.1576441656434276E-3</v>
      </c>
      <c r="G154" s="82">
        <f t="shared" ca="1" si="64"/>
        <v>4.6965522663190784E-3</v>
      </c>
      <c r="H154" s="82">
        <f t="shared" ca="1" si="64"/>
        <v>8.8099407449340854E-3</v>
      </c>
      <c r="I154" s="82">
        <f t="shared" ca="1" si="64"/>
        <v>1.5028949490697555E-2</v>
      </c>
      <c r="J154" s="82">
        <f t="shared" ca="1" si="64"/>
        <v>2.3900913093511736E-2</v>
      </c>
      <c r="K154" s="82">
        <f t="shared" ca="1" si="64"/>
        <v>3.5921314536572713E-2</v>
      </c>
      <c r="L154" s="82">
        <f t="shared" ca="1" si="64"/>
        <v>5.1440894730627997E-2</v>
      </c>
      <c r="M154" s="82">
        <f t="shared" ca="1" si="64"/>
        <v>7.0555366034882092E-2</v>
      </c>
      <c r="N154" s="82">
        <f t="shared" ca="1" si="64"/>
        <v>9.2996326595532711E-2</v>
      </c>
      <c r="O154" s="82">
        <f t="shared" ca="1" si="64"/>
        <v>0.1180541050419731</v>
      </c>
      <c r="P154" s="82">
        <f t="shared" ca="1" si="64"/>
        <v>0.14457087266011379</v>
      </c>
      <c r="Q154" s="82">
        <f t="shared" ca="1" si="64"/>
        <v>0.17103764063362556</v>
      </c>
      <c r="R154" s="82">
        <f t="shared" ca="1" si="64"/>
        <v>0.19580514873931956</v>
      </c>
      <c r="S154" s="82">
        <f t="shared" ca="1" si="64"/>
        <v>0.21737701173830587</v>
      </c>
      <c r="T154" s="82">
        <f t="shared" ca="1" si="64"/>
        <v>0.23470770694078952</v>
      </c>
      <c r="U154" s="82">
        <f t="shared" ca="1" si="64"/>
        <v>0.24740365111956905</v>
      </c>
      <c r="V154" s="82">
        <f t="shared" ca="1" si="64"/>
        <v>0.25574683011507027</v>
      </c>
      <c r="W154" s="82">
        <f t="shared" ca="1" si="64"/>
        <v>0.26052903785980869</v>
      </c>
      <c r="X154" s="82">
        <f t="shared" ca="1" si="64"/>
        <v>0.26240169473916952</v>
      </c>
      <c r="Y154" s="82"/>
      <c r="AA154" s="9"/>
      <c r="AB154" s="9"/>
      <c r="AC154" s="9"/>
    </row>
    <row r="155" spans="1:29" ht="15">
      <c r="D155" s="81" t="s">
        <v>140</v>
      </c>
      <c r="E155" s="82">
        <f ca="1">E154</f>
        <v>7.2171682425645688E-4</v>
      </c>
      <c r="F155" s="82">
        <f t="shared" ref="F155:X155" ca="1" si="65">E155+F154</f>
        <v>2.8793609898998844E-3</v>
      </c>
      <c r="G155" s="82">
        <f t="shared" ca="1" si="65"/>
        <v>7.5759132562189628E-3</v>
      </c>
      <c r="H155" s="82">
        <f t="shared" ca="1" si="65"/>
        <v>1.6385854001153048E-2</v>
      </c>
      <c r="I155" s="82">
        <f t="shared" ca="1" si="65"/>
        <v>3.1414803491850607E-2</v>
      </c>
      <c r="J155" s="82">
        <f t="shared" ca="1" si="65"/>
        <v>5.5315716585362343E-2</v>
      </c>
      <c r="K155" s="82">
        <f t="shared" ca="1" si="65"/>
        <v>9.1237031121935055E-2</v>
      </c>
      <c r="L155" s="82">
        <f t="shared" ca="1" si="65"/>
        <v>0.14267792585256306</v>
      </c>
      <c r="M155" s="82">
        <f t="shared" ca="1" si="65"/>
        <v>0.21323329188744516</v>
      </c>
      <c r="N155" s="82">
        <f t="shared" ca="1" si="65"/>
        <v>0.30622961848297786</v>
      </c>
      <c r="O155" s="82">
        <f t="shared" ca="1" si="65"/>
        <v>0.42428372352495097</v>
      </c>
      <c r="P155" s="82">
        <f t="shared" ca="1" si="65"/>
        <v>0.56885459618506473</v>
      </c>
      <c r="Q155" s="82">
        <f t="shared" ca="1" si="65"/>
        <v>0.73989223681869032</v>
      </c>
      <c r="R155" s="82">
        <f t="shared" ca="1" si="65"/>
        <v>0.93569738555800985</v>
      </c>
      <c r="S155" s="82">
        <f t="shared" ca="1" si="65"/>
        <v>1.1530743972963158</v>
      </c>
      <c r="T155" s="82">
        <f t="shared" ca="1" si="65"/>
        <v>1.3877821042371052</v>
      </c>
      <c r="U155" s="82">
        <f t="shared" ca="1" si="65"/>
        <v>1.6351857553566742</v>
      </c>
      <c r="V155" s="82">
        <f t="shared" ca="1" si="65"/>
        <v>1.8909325854717445</v>
      </c>
      <c r="W155" s="82">
        <f t="shared" ca="1" si="65"/>
        <v>2.1514616233315533</v>
      </c>
      <c r="X155" s="82">
        <f t="shared" ca="1" si="65"/>
        <v>2.4138633180707227</v>
      </c>
      <c r="Y155" s="82">
        <f ca="1">SUM(Y121:Y152)</f>
        <v>5.7620158692710808</v>
      </c>
      <c r="Z155"/>
    </row>
    <row r="156" spans="1:29">
      <c r="E156" s="56"/>
      <c r="F156" s="63"/>
      <c r="G156" s="63"/>
      <c r="H156" s="63"/>
      <c r="I156" s="63"/>
      <c r="J156" s="63"/>
      <c r="K156" s="63"/>
      <c r="L156" s="63"/>
      <c r="M156" s="63"/>
      <c r="N156" s="63"/>
      <c r="O156" s="63"/>
      <c r="P156" s="63"/>
      <c r="Q156" s="63"/>
      <c r="R156" s="63"/>
      <c r="S156" s="63"/>
      <c r="T156" s="63"/>
      <c r="U156" s="63"/>
      <c r="V156" s="63"/>
      <c r="W156" s="63"/>
      <c r="X156" s="63"/>
      <c r="Y156" s="63"/>
      <c r="Z156" s="63"/>
    </row>
    <row r="157" spans="1:29">
      <c r="E157" s="56"/>
      <c r="F157" s="63"/>
      <c r="G157" s="63"/>
      <c r="H157" s="63"/>
      <c r="I157" s="63"/>
      <c r="J157" s="63"/>
      <c r="K157" s="63"/>
      <c r="L157" s="63"/>
      <c r="M157" s="63"/>
      <c r="N157" s="63"/>
      <c r="O157" s="63"/>
      <c r="P157" s="63"/>
      <c r="Q157" s="63"/>
      <c r="R157" s="63"/>
      <c r="S157" s="63"/>
      <c r="T157" s="63"/>
      <c r="U157" s="63"/>
      <c r="V157" s="63"/>
      <c r="W157" s="63"/>
      <c r="X157" s="63"/>
      <c r="Y157" s="63"/>
      <c r="Z157" s="63"/>
    </row>
    <row r="158" spans="1:29" ht="15">
      <c r="A158" s="86" t="str">
        <f>CONCATENATE("ACHIEVABLE SAVINGS - CUMULATIVE BY MILL BIN - FOR MEASURE - ",D159)</f>
        <v>ACHIEVABLE SAVINGS - CUMULATIVE BY MILL BIN - FOR MEASURE - Freezer</v>
      </c>
      <c r="D158" s="9" t="s">
        <v>4720</v>
      </c>
      <c r="E158" s="79">
        <v>2016</v>
      </c>
      <c r="F158" s="73">
        <v>2017</v>
      </c>
      <c r="G158" s="73">
        <v>2018</v>
      </c>
      <c r="H158" s="73">
        <v>2019</v>
      </c>
      <c r="I158" s="73">
        <v>2020</v>
      </c>
      <c r="J158" s="73">
        <v>2021</v>
      </c>
      <c r="K158" s="73">
        <v>2022</v>
      </c>
      <c r="L158" s="73">
        <v>2023</v>
      </c>
      <c r="M158" s="73">
        <v>2024</v>
      </c>
      <c r="N158" s="73">
        <v>2025</v>
      </c>
      <c r="O158" s="73">
        <v>2026</v>
      </c>
      <c r="P158" s="73">
        <v>2027</v>
      </c>
      <c r="Q158" s="73">
        <v>2028</v>
      </c>
      <c r="R158" s="73">
        <v>2029</v>
      </c>
      <c r="S158" s="73">
        <v>2030</v>
      </c>
      <c r="T158" s="73">
        <v>2031</v>
      </c>
      <c r="U158" s="73">
        <v>2032</v>
      </c>
      <c r="V158" s="73">
        <v>2033</v>
      </c>
      <c r="W158" s="73">
        <v>2034</v>
      </c>
      <c r="X158" s="73">
        <v>2035</v>
      </c>
      <c r="Y158" s="74"/>
    </row>
    <row r="159" spans="1:29" ht="15">
      <c r="D159" s="72" t="str">
        <f>$C$8</f>
        <v>Freezer</v>
      </c>
      <c r="E159" s="80" t="str">
        <f t="shared" ref="E159:X159" si="66">CONCATENATE("aMW_",E158)</f>
        <v>aMW_2016</v>
      </c>
      <c r="F159" s="75" t="str">
        <f t="shared" si="66"/>
        <v>aMW_2017</v>
      </c>
      <c r="G159" s="75" t="str">
        <f t="shared" si="66"/>
        <v>aMW_2018</v>
      </c>
      <c r="H159" s="75" t="str">
        <f t="shared" si="66"/>
        <v>aMW_2019</v>
      </c>
      <c r="I159" s="75" t="str">
        <f t="shared" si="66"/>
        <v>aMW_2020</v>
      </c>
      <c r="J159" s="75" t="str">
        <f t="shared" si="66"/>
        <v>aMW_2021</v>
      </c>
      <c r="K159" s="75" t="str">
        <f t="shared" si="66"/>
        <v>aMW_2022</v>
      </c>
      <c r="L159" s="75" t="str">
        <f t="shared" si="66"/>
        <v>aMW_2023</v>
      </c>
      <c r="M159" s="75" t="str">
        <f t="shared" si="66"/>
        <v>aMW_2024</v>
      </c>
      <c r="N159" s="75" t="str">
        <f t="shared" si="66"/>
        <v>aMW_2025</v>
      </c>
      <c r="O159" s="75" t="str">
        <f t="shared" si="66"/>
        <v>aMW_2026</v>
      </c>
      <c r="P159" s="75" t="str">
        <f t="shared" si="66"/>
        <v>aMW_2027</v>
      </c>
      <c r="Q159" s="75" t="str">
        <f t="shared" si="66"/>
        <v>aMW_2028</v>
      </c>
      <c r="R159" s="75" t="str">
        <f t="shared" si="66"/>
        <v>aMW_2029</v>
      </c>
      <c r="S159" s="75" t="str">
        <f t="shared" si="66"/>
        <v>aMW_2030</v>
      </c>
      <c r="T159" s="75" t="str">
        <f t="shared" si="66"/>
        <v>aMW_2031</v>
      </c>
      <c r="U159" s="75" t="str">
        <f t="shared" si="66"/>
        <v>aMW_2032</v>
      </c>
      <c r="V159" s="75" t="str">
        <f t="shared" si="66"/>
        <v>aMW_2033</v>
      </c>
      <c r="W159" s="75" t="str">
        <f t="shared" si="66"/>
        <v>aMW_2034</v>
      </c>
      <c r="X159" s="75" t="str">
        <f t="shared" si="66"/>
        <v>aMW_2035</v>
      </c>
      <c r="Y159" s="76"/>
    </row>
    <row r="160" spans="1:29">
      <c r="D160" s="9" t="s">
        <v>71</v>
      </c>
      <c r="E160" s="64">
        <f t="shared" ref="E160:E180" si="67">E121</f>
        <v>0</v>
      </c>
      <c r="F160" s="65">
        <f t="shared" ref="F160:X160" si="68">E160+F121</f>
        <v>0</v>
      </c>
      <c r="G160" s="65">
        <f t="shared" si="68"/>
        <v>0</v>
      </c>
      <c r="H160" s="65">
        <f t="shared" si="68"/>
        <v>0</v>
      </c>
      <c r="I160" s="65">
        <f t="shared" si="68"/>
        <v>0</v>
      </c>
      <c r="J160" s="65">
        <f t="shared" si="68"/>
        <v>0</v>
      </c>
      <c r="K160" s="65">
        <f t="shared" si="68"/>
        <v>0</v>
      </c>
      <c r="L160" s="65">
        <f t="shared" si="68"/>
        <v>0</v>
      </c>
      <c r="M160" s="65">
        <f t="shared" si="68"/>
        <v>0</v>
      </c>
      <c r="N160" s="65">
        <f t="shared" si="68"/>
        <v>0</v>
      </c>
      <c r="O160" s="65">
        <f t="shared" si="68"/>
        <v>0</v>
      </c>
      <c r="P160" s="65">
        <f t="shared" si="68"/>
        <v>0</v>
      </c>
      <c r="Q160" s="65">
        <f t="shared" si="68"/>
        <v>0</v>
      </c>
      <c r="R160" s="65">
        <f t="shared" si="68"/>
        <v>0</v>
      </c>
      <c r="S160" s="65">
        <f t="shared" si="68"/>
        <v>0</v>
      </c>
      <c r="T160" s="65">
        <f t="shared" si="68"/>
        <v>0</v>
      </c>
      <c r="U160" s="65">
        <f t="shared" si="68"/>
        <v>0</v>
      </c>
      <c r="V160" s="65">
        <f t="shared" si="68"/>
        <v>0</v>
      </c>
      <c r="W160" s="65">
        <f t="shared" si="68"/>
        <v>0</v>
      </c>
      <c r="X160" s="65">
        <f t="shared" si="68"/>
        <v>0</v>
      </c>
      <c r="Y160" s="65"/>
    </row>
    <row r="161" spans="4:25">
      <c r="D161" s="9" t="s">
        <v>4948</v>
      </c>
      <c r="E161" s="64">
        <f t="shared" si="67"/>
        <v>0</v>
      </c>
      <c r="F161" s="65">
        <f t="shared" ref="F161:X161" si="69">E161+F122</f>
        <v>0</v>
      </c>
      <c r="G161" s="65">
        <f t="shared" si="69"/>
        <v>0</v>
      </c>
      <c r="H161" s="65">
        <f t="shared" si="69"/>
        <v>0</v>
      </c>
      <c r="I161" s="65">
        <f t="shared" si="69"/>
        <v>0</v>
      </c>
      <c r="J161" s="65">
        <f t="shared" si="69"/>
        <v>0</v>
      </c>
      <c r="K161" s="65">
        <f t="shared" si="69"/>
        <v>0</v>
      </c>
      <c r="L161" s="65">
        <f t="shared" si="69"/>
        <v>0</v>
      </c>
      <c r="M161" s="65">
        <f t="shared" si="69"/>
        <v>0</v>
      </c>
      <c r="N161" s="65">
        <f t="shared" si="69"/>
        <v>0</v>
      </c>
      <c r="O161" s="65">
        <f t="shared" si="69"/>
        <v>0</v>
      </c>
      <c r="P161" s="65">
        <f t="shared" si="69"/>
        <v>0</v>
      </c>
      <c r="Q161" s="65">
        <f t="shared" si="69"/>
        <v>0</v>
      </c>
      <c r="R161" s="65">
        <f t="shared" si="69"/>
        <v>0</v>
      </c>
      <c r="S161" s="65">
        <f t="shared" si="69"/>
        <v>0</v>
      </c>
      <c r="T161" s="65">
        <f t="shared" si="69"/>
        <v>0</v>
      </c>
      <c r="U161" s="65">
        <f t="shared" si="69"/>
        <v>0</v>
      </c>
      <c r="V161" s="65">
        <f t="shared" si="69"/>
        <v>0</v>
      </c>
      <c r="W161" s="65">
        <f t="shared" si="69"/>
        <v>0</v>
      </c>
      <c r="X161" s="65">
        <f t="shared" si="69"/>
        <v>0</v>
      </c>
      <c r="Y161" s="65"/>
    </row>
    <row r="162" spans="4:25">
      <c r="D162" s="9" t="s">
        <v>77</v>
      </c>
      <c r="E162" s="64">
        <f t="shared" si="67"/>
        <v>0</v>
      </c>
      <c r="F162" s="65">
        <f t="shared" ref="F162:X162" si="70">E162+F123</f>
        <v>0</v>
      </c>
      <c r="G162" s="65">
        <f t="shared" si="70"/>
        <v>0</v>
      </c>
      <c r="H162" s="65">
        <f t="shared" si="70"/>
        <v>0</v>
      </c>
      <c r="I162" s="65">
        <f t="shared" si="70"/>
        <v>0</v>
      </c>
      <c r="J162" s="65">
        <f t="shared" si="70"/>
        <v>0</v>
      </c>
      <c r="K162" s="65">
        <f t="shared" si="70"/>
        <v>0</v>
      </c>
      <c r="L162" s="65">
        <f t="shared" si="70"/>
        <v>0</v>
      </c>
      <c r="M162" s="65">
        <f t="shared" si="70"/>
        <v>0</v>
      </c>
      <c r="N162" s="65">
        <f t="shared" si="70"/>
        <v>0</v>
      </c>
      <c r="O162" s="65">
        <f t="shared" si="70"/>
        <v>0</v>
      </c>
      <c r="P162" s="65">
        <f t="shared" si="70"/>
        <v>0</v>
      </c>
      <c r="Q162" s="65">
        <f t="shared" si="70"/>
        <v>0</v>
      </c>
      <c r="R162" s="65">
        <f t="shared" si="70"/>
        <v>0</v>
      </c>
      <c r="S162" s="65">
        <f t="shared" si="70"/>
        <v>0</v>
      </c>
      <c r="T162" s="65">
        <f t="shared" si="70"/>
        <v>0</v>
      </c>
      <c r="U162" s="65">
        <f t="shared" si="70"/>
        <v>0</v>
      </c>
      <c r="V162" s="65">
        <f t="shared" si="70"/>
        <v>0</v>
      </c>
      <c r="W162" s="65">
        <f t="shared" si="70"/>
        <v>0</v>
      </c>
      <c r="X162" s="65">
        <f t="shared" si="70"/>
        <v>0</v>
      </c>
      <c r="Y162" s="65"/>
    </row>
    <row r="163" spans="4:25">
      <c r="D163" s="9" t="s">
        <v>80</v>
      </c>
      <c r="E163" s="64">
        <f t="shared" si="67"/>
        <v>0</v>
      </c>
      <c r="F163" s="65">
        <f t="shared" ref="F163:X163" si="71">E163+F124</f>
        <v>0</v>
      </c>
      <c r="G163" s="65">
        <f t="shared" si="71"/>
        <v>0</v>
      </c>
      <c r="H163" s="65">
        <f t="shared" si="71"/>
        <v>0</v>
      </c>
      <c r="I163" s="65">
        <f t="shared" si="71"/>
        <v>0</v>
      </c>
      <c r="J163" s="65">
        <f t="shared" si="71"/>
        <v>0</v>
      </c>
      <c r="K163" s="65">
        <f t="shared" si="71"/>
        <v>0</v>
      </c>
      <c r="L163" s="65">
        <f t="shared" si="71"/>
        <v>0</v>
      </c>
      <c r="M163" s="65">
        <f t="shared" si="71"/>
        <v>0</v>
      </c>
      <c r="N163" s="65">
        <f t="shared" si="71"/>
        <v>0</v>
      </c>
      <c r="O163" s="65">
        <f t="shared" si="71"/>
        <v>0</v>
      </c>
      <c r="P163" s="65">
        <f t="shared" si="71"/>
        <v>0</v>
      </c>
      <c r="Q163" s="65">
        <f t="shared" si="71"/>
        <v>0</v>
      </c>
      <c r="R163" s="65">
        <f t="shared" si="71"/>
        <v>0</v>
      </c>
      <c r="S163" s="65">
        <f t="shared" si="71"/>
        <v>0</v>
      </c>
      <c r="T163" s="65">
        <f t="shared" si="71"/>
        <v>0</v>
      </c>
      <c r="U163" s="65">
        <f t="shared" si="71"/>
        <v>0</v>
      </c>
      <c r="V163" s="65">
        <f t="shared" si="71"/>
        <v>0</v>
      </c>
      <c r="W163" s="65">
        <f t="shared" si="71"/>
        <v>0</v>
      </c>
      <c r="X163" s="65">
        <f t="shared" si="71"/>
        <v>0</v>
      </c>
      <c r="Y163" s="65"/>
    </row>
    <row r="164" spans="4:25">
      <c r="D164" s="9" t="s">
        <v>83</v>
      </c>
      <c r="E164" s="64">
        <f t="shared" si="67"/>
        <v>0</v>
      </c>
      <c r="F164" s="65">
        <f t="shared" ref="F164:X164" si="72">E164+F125</f>
        <v>0</v>
      </c>
      <c r="G164" s="65">
        <f t="shared" si="72"/>
        <v>0</v>
      </c>
      <c r="H164" s="65">
        <f t="shared" si="72"/>
        <v>0</v>
      </c>
      <c r="I164" s="65">
        <f t="shared" si="72"/>
        <v>0</v>
      </c>
      <c r="J164" s="65">
        <f t="shared" si="72"/>
        <v>0</v>
      </c>
      <c r="K164" s="65">
        <f t="shared" si="72"/>
        <v>0</v>
      </c>
      <c r="L164" s="65">
        <f t="shared" si="72"/>
        <v>0</v>
      </c>
      <c r="M164" s="65">
        <f t="shared" si="72"/>
        <v>0</v>
      </c>
      <c r="N164" s="65">
        <f t="shared" si="72"/>
        <v>0</v>
      </c>
      <c r="O164" s="65">
        <f t="shared" si="72"/>
        <v>0</v>
      </c>
      <c r="P164" s="65">
        <f t="shared" si="72"/>
        <v>0</v>
      </c>
      <c r="Q164" s="65">
        <f t="shared" si="72"/>
        <v>0</v>
      </c>
      <c r="R164" s="65">
        <f t="shared" si="72"/>
        <v>0</v>
      </c>
      <c r="S164" s="65">
        <f t="shared" si="72"/>
        <v>0</v>
      </c>
      <c r="T164" s="65">
        <f t="shared" si="72"/>
        <v>0</v>
      </c>
      <c r="U164" s="65">
        <f t="shared" si="72"/>
        <v>0</v>
      </c>
      <c r="V164" s="65">
        <f t="shared" si="72"/>
        <v>0</v>
      </c>
      <c r="W164" s="65">
        <f t="shared" si="72"/>
        <v>0</v>
      </c>
      <c r="X164" s="65">
        <f t="shared" si="72"/>
        <v>0</v>
      </c>
      <c r="Y164" s="65"/>
    </row>
    <row r="165" spans="4:25">
      <c r="D165" s="9" t="s">
        <v>86</v>
      </c>
      <c r="E165" s="64">
        <f t="shared" si="67"/>
        <v>0</v>
      </c>
      <c r="F165" s="65">
        <f t="shared" ref="F165:X165" si="73">E165+F126</f>
        <v>0</v>
      </c>
      <c r="G165" s="65">
        <f t="shared" si="73"/>
        <v>0</v>
      </c>
      <c r="H165" s="65">
        <f t="shared" si="73"/>
        <v>0</v>
      </c>
      <c r="I165" s="65">
        <f t="shared" si="73"/>
        <v>0</v>
      </c>
      <c r="J165" s="65">
        <f t="shared" si="73"/>
        <v>0</v>
      </c>
      <c r="K165" s="65">
        <f t="shared" si="73"/>
        <v>0</v>
      </c>
      <c r="L165" s="65">
        <f t="shared" si="73"/>
        <v>0</v>
      </c>
      <c r="M165" s="65">
        <f t="shared" si="73"/>
        <v>0</v>
      </c>
      <c r="N165" s="65">
        <f t="shared" si="73"/>
        <v>0</v>
      </c>
      <c r="O165" s="65">
        <f t="shared" si="73"/>
        <v>0</v>
      </c>
      <c r="P165" s="65">
        <f t="shared" si="73"/>
        <v>0</v>
      </c>
      <c r="Q165" s="65">
        <f t="shared" si="73"/>
        <v>0</v>
      </c>
      <c r="R165" s="65">
        <f t="shared" si="73"/>
        <v>0</v>
      </c>
      <c r="S165" s="65">
        <f t="shared" si="73"/>
        <v>0</v>
      </c>
      <c r="T165" s="65">
        <f t="shared" si="73"/>
        <v>0</v>
      </c>
      <c r="U165" s="65">
        <f t="shared" si="73"/>
        <v>0</v>
      </c>
      <c r="V165" s="65">
        <f t="shared" si="73"/>
        <v>0</v>
      </c>
      <c r="W165" s="65">
        <f t="shared" si="73"/>
        <v>0</v>
      </c>
      <c r="X165" s="65">
        <f t="shared" si="73"/>
        <v>0</v>
      </c>
      <c r="Y165" s="65"/>
    </row>
    <row r="166" spans="4:25">
      <c r="D166" s="9" t="s">
        <v>89</v>
      </c>
      <c r="E166" s="64">
        <f t="shared" si="67"/>
        <v>0</v>
      </c>
      <c r="F166" s="65">
        <f t="shared" ref="F166:X166" si="74">E166+F127</f>
        <v>0</v>
      </c>
      <c r="G166" s="65">
        <f t="shared" si="74"/>
        <v>0</v>
      </c>
      <c r="H166" s="65">
        <f t="shared" si="74"/>
        <v>0</v>
      </c>
      <c r="I166" s="65">
        <f t="shared" si="74"/>
        <v>0</v>
      </c>
      <c r="J166" s="65">
        <f t="shared" si="74"/>
        <v>0</v>
      </c>
      <c r="K166" s="65">
        <f t="shared" si="74"/>
        <v>0</v>
      </c>
      <c r="L166" s="65">
        <f t="shared" si="74"/>
        <v>0</v>
      </c>
      <c r="M166" s="65">
        <f t="shared" si="74"/>
        <v>0</v>
      </c>
      <c r="N166" s="65">
        <f t="shared" si="74"/>
        <v>0</v>
      </c>
      <c r="O166" s="65">
        <f t="shared" si="74"/>
        <v>0</v>
      </c>
      <c r="P166" s="65">
        <f t="shared" si="74"/>
        <v>0</v>
      </c>
      <c r="Q166" s="65">
        <f t="shared" si="74"/>
        <v>0</v>
      </c>
      <c r="R166" s="65">
        <f t="shared" si="74"/>
        <v>0</v>
      </c>
      <c r="S166" s="65">
        <f t="shared" si="74"/>
        <v>0</v>
      </c>
      <c r="T166" s="65">
        <f t="shared" si="74"/>
        <v>0</v>
      </c>
      <c r="U166" s="65">
        <f t="shared" si="74"/>
        <v>0</v>
      </c>
      <c r="V166" s="65">
        <f t="shared" si="74"/>
        <v>0</v>
      </c>
      <c r="W166" s="65">
        <f t="shared" si="74"/>
        <v>0</v>
      </c>
      <c r="X166" s="65">
        <f t="shared" si="74"/>
        <v>0</v>
      </c>
      <c r="Y166" s="65"/>
    </row>
    <row r="167" spans="4:25">
      <c r="D167" s="9" t="s">
        <v>92</v>
      </c>
      <c r="E167" s="64">
        <f t="shared" si="67"/>
        <v>0</v>
      </c>
      <c r="F167" s="65">
        <f t="shared" ref="F167:X167" si="75">E167+F128</f>
        <v>0</v>
      </c>
      <c r="G167" s="65">
        <f t="shared" si="75"/>
        <v>0</v>
      </c>
      <c r="H167" s="65">
        <f t="shared" si="75"/>
        <v>0</v>
      </c>
      <c r="I167" s="65">
        <f t="shared" si="75"/>
        <v>0</v>
      </c>
      <c r="J167" s="65">
        <f t="shared" si="75"/>
        <v>0</v>
      </c>
      <c r="K167" s="65">
        <f t="shared" si="75"/>
        <v>0</v>
      </c>
      <c r="L167" s="65">
        <f t="shared" si="75"/>
        <v>0</v>
      </c>
      <c r="M167" s="65">
        <f t="shared" si="75"/>
        <v>0</v>
      </c>
      <c r="N167" s="65">
        <f t="shared" si="75"/>
        <v>0</v>
      </c>
      <c r="O167" s="65">
        <f t="shared" si="75"/>
        <v>0</v>
      </c>
      <c r="P167" s="65">
        <f t="shared" si="75"/>
        <v>0</v>
      </c>
      <c r="Q167" s="65">
        <f t="shared" si="75"/>
        <v>0</v>
      </c>
      <c r="R167" s="65">
        <f t="shared" si="75"/>
        <v>0</v>
      </c>
      <c r="S167" s="65">
        <f t="shared" si="75"/>
        <v>0</v>
      </c>
      <c r="T167" s="65">
        <f t="shared" si="75"/>
        <v>0</v>
      </c>
      <c r="U167" s="65">
        <f t="shared" si="75"/>
        <v>0</v>
      </c>
      <c r="V167" s="65">
        <f t="shared" si="75"/>
        <v>0</v>
      </c>
      <c r="W167" s="65">
        <f t="shared" si="75"/>
        <v>0</v>
      </c>
      <c r="X167" s="65">
        <f t="shared" si="75"/>
        <v>0</v>
      </c>
      <c r="Y167" s="65"/>
    </row>
    <row r="168" spans="4:25">
      <c r="D168" s="9" t="s">
        <v>95</v>
      </c>
      <c r="E168" s="64">
        <f t="shared" si="67"/>
        <v>0</v>
      </c>
      <c r="F168" s="65">
        <f t="shared" ref="F168:X168" si="76">E168+F129</f>
        <v>0</v>
      </c>
      <c r="G168" s="65">
        <f t="shared" si="76"/>
        <v>0</v>
      </c>
      <c r="H168" s="65">
        <f t="shared" si="76"/>
        <v>0</v>
      </c>
      <c r="I168" s="65">
        <f t="shared" si="76"/>
        <v>0</v>
      </c>
      <c r="J168" s="65">
        <f t="shared" si="76"/>
        <v>0</v>
      </c>
      <c r="K168" s="65">
        <f t="shared" si="76"/>
        <v>0</v>
      </c>
      <c r="L168" s="65">
        <f t="shared" si="76"/>
        <v>0</v>
      </c>
      <c r="M168" s="65">
        <f t="shared" si="76"/>
        <v>0</v>
      </c>
      <c r="N168" s="65">
        <f t="shared" si="76"/>
        <v>0</v>
      </c>
      <c r="O168" s="65">
        <f t="shared" si="76"/>
        <v>0</v>
      </c>
      <c r="P168" s="65">
        <f t="shared" si="76"/>
        <v>0</v>
      </c>
      <c r="Q168" s="65">
        <f t="shared" si="76"/>
        <v>0</v>
      </c>
      <c r="R168" s="65">
        <f t="shared" si="76"/>
        <v>0</v>
      </c>
      <c r="S168" s="65">
        <f t="shared" si="76"/>
        <v>0</v>
      </c>
      <c r="T168" s="65">
        <f t="shared" si="76"/>
        <v>0</v>
      </c>
      <c r="U168" s="65">
        <f t="shared" si="76"/>
        <v>0</v>
      </c>
      <c r="V168" s="65">
        <f t="shared" si="76"/>
        <v>0</v>
      </c>
      <c r="W168" s="65">
        <f t="shared" si="76"/>
        <v>0</v>
      </c>
      <c r="X168" s="65">
        <f t="shared" si="76"/>
        <v>0</v>
      </c>
      <c r="Y168" s="65"/>
    </row>
    <row r="169" spans="4:25">
      <c r="D169" s="9" t="s">
        <v>98</v>
      </c>
      <c r="E169" s="64">
        <f t="shared" si="67"/>
        <v>0</v>
      </c>
      <c r="F169" s="65">
        <f t="shared" ref="F169:X169" si="77">E169+F130</f>
        <v>0</v>
      </c>
      <c r="G169" s="65">
        <f t="shared" si="77"/>
        <v>0</v>
      </c>
      <c r="H169" s="65">
        <f t="shared" si="77"/>
        <v>0</v>
      </c>
      <c r="I169" s="65">
        <f t="shared" si="77"/>
        <v>0</v>
      </c>
      <c r="J169" s="65">
        <f t="shared" si="77"/>
        <v>0</v>
      </c>
      <c r="K169" s="65">
        <f t="shared" si="77"/>
        <v>0</v>
      </c>
      <c r="L169" s="65">
        <f t="shared" si="77"/>
        <v>0</v>
      </c>
      <c r="M169" s="65">
        <f t="shared" si="77"/>
        <v>0</v>
      </c>
      <c r="N169" s="65">
        <f t="shared" si="77"/>
        <v>0</v>
      </c>
      <c r="O169" s="65">
        <f t="shared" si="77"/>
        <v>0</v>
      </c>
      <c r="P169" s="65">
        <f t="shared" si="77"/>
        <v>0</v>
      </c>
      <c r="Q169" s="65">
        <f t="shared" si="77"/>
        <v>0</v>
      </c>
      <c r="R169" s="65">
        <f t="shared" si="77"/>
        <v>0</v>
      </c>
      <c r="S169" s="65">
        <f t="shared" si="77"/>
        <v>0</v>
      </c>
      <c r="T169" s="65">
        <f t="shared" si="77"/>
        <v>0</v>
      </c>
      <c r="U169" s="65">
        <f t="shared" si="77"/>
        <v>0</v>
      </c>
      <c r="V169" s="65">
        <f t="shared" si="77"/>
        <v>0</v>
      </c>
      <c r="W169" s="65">
        <f t="shared" si="77"/>
        <v>0</v>
      </c>
      <c r="X169" s="65">
        <f t="shared" si="77"/>
        <v>0</v>
      </c>
      <c r="Y169" s="65"/>
    </row>
    <row r="170" spans="4:25">
      <c r="D170" s="9" t="s">
        <v>101</v>
      </c>
      <c r="E170" s="64">
        <f t="shared" si="67"/>
        <v>0</v>
      </c>
      <c r="F170" s="65">
        <f t="shared" ref="F170:X170" si="78">E170+F131</f>
        <v>0</v>
      </c>
      <c r="G170" s="65">
        <f t="shared" si="78"/>
        <v>0</v>
      </c>
      <c r="H170" s="65">
        <f t="shared" si="78"/>
        <v>0</v>
      </c>
      <c r="I170" s="65">
        <f t="shared" si="78"/>
        <v>0</v>
      </c>
      <c r="J170" s="65">
        <f t="shared" si="78"/>
        <v>0</v>
      </c>
      <c r="K170" s="65">
        <f t="shared" si="78"/>
        <v>0</v>
      </c>
      <c r="L170" s="65">
        <f t="shared" si="78"/>
        <v>0</v>
      </c>
      <c r="M170" s="65">
        <f t="shared" si="78"/>
        <v>0</v>
      </c>
      <c r="N170" s="65">
        <f t="shared" si="78"/>
        <v>0</v>
      </c>
      <c r="O170" s="65">
        <f t="shared" si="78"/>
        <v>0</v>
      </c>
      <c r="P170" s="65">
        <f t="shared" si="78"/>
        <v>0</v>
      </c>
      <c r="Q170" s="65">
        <f t="shared" si="78"/>
        <v>0</v>
      </c>
      <c r="R170" s="65">
        <f t="shared" si="78"/>
        <v>0</v>
      </c>
      <c r="S170" s="65">
        <f t="shared" si="78"/>
        <v>0</v>
      </c>
      <c r="T170" s="65">
        <f t="shared" si="78"/>
        <v>0</v>
      </c>
      <c r="U170" s="65">
        <f t="shared" si="78"/>
        <v>0</v>
      </c>
      <c r="V170" s="65">
        <f t="shared" si="78"/>
        <v>0</v>
      </c>
      <c r="W170" s="65">
        <f t="shared" si="78"/>
        <v>0</v>
      </c>
      <c r="X170" s="65">
        <f t="shared" si="78"/>
        <v>0</v>
      </c>
      <c r="Y170" s="65"/>
    </row>
    <row r="171" spans="4:25">
      <c r="D171" s="9" t="s">
        <v>104</v>
      </c>
      <c r="E171" s="64">
        <f t="shared" si="67"/>
        <v>0</v>
      </c>
      <c r="F171" s="65">
        <f t="shared" ref="F171:X171" si="79">E171+F132</f>
        <v>0</v>
      </c>
      <c r="G171" s="65">
        <f t="shared" si="79"/>
        <v>0</v>
      </c>
      <c r="H171" s="65">
        <f t="shared" si="79"/>
        <v>0</v>
      </c>
      <c r="I171" s="65">
        <f t="shared" si="79"/>
        <v>0</v>
      </c>
      <c r="J171" s="65">
        <f t="shared" si="79"/>
        <v>0</v>
      </c>
      <c r="K171" s="65">
        <f t="shared" si="79"/>
        <v>0</v>
      </c>
      <c r="L171" s="65">
        <f t="shared" si="79"/>
        <v>0</v>
      </c>
      <c r="M171" s="65">
        <f t="shared" si="79"/>
        <v>0</v>
      </c>
      <c r="N171" s="65">
        <f t="shared" si="79"/>
        <v>0</v>
      </c>
      <c r="O171" s="65">
        <f t="shared" si="79"/>
        <v>0</v>
      </c>
      <c r="P171" s="65">
        <f t="shared" si="79"/>
        <v>0</v>
      </c>
      <c r="Q171" s="65">
        <f t="shared" si="79"/>
        <v>0</v>
      </c>
      <c r="R171" s="65">
        <f t="shared" si="79"/>
        <v>0</v>
      </c>
      <c r="S171" s="65">
        <f t="shared" si="79"/>
        <v>0</v>
      </c>
      <c r="T171" s="65">
        <f t="shared" si="79"/>
        <v>0</v>
      </c>
      <c r="U171" s="65">
        <f t="shared" si="79"/>
        <v>0</v>
      </c>
      <c r="V171" s="65">
        <f t="shared" si="79"/>
        <v>0</v>
      </c>
      <c r="W171" s="65">
        <f t="shared" si="79"/>
        <v>0</v>
      </c>
      <c r="X171" s="65">
        <f t="shared" si="79"/>
        <v>0</v>
      </c>
      <c r="Y171" s="65"/>
    </row>
    <row r="172" spans="4:25">
      <c r="D172" s="9" t="s">
        <v>107</v>
      </c>
      <c r="E172" s="64">
        <f t="shared" si="67"/>
        <v>0</v>
      </c>
      <c r="F172" s="65">
        <f t="shared" ref="F172:X172" si="80">E172+F133</f>
        <v>0</v>
      </c>
      <c r="G172" s="65">
        <f t="shared" si="80"/>
        <v>0</v>
      </c>
      <c r="H172" s="65">
        <f t="shared" si="80"/>
        <v>0</v>
      </c>
      <c r="I172" s="65">
        <f t="shared" si="80"/>
        <v>0</v>
      </c>
      <c r="J172" s="65">
        <f t="shared" si="80"/>
        <v>0</v>
      </c>
      <c r="K172" s="65">
        <f t="shared" si="80"/>
        <v>0</v>
      </c>
      <c r="L172" s="65">
        <f t="shared" si="80"/>
        <v>0</v>
      </c>
      <c r="M172" s="65">
        <f t="shared" si="80"/>
        <v>0</v>
      </c>
      <c r="N172" s="65">
        <f t="shared" si="80"/>
        <v>0</v>
      </c>
      <c r="O172" s="65">
        <f t="shared" si="80"/>
        <v>0</v>
      </c>
      <c r="P172" s="65">
        <f t="shared" si="80"/>
        <v>0</v>
      </c>
      <c r="Q172" s="65">
        <f t="shared" si="80"/>
        <v>0</v>
      </c>
      <c r="R172" s="65">
        <f t="shared" si="80"/>
        <v>0</v>
      </c>
      <c r="S172" s="65">
        <f t="shared" si="80"/>
        <v>0</v>
      </c>
      <c r="T172" s="65">
        <f t="shared" si="80"/>
        <v>0</v>
      </c>
      <c r="U172" s="65">
        <f t="shared" si="80"/>
        <v>0</v>
      </c>
      <c r="V172" s="65">
        <f t="shared" si="80"/>
        <v>0</v>
      </c>
      <c r="W172" s="65">
        <f t="shared" si="80"/>
        <v>0</v>
      </c>
      <c r="X172" s="65">
        <f t="shared" si="80"/>
        <v>0</v>
      </c>
      <c r="Y172" s="65"/>
    </row>
    <row r="173" spans="4:25">
      <c r="D173" s="9" t="s">
        <v>110</v>
      </c>
      <c r="E173" s="64">
        <f t="shared" si="67"/>
        <v>0</v>
      </c>
      <c r="F173" s="65">
        <f t="shared" ref="F173:X173" si="81">E173+F134</f>
        <v>0</v>
      </c>
      <c r="G173" s="65">
        <f t="shared" si="81"/>
        <v>0</v>
      </c>
      <c r="H173" s="65">
        <f t="shared" si="81"/>
        <v>0</v>
      </c>
      <c r="I173" s="65">
        <f t="shared" si="81"/>
        <v>0</v>
      </c>
      <c r="J173" s="65">
        <f t="shared" si="81"/>
        <v>0</v>
      </c>
      <c r="K173" s="65">
        <f t="shared" si="81"/>
        <v>0</v>
      </c>
      <c r="L173" s="65">
        <f t="shared" si="81"/>
        <v>0</v>
      </c>
      <c r="M173" s="65">
        <f t="shared" si="81"/>
        <v>0</v>
      </c>
      <c r="N173" s="65">
        <f t="shared" si="81"/>
        <v>0</v>
      </c>
      <c r="O173" s="65">
        <f t="shared" si="81"/>
        <v>0</v>
      </c>
      <c r="P173" s="65">
        <f t="shared" si="81"/>
        <v>0</v>
      </c>
      <c r="Q173" s="65">
        <f t="shared" si="81"/>
        <v>0</v>
      </c>
      <c r="R173" s="65">
        <f t="shared" si="81"/>
        <v>0</v>
      </c>
      <c r="S173" s="65">
        <f t="shared" si="81"/>
        <v>0</v>
      </c>
      <c r="T173" s="65">
        <f t="shared" si="81"/>
        <v>0</v>
      </c>
      <c r="U173" s="65">
        <f t="shared" si="81"/>
        <v>0</v>
      </c>
      <c r="V173" s="65">
        <f t="shared" si="81"/>
        <v>0</v>
      </c>
      <c r="W173" s="65">
        <f t="shared" si="81"/>
        <v>0</v>
      </c>
      <c r="X173" s="65">
        <f t="shared" si="81"/>
        <v>0</v>
      </c>
      <c r="Y173" s="65"/>
    </row>
    <row r="174" spans="4:25">
      <c r="D174" s="9" t="s">
        <v>113</v>
      </c>
      <c r="E174" s="64">
        <f t="shared" si="67"/>
        <v>0</v>
      </c>
      <c r="F174" s="65">
        <f t="shared" ref="F174:X174" si="82">E174+F135</f>
        <v>0</v>
      </c>
      <c r="G174" s="65">
        <f t="shared" si="82"/>
        <v>0</v>
      </c>
      <c r="H174" s="65">
        <f t="shared" si="82"/>
        <v>0</v>
      </c>
      <c r="I174" s="65">
        <f t="shared" si="82"/>
        <v>0</v>
      </c>
      <c r="J174" s="65">
        <f t="shared" si="82"/>
        <v>0</v>
      </c>
      <c r="K174" s="65">
        <f t="shared" si="82"/>
        <v>0</v>
      </c>
      <c r="L174" s="65">
        <f t="shared" si="82"/>
        <v>0</v>
      </c>
      <c r="M174" s="65">
        <f t="shared" si="82"/>
        <v>0</v>
      </c>
      <c r="N174" s="65">
        <f t="shared" si="82"/>
        <v>0</v>
      </c>
      <c r="O174" s="65">
        <f t="shared" si="82"/>
        <v>0</v>
      </c>
      <c r="P174" s="65">
        <f t="shared" si="82"/>
        <v>0</v>
      </c>
      <c r="Q174" s="65">
        <f t="shared" si="82"/>
        <v>0</v>
      </c>
      <c r="R174" s="65">
        <f t="shared" si="82"/>
        <v>0</v>
      </c>
      <c r="S174" s="65">
        <f t="shared" si="82"/>
        <v>0</v>
      </c>
      <c r="T174" s="65">
        <f t="shared" si="82"/>
        <v>0</v>
      </c>
      <c r="U174" s="65">
        <f t="shared" si="82"/>
        <v>0</v>
      </c>
      <c r="V174" s="65">
        <f t="shared" si="82"/>
        <v>0</v>
      </c>
      <c r="W174" s="65">
        <f t="shared" si="82"/>
        <v>0</v>
      </c>
      <c r="X174" s="65">
        <f t="shared" si="82"/>
        <v>0</v>
      </c>
      <c r="Y174" s="65"/>
    </row>
    <row r="175" spans="4:25">
      <c r="D175" s="9" t="s">
        <v>116</v>
      </c>
      <c r="E175" s="64">
        <f t="shared" si="67"/>
        <v>0</v>
      </c>
      <c r="F175" s="65">
        <f t="shared" ref="F175:X175" si="83">E175+F136</f>
        <v>0</v>
      </c>
      <c r="G175" s="65">
        <f t="shared" si="83"/>
        <v>0</v>
      </c>
      <c r="H175" s="65">
        <f t="shared" si="83"/>
        <v>0</v>
      </c>
      <c r="I175" s="65">
        <f t="shared" si="83"/>
        <v>0</v>
      </c>
      <c r="J175" s="65">
        <f t="shared" si="83"/>
        <v>0</v>
      </c>
      <c r="K175" s="65">
        <f t="shared" si="83"/>
        <v>0</v>
      </c>
      <c r="L175" s="65">
        <f t="shared" si="83"/>
        <v>0</v>
      </c>
      <c r="M175" s="65">
        <f t="shared" si="83"/>
        <v>0</v>
      </c>
      <c r="N175" s="65">
        <f t="shared" si="83"/>
        <v>0</v>
      </c>
      <c r="O175" s="65">
        <f t="shared" si="83"/>
        <v>0</v>
      </c>
      <c r="P175" s="65">
        <f t="shared" si="83"/>
        <v>0</v>
      </c>
      <c r="Q175" s="65">
        <f t="shared" si="83"/>
        <v>0</v>
      </c>
      <c r="R175" s="65">
        <f t="shared" si="83"/>
        <v>0</v>
      </c>
      <c r="S175" s="65">
        <f t="shared" si="83"/>
        <v>0</v>
      </c>
      <c r="T175" s="65">
        <f t="shared" si="83"/>
        <v>0</v>
      </c>
      <c r="U175" s="65">
        <f t="shared" si="83"/>
        <v>0</v>
      </c>
      <c r="V175" s="65">
        <f t="shared" si="83"/>
        <v>0</v>
      </c>
      <c r="W175" s="65">
        <f t="shared" si="83"/>
        <v>0</v>
      </c>
      <c r="X175" s="65">
        <f t="shared" si="83"/>
        <v>0</v>
      </c>
      <c r="Y175" s="65"/>
    </row>
    <row r="176" spans="4:25">
      <c r="D176" s="9" t="s">
        <v>119</v>
      </c>
      <c r="E176" s="64">
        <f t="shared" ca="1" si="67"/>
        <v>7.2171682425645688E-4</v>
      </c>
      <c r="F176" s="65">
        <f t="shared" ref="F176:X176" ca="1" si="84">E176+F137</f>
        <v>2.8793609898998844E-3</v>
      </c>
      <c r="G176" s="65">
        <f t="shared" ca="1" si="84"/>
        <v>7.5759132562189628E-3</v>
      </c>
      <c r="H176" s="65">
        <f t="shared" ca="1" si="84"/>
        <v>1.6385854001153048E-2</v>
      </c>
      <c r="I176" s="65">
        <f t="shared" ca="1" si="84"/>
        <v>3.1414803491850607E-2</v>
      </c>
      <c r="J176" s="65">
        <f t="shared" ca="1" si="84"/>
        <v>5.5315716585362343E-2</v>
      </c>
      <c r="K176" s="65">
        <f t="shared" ca="1" si="84"/>
        <v>9.1237031121935055E-2</v>
      </c>
      <c r="L176" s="65">
        <f t="shared" ca="1" si="84"/>
        <v>0.14267792585256306</v>
      </c>
      <c r="M176" s="65">
        <f t="shared" ca="1" si="84"/>
        <v>0.21323329188744516</v>
      </c>
      <c r="N176" s="65">
        <f t="shared" ca="1" si="84"/>
        <v>0.30622961848297786</v>
      </c>
      <c r="O176" s="65">
        <f t="shared" ca="1" si="84"/>
        <v>0.42428372352495097</v>
      </c>
      <c r="P176" s="65">
        <f t="shared" ca="1" si="84"/>
        <v>0.56885459618506473</v>
      </c>
      <c r="Q176" s="65">
        <f t="shared" ca="1" si="84"/>
        <v>0.73989223681869032</v>
      </c>
      <c r="R176" s="65">
        <f t="shared" ca="1" si="84"/>
        <v>0.93569738555800985</v>
      </c>
      <c r="S176" s="65">
        <f t="shared" ca="1" si="84"/>
        <v>1.1530743972963158</v>
      </c>
      <c r="T176" s="65">
        <f t="shared" ca="1" si="84"/>
        <v>1.3877821042371052</v>
      </c>
      <c r="U176" s="65">
        <f t="shared" ca="1" si="84"/>
        <v>1.6351857553566742</v>
      </c>
      <c r="V176" s="65">
        <f t="shared" ca="1" si="84"/>
        <v>1.8909325854717445</v>
      </c>
      <c r="W176" s="65">
        <f t="shared" ca="1" si="84"/>
        <v>2.1514616233315533</v>
      </c>
      <c r="X176" s="65">
        <f t="shared" ca="1" si="84"/>
        <v>2.4138633180707227</v>
      </c>
      <c r="Y176" s="65"/>
    </row>
    <row r="177" spans="4:25">
      <c r="D177" s="9" t="s">
        <v>122</v>
      </c>
      <c r="E177" s="64">
        <f t="shared" ca="1" si="67"/>
        <v>0</v>
      </c>
      <c r="F177" s="65">
        <f t="shared" ref="F177:X177" ca="1" si="85">E177+F138</f>
        <v>0</v>
      </c>
      <c r="G177" s="65">
        <f t="shared" ca="1" si="85"/>
        <v>0</v>
      </c>
      <c r="H177" s="65">
        <f t="shared" ca="1" si="85"/>
        <v>0</v>
      </c>
      <c r="I177" s="65">
        <f t="shared" ca="1" si="85"/>
        <v>0</v>
      </c>
      <c r="J177" s="65">
        <f t="shared" ca="1" si="85"/>
        <v>0</v>
      </c>
      <c r="K177" s="65">
        <f t="shared" ca="1" si="85"/>
        <v>0</v>
      </c>
      <c r="L177" s="65">
        <f t="shared" ca="1" si="85"/>
        <v>0</v>
      </c>
      <c r="M177" s="65">
        <f t="shared" ca="1" si="85"/>
        <v>0</v>
      </c>
      <c r="N177" s="65">
        <f t="shared" ca="1" si="85"/>
        <v>0</v>
      </c>
      <c r="O177" s="65">
        <f t="shared" ca="1" si="85"/>
        <v>0</v>
      </c>
      <c r="P177" s="65">
        <f t="shared" ca="1" si="85"/>
        <v>0</v>
      </c>
      <c r="Q177" s="65">
        <f t="shared" ca="1" si="85"/>
        <v>0</v>
      </c>
      <c r="R177" s="65">
        <f t="shared" ca="1" si="85"/>
        <v>0</v>
      </c>
      <c r="S177" s="65">
        <f t="shared" ca="1" si="85"/>
        <v>0</v>
      </c>
      <c r="T177" s="65">
        <f t="shared" ca="1" si="85"/>
        <v>0</v>
      </c>
      <c r="U177" s="65">
        <f t="shared" ca="1" si="85"/>
        <v>0</v>
      </c>
      <c r="V177" s="65">
        <f t="shared" ca="1" si="85"/>
        <v>0</v>
      </c>
      <c r="W177" s="65">
        <f t="shared" ca="1" si="85"/>
        <v>0</v>
      </c>
      <c r="X177" s="65">
        <f t="shared" ca="1" si="85"/>
        <v>0</v>
      </c>
      <c r="Y177" s="65"/>
    </row>
    <row r="178" spans="4:25">
      <c r="D178" s="9" t="s">
        <v>125</v>
      </c>
      <c r="E178" s="64">
        <f t="shared" ca="1" si="67"/>
        <v>0</v>
      </c>
      <c r="F178" s="65">
        <f t="shared" ref="F178:X178" ca="1" si="86">E178+F139</f>
        <v>0</v>
      </c>
      <c r="G178" s="65">
        <f t="shared" ca="1" si="86"/>
        <v>0</v>
      </c>
      <c r="H178" s="65">
        <f t="shared" ca="1" si="86"/>
        <v>0</v>
      </c>
      <c r="I178" s="65">
        <f t="shared" ca="1" si="86"/>
        <v>0</v>
      </c>
      <c r="J178" s="65">
        <f t="shared" ca="1" si="86"/>
        <v>0</v>
      </c>
      <c r="K178" s="65">
        <f t="shared" ca="1" si="86"/>
        <v>0</v>
      </c>
      <c r="L178" s="65">
        <f t="shared" ca="1" si="86"/>
        <v>0</v>
      </c>
      <c r="M178" s="65">
        <f t="shared" ca="1" si="86"/>
        <v>0</v>
      </c>
      <c r="N178" s="65">
        <f t="shared" ca="1" si="86"/>
        <v>0</v>
      </c>
      <c r="O178" s="65">
        <f t="shared" ca="1" si="86"/>
        <v>0</v>
      </c>
      <c r="P178" s="65">
        <f t="shared" ca="1" si="86"/>
        <v>0</v>
      </c>
      <c r="Q178" s="65">
        <f t="shared" ca="1" si="86"/>
        <v>0</v>
      </c>
      <c r="R178" s="65">
        <f t="shared" ca="1" si="86"/>
        <v>0</v>
      </c>
      <c r="S178" s="65">
        <f t="shared" ca="1" si="86"/>
        <v>0</v>
      </c>
      <c r="T178" s="65">
        <f t="shared" ca="1" si="86"/>
        <v>0</v>
      </c>
      <c r="U178" s="65">
        <f t="shared" ca="1" si="86"/>
        <v>0</v>
      </c>
      <c r="V178" s="65">
        <f t="shared" ca="1" si="86"/>
        <v>0</v>
      </c>
      <c r="W178" s="65">
        <f t="shared" ca="1" si="86"/>
        <v>0</v>
      </c>
      <c r="X178" s="65">
        <f t="shared" ca="1" si="86"/>
        <v>0</v>
      </c>
      <c r="Y178" s="65"/>
    </row>
    <row r="179" spans="4:25">
      <c r="D179" s="9" t="s">
        <v>128</v>
      </c>
      <c r="E179" s="64">
        <f t="shared" ca="1" si="67"/>
        <v>0</v>
      </c>
      <c r="F179" s="65">
        <f t="shared" ref="F179:X179" ca="1" si="87">E179+F140</f>
        <v>0</v>
      </c>
      <c r="G179" s="65">
        <f t="shared" ca="1" si="87"/>
        <v>0</v>
      </c>
      <c r="H179" s="65">
        <f t="shared" ca="1" si="87"/>
        <v>0</v>
      </c>
      <c r="I179" s="65">
        <f t="shared" ca="1" si="87"/>
        <v>0</v>
      </c>
      <c r="J179" s="65">
        <f t="shared" ca="1" si="87"/>
        <v>0</v>
      </c>
      <c r="K179" s="65">
        <f t="shared" ca="1" si="87"/>
        <v>0</v>
      </c>
      <c r="L179" s="65">
        <f t="shared" ca="1" si="87"/>
        <v>0</v>
      </c>
      <c r="M179" s="65">
        <f t="shared" ca="1" si="87"/>
        <v>0</v>
      </c>
      <c r="N179" s="65">
        <f t="shared" ca="1" si="87"/>
        <v>0</v>
      </c>
      <c r="O179" s="65">
        <f t="shared" ca="1" si="87"/>
        <v>0</v>
      </c>
      <c r="P179" s="65">
        <f t="shared" ca="1" si="87"/>
        <v>0</v>
      </c>
      <c r="Q179" s="65">
        <f t="shared" ca="1" si="87"/>
        <v>0</v>
      </c>
      <c r="R179" s="65">
        <f t="shared" ca="1" si="87"/>
        <v>0</v>
      </c>
      <c r="S179" s="65">
        <f t="shared" ca="1" si="87"/>
        <v>0</v>
      </c>
      <c r="T179" s="65">
        <f t="shared" ca="1" si="87"/>
        <v>0</v>
      </c>
      <c r="U179" s="65">
        <f t="shared" ca="1" si="87"/>
        <v>0</v>
      </c>
      <c r="V179" s="65">
        <f t="shared" ca="1" si="87"/>
        <v>0</v>
      </c>
      <c r="W179" s="65">
        <f t="shared" ca="1" si="87"/>
        <v>0</v>
      </c>
      <c r="X179" s="65">
        <f t="shared" ca="1" si="87"/>
        <v>0</v>
      </c>
      <c r="Y179" s="65"/>
    </row>
    <row r="180" spans="4:25">
      <c r="D180" s="9" t="s">
        <v>131</v>
      </c>
      <c r="E180" s="64">
        <f t="shared" ca="1" si="67"/>
        <v>0</v>
      </c>
      <c r="F180" s="65">
        <f t="shared" ref="F180:X180" ca="1" si="88">E180+F141</f>
        <v>0</v>
      </c>
      <c r="G180" s="65">
        <f t="shared" ca="1" si="88"/>
        <v>0</v>
      </c>
      <c r="H180" s="65">
        <f t="shared" ca="1" si="88"/>
        <v>0</v>
      </c>
      <c r="I180" s="65">
        <f t="shared" ca="1" si="88"/>
        <v>0</v>
      </c>
      <c r="J180" s="65">
        <f t="shared" ca="1" si="88"/>
        <v>0</v>
      </c>
      <c r="K180" s="65">
        <f t="shared" ca="1" si="88"/>
        <v>0</v>
      </c>
      <c r="L180" s="65">
        <f t="shared" ca="1" si="88"/>
        <v>0</v>
      </c>
      <c r="M180" s="65">
        <f t="shared" ca="1" si="88"/>
        <v>0</v>
      </c>
      <c r="N180" s="65">
        <f t="shared" ca="1" si="88"/>
        <v>0</v>
      </c>
      <c r="O180" s="65">
        <f t="shared" ca="1" si="88"/>
        <v>0</v>
      </c>
      <c r="P180" s="65">
        <f t="shared" ca="1" si="88"/>
        <v>0</v>
      </c>
      <c r="Q180" s="65">
        <f t="shared" ca="1" si="88"/>
        <v>0</v>
      </c>
      <c r="R180" s="65">
        <f t="shared" ca="1" si="88"/>
        <v>0</v>
      </c>
      <c r="S180" s="65">
        <f t="shared" ca="1" si="88"/>
        <v>0</v>
      </c>
      <c r="T180" s="65">
        <f t="shared" ca="1" si="88"/>
        <v>0</v>
      </c>
      <c r="U180" s="65">
        <f t="shared" ca="1" si="88"/>
        <v>0</v>
      </c>
      <c r="V180" s="65">
        <f t="shared" ca="1" si="88"/>
        <v>0</v>
      </c>
      <c r="W180" s="65">
        <f t="shared" ca="1" si="88"/>
        <v>0</v>
      </c>
      <c r="X180" s="65">
        <f t="shared" ca="1" si="88"/>
        <v>0</v>
      </c>
      <c r="Y180" s="65"/>
    </row>
    <row r="181" spans="4:25">
      <c r="D181" s="9" t="s">
        <v>4907</v>
      </c>
      <c r="E181" s="64">
        <f t="shared" ref="E181:E190" ca="1" si="89">E142</f>
        <v>0</v>
      </c>
      <c r="F181" s="65">
        <f t="shared" ref="F181:X181" ca="1" si="90">E181+F142</f>
        <v>0</v>
      </c>
      <c r="G181" s="65">
        <f t="shared" ca="1" si="90"/>
        <v>0</v>
      </c>
      <c r="H181" s="65">
        <f t="shared" ca="1" si="90"/>
        <v>0</v>
      </c>
      <c r="I181" s="65">
        <f t="shared" ca="1" si="90"/>
        <v>0</v>
      </c>
      <c r="J181" s="65">
        <f t="shared" ca="1" si="90"/>
        <v>0</v>
      </c>
      <c r="K181" s="65">
        <f t="shared" ca="1" si="90"/>
        <v>0</v>
      </c>
      <c r="L181" s="65">
        <f t="shared" ca="1" si="90"/>
        <v>0</v>
      </c>
      <c r="M181" s="65">
        <f t="shared" ca="1" si="90"/>
        <v>0</v>
      </c>
      <c r="N181" s="65">
        <f t="shared" ca="1" si="90"/>
        <v>0</v>
      </c>
      <c r="O181" s="65">
        <f t="shared" ca="1" si="90"/>
        <v>0</v>
      </c>
      <c r="P181" s="65">
        <f t="shared" ca="1" si="90"/>
        <v>0</v>
      </c>
      <c r="Q181" s="65">
        <f t="shared" ca="1" si="90"/>
        <v>0</v>
      </c>
      <c r="R181" s="65">
        <f t="shared" ca="1" si="90"/>
        <v>0</v>
      </c>
      <c r="S181" s="65">
        <f t="shared" ca="1" si="90"/>
        <v>0</v>
      </c>
      <c r="T181" s="65">
        <f t="shared" ca="1" si="90"/>
        <v>0</v>
      </c>
      <c r="U181" s="65">
        <f t="shared" ca="1" si="90"/>
        <v>0</v>
      </c>
      <c r="V181" s="65">
        <f t="shared" ca="1" si="90"/>
        <v>0</v>
      </c>
      <c r="W181" s="65">
        <f t="shared" ca="1" si="90"/>
        <v>0</v>
      </c>
      <c r="X181" s="65">
        <f t="shared" ca="1" si="90"/>
        <v>0</v>
      </c>
      <c r="Y181" s="65"/>
    </row>
    <row r="182" spans="4:25">
      <c r="D182" s="9" t="s">
        <v>4908</v>
      </c>
      <c r="E182" s="64">
        <f t="shared" ca="1" si="89"/>
        <v>0</v>
      </c>
      <c r="F182" s="65">
        <f t="shared" ref="F182:X182" ca="1" si="91">E182+F143</f>
        <v>0</v>
      </c>
      <c r="G182" s="65">
        <f t="shared" ca="1" si="91"/>
        <v>0</v>
      </c>
      <c r="H182" s="65">
        <f t="shared" ca="1" si="91"/>
        <v>0</v>
      </c>
      <c r="I182" s="65">
        <f t="shared" ca="1" si="91"/>
        <v>0</v>
      </c>
      <c r="J182" s="65">
        <f t="shared" ca="1" si="91"/>
        <v>0</v>
      </c>
      <c r="K182" s="65">
        <f t="shared" ca="1" si="91"/>
        <v>0</v>
      </c>
      <c r="L182" s="65">
        <f t="shared" ca="1" si="91"/>
        <v>0</v>
      </c>
      <c r="M182" s="65">
        <f t="shared" ca="1" si="91"/>
        <v>0</v>
      </c>
      <c r="N182" s="65">
        <f t="shared" ca="1" si="91"/>
        <v>0</v>
      </c>
      <c r="O182" s="65">
        <f t="shared" ca="1" si="91"/>
        <v>0</v>
      </c>
      <c r="P182" s="65">
        <f t="shared" ca="1" si="91"/>
        <v>0</v>
      </c>
      <c r="Q182" s="65">
        <f t="shared" ca="1" si="91"/>
        <v>0</v>
      </c>
      <c r="R182" s="65">
        <f t="shared" ca="1" si="91"/>
        <v>0</v>
      </c>
      <c r="S182" s="65">
        <f t="shared" ca="1" si="91"/>
        <v>0</v>
      </c>
      <c r="T182" s="65">
        <f t="shared" ca="1" si="91"/>
        <v>0</v>
      </c>
      <c r="U182" s="65">
        <f t="shared" ca="1" si="91"/>
        <v>0</v>
      </c>
      <c r="V182" s="65">
        <f t="shared" ca="1" si="91"/>
        <v>0</v>
      </c>
      <c r="W182" s="65">
        <f t="shared" ca="1" si="91"/>
        <v>0</v>
      </c>
      <c r="X182" s="65">
        <f t="shared" ca="1" si="91"/>
        <v>0</v>
      </c>
      <c r="Y182" s="65"/>
    </row>
    <row r="183" spans="4:25">
      <c r="D183" s="9" t="s">
        <v>4909</v>
      </c>
      <c r="E183" s="64">
        <f t="shared" ca="1" si="89"/>
        <v>0</v>
      </c>
      <c r="F183" s="65">
        <f t="shared" ref="F183:X183" ca="1" si="92">E183+F144</f>
        <v>0</v>
      </c>
      <c r="G183" s="65">
        <f t="shared" ca="1" si="92"/>
        <v>0</v>
      </c>
      <c r="H183" s="65">
        <f t="shared" ca="1" si="92"/>
        <v>0</v>
      </c>
      <c r="I183" s="65">
        <f t="shared" ca="1" si="92"/>
        <v>0</v>
      </c>
      <c r="J183" s="65">
        <f t="shared" ca="1" si="92"/>
        <v>0</v>
      </c>
      <c r="K183" s="65">
        <f t="shared" ca="1" si="92"/>
        <v>0</v>
      </c>
      <c r="L183" s="65">
        <f t="shared" ca="1" si="92"/>
        <v>0</v>
      </c>
      <c r="M183" s="65">
        <f t="shared" ca="1" si="92"/>
        <v>0</v>
      </c>
      <c r="N183" s="65">
        <f t="shared" ca="1" si="92"/>
        <v>0</v>
      </c>
      <c r="O183" s="65">
        <f t="shared" ca="1" si="92"/>
        <v>0</v>
      </c>
      <c r="P183" s="65">
        <f t="shared" ca="1" si="92"/>
        <v>0</v>
      </c>
      <c r="Q183" s="65">
        <f t="shared" ca="1" si="92"/>
        <v>0</v>
      </c>
      <c r="R183" s="65">
        <f t="shared" ca="1" si="92"/>
        <v>0</v>
      </c>
      <c r="S183" s="65">
        <f t="shared" ca="1" si="92"/>
        <v>0</v>
      </c>
      <c r="T183" s="65">
        <f t="shared" ca="1" si="92"/>
        <v>0</v>
      </c>
      <c r="U183" s="65">
        <f t="shared" ca="1" si="92"/>
        <v>0</v>
      </c>
      <c r="V183" s="65">
        <f t="shared" ca="1" si="92"/>
        <v>0</v>
      </c>
      <c r="W183" s="65">
        <f t="shared" ca="1" si="92"/>
        <v>0</v>
      </c>
      <c r="X183" s="65">
        <f t="shared" ca="1" si="92"/>
        <v>0</v>
      </c>
      <c r="Y183" s="65"/>
    </row>
    <row r="184" spans="4:25">
      <c r="D184" s="9" t="s">
        <v>4910</v>
      </c>
      <c r="E184" s="64">
        <f t="shared" ca="1" si="89"/>
        <v>0</v>
      </c>
      <c r="F184" s="65">
        <f t="shared" ref="F184:X184" ca="1" si="93">E184+F145</f>
        <v>0</v>
      </c>
      <c r="G184" s="65">
        <f t="shared" ca="1" si="93"/>
        <v>0</v>
      </c>
      <c r="H184" s="65">
        <f t="shared" ca="1" si="93"/>
        <v>0</v>
      </c>
      <c r="I184" s="65">
        <f t="shared" ca="1" si="93"/>
        <v>0</v>
      </c>
      <c r="J184" s="65">
        <f t="shared" ca="1" si="93"/>
        <v>0</v>
      </c>
      <c r="K184" s="65">
        <f t="shared" ca="1" si="93"/>
        <v>0</v>
      </c>
      <c r="L184" s="65">
        <f t="shared" ca="1" si="93"/>
        <v>0</v>
      </c>
      <c r="M184" s="65">
        <f t="shared" ca="1" si="93"/>
        <v>0</v>
      </c>
      <c r="N184" s="65">
        <f t="shared" ca="1" si="93"/>
        <v>0</v>
      </c>
      <c r="O184" s="65">
        <f t="shared" ca="1" si="93"/>
        <v>0</v>
      </c>
      <c r="P184" s="65">
        <f t="shared" ca="1" si="93"/>
        <v>0</v>
      </c>
      <c r="Q184" s="65">
        <f t="shared" ca="1" si="93"/>
        <v>0</v>
      </c>
      <c r="R184" s="65">
        <f t="shared" ca="1" si="93"/>
        <v>0</v>
      </c>
      <c r="S184" s="65">
        <f t="shared" ca="1" si="93"/>
        <v>0</v>
      </c>
      <c r="T184" s="65">
        <f t="shared" ca="1" si="93"/>
        <v>0</v>
      </c>
      <c r="U184" s="65">
        <f t="shared" ca="1" si="93"/>
        <v>0</v>
      </c>
      <c r="V184" s="65">
        <f t="shared" ca="1" si="93"/>
        <v>0</v>
      </c>
      <c r="W184" s="65">
        <f t="shared" ca="1" si="93"/>
        <v>0</v>
      </c>
      <c r="X184" s="65">
        <f t="shared" ca="1" si="93"/>
        <v>0</v>
      </c>
      <c r="Y184" s="65"/>
    </row>
    <row r="185" spans="4:25">
      <c r="D185" s="9" t="s">
        <v>4911</v>
      </c>
      <c r="E185" s="64">
        <f t="shared" ca="1" si="89"/>
        <v>0</v>
      </c>
      <c r="F185" s="65">
        <f t="shared" ref="F185:X185" ca="1" si="94">E185+F146</f>
        <v>0</v>
      </c>
      <c r="G185" s="65">
        <f t="shared" ca="1" si="94"/>
        <v>0</v>
      </c>
      <c r="H185" s="65">
        <f t="shared" ca="1" si="94"/>
        <v>0</v>
      </c>
      <c r="I185" s="65">
        <f t="shared" ca="1" si="94"/>
        <v>0</v>
      </c>
      <c r="J185" s="65">
        <f t="shared" ca="1" si="94"/>
        <v>0</v>
      </c>
      <c r="K185" s="65">
        <f t="shared" ca="1" si="94"/>
        <v>0</v>
      </c>
      <c r="L185" s="65">
        <f t="shared" ca="1" si="94"/>
        <v>0</v>
      </c>
      <c r="M185" s="65">
        <f t="shared" ca="1" si="94"/>
        <v>0</v>
      </c>
      <c r="N185" s="65">
        <f t="shared" ca="1" si="94"/>
        <v>0</v>
      </c>
      <c r="O185" s="65">
        <f t="shared" ca="1" si="94"/>
        <v>0</v>
      </c>
      <c r="P185" s="65">
        <f t="shared" ca="1" si="94"/>
        <v>0</v>
      </c>
      <c r="Q185" s="65">
        <f t="shared" ca="1" si="94"/>
        <v>0</v>
      </c>
      <c r="R185" s="65">
        <f t="shared" ca="1" si="94"/>
        <v>0</v>
      </c>
      <c r="S185" s="65">
        <f t="shared" ca="1" si="94"/>
        <v>0</v>
      </c>
      <c r="T185" s="65">
        <f t="shared" ca="1" si="94"/>
        <v>0</v>
      </c>
      <c r="U185" s="65">
        <f t="shared" ca="1" si="94"/>
        <v>0</v>
      </c>
      <c r="V185" s="65">
        <f t="shared" ca="1" si="94"/>
        <v>0</v>
      </c>
      <c r="W185" s="65">
        <f t="shared" ca="1" si="94"/>
        <v>0</v>
      </c>
      <c r="X185" s="65">
        <f t="shared" ca="1" si="94"/>
        <v>0</v>
      </c>
      <c r="Y185" s="65"/>
    </row>
    <row r="186" spans="4:25">
      <c r="D186" s="9" t="s">
        <v>4912</v>
      </c>
      <c r="E186" s="64">
        <f t="shared" ca="1" si="89"/>
        <v>0</v>
      </c>
      <c r="F186" s="65">
        <f t="shared" ref="F186:X186" ca="1" si="95">E186+F147</f>
        <v>0</v>
      </c>
      <c r="G186" s="65">
        <f t="shared" ca="1" si="95"/>
        <v>0</v>
      </c>
      <c r="H186" s="65">
        <f t="shared" ca="1" si="95"/>
        <v>0</v>
      </c>
      <c r="I186" s="65">
        <f t="shared" ca="1" si="95"/>
        <v>0</v>
      </c>
      <c r="J186" s="65">
        <f t="shared" ca="1" si="95"/>
        <v>0</v>
      </c>
      <c r="K186" s="65">
        <f t="shared" ca="1" si="95"/>
        <v>0</v>
      </c>
      <c r="L186" s="65">
        <f t="shared" ca="1" si="95"/>
        <v>0</v>
      </c>
      <c r="M186" s="65">
        <f t="shared" ca="1" si="95"/>
        <v>0</v>
      </c>
      <c r="N186" s="65">
        <f t="shared" ca="1" si="95"/>
        <v>0</v>
      </c>
      <c r="O186" s="65">
        <f t="shared" ca="1" si="95"/>
        <v>0</v>
      </c>
      <c r="P186" s="65">
        <f t="shared" ca="1" si="95"/>
        <v>0</v>
      </c>
      <c r="Q186" s="65">
        <f t="shared" ca="1" si="95"/>
        <v>0</v>
      </c>
      <c r="R186" s="65">
        <f t="shared" ca="1" si="95"/>
        <v>0</v>
      </c>
      <c r="S186" s="65">
        <f t="shared" ca="1" si="95"/>
        <v>0</v>
      </c>
      <c r="T186" s="65">
        <f t="shared" ca="1" si="95"/>
        <v>0</v>
      </c>
      <c r="U186" s="65">
        <f t="shared" ca="1" si="95"/>
        <v>0</v>
      </c>
      <c r="V186" s="65">
        <f t="shared" ca="1" si="95"/>
        <v>0</v>
      </c>
      <c r="W186" s="65">
        <f t="shared" ca="1" si="95"/>
        <v>0</v>
      </c>
      <c r="X186" s="65">
        <f t="shared" ca="1" si="95"/>
        <v>0</v>
      </c>
      <c r="Y186" s="65"/>
    </row>
    <row r="187" spans="4:25">
      <c r="D187" s="9" t="s">
        <v>4913</v>
      </c>
      <c r="E187" s="64">
        <f t="shared" ca="1" si="89"/>
        <v>0</v>
      </c>
      <c r="F187" s="65">
        <f t="shared" ref="F187:X187" ca="1" si="96">E187+F148</f>
        <v>0</v>
      </c>
      <c r="G187" s="65">
        <f t="shared" ca="1" si="96"/>
        <v>0</v>
      </c>
      <c r="H187" s="65">
        <f t="shared" ca="1" si="96"/>
        <v>0</v>
      </c>
      <c r="I187" s="65">
        <f t="shared" ca="1" si="96"/>
        <v>0</v>
      </c>
      <c r="J187" s="65">
        <f t="shared" ca="1" si="96"/>
        <v>0</v>
      </c>
      <c r="K187" s="65">
        <f t="shared" ca="1" si="96"/>
        <v>0</v>
      </c>
      <c r="L187" s="65">
        <f t="shared" ca="1" si="96"/>
        <v>0</v>
      </c>
      <c r="M187" s="65">
        <f t="shared" ca="1" si="96"/>
        <v>0</v>
      </c>
      <c r="N187" s="65">
        <f t="shared" ca="1" si="96"/>
        <v>0</v>
      </c>
      <c r="O187" s="65">
        <f t="shared" ca="1" si="96"/>
        <v>0</v>
      </c>
      <c r="P187" s="65">
        <f t="shared" ca="1" si="96"/>
        <v>0</v>
      </c>
      <c r="Q187" s="65">
        <f t="shared" ca="1" si="96"/>
        <v>0</v>
      </c>
      <c r="R187" s="65">
        <f t="shared" ca="1" si="96"/>
        <v>0</v>
      </c>
      <c r="S187" s="65">
        <f t="shared" ca="1" si="96"/>
        <v>0</v>
      </c>
      <c r="T187" s="65">
        <f t="shared" ca="1" si="96"/>
        <v>0</v>
      </c>
      <c r="U187" s="65">
        <f t="shared" ca="1" si="96"/>
        <v>0</v>
      </c>
      <c r="V187" s="65">
        <f t="shared" ca="1" si="96"/>
        <v>0</v>
      </c>
      <c r="W187" s="65">
        <f t="shared" ca="1" si="96"/>
        <v>0</v>
      </c>
      <c r="X187" s="65">
        <f t="shared" ca="1" si="96"/>
        <v>0</v>
      </c>
      <c r="Y187" s="65"/>
    </row>
    <row r="188" spans="4:25">
      <c r="D188" s="9" t="s">
        <v>4914</v>
      </c>
      <c r="E188" s="64">
        <f t="shared" ca="1" si="89"/>
        <v>0</v>
      </c>
      <c r="F188" s="65">
        <f t="shared" ref="F188:X188" ca="1" si="97">E188+F149</f>
        <v>0</v>
      </c>
      <c r="G188" s="65">
        <f t="shared" ca="1" si="97"/>
        <v>0</v>
      </c>
      <c r="H188" s="65">
        <f t="shared" ca="1" si="97"/>
        <v>0</v>
      </c>
      <c r="I188" s="65">
        <f t="shared" ca="1" si="97"/>
        <v>0</v>
      </c>
      <c r="J188" s="65">
        <f t="shared" ca="1" si="97"/>
        <v>0</v>
      </c>
      <c r="K188" s="65">
        <f t="shared" ca="1" si="97"/>
        <v>0</v>
      </c>
      <c r="L188" s="65">
        <f t="shared" ca="1" si="97"/>
        <v>0</v>
      </c>
      <c r="M188" s="65">
        <f t="shared" ca="1" si="97"/>
        <v>0</v>
      </c>
      <c r="N188" s="65">
        <f t="shared" ca="1" si="97"/>
        <v>0</v>
      </c>
      <c r="O188" s="65">
        <f t="shared" ca="1" si="97"/>
        <v>0</v>
      </c>
      <c r="P188" s="65">
        <f t="shared" ca="1" si="97"/>
        <v>0</v>
      </c>
      <c r="Q188" s="65">
        <f t="shared" ca="1" si="97"/>
        <v>0</v>
      </c>
      <c r="R188" s="65">
        <f t="shared" ca="1" si="97"/>
        <v>0</v>
      </c>
      <c r="S188" s="65">
        <f t="shared" ca="1" si="97"/>
        <v>0</v>
      </c>
      <c r="T188" s="65">
        <f t="shared" ca="1" si="97"/>
        <v>0</v>
      </c>
      <c r="U188" s="65">
        <f t="shared" ca="1" si="97"/>
        <v>0</v>
      </c>
      <c r="V188" s="65">
        <f t="shared" ca="1" si="97"/>
        <v>0</v>
      </c>
      <c r="W188" s="65">
        <f t="shared" ca="1" si="97"/>
        <v>0</v>
      </c>
      <c r="X188" s="65">
        <f t="shared" ca="1" si="97"/>
        <v>0</v>
      </c>
      <c r="Y188" s="65"/>
    </row>
    <row r="189" spans="4:25">
      <c r="D189" s="9" t="s">
        <v>4915</v>
      </c>
      <c r="E189" s="64">
        <f t="shared" ca="1" si="89"/>
        <v>0</v>
      </c>
      <c r="F189" s="65">
        <f t="shared" ref="F189:X189" ca="1" si="98">E189+F150</f>
        <v>0</v>
      </c>
      <c r="G189" s="65">
        <f t="shared" ca="1" si="98"/>
        <v>0</v>
      </c>
      <c r="H189" s="65">
        <f t="shared" ca="1" si="98"/>
        <v>0</v>
      </c>
      <c r="I189" s="65">
        <f t="shared" ca="1" si="98"/>
        <v>0</v>
      </c>
      <c r="J189" s="65">
        <f t="shared" ca="1" si="98"/>
        <v>0</v>
      </c>
      <c r="K189" s="65">
        <f t="shared" ca="1" si="98"/>
        <v>0</v>
      </c>
      <c r="L189" s="65">
        <f t="shared" ca="1" si="98"/>
        <v>0</v>
      </c>
      <c r="M189" s="65">
        <f t="shared" ca="1" si="98"/>
        <v>0</v>
      </c>
      <c r="N189" s="65">
        <f t="shared" ca="1" si="98"/>
        <v>0</v>
      </c>
      <c r="O189" s="65">
        <f t="shared" ca="1" si="98"/>
        <v>0</v>
      </c>
      <c r="P189" s="65">
        <f t="shared" ca="1" si="98"/>
        <v>0</v>
      </c>
      <c r="Q189" s="65">
        <f t="shared" ca="1" si="98"/>
        <v>0</v>
      </c>
      <c r="R189" s="65">
        <f t="shared" ca="1" si="98"/>
        <v>0</v>
      </c>
      <c r="S189" s="65">
        <f t="shared" ca="1" si="98"/>
        <v>0</v>
      </c>
      <c r="T189" s="65">
        <f t="shared" ca="1" si="98"/>
        <v>0</v>
      </c>
      <c r="U189" s="65">
        <f t="shared" ca="1" si="98"/>
        <v>0</v>
      </c>
      <c r="V189" s="65">
        <f t="shared" ca="1" si="98"/>
        <v>0</v>
      </c>
      <c r="W189" s="65">
        <f t="shared" ca="1" si="98"/>
        <v>0</v>
      </c>
      <c r="X189" s="65">
        <f t="shared" ca="1" si="98"/>
        <v>0</v>
      </c>
      <c r="Y189" s="65"/>
    </row>
    <row r="190" spans="4:25">
      <c r="D190" s="9" t="s">
        <v>4916</v>
      </c>
      <c r="E190" s="64">
        <f t="shared" ca="1" si="89"/>
        <v>0</v>
      </c>
      <c r="F190" s="65">
        <f t="shared" ref="F190:X190" ca="1" si="99">E190+F151</f>
        <v>0</v>
      </c>
      <c r="G190" s="65">
        <f t="shared" ca="1" si="99"/>
        <v>0</v>
      </c>
      <c r="H190" s="65">
        <f t="shared" ca="1" si="99"/>
        <v>0</v>
      </c>
      <c r="I190" s="65">
        <f t="shared" ca="1" si="99"/>
        <v>0</v>
      </c>
      <c r="J190" s="65">
        <f t="shared" ca="1" si="99"/>
        <v>0</v>
      </c>
      <c r="K190" s="65">
        <f t="shared" ca="1" si="99"/>
        <v>0</v>
      </c>
      <c r="L190" s="65">
        <f t="shared" ca="1" si="99"/>
        <v>0</v>
      </c>
      <c r="M190" s="65">
        <f t="shared" ca="1" si="99"/>
        <v>0</v>
      </c>
      <c r="N190" s="65">
        <f t="shared" ca="1" si="99"/>
        <v>0</v>
      </c>
      <c r="O190" s="65">
        <f t="shared" ca="1" si="99"/>
        <v>0</v>
      </c>
      <c r="P190" s="65">
        <f t="shared" ca="1" si="99"/>
        <v>0</v>
      </c>
      <c r="Q190" s="65">
        <f t="shared" ca="1" si="99"/>
        <v>0</v>
      </c>
      <c r="R190" s="65">
        <f t="shared" ca="1" si="99"/>
        <v>0</v>
      </c>
      <c r="S190" s="65">
        <f t="shared" ca="1" si="99"/>
        <v>0</v>
      </c>
      <c r="T190" s="65">
        <f t="shared" ca="1" si="99"/>
        <v>0</v>
      </c>
      <c r="U190" s="65">
        <f t="shared" ca="1" si="99"/>
        <v>0</v>
      </c>
      <c r="V190" s="65">
        <f t="shared" ca="1" si="99"/>
        <v>0</v>
      </c>
      <c r="W190" s="65">
        <f t="shared" ca="1" si="99"/>
        <v>0</v>
      </c>
      <c r="X190" s="65">
        <f t="shared" ca="1" si="99"/>
        <v>0</v>
      </c>
      <c r="Y190" s="65"/>
    </row>
    <row r="191" spans="4:25">
      <c r="D191" s="9" t="s">
        <v>4917</v>
      </c>
      <c r="E191" s="64">
        <f t="shared" ref="E191" ca="1" si="100">E152</f>
        <v>0</v>
      </c>
      <c r="F191" s="65">
        <f t="shared" ref="F191:X191" ca="1" si="101">E191+F152</f>
        <v>0</v>
      </c>
      <c r="G191" s="65">
        <f t="shared" ca="1" si="101"/>
        <v>0</v>
      </c>
      <c r="H191" s="65">
        <f t="shared" ca="1" si="101"/>
        <v>0</v>
      </c>
      <c r="I191" s="65">
        <f t="shared" ca="1" si="101"/>
        <v>0</v>
      </c>
      <c r="J191" s="65">
        <f t="shared" ca="1" si="101"/>
        <v>0</v>
      </c>
      <c r="K191" s="65">
        <f t="shared" ca="1" si="101"/>
        <v>0</v>
      </c>
      <c r="L191" s="65">
        <f t="shared" ca="1" si="101"/>
        <v>0</v>
      </c>
      <c r="M191" s="65">
        <f t="shared" ca="1" si="101"/>
        <v>0</v>
      </c>
      <c r="N191" s="65">
        <f t="shared" ca="1" si="101"/>
        <v>0</v>
      </c>
      <c r="O191" s="65">
        <f t="shared" ca="1" si="101"/>
        <v>0</v>
      </c>
      <c r="P191" s="65">
        <f t="shared" ca="1" si="101"/>
        <v>0</v>
      </c>
      <c r="Q191" s="65">
        <f t="shared" ca="1" si="101"/>
        <v>0</v>
      </c>
      <c r="R191" s="65">
        <f t="shared" ca="1" si="101"/>
        <v>0</v>
      </c>
      <c r="S191" s="65">
        <f t="shared" ca="1" si="101"/>
        <v>0</v>
      </c>
      <c r="T191" s="65">
        <f t="shared" ca="1" si="101"/>
        <v>0</v>
      </c>
      <c r="U191" s="65">
        <f t="shared" ca="1" si="101"/>
        <v>0</v>
      </c>
      <c r="V191" s="65">
        <f t="shared" ca="1" si="101"/>
        <v>0</v>
      </c>
      <c r="W191" s="65">
        <f t="shared" ca="1" si="101"/>
        <v>0</v>
      </c>
      <c r="X191" s="65">
        <f t="shared" ca="1" si="101"/>
        <v>0</v>
      </c>
      <c r="Y191" s="65"/>
    </row>
    <row r="193" spans="4:79" ht="15">
      <c r="D193" s="82" t="s">
        <v>139</v>
      </c>
      <c r="E193" s="82">
        <f t="shared" ref="E193:X193" ca="1" si="102">SUM(E160:E191)</f>
        <v>7.2171682425645688E-4</v>
      </c>
      <c r="F193" s="82">
        <f t="shared" ca="1" si="102"/>
        <v>2.8793609898998844E-3</v>
      </c>
      <c r="G193" s="82">
        <f t="shared" ca="1" si="102"/>
        <v>7.5759132562189628E-3</v>
      </c>
      <c r="H193" s="82">
        <f t="shared" ca="1" si="102"/>
        <v>1.6385854001153048E-2</v>
      </c>
      <c r="I193" s="82">
        <f t="shared" ca="1" si="102"/>
        <v>3.1414803491850607E-2</v>
      </c>
      <c r="J193" s="82">
        <f t="shared" ca="1" si="102"/>
        <v>5.5315716585362343E-2</v>
      </c>
      <c r="K193" s="82">
        <f t="shared" ca="1" si="102"/>
        <v>9.1237031121935055E-2</v>
      </c>
      <c r="L193" s="82">
        <f t="shared" ca="1" si="102"/>
        <v>0.14267792585256306</v>
      </c>
      <c r="M193" s="82">
        <f t="shared" ca="1" si="102"/>
        <v>0.21323329188744516</v>
      </c>
      <c r="N193" s="82">
        <f t="shared" ca="1" si="102"/>
        <v>0.30622961848297786</v>
      </c>
      <c r="O193" s="82">
        <f t="shared" ca="1" si="102"/>
        <v>0.42428372352495097</v>
      </c>
      <c r="P193" s="82">
        <f t="shared" ca="1" si="102"/>
        <v>0.56885459618506473</v>
      </c>
      <c r="Q193" s="82">
        <f t="shared" ca="1" si="102"/>
        <v>0.73989223681869032</v>
      </c>
      <c r="R193" s="82">
        <f t="shared" ca="1" si="102"/>
        <v>0.93569738555800985</v>
      </c>
      <c r="S193" s="82">
        <f t="shared" ca="1" si="102"/>
        <v>1.1530743972963158</v>
      </c>
      <c r="T193" s="82">
        <f t="shared" ca="1" si="102"/>
        <v>1.3877821042371052</v>
      </c>
      <c r="U193" s="82">
        <f t="shared" ca="1" si="102"/>
        <v>1.6351857553566742</v>
      </c>
      <c r="V193" s="82">
        <f t="shared" ca="1" si="102"/>
        <v>1.8909325854717445</v>
      </c>
      <c r="W193" s="82">
        <f t="shared" ca="1" si="102"/>
        <v>2.1514616233315533</v>
      </c>
      <c r="X193" s="82">
        <f t="shared" ca="1" si="102"/>
        <v>2.4138633180707227</v>
      </c>
      <c r="Y193" s="82"/>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row>
    <row r="194" spans="4:79">
      <c r="E194" s="38"/>
      <c r="F194" s="44"/>
      <c r="G194" s="44"/>
      <c r="H194" s="44"/>
      <c r="I194" s="44"/>
      <c r="J194" s="44"/>
      <c r="K194" s="44"/>
      <c r="L194" s="44"/>
      <c r="M194" s="44"/>
      <c r="N194" s="44"/>
      <c r="O194" s="44"/>
      <c r="P194" s="44"/>
      <c r="Q194" s="44"/>
      <c r="R194" s="44"/>
      <c r="S194" s="44"/>
      <c r="T194" s="44"/>
      <c r="U194" s="44"/>
      <c r="V194" s="44"/>
      <c r="W194" s="44"/>
      <c r="X194" s="44"/>
      <c r="Y194" s="44"/>
    </row>
    <row r="197" spans="4:79" customFormat="1"/>
    <row r="198" spans="4:79" customFormat="1"/>
    <row r="199" spans="4:79" customFormat="1"/>
    <row r="200" spans="4:79" customFormat="1"/>
    <row r="201" spans="4:79" customFormat="1"/>
    <row r="202" spans="4:79" customFormat="1"/>
    <row r="203" spans="4:79" customFormat="1"/>
    <row r="204" spans="4:79" customFormat="1"/>
    <row r="205" spans="4:79" customFormat="1"/>
    <row r="206" spans="4:79" customFormat="1"/>
    <row r="207" spans="4:79" customFormat="1"/>
    <row r="208" spans="4:79" customFormat="1"/>
    <row r="209" customFormat="1"/>
    <row r="210" customFormat="1"/>
    <row r="211" customFormat="1"/>
    <row r="212" customFormat="1"/>
    <row r="213" customFormat="1"/>
    <row r="214" customFormat="1"/>
    <row r="215" customFormat="1"/>
  </sheetData>
  <mergeCells count="2">
    <mergeCell ref="B1:T6"/>
    <mergeCell ref="U1:U6"/>
  </mergeCells>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sheetPr codeName="Sheet13"/>
  <dimension ref="A1:EA8"/>
  <sheetViews>
    <sheetView workbookViewId="0">
      <selection sqref="A1:EA8"/>
    </sheetView>
  </sheetViews>
  <sheetFormatPr defaultRowHeight="12.75"/>
  <sheetData>
    <row r="1" spans="1:131" ht="13.5" thickBot="1">
      <c r="A1" s="36" t="s">
        <v>45</v>
      </c>
      <c r="B1" s="37"/>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row>
    <row r="2" spans="1:131" ht="13.5" thickBot="1">
      <c r="A2" s="45"/>
      <c r="B2" s="46"/>
      <c r="C2" s="47"/>
      <c r="D2" s="47"/>
      <c r="E2" s="47"/>
      <c r="F2" s="47"/>
      <c r="G2" s="47"/>
      <c r="H2" s="47"/>
      <c r="I2" s="47"/>
      <c r="J2" s="47"/>
      <c r="K2" s="47"/>
      <c r="L2" s="47"/>
      <c r="M2" s="47"/>
      <c r="N2" s="47"/>
      <c r="O2" s="48" t="s">
        <v>4941</v>
      </c>
      <c r="P2" s="49"/>
      <c r="Q2" s="49"/>
      <c r="R2" s="49"/>
      <c r="S2" s="49"/>
      <c r="T2" s="49"/>
      <c r="U2" s="49"/>
      <c r="V2" s="49"/>
      <c r="W2" s="49"/>
      <c r="X2" s="49"/>
      <c r="Y2" s="49"/>
      <c r="Z2" s="43"/>
      <c r="AA2" s="47"/>
      <c r="AB2" s="48" t="s">
        <v>4942</v>
      </c>
      <c r="AC2" s="49"/>
      <c r="AD2" s="49"/>
      <c r="AE2" s="49"/>
      <c r="AF2" s="49"/>
      <c r="AG2" s="49"/>
      <c r="AH2" s="49"/>
      <c r="AI2" s="49"/>
      <c r="AJ2" s="49"/>
      <c r="AK2" s="49"/>
      <c r="AL2" s="49"/>
      <c r="AM2" s="43"/>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8"/>
      <c r="BY2" s="38"/>
      <c r="BZ2" s="38"/>
      <c r="CA2" s="38"/>
      <c r="CB2" s="38"/>
      <c r="CC2" s="38"/>
      <c r="CD2" s="38"/>
      <c r="CE2" s="38"/>
      <c r="CF2" s="38"/>
      <c r="CG2" s="38"/>
      <c r="CH2" s="38"/>
      <c r="CI2" s="38"/>
      <c r="CJ2" s="38"/>
      <c r="CK2" s="38"/>
      <c r="CL2" s="38"/>
      <c r="CM2" s="38"/>
      <c r="CN2" s="38"/>
      <c r="CO2" s="38"/>
      <c r="CP2" s="38"/>
      <c r="CQ2" s="38"/>
      <c r="CR2" s="38"/>
      <c r="CS2" s="38"/>
      <c r="CT2" s="38"/>
      <c r="CU2" s="38"/>
      <c r="CV2" s="38"/>
      <c r="CW2" s="38"/>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row>
    <row r="3" spans="1:131" ht="191.25">
      <c r="A3" s="39" t="s">
        <v>21</v>
      </c>
      <c r="B3" s="40" t="s">
        <v>22</v>
      </c>
      <c r="C3" s="41" t="s">
        <v>46</v>
      </c>
      <c r="D3" s="41" t="s">
        <v>25</v>
      </c>
      <c r="E3" s="41" t="s">
        <v>26</v>
      </c>
      <c r="F3" s="41" t="s">
        <v>27</v>
      </c>
      <c r="G3" s="41" t="s">
        <v>28</v>
      </c>
      <c r="H3" s="41" t="s">
        <v>29</v>
      </c>
      <c r="I3" s="41" t="s">
        <v>30</v>
      </c>
      <c r="J3" s="41" t="s">
        <v>31</v>
      </c>
      <c r="K3" s="41" t="s">
        <v>24</v>
      </c>
      <c r="L3" s="41" t="s">
        <v>23</v>
      </c>
      <c r="M3" s="41" t="s">
        <v>32</v>
      </c>
      <c r="N3" s="41" t="s">
        <v>4943</v>
      </c>
      <c r="O3" s="41" t="s">
        <v>33</v>
      </c>
      <c r="P3" s="41" t="s">
        <v>34</v>
      </c>
      <c r="Q3" s="41" t="s">
        <v>35</v>
      </c>
      <c r="R3" s="41" t="s">
        <v>36</v>
      </c>
      <c r="S3" s="41" t="s">
        <v>37</v>
      </c>
      <c r="T3" s="41" t="s">
        <v>38</v>
      </c>
      <c r="U3" s="41" t="s">
        <v>39</v>
      </c>
      <c r="V3" s="41" t="s">
        <v>40</v>
      </c>
      <c r="W3" s="41" t="s">
        <v>41</v>
      </c>
      <c r="X3" s="41" t="s">
        <v>42</v>
      </c>
      <c r="Y3" s="41" t="s">
        <v>43</v>
      </c>
      <c r="Z3" s="41" t="s">
        <v>44</v>
      </c>
      <c r="AA3" s="41"/>
      <c r="AB3" s="41" t="s">
        <v>33</v>
      </c>
      <c r="AC3" s="41" t="s">
        <v>34</v>
      </c>
      <c r="AD3" s="41" t="s">
        <v>35</v>
      </c>
      <c r="AE3" s="41" t="s">
        <v>36</v>
      </c>
      <c r="AF3" s="41" t="s">
        <v>37</v>
      </c>
      <c r="AG3" s="41" t="s">
        <v>38</v>
      </c>
      <c r="AH3" s="41" t="s">
        <v>39</v>
      </c>
      <c r="AI3" s="41" t="s">
        <v>40</v>
      </c>
      <c r="AJ3" s="41" t="s">
        <v>41</v>
      </c>
      <c r="AK3" s="41" t="s">
        <v>42</v>
      </c>
      <c r="AL3" s="41" t="s">
        <v>43</v>
      </c>
      <c r="AM3" s="41" t="s">
        <v>44</v>
      </c>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row>
    <row r="4" spans="1:131">
      <c r="A4" s="9" t="s">
        <v>4686</v>
      </c>
      <c r="B4" s="9"/>
      <c r="C4" s="44">
        <v>24.935350493035692</v>
      </c>
      <c r="D4" s="44">
        <v>45.204258252026108</v>
      </c>
      <c r="E4" s="44">
        <v>9.0408516504052212</v>
      </c>
      <c r="F4" s="44">
        <v>54.245109902431331</v>
      </c>
      <c r="G4" s="44">
        <v>52.588283003814219</v>
      </c>
      <c r="H4" s="44">
        <v>13.321093796784062</v>
      </c>
      <c r="I4" s="44">
        <v>19056.766933274735</v>
      </c>
      <c r="J4" s="44">
        <v>104.9193361819765</v>
      </c>
      <c r="K4" s="44">
        <v>152.54724887599428</v>
      </c>
      <c r="L4" s="453">
        <v>0.26554342336513037</v>
      </c>
      <c r="M4" s="44">
        <v>0.22368050784719049</v>
      </c>
      <c r="N4" s="44">
        <v>2.2927876625621151E-3</v>
      </c>
      <c r="O4" s="44">
        <v>0.85183678551173725</v>
      </c>
      <c r="P4" s="44">
        <v>0.85332991336115749</v>
      </c>
      <c r="Q4" s="44">
        <v>1.0475992456571872</v>
      </c>
      <c r="R4" s="44">
        <v>1.1187308258671338</v>
      </c>
      <c r="S4" s="44">
        <v>1.2901737643457478</v>
      </c>
      <c r="T4" s="44">
        <v>1.4178785669397072</v>
      </c>
      <c r="U4" s="44">
        <v>1.5338909785681261</v>
      </c>
      <c r="V4" s="44">
        <v>1.5188308992759827</v>
      </c>
      <c r="W4" s="44">
        <v>1.1707585518031132</v>
      </c>
      <c r="X4" s="44">
        <v>1.2969588848992453</v>
      </c>
      <c r="Y4" s="44">
        <v>0.9989864318871774</v>
      </c>
      <c r="Z4" s="44">
        <v>0.91849435707603422</v>
      </c>
      <c r="AA4" s="44"/>
      <c r="AB4" s="44">
        <v>0.70597838233062515</v>
      </c>
      <c r="AC4" s="44">
        <v>0.68760663479450812</v>
      </c>
      <c r="AD4" s="44">
        <v>0.72973821833632213</v>
      </c>
      <c r="AE4" s="44">
        <v>0.86945990026681952</v>
      </c>
      <c r="AF4" s="44">
        <v>0.99777492433924475</v>
      </c>
      <c r="AG4" s="44">
        <v>1.0219217944753605</v>
      </c>
      <c r="AH4" s="44">
        <v>1.2921132900212011</v>
      </c>
      <c r="AI4" s="44">
        <v>1.0665173249329549</v>
      </c>
      <c r="AJ4" s="44">
        <v>0.99617451926750844</v>
      </c>
      <c r="AK4" s="44">
        <v>0.91238667401528828</v>
      </c>
      <c r="AL4" s="44">
        <v>0.86625978244752222</v>
      </c>
      <c r="AM4" s="38">
        <v>0.77194984261599053</v>
      </c>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row>
    <row r="5" spans="1:131">
      <c r="A5" s="9" t="s">
        <v>4685</v>
      </c>
      <c r="B5" s="9"/>
      <c r="C5" s="44">
        <v>60.745261234907062</v>
      </c>
      <c r="D5" s="44">
        <v>99.131722333352826</v>
      </c>
      <c r="E5" s="44">
        <v>19.826344466670566</v>
      </c>
      <c r="F5" s="44">
        <v>118.95806680002339</v>
      </c>
      <c r="G5" s="44">
        <v>141.9615842711909</v>
      </c>
      <c r="H5" s="44">
        <v>31.367893616545722</v>
      </c>
      <c r="I5" s="44">
        <v>17154.797658016843</v>
      </c>
      <c r="J5" s="44">
        <v>96.908108080166599</v>
      </c>
      <c r="K5" s="44">
        <v>170.87222615492539</v>
      </c>
      <c r="L5" s="453">
        <v>0.24425204343527213</v>
      </c>
      <c r="M5" s="44">
        <v>0.5111187205224198</v>
      </c>
      <c r="N5" s="44">
        <v>6.8344643711315128E-3</v>
      </c>
      <c r="O5" s="44">
        <v>2.4634833015459514</v>
      </c>
      <c r="P5" s="44">
        <v>2.3193803333862761</v>
      </c>
      <c r="Q5" s="44">
        <v>2.7554904277673056</v>
      </c>
      <c r="R5" s="44">
        <v>2.7525937110167087</v>
      </c>
      <c r="S5" s="44">
        <v>2.9339274063517524</v>
      </c>
      <c r="T5" s="44">
        <v>3.0771074274650565</v>
      </c>
      <c r="U5" s="44">
        <v>3.2677325839512994</v>
      </c>
      <c r="V5" s="44">
        <v>3.6756861959588818</v>
      </c>
      <c r="W5" s="44">
        <v>3.0649151674824666</v>
      </c>
      <c r="X5" s="44">
        <v>3.0335097399788356</v>
      </c>
      <c r="Y5" s="44">
        <v>2.6533700761115377</v>
      </c>
      <c r="Z5" s="44">
        <v>2.6414059705624551</v>
      </c>
      <c r="AA5" s="44"/>
      <c r="AB5" s="44">
        <v>1.9328324127212773</v>
      </c>
      <c r="AC5" s="44">
        <v>1.7663329675169321</v>
      </c>
      <c r="AD5" s="44">
        <v>1.8207213378469842</v>
      </c>
      <c r="AE5" s="44">
        <v>2.1136579447691255</v>
      </c>
      <c r="AF5" s="44">
        <v>2.218509662648668</v>
      </c>
      <c r="AG5" s="44">
        <v>2.1796841398542823</v>
      </c>
      <c r="AH5" s="44">
        <v>2.7105358812739979</v>
      </c>
      <c r="AI5" s="44">
        <v>2.5145517843022107</v>
      </c>
      <c r="AJ5" s="44">
        <v>2.5560054568916764</v>
      </c>
      <c r="AK5" s="44">
        <v>2.0371849484160176</v>
      </c>
      <c r="AL5" s="44">
        <v>2.162088847321268</v>
      </c>
      <c r="AM5" s="38">
        <v>2.0945535097660821</v>
      </c>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row>
    <row r="6" spans="1:131">
      <c r="A6" s="9" t="s">
        <v>4683</v>
      </c>
      <c r="B6" s="9"/>
      <c r="C6" s="44">
        <v>10.2023264489233</v>
      </c>
      <c r="D6" s="44">
        <v>30.245004256070963</v>
      </c>
      <c r="E6" s="44">
        <v>6.0490008512141928</v>
      </c>
      <c r="F6" s="44">
        <v>36.294005107285159</v>
      </c>
      <c r="G6" s="44">
        <v>43.312358742668145</v>
      </c>
      <c r="H6" s="44">
        <v>5.268320263757392</v>
      </c>
      <c r="I6" s="44">
        <v>31163.037796479373</v>
      </c>
      <c r="J6" s="44">
        <v>181.2574232893657</v>
      </c>
      <c r="K6" s="44">
        <v>311.29143633214102</v>
      </c>
      <c r="L6" s="453">
        <v>0.13628884294815743</v>
      </c>
      <c r="M6" s="44">
        <v>8.5843733896548938E-2</v>
      </c>
      <c r="N6" s="44">
        <v>1.1478662730279006E-3</v>
      </c>
      <c r="O6" s="44">
        <v>0.41374850207081521</v>
      </c>
      <c r="P6" s="44">
        <v>0.38954602942462024</v>
      </c>
      <c r="Q6" s="44">
        <v>0.46279186720841126</v>
      </c>
      <c r="R6" s="44">
        <v>0.46230535600870837</v>
      </c>
      <c r="S6" s="44">
        <v>0.49276082724034098</v>
      </c>
      <c r="T6" s="44">
        <v>0.51680828850176741</v>
      </c>
      <c r="U6" s="44">
        <v>0.54882428508015002</v>
      </c>
      <c r="V6" s="44">
        <v>0.61734116756788282</v>
      </c>
      <c r="W6" s="44">
        <v>0.51476056635910517</v>
      </c>
      <c r="X6" s="44">
        <v>0.50948594218025789</v>
      </c>
      <c r="Y6" s="44">
        <v>0.4456404854628952</v>
      </c>
      <c r="Z6" s="44">
        <v>0.44363108245762878</v>
      </c>
      <c r="AA6" s="44"/>
      <c r="AB6" s="44">
        <v>0.32462428911756569</v>
      </c>
      <c r="AC6" s="44">
        <v>0.29666026922520894</v>
      </c>
      <c r="AD6" s="44">
        <v>0.30579493912129063</v>
      </c>
      <c r="AE6" s="44">
        <v>0.35499441298810486</v>
      </c>
      <c r="AF6" s="44">
        <v>0.3726045348772965</v>
      </c>
      <c r="AG6" s="44">
        <v>0.36608368617163956</v>
      </c>
      <c r="AH6" s="44">
        <v>0.45524163284668179</v>
      </c>
      <c r="AI6" s="44">
        <v>0.42232558811404985</v>
      </c>
      <c r="AJ6" s="44">
        <v>0.42928784149261434</v>
      </c>
      <c r="AK6" s="44">
        <v>0.34215057204544069</v>
      </c>
      <c r="AL6" s="44">
        <v>0.36312851049642225</v>
      </c>
      <c r="AM6" s="38">
        <v>0.35178577286439949</v>
      </c>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row>
    <row r="7" spans="1:131">
      <c r="A7" s="9" t="s">
        <v>4684</v>
      </c>
      <c r="B7" s="9"/>
      <c r="C7" s="44">
        <v>34.837179731806977</v>
      </c>
      <c r="D7" s="44">
        <v>104.65682542877411</v>
      </c>
      <c r="E7" s="44">
        <v>20.931365085754823</v>
      </c>
      <c r="F7" s="44">
        <v>125.58819051452893</v>
      </c>
      <c r="G7" s="44">
        <v>149.87380823165134</v>
      </c>
      <c r="H7" s="44">
        <v>17.989369467059721</v>
      </c>
      <c r="I7" s="44">
        <v>31579.839624698845</v>
      </c>
      <c r="J7" s="44">
        <v>183.76715673487709</v>
      </c>
      <c r="K7" s="44">
        <v>315.46947603880625</v>
      </c>
      <c r="L7" s="453">
        <v>0.13451967367924281</v>
      </c>
      <c r="M7" s="44">
        <v>0.29312467127721648</v>
      </c>
      <c r="N7" s="44">
        <v>3.9195397110403747E-3</v>
      </c>
      <c r="O7" s="44">
        <v>1.4127984438223951</v>
      </c>
      <c r="P7" s="44">
        <v>1.3301559314747708</v>
      </c>
      <c r="Q7" s="44">
        <v>1.5802634366850163</v>
      </c>
      <c r="R7" s="44">
        <v>1.5786021804813026</v>
      </c>
      <c r="S7" s="44">
        <v>1.6825963753764515</v>
      </c>
      <c r="T7" s="44">
        <v>1.7647095810508684</v>
      </c>
      <c r="U7" s="44">
        <v>1.8740323941051138</v>
      </c>
      <c r="V7" s="44">
        <v>2.1079922621644376</v>
      </c>
      <c r="W7" s="44">
        <v>1.757717365630016</v>
      </c>
      <c r="X7" s="44">
        <v>1.7397064706193364</v>
      </c>
      <c r="Y7" s="44">
        <v>1.5216977976115444</v>
      </c>
      <c r="Z7" s="44">
        <v>1.5148364279035123</v>
      </c>
      <c r="AA7" s="44"/>
      <c r="AB7" s="44">
        <v>1.1084721472024843</v>
      </c>
      <c r="AC7" s="44">
        <v>1.0129853391797252</v>
      </c>
      <c r="AD7" s="44">
        <v>1.0441768657941386</v>
      </c>
      <c r="AE7" s="44">
        <v>1.2121749123562962</v>
      </c>
      <c r="AF7" s="44">
        <v>1.2723069797258459</v>
      </c>
      <c r="AG7" s="44">
        <v>1.2500406878658297</v>
      </c>
      <c r="AH7" s="44">
        <v>1.5544821726964881</v>
      </c>
      <c r="AI7" s="44">
        <v>1.4420860273514318</v>
      </c>
      <c r="AJ7" s="44">
        <v>1.4658595532723777</v>
      </c>
      <c r="AK7" s="44">
        <v>1.1683179354592714</v>
      </c>
      <c r="AL7" s="44">
        <v>1.2399498535201521</v>
      </c>
      <c r="AM7" s="38">
        <v>1.2012185904581658</v>
      </c>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row>
    <row r="8" spans="1:131">
      <c r="A8" s="9"/>
      <c r="B8" s="9"/>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4"/>
  <dimension ref="A1:EA100"/>
  <sheetViews>
    <sheetView workbookViewId="0">
      <selection activeCell="A18" sqref="A18:EA100"/>
    </sheetView>
  </sheetViews>
  <sheetFormatPr defaultRowHeight="12.75"/>
  <cols>
    <col min="1" max="1" width="71.42578125" bestFit="1" customWidth="1"/>
    <col min="2" max="2" width="18.7109375" customWidth="1"/>
    <col min="3" max="3" width="18" customWidth="1"/>
    <col min="7" max="7" width="13.42578125" customWidth="1"/>
    <col min="15" max="15" width="11.140625" customWidth="1"/>
  </cols>
  <sheetData>
    <row r="1" spans="1:20">
      <c r="A1" s="1" t="s">
        <v>0</v>
      </c>
      <c r="B1" s="2"/>
      <c r="C1" s="2"/>
      <c r="D1" s="2"/>
      <c r="E1" s="2"/>
      <c r="F1" s="2"/>
      <c r="G1" s="2"/>
      <c r="H1" s="3"/>
      <c r="I1" s="4"/>
      <c r="J1" s="4"/>
      <c r="K1" s="4"/>
      <c r="L1" s="4"/>
      <c r="M1" s="4"/>
      <c r="N1" s="5"/>
      <c r="O1" s="6"/>
      <c r="P1" s="5"/>
    </row>
    <row r="2" spans="1:20">
      <c r="A2" s="10" t="s">
        <v>1</v>
      </c>
      <c r="B2" s="3"/>
      <c r="C2" s="3"/>
      <c r="D2" s="3"/>
      <c r="E2" s="3"/>
      <c r="F2" s="3"/>
      <c r="G2" s="3"/>
      <c r="H2" s="3"/>
      <c r="I2" s="4"/>
      <c r="J2" s="4"/>
      <c r="K2" s="4"/>
      <c r="L2" s="4"/>
      <c r="M2" s="4"/>
      <c r="N2" s="5"/>
      <c r="O2" s="5"/>
      <c r="P2" s="5"/>
    </row>
    <row r="3" spans="1:20">
      <c r="A3" s="10" t="s">
        <v>2</v>
      </c>
      <c r="B3" s="9"/>
      <c r="C3" s="10">
        <v>2012</v>
      </c>
      <c r="D3" s="9"/>
      <c r="E3" s="9"/>
      <c r="F3" s="9"/>
      <c r="G3" s="9"/>
      <c r="H3" s="9"/>
      <c r="I3" s="9"/>
      <c r="J3" s="11"/>
      <c r="K3" s="12"/>
      <c r="L3" s="9"/>
      <c r="M3" s="9"/>
      <c r="N3" s="9"/>
      <c r="O3" s="9"/>
      <c r="P3" s="9"/>
    </row>
    <row r="4" spans="1:20">
      <c r="A4" s="9"/>
      <c r="B4" s="9"/>
      <c r="C4" s="9"/>
      <c r="D4" s="9"/>
      <c r="E4" s="9"/>
      <c r="F4" s="9"/>
      <c r="G4" s="9"/>
      <c r="H4" s="9"/>
      <c r="I4" s="9"/>
      <c r="J4" s="9"/>
      <c r="K4" s="9"/>
      <c r="L4" s="9"/>
      <c r="M4" s="9"/>
      <c r="N4" s="9"/>
      <c r="O4" s="9"/>
      <c r="P4" s="9"/>
    </row>
    <row r="5" spans="1:20">
      <c r="A5" s="13">
        <v>1</v>
      </c>
      <c r="B5" s="13">
        <v>2</v>
      </c>
      <c r="C5" s="13">
        <v>3</v>
      </c>
      <c r="D5" s="13">
        <v>4</v>
      </c>
      <c r="E5" s="13">
        <v>5</v>
      </c>
      <c r="F5" s="13">
        <v>6</v>
      </c>
      <c r="G5" s="13">
        <v>7</v>
      </c>
      <c r="H5" s="13">
        <v>8</v>
      </c>
      <c r="I5" s="13">
        <v>9</v>
      </c>
      <c r="J5" s="13">
        <v>10</v>
      </c>
      <c r="K5" s="13">
        <v>11</v>
      </c>
      <c r="L5" s="13">
        <v>12</v>
      </c>
      <c r="M5" s="13">
        <v>13</v>
      </c>
      <c r="N5" s="13">
        <v>14</v>
      </c>
      <c r="O5" s="13">
        <v>15</v>
      </c>
      <c r="P5" s="13">
        <v>16</v>
      </c>
    </row>
    <row r="6" spans="1:20">
      <c r="A6" s="14" t="s">
        <v>3</v>
      </c>
      <c r="B6" s="15"/>
      <c r="C6" s="15"/>
      <c r="D6" s="15"/>
      <c r="E6" s="15"/>
      <c r="F6" s="15"/>
      <c r="G6" s="16"/>
      <c r="H6" s="17"/>
      <c r="I6" s="494" t="s">
        <v>4</v>
      </c>
      <c r="J6" s="495"/>
      <c r="K6" s="495"/>
      <c r="L6" s="495"/>
      <c r="M6" s="495"/>
      <c r="N6" s="496"/>
      <c r="O6" s="497" t="s">
        <v>5</v>
      </c>
      <c r="P6" s="498"/>
      <c r="Q6" s="430" t="s">
        <v>4713</v>
      </c>
      <c r="R6" s="499" t="s">
        <v>4714</v>
      </c>
      <c r="S6" s="499"/>
      <c r="T6" s="499"/>
    </row>
    <row r="7" spans="1:20" ht="38.25">
      <c r="A7" s="23" t="s">
        <v>6</v>
      </c>
      <c r="B7" s="23" t="s">
        <v>7</v>
      </c>
      <c r="C7" s="23" t="s">
        <v>8</v>
      </c>
      <c r="D7" s="23" t="s">
        <v>9</v>
      </c>
      <c r="E7" s="23" t="s">
        <v>10</v>
      </c>
      <c r="F7" s="23" t="s">
        <v>11</v>
      </c>
      <c r="G7" s="23" t="s">
        <v>12</v>
      </c>
      <c r="H7" s="23" t="s">
        <v>13</v>
      </c>
      <c r="I7" s="23" t="s">
        <v>14</v>
      </c>
      <c r="J7" s="23" t="s">
        <v>15</v>
      </c>
      <c r="K7" s="23" t="s">
        <v>16</v>
      </c>
      <c r="L7" s="23" t="s">
        <v>17</v>
      </c>
      <c r="M7" s="23" t="s">
        <v>18</v>
      </c>
      <c r="N7" s="23" t="s">
        <v>19</v>
      </c>
      <c r="O7" s="24" t="s">
        <v>20</v>
      </c>
      <c r="P7" s="23" t="s">
        <v>12</v>
      </c>
      <c r="Q7" s="431" t="s">
        <v>4715</v>
      </c>
      <c r="R7" s="432" t="s">
        <v>4716</v>
      </c>
      <c r="S7" s="432" t="s">
        <v>4717</v>
      </c>
      <c r="T7" s="432" t="s">
        <v>4718</v>
      </c>
    </row>
    <row r="8" spans="1:20">
      <c r="A8" t="str">
        <f>Composite!C37</f>
        <v>Std Size Refrig and Refrig-Freezer - CEE Tier 1</v>
      </c>
      <c r="B8" t="str">
        <f>Composite!D37</f>
        <v>Std Size Refrig and Refrig-Freezer - CEE Tier 1</v>
      </c>
      <c r="C8">
        <f>Composite!E37</f>
        <v>10.842807929192544</v>
      </c>
      <c r="D8" s="50">
        <f>Composite!F37</f>
        <v>15.18</v>
      </c>
      <c r="E8">
        <f>Composite!G37</f>
        <v>30.245004256070963</v>
      </c>
      <c r="F8">
        <f>Composite!H37</f>
        <v>0</v>
      </c>
      <c r="G8" t="s">
        <v>4724</v>
      </c>
      <c r="H8">
        <f>Composite!J37</f>
        <v>0</v>
      </c>
      <c r="I8">
        <f>Composite!K37</f>
        <v>0</v>
      </c>
      <c r="J8">
        <f>Composite!L37</f>
        <v>0</v>
      </c>
      <c r="K8">
        <f>Composite!M37</f>
        <v>0</v>
      </c>
      <c r="L8">
        <f>Composite!N37</f>
        <v>0</v>
      </c>
      <c r="M8">
        <f>Composite!O37</f>
        <v>0</v>
      </c>
      <c r="N8">
        <f>Composite!P37</f>
        <v>0</v>
      </c>
      <c r="Q8" t="s">
        <v>4719</v>
      </c>
    </row>
    <row r="9" spans="1:20">
      <c r="A9" t="str">
        <f>Composite!C38</f>
        <v>Std Size Refrig and Refrig-Freezer - CEE Tier 2</v>
      </c>
      <c r="B9" t="str">
        <f>Composite!D38</f>
        <v>Std Size Refrig and Refrig-Freezer - CEE Tier 2</v>
      </c>
      <c r="C9">
        <f>Composite!E38</f>
        <v>37.024187622089514</v>
      </c>
      <c r="D9" s="50">
        <f>Composite!F38</f>
        <v>15.18</v>
      </c>
      <c r="E9">
        <f>Composite!G38</f>
        <v>104.65682542877411</v>
      </c>
      <c r="F9">
        <f>Composite!H38</f>
        <v>0</v>
      </c>
      <c r="G9" t="s">
        <v>4724</v>
      </c>
      <c r="H9">
        <f>Composite!J38</f>
        <v>0</v>
      </c>
      <c r="I9">
        <f>Composite!K38</f>
        <v>0</v>
      </c>
      <c r="J9">
        <f>Composite!L38</f>
        <v>0</v>
      </c>
      <c r="K9">
        <f>Composite!M38</f>
        <v>0</v>
      </c>
      <c r="L9">
        <f>Composite!N38</f>
        <v>0</v>
      </c>
      <c r="M9">
        <f>Composite!O38</f>
        <v>0</v>
      </c>
      <c r="N9">
        <f>Composite!P38</f>
        <v>0</v>
      </c>
      <c r="Q9" t="s">
        <v>4719</v>
      </c>
    </row>
    <row r="10" spans="1:20">
      <c r="A10" t="str">
        <f>Composite!C39</f>
        <v>Std Size Refrig and Refrig-Freezer - CEE Tier 3</v>
      </c>
      <c r="B10" t="str">
        <f>Composite!D39</f>
        <v>Std Size Refrig and Refrig-Freezer - CEE Tier 3</v>
      </c>
      <c r="C10">
        <f>Composite!E39</f>
        <v>64.558726235253246</v>
      </c>
      <c r="D10" s="50">
        <f>Composite!F39</f>
        <v>15.18</v>
      </c>
      <c r="E10">
        <f>Composite!G39</f>
        <v>99.131722333352826</v>
      </c>
      <c r="F10">
        <f>Composite!H39</f>
        <v>0</v>
      </c>
      <c r="G10" t="s">
        <v>4724</v>
      </c>
      <c r="H10">
        <f>Composite!J39</f>
        <v>0</v>
      </c>
      <c r="I10">
        <f>Composite!K39</f>
        <v>0</v>
      </c>
      <c r="J10">
        <f>Composite!L39</f>
        <v>0</v>
      </c>
      <c r="K10">
        <f>Composite!M39</f>
        <v>0</v>
      </c>
      <c r="L10">
        <f>Composite!N39</f>
        <v>0</v>
      </c>
      <c r="M10">
        <f>Composite!O39</f>
        <v>0</v>
      </c>
      <c r="N10">
        <f>Composite!P39</f>
        <v>0</v>
      </c>
      <c r="Q10" t="s">
        <v>4719</v>
      </c>
    </row>
    <row r="11" spans="1:20">
      <c r="A11" t="str">
        <f>Composite!C40</f>
        <v>Std Size Freezer - ENERGY STAR</v>
      </c>
      <c r="B11" t="str">
        <f>Composite!D40</f>
        <v>Std Size Freezer - ENERGY STAR</v>
      </c>
      <c r="C11">
        <f>Composite!E40</f>
        <v>24.841753090909091</v>
      </c>
      <c r="D11" s="50">
        <f>Composite!F40</f>
        <v>21.73469387755102</v>
      </c>
      <c r="E11">
        <f>Composite!G40</f>
        <v>45.204258252026108</v>
      </c>
      <c r="F11">
        <f>Composite!H40</f>
        <v>0</v>
      </c>
      <c r="G11" t="s">
        <v>4725</v>
      </c>
      <c r="H11">
        <f>Composite!J40</f>
        <v>0</v>
      </c>
      <c r="I11">
        <f>Composite!K40</f>
        <v>0</v>
      </c>
      <c r="J11">
        <f>Composite!L40</f>
        <v>0</v>
      </c>
      <c r="K11">
        <f>Composite!M40</f>
        <v>0</v>
      </c>
      <c r="L11">
        <f>Composite!N40</f>
        <v>0</v>
      </c>
      <c r="M11">
        <f>Composite!O40</f>
        <v>0</v>
      </c>
      <c r="N11">
        <f>Composite!P40</f>
        <v>0</v>
      </c>
      <c r="Q11" t="s">
        <v>4719</v>
      </c>
    </row>
    <row r="12" spans="1:20">
      <c r="A12" t="str">
        <f>Composite!C41</f>
        <v>Std Size Refrig and Refrig-Freezer - CEE Tier 1</v>
      </c>
      <c r="B12" t="str">
        <f>Composite!D41</f>
        <v>Std Size Refrig and Refrig-Freezer - CEE Tier 1_HVAC</v>
      </c>
      <c r="C12">
        <f>Composite!E41</f>
        <v>-1.3332910621703205</v>
      </c>
      <c r="D12" s="50">
        <f>Composite!F41</f>
        <v>15.18</v>
      </c>
      <c r="E12">
        <f>Composite!G41</f>
        <v>0</v>
      </c>
      <c r="F12">
        <f>Composite!H41</f>
        <v>0</v>
      </c>
      <c r="G12" t="s">
        <v>4724</v>
      </c>
      <c r="H12">
        <f>Composite!J41</f>
        <v>0</v>
      </c>
      <c r="I12">
        <f>Composite!K41</f>
        <v>0</v>
      </c>
      <c r="J12">
        <f>Composite!L41</f>
        <v>0</v>
      </c>
      <c r="K12">
        <f>Composite!M41</f>
        <v>0</v>
      </c>
      <c r="L12">
        <f>Composite!N41</f>
        <v>0</v>
      </c>
      <c r="M12">
        <f>Composite!O41</f>
        <v>0</v>
      </c>
      <c r="N12">
        <f>Composite!P41</f>
        <v>0</v>
      </c>
      <c r="O12">
        <f>Composite!Q41</f>
        <v>-9.3759564279475016E-2</v>
      </c>
      <c r="P12" t="s">
        <v>4726</v>
      </c>
      <c r="Q12" t="s">
        <v>4719</v>
      </c>
    </row>
    <row r="13" spans="1:20">
      <c r="A13" t="str">
        <f>Composite!C42</f>
        <v>Std Size Refrig and Refrig-Freezer - CEE Tier 2</v>
      </c>
      <c r="B13" t="str">
        <f>Composite!D42</f>
        <v>Std Size Refrig and Refrig-Freezer - CEE Tier 2_HVAC</v>
      </c>
      <c r="C13">
        <f>Composite!E42</f>
        <v>-4.5526969363483927</v>
      </c>
      <c r="D13" s="50">
        <f>Composite!F42</f>
        <v>15.18</v>
      </c>
      <c r="E13">
        <f>Composite!G42</f>
        <v>0</v>
      </c>
      <c r="F13">
        <f>Composite!H42</f>
        <v>0</v>
      </c>
      <c r="G13" t="s">
        <v>4724</v>
      </c>
      <c r="H13">
        <f>Composite!J42</f>
        <v>0</v>
      </c>
      <c r="I13">
        <f>Composite!K42</f>
        <v>0</v>
      </c>
      <c r="J13">
        <f>Composite!L42</f>
        <v>0</v>
      </c>
      <c r="K13">
        <f>Composite!M42</f>
        <v>0</v>
      </c>
      <c r="L13">
        <f>Composite!N42</f>
        <v>0</v>
      </c>
      <c r="M13">
        <f>Composite!O42</f>
        <v>0</v>
      </c>
      <c r="N13">
        <f>Composite!P42</f>
        <v>0</v>
      </c>
      <c r="O13">
        <f>Composite!Q42</f>
        <v>-0.32015431075768913</v>
      </c>
      <c r="P13" t="s">
        <v>4726</v>
      </c>
      <c r="Q13" t="s">
        <v>4719</v>
      </c>
    </row>
    <row r="14" spans="1:20">
      <c r="A14" t="str">
        <f>Composite!C43</f>
        <v>Std Size Refrig and Refrig-Freezer - CEE Tier 3</v>
      </c>
      <c r="B14" t="str">
        <f>Composite!D43</f>
        <v>Std Size Refrig and Refrig-Freezer - CEE Tier 3_HVAC</v>
      </c>
      <c r="C14">
        <f>Composite!E43</f>
        <v>-7.9384946442534385</v>
      </c>
      <c r="D14" s="50">
        <f>Composite!F43</f>
        <v>15.18</v>
      </c>
      <c r="E14">
        <f>Composite!G43</f>
        <v>0</v>
      </c>
      <c r="F14">
        <f>Composite!H43</f>
        <v>0</v>
      </c>
      <c r="G14" t="s">
        <v>4724</v>
      </c>
      <c r="H14">
        <f>Composite!J43</f>
        <v>0</v>
      </c>
      <c r="I14">
        <f>Composite!K43</f>
        <v>0</v>
      </c>
      <c r="J14">
        <f>Composite!L43</f>
        <v>0</v>
      </c>
      <c r="K14">
        <f>Composite!M43</f>
        <v>0</v>
      </c>
      <c r="L14">
        <f>Composite!N43</f>
        <v>0</v>
      </c>
      <c r="M14">
        <f>Composite!O43</f>
        <v>0</v>
      </c>
      <c r="N14">
        <f>Composite!P43</f>
        <v>0</v>
      </c>
      <c r="O14">
        <f>Composite!Q43</f>
        <v>-0.55825004756918339</v>
      </c>
      <c r="P14" t="s">
        <v>4726</v>
      </c>
      <c r="Q14" t="s">
        <v>4719</v>
      </c>
    </row>
    <row r="15" spans="1:20">
      <c r="A15" t="str">
        <f>Composite!C44</f>
        <v>Std Size Freezer - ENERGY STAR</v>
      </c>
      <c r="B15" t="str">
        <f>Composite!D44</f>
        <v>Std Size Freezer - ENERGY STAR_HVAC</v>
      </c>
      <c r="C15">
        <f>Composite!E44</f>
        <v>-1.5894451189684815</v>
      </c>
      <c r="D15" s="50">
        <f>Composite!F44</f>
        <v>21.73469387755102</v>
      </c>
      <c r="E15">
        <f>Composite!G44</f>
        <v>0</v>
      </c>
      <c r="F15">
        <f>Composite!H44</f>
        <v>0</v>
      </c>
      <c r="G15" t="s">
        <v>4725</v>
      </c>
      <c r="H15">
        <f>Composite!J44</f>
        <v>0</v>
      </c>
      <c r="I15">
        <f>Composite!K44</f>
        <v>0</v>
      </c>
      <c r="J15">
        <f>Composite!L44</f>
        <v>0</v>
      </c>
      <c r="K15">
        <f>Composite!M44</f>
        <v>0</v>
      </c>
      <c r="L15">
        <f>Composite!N44</f>
        <v>0</v>
      </c>
      <c r="M15">
        <f>Composite!O44</f>
        <v>0</v>
      </c>
      <c r="N15">
        <f>Composite!P44</f>
        <v>0</v>
      </c>
      <c r="O15">
        <f>Composite!Q44</f>
        <v>-0.11177280492531043</v>
      </c>
      <c r="P15" t="s">
        <v>4726</v>
      </c>
      <c r="Q15" t="s">
        <v>4719</v>
      </c>
    </row>
    <row r="18" spans="1:131">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row>
    <row r="19" spans="1:131">
      <c r="A19" s="435" t="s">
        <v>4727</v>
      </c>
      <c r="B19" s="436"/>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row>
    <row r="20" spans="1:131">
      <c r="A20" s="9" t="s">
        <v>4728</v>
      </c>
      <c r="B20" s="9" t="s">
        <v>4729</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row>
    <row r="21" spans="1:131">
      <c r="A21" s="9" t="s">
        <v>4730</v>
      </c>
      <c r="B21" s="9" t="s">
        <v>4987</v>
      </c>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row>
    <row r="22" spans="1: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row>
    <row r="23" spans="1:131" ht="13.5" thickBot="1">
      <c r="A23" s="36" t="s">
        <v>4731</v>
      </c>
      <c r="B23" s="437"/>
      <c r="C23" s="437"/>
      <c r="D23" s="437"/>
      <c r="E23" s="437"/>
      <c r="F23" s="437"/>
      <c r="G23" s="437"/>
      <c r="H23" s="437"/>
      <c r="I23" s="437"/>
      <c r="J23" s="437"/>
      <c r="K23" s="437"/>
      <c r="L23" s="437"/>
      <c r="M23" s="437"/>
      <c r="N23" s="437"/>
      <c r="O23" s="437"/>
      <c r="P23" s="437"/>
      <c r="Q23" s="437"/>
      <c r="R23" s="437"/>
      <c r="S23" s="437"/>
      <c r="T23" s="437"/>
      <c r="U23" s="437"/>
      <c r="V23" s="437"/>
      <c r="W23" s="437"/>
      <c r="X23" s="437"/>
      <c r="Y23" s="437"/>
      <c r="Z23" s="437"/>
      <c r="AA23" s="437"/>
      <c r="AB23" s="437"/>
      <c r="AC23" s="437"/>
      <c r="AD23" s="437"/>
      <c r="AE23" s="437"/>
      <c r="AF23" s="437"/>
      <c r="AG23" s="437"/>
      <c r="AH23" s="437"/>
      <c r="AI23" s="37"/>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row>
    <row r="24" spans="1:131">
      <c r="A24" s="9"/>
      <c r="B24" s="438" t="s">
        <v>4732</v>
      </c>
      <c r="C24" s="439"/>
      <c r="D24" s="439" t="s">
        <v>4732</v>
      </c>
      <c r="E24" s="440"/>
      <c r="F24" s="9"/>
      <c r="G24" s="438" t="s">
        <v>4733</v>
      </c>
      <c r="H24" s="439"/>
      <c r="I24" s="439"/>
      <c r="J24" s="439"/>
      <c r="K24" s="439"/>
      <c r="L24" s="439"/>
      <c r="M24" s="439"/>
      <c r="N24" s="439"/>
      <c r="O24" s="440"/>
      <c r="P24" s="9"/>
      <c r="Q24" s="438" t="s">
        <v>4734</v>
      </c>
      <c r="R24" s="439"/>
      <c r="S24" s="439"/>
      <c r="T24" s="439"/>
      <c r="U24" s="440"/>
      <c r="V24" s="9"/>
      <c r="W24" s="438" t="s">
        <v>4735</v>
      </c>
      <c r="X24" s="440"/>
      <c r="Y24" s="9"/>
      <c r="Z24" s="438" t="s">
        <v>4736</v>
      </c>
      <c r="AA24" s="439"/>
      <c r="AB24" s="440"/>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row>
    <row r="25" spans="1:131">
      <c r="A25" s="9"/>
      <c r="B25" s="441" t="s">
        <v>4737</v>
      </c>
      <c r="C25" s="375" t="s">
        <v>4738</v>
      </c>
      <c r="D25" s="375" t="s">
        <v>4737</v>
      </c>
      <c r="E25" s="442" t="s">
        <v>4738</v>
      </c>
      <c r="F25" s="9"/>
      <c r="G25" s="441" t="s">
        <v>4739</v>
      </c>
      <c r="H25" s="375" t="s">
        <v>4938</v>
      </c>
      <c r="I25" s="375"/>
      <c r="J25" s="375"/>
      <c r="K25" s="375" t="s">
        <v>4740</v>
      </c>
      <c r="L25" s="375"/>
      <c r="M25" s="375"/>
      <c r="N25" s="375"/>
      <c r="O25" s="442"/>
      <c r="P25" s="9"/>
      <c r="Q25" s="441"/>
      <c r="R25" s="375" t="s">
        <v>4741</v>
      </c>
      <c r="S25" s="375" t="s">
        <v>4742</v>
      </c>
      <c r="T25" s="375" t="s">
        <v>4743</v>
      </c>
      <c r="U25" s="442" t="s">
        <v>4744</v>
      </c>
      <c r="V25" s="9"/>
      <c r="W25" s="441" t="s">
        <v>4745</v>
      </c>
      <c r="X25" s="442">
        <v>20</v>
      </c>
      <c r="Y25" s="9"/>
      <c r="Z25" s="441"/>
      <c r="AA25" s="375" t="s">
        <v>4738</v>
      </c>
      <c r="AB25" s="442" t="s">
        <v>4746</v>
      </c>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row>
    <row r="26" spans="1:131">
      <c r="A26" s="9"/>
      <c r="B26" s="441" t="s">
        <v>4747</v>
      </c>
      <c r="C26" s="375" t="s">
        <v>4748</v>
      </c>
      <c r="D26" s="375" t="s">
        <v>4747</v>
      </c>
      <c r="E26" s="442" t="s">
        <v>4748</v>
      </c>
      <c r="F26" s="9"/>
      <c r="G26" s="441" t="s">
        <v>4749</v>
      </c>
      <c r="H26" s="375" t="s">
        <v>4750</v>
      </c>
      <c r="I26" s="375"/>
      <c r="J26" s="375"/>
      <c r="K26" s="375" t="s">
        <v>4751</v>
      </c>
      <c r="L26" s="375"/>
      <c r="M26" s="375"/>
      <c r="N26" s="375"/>
      <c r="O26" s="442"/>
      <c r="P26" s="9"/>
      <c r="Q26" s="441" t="s">
        <v>4752</v>
      </c>
      <c r="R26" s="375">
        <v>4.3096045197740109E-2</v>
      </c>
      <c r="S26" s="375">
        <v>4.387844424080023E-2</v>
      </c>
      <c r="T26" s="375">
        <v>5.3289007766645871E-2</v>
      </c>
      <c r="U26" s="442">
        <v>5.447903102274565E-2</v>
      </c>
      <c r="V26" s="9"/>
      <c r="W26" s="441" t="s">
        <v>4753</v>
      </c>
      <c r="X26" s="442">
        <v>2016</v>
      </c>
      <c r="Y26" s="9"/>
      <c r="Z26" s="441" t="s">
        <v>4754</v>
      </c>
      <c r="AA26" s="375">
        <v>4.03890184699085E-3</v>
      </c>
      <c r="AB26" s="442">
        <v>0.01</v>
      </c>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row>
    <row r="27" spans="1:131">
      <c r="A27" s="9"/>
      <c r="B27" s="441" t="s">
        <v>4755</v>
      </c>
      <c r="C27" s="375" t="s">
        <v>4756</v>
      </c>
      <c r="D27" s="375" t="s">
        <v>4755</v>
      </c>
      <c r="E27" s="442" t="s">
        <v>4756</v>
      </c>
      <c r="F27" s="9"/>
      <c r="G27" s="441" t="s">
        <v>4757</v>
      </c>
      <c r="H27" s="375" t="s">
        <v>4758</v>
      </c>
      <c r="I27" s="375"/>
      <c r="J27" s="375"/>
      <c r="K27" s="375" t="s">
        <v>4759</v>
      </c>
      <c r="L27" s="375"/>
      <c r="M27" s="375"/>
      <c r="N27" s="375"/>
      <c r="O27" s="442"/>
      <c r="P27" s="9"/>
      <c r="Q27" s="441" t="s">
        <v>4760</v>
      </c>
      <c r="R27" s="375">
        <v>12</v>
      </c>
      <c r="S27" s="375">
        <v>12</v>
      </c>
      <c r="T27" s="375">
        <v>1</v>
      </c>
      <c r="U27" s="442">
        <v>1</v>
      </c>
      <c r="V27" s="9"/>
      <c r="W27" s="441" t="s">
        <v>4761</v>
      </c>
      <c r="X27" s="442">
        <v>2016</v>
      </c>
      <c r="Y27" s="9"/>
      <c r="Z27" s="441" t="s">
        <v>4762</v>
      </c>
      <c r="AA27" s="375">
        <v>26</v>
      </c>
      <c r="AB27" s="442">
        <v>0</v>
      </c>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row>
    <row r="28" spans="1:131" ht="13.5" thickBot="1">
      <c r="A28" s="9"/>
      <c r="B28" s="443" t="s">
        <v>4763</v>
      </c>
      <c r="C28" s="444" t="s">
        <v>4756</v>
      </c>
      <c r="D28" s="444" t="s">
        <v>4763</v>
      </c>
      <c r="E28" s="445" t="s">
        <v>4756</v>
      </c>
      <c r="F28" s="9"/>
      <c r="G28" s="441" t="s">
        <v>4764</v>
      </c>
      <c r="H28" s="375" t="s">
        <v>4765</v>
      </c>
      <c r="I28" s="375"/>
      <c r="J28" s="375"/>
      <c r="K28" s="375" t="s">
        <v>4751</v>
      </c>
      <c r="L28" s="375"/>
      <c r="M28" s="375"/>
      <c r="N28" s="375"/>
      <c r="O28" s="442"/>
      <c r="P28" s="9"/>
      <c r="Q28" s="441"/>
      <c r="R28" s="375" t="s">
        <v>4741</v>
      </c>
      <c r="S28" s="375" t="s">
        <v>4742</v>
      </c>
      <c r="T28" s="375" t="s">
        <v>4743</v>
      </c>
      <c r="U28" s="442" t="s">
        <v>4744</v>
      </c>
      <c r="V28" s="9"/>
      <c r="W28" s="441" t="s">
        <v>4766</v>
      </c>
      <c r="X28" s="442">
        <v>2012</v>
      </c>
      <c r="Y28" s="9"/>
      <c r="Z28" s="441" t="s">
        <v>4767</v>
      </c>
      <c r="AA28" s="375">
        <v>0.9</v>
      </c>
      <c r="AB28" s="442" t="s">
        <v>4768</v>
      </c>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row>
    <row r="29" spans="1:131">
      <c r="A29" s="9"/>
      <c r="B29" s="9"/>
      <c r="C29" s="9"/>
      <c r="D29" s="9"/>
      <c r="E29" s="9"/>
      <c r="F29" s="9"/>
      <c r="G29" s="441" t="s">
        <v>4769</v>
      </c>
      <c r="H29" s="375" t="s">
        <v>4758</v>
      </c>
      <c r="I29" s="375"/>
      <c r="J29" s="375"/>
      <c r="K29" s="375"/>
      <c r="L29" s="375"/>
      <c r="M29" s="375"/>
      <c r="N29" s="375"/>
      <c r="O29" s="442"/>
      <c r="P29" s="9"/>
      <c r="Q29" s="441" t="s">
        <v>4770</v>
      </c>
      <c r="R29" s="375">
        <v>0.35</v>
      </c>
      <c r="S29" s="375">
        <v>0.19500000000000001</v>
      </c>
      <c r="T29" s="375">
        <v>0.45499999999999996</v>
      </c>
      <c r="U29" s="442">
        <v>0</v>
      </c>
      <c r="V29" s="9"/>
      <c r="W29" s="441" t="s">
        <v>4771</v>
      </c>
      <c r="X29" s="442">
        <v>0.04</v>
      </c>
      <c r="Y29" s="9"/>
      <c r="Z29" s="441" t="s">
        <v>4772</v>
      </c>
      <c r="AA29" s="375">
        <v>4.7399348199455904E-2</v>
      </c>
      <c r="AB29" s="442">
        <v>0</v>
      </c>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row>
    <row r="30" spans="1:131">
      <c r="A30" s="9"/>
      <c r="B30" s="9" t="s">
        <v>4773</v>
      </c>
      <c r="C30" s="9" t="s">
        <v>4738</v>
      </c>
      <c r="D30" s="9"/>
      <c r="E30" s="9"/>
      <c r="F30" s="9"/>
      <c r="G30" s="441" t="s">
        <v>4774</v>
      </c>
      <c r="H30" s="375" t="s">
        <v>4775</v>
      </c>
      <c r="I30" s="375"/>
      <c r="J30" s="375"/>
      <c r="K30" s="375" t="s">
        <v>4776</v>
      </c>
      <c r="L30" s="375"/>
      <c r="M30" s="375"/>
      <c r="N30" s="375"/>
      <c r="O30" s="442"/>
      <c r="P30" s="9"/>
      <c r="Q30" s="441" t="s">
        <v>4777</v>
      </c>
      <c r="R30" s="375">
        <v>1</v>
      </c>
      <c r="S30" s="375">
        <v>0</v>
      </c>
      <c r="T30" s="375">
        <v>0</v>
      </c>
      <c r="U30" s="442">
        <v>0</v>
      </c>
      <c r="V30" s="9"/>
      <c r="W30" s="441" t="s">
        <v>4778</v>
      </c>
      <c r="X30" s="442">
        <v>0</v>
      </c>
      <c r="Y30" s="9"/>
      <c r="Z30" s="441" t="s">
        <v>4779</v>
      </c>
      <c r="AA30" s="375">
        <v>31</v>
      </c>
      <c r="AB30" s="442">
        <v>0</v>
      </c>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row>
    <row r="31" spans="1:131">
      <c r="A31" s="9"/>
      <c r="B31" s="9" t="s">
        <v>4780</v>
      </c>
      <c r="C31" s="9" t="s">
        <v>4781</v>
      </c>
      <c r="D31" s="9"/>
      <c r="E31" s="9"/>
      <c r="F31" s="9"/>
      <c r="G31" s="441" t="s">
        <v>4782</v>
      </c>
      <c r="H31" s="375" t="s">
        <v>4776</v>
      </c>
      <c r="I31" s="375"/>
      <c r="J31" s="375"/>
      <c r="K31" s="375" t="s">
        <v>4783</v>
      </c>
      <c r="L31" s="375"/>
      <c r="M31" s="375"/>
      <c r="N31" s="375"/>
      <c r="O31" s="442"/>
      <c r="P31" s="9"/>
      <c r="Q31" s="441" t="s">
        <v>4784</v>
      </c>
      <c r="R31" s="375">
        <v>1</v>
      </c>
      <c r="S31" s="375">
        <v>0</v>
      </c>
      <c r="T31" s="375">
        <v>0</v>
      </c>
      <c r="U31" s="442">
        <v>0</v>
      </c>
      <c r="V31" s="9"/>
      <c r="W31" s="441" t="s">
        <v>4785</v>
      </c>
      <c r="X31" s="442">
        <v>0.2</v>
      </c>
      <c r="Y31" s="9"/>
      <c r="Z31" s="441" t="s">
        <v>4786</v>
      </c>
      <c r="AA31" s="375">
        <v>0.7</v>
      </c>
      <c r="AB31" s="442" t="s">
        <v>4768</v>
      </c>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row>
    <row r="32" spans="1:131">
      <c r="A32" s="9"/>
      <c r="B32" s="9" t="s">
        <v>4787</v>
      </c>
      <c r="C32" s="9" t="s">
        <v>4788</v>
      </c>
      <c r="D32" s="9"/>
      <c r="E32" s="9"/>
      <c r="F32" s="9"/>
      <c r="G32" s="441" t="s">
        <v>4789</v>
      </c>
      <c r="H32" s="375" t="s">
        <v>4783</v>
      </c>
      <c r="I32" s="375"/>
      <c r="J32" s="375"/>
      <c r="K32" s="375" t="s">
        <v>4790</v>
      </c>
      <c r="L32" s="375"/>
      <c r="M32" s="375"/>
      <c r="N32" s="375"/>
      <c r="O32" s="442"/>
      <c r="P32" s="9"/>
      <c r="Q32" s="441" t="s">
        <v>4791</v>
      </c>
      <c r="R32" s="375"/>
      <c r="S32" s="375">
        <v>0.3</v>
      </c>
      <c r="T32" s="375">
        <v>0.7</v>
      </c>
      <c r="U32" s="442">
        <v>0</v>
      </c>
      <c r="V32" s="9"/>
      <c r="W32" s="441" t="s">
        <v>4792</v>
      </c>
      <c r="X32" s="442">
        <v>0</v>
      </c>
      <c r="Y32" s="9"/>
      <c r="Z32" s="441" t="s">
        <v>4793</v>
      </c>
      <c r="AA32" s="375">
        <v>0</v>
      </c>
      <c r="AB32" s="442">
        <v>0</v>
      </c>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row>
    <row r="33" spans="1:131" ht="13.5" thickBot="1">
      <c r="A33" s="9"/>
      <c r="B33" s="9" t="s">
        <v>4794</v>
      </c>
      <c r="C33" s="9" t="s">
        <v>4795</v>
      </c>
      <c r="D33" s="9"/>
      <c r="E33" s="9"/>
      <c r="F33" s="9"/>
      <c r="G33" s="443" t="s">
        <v>4796</v>
      </c>
      <c r="H33" s="444" t="s">
        <v>4790</v>
      </c>
      <c r="I33" s="444"/>
      <c r="J33" s="444"/>
      <c r="K33" s="444"/>
      <c r="L33" s="444"/>
      <c r="M33" s="444"/>
      <c r="N33" s="444"/>
      <c r="O33" s="445"/>
      <c r="P33" s="9"/>
      <c r="Q33" s="443" t="s">
        <v>4797</v>
      </c>
      <c r="R33" s="444"/>
      <c r="S33" s="444">
        <v>20</v>
      </c>
      <c r="T33" s="444"/>
      <c r="U33" s="445"/>
      <c r="V33" s="9"/>
      <c r="W33" s="443" t="s">
        <v>4798</v>
      </c>
      <c r="X33" s="445">
        <v>2018</v>
      </c>
      <c r="Y33" s="9"/>
      <c r="Z33" s="443" t="s">
        <v>4799</v>
      </c>
      <c r="AA33" s="444">
        <v>0</v>
      </c>
      <c r="AB33" s="445">
        <v>0</v>
      </c>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row>
    <row r="34" spans="1: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row>
    <row r="35" spans="1: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row>
    <row r="36" spans="1: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row>
    <row r="37" spans="1: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row>
    <row r="38" spans="1: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row>
    <row r="39" spans="1: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row>
    <row r="40" spans="1: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row>
    <row r="41" spans="1:131" ht="13.5" thickBot="1">
      <c r="A41" s="36" t="s">
        <v>4800</v>
      </c>
      <c r="B41" s="37"/>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row>
    <row r="42" spans="1:131" ht="26.25" thickBot="1">
      <c r="A42" s="446" t="s">
        <v>4801</v>
      </c>
      <c r="B42" s="447"/>
      <c r="C42" s="448" t="s">
        <v>4802</v>
      </c>
      <c r="D42" s="449"/>
      <c r="E42" s="449"/>
      <c r="F42" s="449"/>
      <c r="G42" s="449"/>
      <c r="H42" s="449"/>
      <c r="I42" s="449"/>
      <c r="J42" s="449"/>
      <c r="K42" s="450"/>
      <c r="L42" s="448" t="s">
        <v>4803</v>
      </c>
      <c r="M42" s="449"/>
      <c r="N42" s="449"/>
      <c r="O42" s="449"/>
      <c r="P42" s="449"/>
      <c r="Q42" s="450"/>
      <c r="R42" s="448" t="s">
        <v>4804</v>
      </c>
      <c r="S42" s="449"/>
      <c r="T42" s="449"/>
      <c r="U42" s="450"/>
      <c r="V42" s="448" t="s">
        <v>4805</v>
      </c>
      <c r="W42" s="449"/>
      <c r="X42" s="449"/>
      <c r="Y42" s="450"/>
      <c r="Z42" s="448" t="s">
        <v>4806</v>
      </c>
      <c r="AA42" s="449"/>
      <c r="AB42" s="449"/>
      <c r="AC42" s="450"/>
      <c r="AD42" s="448" t="s">
        <v>4807</v>
      </c>
      <c r="AE42" s="449"/>
      <c r="AF42" s="449"/>
      <c r="AG42" s="450"/>
      <c r="AH42" s="448" t="s">
        <v>4808</v>
      </c>
      <c r="AI42" s="449"/>
      <c r="AJ42" s="449"/>
      <c r="AK42" s="449"/>
      <c r="AL42" s="450"/>
      <c r="AM42" s="448" t="s">
        <v>4809</v>
      </c>
      <c r="AN42" s="449"/>
      <c r="AO42" s="449"/>
      <c r="AP42" s="449"/>
      <c r="AQ42" s="449"/>
      <c r="AR42" s="449"/>
      <c r="AS42" s="450"/>
      <c r="AT42" s="448" t="s">
        <v>4810</v>
      </c>
      <c r="AU42" s="449"/>
      <c r="AV42" s="449"/>
      <c r="AW42" s="449"/>
      <c r="AX42" s="449"/>
      <c r="AY42" s="449"/>
      <c r="AZ42" s="450"/>
      <c r="BA42" s="448" t="s">
        <v>4811</v>
      </c>
      <c r="BB42" s="449"/>
      <c r="BC42" s="449"/>
      <c r="BD42" s="449"/>
      <c r="BE42" s="449"/>
      <c r="BF42" s="450"/>
      <c r="BG42" s="448" t="s">
        <v>4812</v>
      </c>
      <c r="BH42" s="450"/>
      <c r="BI42" s="448" t="s">
        <v>4813</v>
      </c>
      <c r="BJ42" s="449"/>
      <c r="BK42" s="449"/>
      <c r="BL42" s="449"/>
      <c r="BM42" s="450"/>
      <c r="BN42" s="448" t="s">
        <v>4814</v>
      </c>
      <c r="BO42" s="449"/>
      <c r="BP42" s="449"/>
      <c r="BQ42" s="449"/>
      <c r="BR42" s="449"/>
      <c r="BS42" s="449"/>
      <c r="BT42" s="449"/>
      <c r="BU42" s="449"/>
      <c r="BV42" s="449"/>
      <c r="BW42" s="449"/>
      <c r="BX42" s="449"/>
      <c r="BY42" s="449"/>
      <c r="BZ42" s="449"/>
      <c r="CA42" s="449"/>
      <c r="CB42" s="449"/>
      <c r="CC42" s="450"/>
      <c r="CD42" s="448" t="s">
        <v>4815</v>
      </c>
      <c r="CE42" s="450"/>
      <c r="CF42" s="448" t="s">
        <v>4816</v>
      </c>
      <c r="CG42" s="449"/>
      <c r="CH42" s="449"/>
      <c r="CI42" s="449"/>
      <c r="CJ42" s="449"/>
      <c r="CK42" s="450"/>
      <c r="CL42" s="451"/>
      <c r="CM42" s="448" t="s">
        <v>5</v>
      </c>
      <c r="CN42" s="449"/>
      <c r="CO42" s="449"/>
      <c r="CP42" s="450"/>
      <c r="CQ42" s="448" t="s">
        <v>4817</v>
      </c>
      <c r="CR42" s="449"/>
      <c r="CS42" s="449"/>
      <c r="CT42" s="449"/>
      <c r="CU42" s="450"/>
      <c r="CV42" s="448" t="s">
        <v>4818</v>
      </c>
      <c r="CW42" s="450"/>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row>
    <row r="43" spans="1:131" ht="204">
      <c r="A43" s="39" t="s">
        <v>21</v>
      </c>
      <c r="B43" s="40" t="s">
        <v>22</v>
      </c>
      <c r="C43" s="41" t="s">
        <v>4681</v>
      </c>
      <c r="D43" s="41" t="s">
        <v>4819</v>
      </c>
      <c r="E43" s="41" t="s">
        <v>4820</v>
      </c>
      <c r="F43" s="41" t="s">
        <v>4821</v>
      </c>
      <c r="G43" s="41" t="s">
        <v>4822</v>
      </c>
      <c r="H43" s="41" t="s">
        <v>4823</v>
      </c>
      <c r="I43" s="41" t="s">
        <v>4824</v>
      </c>
      <c r="J43" s="41" t="s">
        <v>4825</v>
      </c>
      <c r="K43" s="41" t="s">
        <v>4826</v>
      </c>
      <c r="L43" s="41" t="s">
        <v>4827</v>
      </c>
      <c r="M43" s="41" t="s">
        <v>4828</v>
      </c>
      <c r="N43" s="41" t="s">
        <v>4829</v>
      </c>
      <c r="O43" s="41" t="s">
        <v>4830</v>
      </c>
      <c r="P43" s="41" t="s">
        <v>4831</v>
      </c>
      <c r="Q43" s="41" t="s">
        <v>4832</v>
      </c>
      <c r="R43" s="41" t="s">
        <v>4833</v>
      </c>
      <c r="S43" s="41" t="s">
        <v>4834</v>
      </c>
      <c r="T43" s="41" t="s">
        <v>4835</v>
      </c>
      <c r="U43" s="41" t="s">
        <v>4741</v>
      </c>
      <c r="V43" s="41" t="s">
        <v>4833</v>
      </c>
      <c r="W43" s="41" t="s">
        <v>4834</v>
      </c>
      <c r="X43" s="41" t="s">
        <v>4835</v>
      </c>
      <c r="Y43" s="41" t="s">
        <v>4741</v>
      </c>
      <c r="Z43" s="41" t="s">
        <v>4833</v>
      </c>
      <c r="AA43" s="41" t="s">
        <v>4834</v>
      </c>
      <c r="AB43" s="41" t="s">
        <v>4835</v>
      </c>
      <c r="AC43" s="41" t="s">
        <v>4741</v>
      </c>
      <c r="AD43" s="41" t="s">
        <v>4833</v>
      </c>
      <c r="AE43" s="41" t="s">
        <v>4834</v>
      </c>
      <c r="AF43" s="41" t="s">
        <v>4835</v>
      </c>
      <c r="AG43" s="41" t="s">
        <v>4741</v>
      </c>
      <c r="AH43" s="41" t="s">
        <v>4833</v>
      </c>
      <c r="AI43" s="41" t="s">
        <v>4834</v>
      </c>
      <c r="AJ43" s="41" t="s">
        <v>4835</v>
      </c>
      <c r="AK43" s="41" t="s">
        <v>4741</v>
      </c>
      <c r="AL43" s="41" t="s">
        <v>4836</v>
      </c>
      <c r="AM43" s="41" t="s">
        <v>4837</v>
      </c>
      <c r="AN43" s="41" t="s">
        <v>4838</v>
      </c>
      <c r="AO43" s="41" t="s">
        <v>4839</v>
      </c>
      <c r="AP43" s="41" t="s">
        <v>4840</v>
      </c>
      <c r="AQ43" s="41" t="s">
        <v>4841</v>
      </c>
      <c r="AR43" s="41" t="s">
        <v>4842</v>
      </c>
      <c r="AS43" s="41" t="s">
        <v>4843</v>
      </c>
      <c r="AT43" s="41" t="s">
        <v>4844</v>
      </c>
      <c r="AU43" s="41" t="s">
        <v>4845</v>
      </c>
      <c r="AV43" s="41" t="s">
        <v>4846</v>
      </c>
      <c r="AW43" s="41" t="s">
        <v>4847</v>
      </c>
      <c r="AX43" s="41" t="s">
        <v>4848</v>
      </c>
      <c r="AY43" s="41" t="s">
        <v>4849</v>
      </c>
      <c r="AZ43" s="41" t="s">
        <v>4850</v>
      </c>
      <c r="BA43" s="41" t="s">
        <v>4851</v>
      </c>
      <c r="BB43" s="41" t="s">
        <v>4852</v>
      </c>
      <c r="BC43" s="41" t="s">
        <v>4853</v>
      </c>
      <c r="BD43" s="41" t="s">
        <v>4854</v>
      </c>
      <c r="BE43" s="41" t="s">
        <v>4855</v>
      </c>
      <c r="BF43" s="41" t="s">
        <v>4856</v>
      </c>
      <c r="BG43" s="41" t="s">
        <v>4857</v>
      </c>
      <c r="BH43" s="41" t="s">
        <v>4858</v>
      </c>
      <c r="BI43" s="41" t="s">
        <v>4859</v>
      </c>
      <c r="BJ43" s="41" t="s">
        <v>4860</v>
      </c>
      <c r="BK43" s="41" t="s">
        <v>4861</v>
      </c>
      <c r="BL43" s="41" t="s">
        <v>4862</v>
      </c>
      <c r="BM43" s="41" t="s">
        <v>4863</v>
      </c>
      <c r="BN43" s="41" t="s">
        <v>4864</v>
      </c>
      <c r="BO43" s="41" t="s">
        <v>4865</v>
      </c>
      <c r="BP43" s="41" t="s">
        <v>4866</v>
      </c>
      <c r="BQ43" s="41" t="s">
        <v>4867</v>
      </c>
      <c r="BR43" s="41" t="s">
        <v>4868</v>
      </c>
      <c r="BS43" s="41" t="s">
        <v>4869</v>
      </c>
      <c r="BT43" s="41" t="s">
        <v>4870</v>
      </c>
      <c r="BU43" s="41" t="s">
        <v>4871</v>
      </c>
      <c r="BV43" s="41" t="s">
        <v>4872</v>
      </c>
      <c r="BW43" s="41" t="s">
        <v>4873</v>
      </c>
      <c r="BX43" s="41" t="s">
        <v>4874</v>
      </c>
      <c r="BY43" s="41" t="s">
        <v>4875</v>
      </c>
      <c r="BZ43" s="41" t="s">
        <v>4876</v>
      </c>
      <c r="CA43" s="41" t="s">
        <v>4877</v>
      </c>
      <c r="CB43" s="41" t="s">
        <v>4878</v>
      </c>
      <c r="CC43" s="41" t="s">
        <v>4879</v>
      </c>
      <c r="CD43" s="41" t="s">
        <v>23</v>
      </c>
      <c r="CE43" s="41" t="s">
        <v>24</v>
      </c>
      <c r="CF43" s="41" t="s">
        <v>4880</v>
      </c>
      <c r="CG43" s="41" t="s">
        <v>4881</v>
      </c>
      <c r="CH43" s="41" t="s">
        <v>4882</v>
      </c>
      <c r="CI43" s="41" t="s">
        <v>4883</v>
      </c>
      <c r="CJ43" s="41" t="s">
        <v>4884</v>
      </c>
      <c r="CK43" s="41" t="s">
        <v>4885</v>
      </c>
      <c r="CL43" s="41"/>
      <c r="CM43" s="41" t="s">
        <v>4886</v>
      </c>
      <c r="CN43" s="41" t="s">
        <v>4887</v>
      </c>
      <c r="CO43" s="41" t="s">
        <v>4888</v>
      </c>
      <c r="CP43" s="41" t="s">
        <v>4889</v>
      </c>
      <c r="CQ43" s="41" t="s">
        <v>4890</v>
      </c>
      <c r="CR43" s="41" t="s">
        <v>4891</v>
      </c>
      <c r="CS43" s="41" t="s">
        <v>4892</v>
      </c>
      <c r="CT43" s="41" t="s">
        <v>4893</v>
      </c>
      <c r="CU43" s="41" t="s">
        <v>4894</v>
      </c>
      <c r="CV43" s="41" t="s">
        <v>4895</v>
      </c>
      <c r="CW43" s="452" t="s">
        <v>4896</v>
      </c>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row>
    <row r="44" spans="1:131">
      <c r="A44" s="9" t="s">
        <v>4683</v>
      </c>
      <c r="B44" s="9" t="s">
        <v>4683</v>
      </c>
      <c r="C44" s="38">
        <v>15.18</v>
      </c>
      <c r="D44" s="38">
        <v>10.842807929192544</v>
      </c>
      <c r="E44" s="38">
        <v>0</v>
      </c>
      <c r="F44" s="38">
        <v>30.245004256070963</v>
      </c>
      <c r="G44" s="38">
        <v>0</v>
      </c>
      <c r="H44" s="38">
        <v>0</v>
      </c>
      <c r="I44" s="38" t="s">
        <v>4724</v>
      </c>
      <c r="J44" s="38"/>
      <c r="K44" s="38"/>
      <c r="L44" s="38">
        <v>11.632753552414288</v>
      </c>
      <c r="M44" s="38">
        <v>1.308803980357936E-3</v>
      </c>
      <c r="N44" s="38">
        <v>1.2993576201524523E-3</v>
      </c>
      <c r="O44" s="38">
        <v>0</v>
      </c>
      <c r="P44" s="38">
        <v>0</v>
      </c>
      <c r="Q44" s="38">
        <v>0</v>
      </c>
      <c r="R44" s="38">
        <v>6.0312578766156042</v>
      </c>
      <c r="S44" s="38">
        <v>13.93731960371405</v>
      </c>
      <c r="T44" s="38">
        <v>0</v>
      </c>
      <c r="U44" s="38">
        <v>17.294780411124297</v>
      </c>
      <c r="V44" s="38" t="s">
        <v>4897</v>
      </c>
      <c r="W44" s="38" t="s">
        <v>4897</v>
      </c>
      <c r="X44" s="38" t="s">
        <v>4897</v>
      </c>
      <c r="Y44" s="38" t="s">
        <v>4897</v>
      </c>
      <c r="Z44" s="38">
        <v>0</v>
      </c>
      <c r="AA44" s="38">
        <v>0</v>
      </c>
      <c r="AB44" s="38">
        <v>0</v>
      </c>
      <c r="AC44" s="38">
        <v>0</v>
      </c>
      <c r="AD44" s="38">
        <v>0</v>
      </c>
      <c r="AE44" s="38">
        <v>0</v>
      </c>
      <c r="AF44" s="38">
        <v>0</v>
      </c>
      <c r="AG44" s="38">
        <v>0</v>
      </c>
      <c r="AH44" s="38">
        <v>6.0312578766156042</v>
      </c>
      <c r="AI44" s="38">
        <v>13.93731960371405</v>
      </c>
      <c r="AJ44" s="38">
        <v>0</v>
      </c>
      <c r="AK44" s="38">
        <v>17.294780411124297</v>
      </c>
      <c r="AL44" s="38">
        <v>37.26335789145395</v>
      </c>
      <c r="AM44" s="38">
        <v>5.8349313290300246</v>
      </c>
      <c r="AN44" s="38">
        <v>0.4624639035810828</v>
      </c>
      <c r="AO44" s="38">
        <v>0</v>
      </c>
      <c r="AP44" s="38">
        <v>0</v>
      </c>
      <c r="AQ44" s="38">
        <v>6.2973952326111071</v>
      </c>
      <c r="AR44" s="38">
        <v>6.0312578766156042</v>
      </c>
      <c r="AS44" s="42">
        <v>1.0441263433665091</v>
      </c>
      <c r="AT44" s="38">
        <v>5.8349313290300246</v>
      </c>
      <c r="AU44" s="38">
        <v>0.54741951699746405</v>
      </c>
      <c r="AV44" s="38">
        <v>0</v>
      </c>
      <c r="AW44" s="38">
        <v>0</v>
      </c>
      <c r="AX44" s="38">
        <v>6.3823508460274887</v>
      </c>
      <c r="AY44" s="38">
        <v>13.93731960371405</v>
      </c>
      <c r="AZ44" s="453">
        <v>0.45793244522617566</v>
      </c>
      <c r="BA44" s="38">
        <v>5.8349313290300246</v>
      </c>
      <c r="BB44" s="38">
        <v>1.009883420578547</v>
      </c>
      <c r="BC44" s="38">
        <v>0</v>
      </c>
      <c r="BD44" s="38">
        <v>0</v>
      </c>
      <c r="BE44" s="38">
        <v>6.8448147496085712</v>
      </c>
      <c r="BF44" s="38">
        <v>19.968577480329653</v>
      </c>
      <c r="BG44" s="38">
        <v>119.92121096487429</v>
      </c>
      <c r="BH44" s="453">
        <v>0.34277928692472753</v>
      </c>
      <c r="BI44" s="38">
        <v>38.150082802416136</v>
      </c>
      <c r="BJ44" s="38">
        <v>88.159038761545006</v>
      </c>
      <c r="BK44" s="38">
        <v>0</v>
      </c>
      <c r="BL44" s="38">
        <v>109.39630144022905</v>
      </c>
      <c r="BM44" s="38">
        <v>235.70542300419018</v>
      </c>
      <c r="BN44" s="38">
        <v>5.8349313290300246</v>
      </c>
      <c r="BO44" s="38">
        <v>0</v>
      </c>
      <c r="BP44" s="38">
        <v>1.009883420578547</v>
      </c>
      <c r="BQ44" s="38">
        <v>0</v>
      </c>
      <c r="BR44" s="38">
        <v>0</v>
      </c>
      <c r="BS44" s="38">
        <v>0</v>
      </c>
      <c r="BT44" s="38">
        <v>0</v>
      </c>
      <c r="BU44" s="38">
        <v>0</v>
      </c>
      <c r="BV44" s="38">
        <v>0</v>
      </c>
      <c r="BW44" s="38">
        <v>0</v>
      </c>
      <c r="BX44" s="38">
        <v>37.26335789145395</v>
      </c>
      <c r="BY44" s="38"/>
      <c r="BZ44" s="38">
        <v>0</v>
      </c>
      <c r="CA44" s="38">
        <v>0</v>
      </c>
      <c r="CB44" s="38">
        <v>6.8448147496085712</v>
      </c>
      <c r="CC44" s="38">
        <v>37.26335789145395</v>
      </c>
      <c r="CD44" s="453">
        <v>0.18368754553862615</v>
      </c>
      <c r="CE44" s="38">
        <v>229.31751240510334</v>
      </c>
      <c r="CF44" s="38">
        <v>0.11051252741230448</v>
      </c>
      <c r="CG44" s="38">
        <v>0</v>
      </c>
      <c r="CH44" s="38">
        <v>0.11051252741230448</v>
      </c>
      <c r="CI44" s="38">
        <v>5.5255579373967856E-3</v>
      </c>
      <c r="CJ44" s="38">
        <v>0</v>
      </c>
      <c r="CK44" s="38">
        <v>5.5255579373967856E-3</v>
      </c>
      <c r="CL44" s="38"/>
      <c r="CM44" s="38">
        <v>0</v>
      </c>
      <c r="CN44" s="38"/>
      <c r="CO44" s="38">
        <v>0</v>
      </c>
      <c r="CP44" s="38">
        <v>0</v>
      </c>
      <c r="CQ44" s="38">
        <v>0</v>
      </c>
      <c r="CR44" s="38">
        <v>0</v>
      </c>
      <c r="CS44" s="38">
        <v>0</v>
      </c>
      <c r="CT44" s="38">
        <v>0</v>
      </c>
      <c r="CU44" s="38">
        <v>0</v>
      </c>
      <c r="CV44" s="38">
        <v>9999</v>
      </c>
      <c r="CW44" s="42">
        <v>9999</v>
      </c>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row>
    <row r="45" spans="1:131">
      <c r="A45" s="9" t="s">
        <v>4684</v>
      </c>
      <c r="B45" s="9" t="s">
        <v>4684</v>
      </c>
      <c r="C45" s="38">
        <v>15.18</v>
      </c>
      <c r="D45" s="38">
        <v>37.024187622089514</v>
      </c>
      <c r="E45" s="38">
        <v>0</v>
      </c>
      <c r="F45" s="38">
        <v>104.65682542877411</v>
      </c>
      <c r="G45" s="38">
        <v>0</v>
      </c>
      <c r="H45" s="38">
        <v>0</v>
      </c>
      <c r="I45" s="38" t="s">
        <v>4724</v>
      </c>
      <c r="J45" s="38"/>
      <c r="K45" s="38"/>
      <c r="L45" s="38">
        <v>39.721560401945467</v>
      </c>
      <c r="M45" s="38">
        <v>4.4690825887310883E-3</v>
      </c>
      <c r="N45" s="38">
        <v>4.4368267547370138E-3</v>
      </c>
      <c r="O45" s="38">
        <v>0</v>
      </c>
      <c r="P45" s="38">
        <v>0</v>
      </c>
      <c r="Q45" s="38">
        <v>0</v>
      </c>
      <c r="R45" s="38">
        <v>20.869969048927388</v>
      </c>
      <c r="S45" s="38">
        <v>48.227324167697752</v>
      </c>
      <c r="T45" s="38">
        <v>0</v>
      </c>
      <c r="U45" s="38">
        <v>59.845149929271379</v>
      </c>
      <c r="V45" s="38" t="s">
        <v>4897</v>
      </c>
      <c r="W45" s="38" t="s">
        <v>4897</v>
      </c>
      <c r="X45" s="38" t="s">
        <v>4897</v>
      </c>
      <c r="Y45" s="38" t="s">
        <v>4897</v>
      </c>
      <c r="Z45" s="38">
        <v>0</v>
      </c>
      <c r="AA45" s="38">
        <v>0</v>
      </c>
      <c r="AB45" s="38">
        <v>0</v>
      </c>
      <c r="AC45" s="38">
        <v>0</v>
      </c>
      <c r="AD45" s="38">
        <v>0</v>
      </c>
      <c r="AE45" s="38">
        <v>0</v>
      </c>
      <c r="AF45" s="38">
        <v>0</v>
      </c>
      <c r="AG45" s="38">
        <v>0</v>
      </c>
      <c r="AH45" s="38">
        <v>20.869969048927388</v>
      </c>
      <c r="AI45" s="38">
        <v>48.227324167697752</v>
      </c>
      <c r="AJ45" s="38">
        <v>0</v>
      </c>
      <c r="AK45" s="38">
        <v>59.845149929271379</v>
      </c>
      <c r="AL45" s="38">
        <v>128.9424431458965</v>
      </c>
      <c r="AM45" s="38">
        <v>19.92413715144572</v>
      </c>
      <c r="AN45" s="38">
        <v>1.5791435619301808</v>
      </c>
      <c r="AO45" s="38">
        <v>0</v>
      </c>
      <c r="AP45" s="38">
        <v>0</v>
      </c>
      <c r="AQ45" s="38">
        <v>21.503280713375901</v>
      </c>
      <c r="AR45" s="38">
        <v>20.869969048927388</v>
      </c>
      <c r="AS45" s="42">
        <v>1.0303455967262714</v>
      </c>
      <c r="AT45" s="38">
        <v>19.92413715144572</v>
      </c>
      <c r="AU45" s="38">
        <v>1.8692356295217571</v>
      </c>
      <c r="AV45" s="38">
        <v>0</v>
      </c>
      <c r="AW45" s="38">
        <v>0</v>
      </c>
      <c r="AX45" s="38">
        <v>21.793372780967477</v>
      </c>
      <c r="AY45" s="38">
        <v>48.227324167697752</v>
      </c>
      <c r="AZ45" s="453">
        <v>0.4518884917850054</v>
      </c>
      <c r="BA45" s="38">
        <v>19.92413715144572</v>
      </c>
      <c r="BB45" s="38">
        <v>3.4483791914519379</v>
      </c>
      <c r="BC45" s="38">
        <v>0</v>
      </c>
      <c r="BD45" s="38">
        <v>0</v>
      </c>
      <c r="BE45" s="38">
        <v>23.372516342897658</v>
      </c>
      <c r="BF45" s="38">
        <v>69.097293216625133</v>
      </c>
      <c r="BG45" s="38">
        <v>121.61058005438593</v>
      </c>
      <c r="BH45" s="453">
        <v>0.33825516535970646</v>
      </c>
      <c r="BI45" s="38">
        <v>38.660335505076844</v>
      </c>
      <c r="BJ45" s="38">
        <v>89.338155148395913</v>
      </c>
      <c r="BK45" s="38">
        <v>0</v>
      </c>
      <c r="BL45" s="38">
        <v>110.8594636241766</v>
      </c>
      <c r="BM45" s="38">
        <v>238.85795427764936</v>
      </c>
      <c r="BN45" s="38">
        <v>19.92413715144572</v>
      </c>
      <c r="BO45" s="38">
        <v>0</v>
      </c>
      <c r="BP45" s="38">
        <v>3.4483791914519379</v>
      </c>
      <c r="BQ45" s="38">
        <v>0</v>
      </c>
      <c r="BR45" s="38">
        <v>0</v>
      </c>
      <c r="BS45" s="38">
        <v>0</v>
      </c>
      <c r="BT45" s="38">
        <v>0</v>
      </c>
      <c r="BU45" s="38">
        <v>0</v>
      </c>
      <c r="BV45" s="38">
        <v>0</v>
      </c>
      <c r="BW45" s="38">
        <v>0</v>
      </c>
      <c r="BX45" s="38">
        <v>128.9424431458965</v>
      </c>
      <c r="BY45" s="38"/>
      <c r="BZ45" s="38">
        <v>0</v>
      </c>
      <c r="CA45" s="38">
        <v>0</v>
      </c>
      <c r="CB45" s="38">
        <v>23.372516342897658</v>
      </c>
      <c r="CC45" s="38">
        <v>128.9424431458965</v>
      </c>
      <c r="CD45" s="453">
        <v>0.18126317272003287</v>
      </c>
      <c r="CE45" s="38">
        <v>232.47004367856252</v>
      </c>
      <c r="CF45" s="38">
        <v>0.37735949730220664</v>
      </c>
      <c r="CG45" s="38">
        <v>0</v>
      </c>
      <c r="CH45" s="38">
        <v>0.37735949730220664</v>
      </c>
      <c r="CI45" s="38">
        <v>1.8867741190924096E-2</v>
      </c>
      <c r="CJ45" s="38">
        <v>0</v>
      </c>
      <c r="CK45" s="38">
        <v>1.8867741190924096E-2</v>
      </c>
      <c r="CL45" s="38"/>
      <c r="CM45" s="38">
        <v>0</v>
      </c>
      <c r="CN45" s="38"/>
      <c r="CO45" s="38">
        <v>0</v>
      </c>
      <c r="CP45" s="38">
        <v>0</v>
      </c>
      <c r="CQ45" s="38">
        <v>0</v>
      </c>
      <c r="CR45" s="38">
        <v>0</v>
      </c>
      <c r="CS45" s="38">
        <v>0</v>
      </c>
      <c r="CT45" s="38">
        <v>0</v>
      </c>
      <c r="CU45" s="38">
        <v>0</v>
      </c>
      <c r="CV45" s="38">
        <v>9999</v>
      </c>
      <c r="CW45" s="42">
        <v>9999</v>
      </c>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row>
    <row r="46" spans="1:131">
      <c r="A46" s="9" t="s">
        <v>4685</v>
      </c>
      <c r="B46" s="9" t="s">
        <v>4685</v>
      </c>
      <c r="C46" s="38">
        <v>15.18</v>
      </c>
      <c r="D46" s="38">
        <v>64.558726235253246</v>
      </c>
      <c r="E46" s="38">
        <v>0</v>
      </c>
      <c r="F46" s="38">
        <v>99.131722333352826</v>
      </c>
      <c r="G46" s="38">
        <v>0</v>
      </c>
      <c r="H46" s="38">
        <v>0</v>
      </c>
      <c r="I46" s="38" t="s">
        <v>4724</v>
      </c>
      <c r="J46" s="38"/>
      <c r="K46" s="38"/>
      <c r="L46" s="38">
        <v>69.262109672767195</v>
      </c>
      <c r="M46" s="38">
        <v>7.7926970961137388E-3</v>
      </c>
      <c r="N46" s="38">
        <v>7.7364529030589588E-3</v>
      </c>
      <c r="O46" s="38">
        <v>0</v>
      </c>
      <c r="P46" s="38">
        <v>0</v>
      </c>
      <c r="Q46" s="38">
        <v>0</v>
      </c>
      <c r="R46" s="38">
        <v>19.768189684598681</v>
      </c>
      <c r="S46" s="38">
        <v>45.681279636429437</v>
      </c>
      <c r="T46" s="38">
        <v>0</v>
      </c>
      <c r="U46" s="38">
        <v>56.685770483492199</v>
      </c>
      <c r="V46" s="38" t="s">
        <v>4897</v>
      </c>
      <c r="W46" s="38" t="s">
        <v>4897</v>
      </c>
      <c r="X46" s="38" t="s">
        <v>4897</v>
      </c>
      <c r="Y46" s="38" t="s">
        <v>4897</v>
      </c>
      <c r="Z46" s="38">
        <v>0</v>
      </c>
      <c r="AA46" s="38">
        <v>0</v>
      </c>
      <c r="AB46" s="38">
        <v>0</v>
      </c>
      <c r="AC46" s="38">
        <v>0</v>
      </c>
      <c r="AD46" s="38">
        <v>0</v>
      </c>
      <c r="AE46" s="38">
        <v>0</v>
      </c>
      <c r="AF46" s="38">
        <v>0</v>
      </c>
      <c r="AG46" s="38">
        <v>0</v>
      </c>
      <c r="AH46" s="38">
        <v>19.768189684598681</v>
      </c>
      <c r="AI46" s="38">
        <v>45.681279636429437</v>
      </c>
      <c r="AJ46" s="38">
        <v>0</v>
      </c>
      <c r="AK46" s="38">
        <v>56.685770483492199</v>
      </c>
      <c r="AL46" s="38">
        <v>122.13523980452032</v>
      </c>
      <c r="AM46" s="38">
        <v>34.741529752469162</v>
      </c>
      <c r="AN46" s="38">
        <v>2.7535377127353602</v>
      </c>
      <c r="AO46" s="38">
        <v>0</v>
      </c>
      <c r="AP46" s="38">
        <v>0</v>
      </c>
      <c r="AQ46" s="38">
        <v>37.495067465204521</v>
      </c>
      <c r="AR46" s="38">
        <v>19.768189684598681</v>
      </c>
      <c r="AS46" s="42">
        <v>1.8967375396249249</v>
      </c>
      <c r="AT46" s="38">
        <v>34.741529752469162</v>
      </c>
      <c r="AU46" s="38">
        <v>3.2593685108563606</v>
      </c>
      <c r="AV46" s="38">
        <v>0</v>
      </c>
      <c r="AW46" s="38">
        <v>0</v>
      </c>
      <c r="AX46" s="38">
        <v>38.000898263325524</v>
      </c>
      <c r="AY46" s="38">
        <v>45.681279636429437</v>
      </c>
      <c r="AZ46" s="453">
        <v>0.83187026645858142</v>
      </c>
      <c r="BA46" s="38">
        <v>34.741529752469162</v>
      </c>
      <c r="BB46" s="38">
        <v>6.0129062235917203</v>
      </c>
      <c r="BC46" s="38">
        <v>0</v>
      </c>
      <c r="BD46" s="38">
        <v>0</v>
      </c>
      <c r="BE46" s="38">
        <v>40.754435976060883</v>
      </c>
      <c r="BF46" s="38">
        <v>65.449469321028118</v>
      </c>
      <c r="BG46" s="38">
        <v>63.143418051947265</v>
      </c>
      <c r="BH46" s="453">
        <v>0.62268550683216894</v>
      </c>
      <c r="BI46" s="38">
        <v>21.001063997232446</v>
      </c>
      <c r="BJ46" s="38">
        <v>48.530264653801652</v>
      </c>
      <c r="BK46" s="38">
        <v>0</v>
      </c>
      <c r="BL46" s="38">
        <v>60.221067920232144</v>
      </c>
      <c r="BM46" s="38">
        <v>129.75239657126627</v>
      </c>
      <c r="BN46" s="38">
        <v>34.741529752469162</v>
      </c>
      <c r="BO46" s="38">
        <v>0</v>
      </c>
      <c r="BP46" s="38">
        <v>6.0129062235917203</v>
      </c>
      <c r="BQ46" s="38">
        <v>0</v>
      </c>
      <c r="BR46" s="38">
        <v>0</v>
      </c>
      <c r="BS46" s="38">
        <v>0</v>
      </c>
      <c r="BT46" s="38">
        <v>0</v>
      </c>
      <c r="BU46" s="38">
        <v>0</v>
      </c>
      <c r="BV46" s="38">
        <v>0</v>
      </c>
      <c r="BW46" s="38">
        <v>0</v>
      </c>
      <c r="BX46" s="38">
        <v>122.13523980452032</v>
      </c>
      <c r="BY46" s="38"/>
      <c r="BZ46" s="38">
        <v>0</v>
      </c>
      <c r="CA46" s="38">
        <v>0</v>
      </c>
      <c r="CB46" s="38">
        <v>40.754435976060883</v>
      </c>
      <c r="CC46" s="38">
        <v>122.13523980452032</v>
      </c>
      <c r="CD46" s="453">
        <v>0.3336828587825193</v>
      </c>
      <c r="CE46" s="38">
        <v>123.36448597217942</v>
      </c>
      <c r="CF46" s="38">
        <v>0.65799819100071411</v>
      </c>
      <c r="CG46" s="38">
        <v>0</v>
      </c>
      <c r="CH46" s="38">
        <v>0.65799819100071411</v>
      </c>
      <c r="CI46" s="38">
        <v>3.2899502094564409E-2</v>
      </c>
      <c r="CJ46" s="38">
        <v>0</v>
      </c>
      <c r="CK46" s="38">
        <v>3.2899502094564409E-2</v>
      </c>
      <c r="CL46" s="38"/>
      <c r="CM46" s="38">
        <v>0</v>
      </c>
      <c r="CN46" s="38"/>
      <c r="CO46" s="38">
        <v>0</v>
      </c>
      <c r="CP46" s="38">
        <v>0</v>
      </c>
      <c r="CQ46" s="38">
        <v>0</v>
      </c>
      <c r="CR46" s="38">
        <v>0</v>
      </c>
      <c r="CS46" s="38">
        <v>0</v>
      </c>
      <c r="CT46" s="38">
        <v>0</v>
      </c>
      <c r="CU46" s="38">
        <v>0</v>
      </c>
      <c r="CV46" s="38">
        <v>9999</v>
      </c>
      <c r="CW46" s="42">
        <v>9999</v>
      </c>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row>
    <row r="47" spans="1:131">
      <c r="A47" s="9" t="s">
        <v>4686</v>
      </c>
      <c r="B47" s="9" t="s">
        <v>4686</v>
      </c>
      <c r="C47" s="38">
        <v>21.73469387755102</v>
      </c>
      <c r="D47" s="38">
        <v>24.841753090909091</v>
      </c>
      <c r="E47" s="38">
        <v>0</v>
      </c>
      <c r="F47" s="38">
        <v>45.204258252026108</v>
      </c>
      <c r="G47" s="38">
        <v>0</v>
      </c>
      <c r="H47" s="38">
        <v>0</v>
      </c>
      <c r="I47" s="38" t="s">
        <v>4725</v>
      </c>
      <c r="J47" s="38"/>
      <c r="K47" s="38"/>
      <c r="L47" s="38">
        <v>26.639842416106337</v>
      </c>
      <c r="M47" s="38">
        <v>2.4495144770997589E-3</v>
      </c>
      <c r="N47" s="38">
        <v>2.4318349800730894E-3</v>
      </c>
      <c r="O47" s="38">
        <v>0</v>
      </c>
      <c r="P47" s="38">
        <v>0</v>
      </c>
      <c r="Q47" s="38">
        <v>0</v>
      </c>
      <c r="R47" s="38">
        <v>8.5426149599259489</v>
      </c>
      <c r="S47" s="38">
        <v>19.74068384798813</v>
      </c>
      <c r="T47" s="38">
        <v>0</v>
      </c>
      <c r="U47" s="38">
        <v>15.26413254549492</v>
      </c>
      <c r="V47" s="38" t="s">
        <v>4897</v>
      </c>
      <c r="W47" s="38" t="s">
        <v>4897</v>
      </c>
      <c r="X47" s="38" t="s">
        <v>4897</v>
      </c>
      <c r="Y47" s="38" t="s">
        <v>4897</v>
      </c>
      <c r="Z47" s="38">
        <v>0</v>
      </c>
      <c r="AA47" s="38">
        <v>0</v>
      </c>
      <c r="AB47" s="38">
        <v>0</v>
      </c>
      <c r="AC47" s="38">
        <v>0</v>
      </c>
      <c r="AD47" s="38">
        <v>0</v>
      </c>
      <c r="AE47" s="38">
        <v>0</v>
      </c>
      <c r="AF47" s="38">
        <v>0</v>
      </c>
      <c r="AG47" s="38">
        <v>0</v>
      </c>
      <c r="AH47" s="38">
        <v>8.5426149599259489</v>
      </c>
      <c r="AI47" s="38">
        <v>19.74068384798813</v>
      </c>
      <c r="AJ47" s="38">
        <v>0</v>
      </c>
      <c r="AK47" s="38">
        <v>15.26413254549492</v>
      </c>
      <c r="AL47" s="38">
        <v>43.547431353408996</v>
      </c>
      <c r="AM47" s="38">
        <v>13.277484711985574</v>
      </c>
      <c r="AN47" s="38">
        <v>0.8655322293932235</v>
      </c>
      <c r="AO47" s="38">
        <v>0</v>
      </c>
      <c r="AP47" s="38">
        <v>0</v>
      </c>
      <c r="AQ47" s="38">
        <v>14.143016941378797</v>
      </c>
      <c r="AR47" s="38">
        <v>8.5426149599259489</v>
      </c>
      <c r="AS47" s="42">
        <v>1.6555840345988617</v>
      </c>
      <c r="AT47" s="38">
        <v>13.277484711985574</v>
      </c>
      <c r="AU47" s="38">
        <v>1.0245323608853392</v>
      </c>
      <c r="AV47" s="38">
        <v>0</v>
      </c>
      <c r="AW47" s="38">
        <v>0</v>
      </c>
      <c r="AX47" s="38">
        <v>14.302017072870914</v>
      </c>
      <c r="AY47" s="38">
        <v>19.74068384798813</v>
      </c>
      <c r="AZ47" s="453">
        <v>0.72449451006878385</v>
      </c>
      <c r="BA47" s="38">
        <v>13.277484711985574</v>
      </c>
      <c r="BB47" s="38">
        <v>1.8900645902785627</v>
      </c>
      <c r="BC47" s="38">
        <v>0</v>
      </c>
      <c r="BD47" s="38">
        <v>0</v>
      </c>
      <c r="BE47" s="38">
        <v>15.167549302264138</v>
      </c>
      <c r="BF47" s="38">
        <v>28.283298807914079</v>
      </c>
      <c r="BG47" s="38">
        <v>72.900595290042659</v>
      </c>
      <c r="BH47" s="453">
        <v>0.53627228582049402</v>
      </c>
      <c r="BI47" s="38">
        <v>23.595505983730735</v>
      </c>
      <c r="BJ47" s="38">
        <v>54.525625472200645</v>
      </c>
      <c r="BK47" s="38">
        <v>0</v>
      </c>
      <c r="BL47" s="38">
        <v>42.160969738568959</v>
      </c>
      <c r="BM47" s="38">
        <v>120.28210119450033</v>
      </c>
      <c r="BN47" s="38">
        <v>13.277484711985574</v>
      </c>
      <c r="BO47" s="38">
        <v>0</v>
      </c>
      <c r="BP47" s="38">
        <v>1.8900645902785627</v>
      </c>
      <c r="BQ47" s="38">
        <v>0</v>
      </c>
      <c r="BR47" s="38">
        <v>0</v>
      </c>
      <c r="BS47" s="38">
        <v>0</v>
      </c>
      <c r="BT47" s="38">
        <v>0</v>
      </c>
      <c r="BU47" s="38">
        <v>0</v>
      </c>
      <c r="BV47" s="38">
        <v>0</v>
      </c>
      <c r="BW47" s="38">
        <v>0</v>
      </c>
      <c r="BX47" s="38">
        <v>43.547431353408996</v>
      </c>
      <c r="BY47" s="38"/>
      <c r="BZ47" s="38">
        <v>0</v>
      </c>
      <c r="CA47" s="38">
        <v>0</v>
      </c>
      <c r="CB47" s="38">
        <v>15.167549302264135</v>
      </c>
      <c r="CC47" s="38">
        <v>43.547431353408996</v>
      </c>
      <c r="CD47" s="453">
        <v>0.34829951689163829</v>
      </c>
      <c r="CE47" s="38">
        <v>115.06156502861161</v>
      </c>
      <c r="CF47" s="38">
        <v>0.25308156972259238</v>
      </c>
      <c r="CG47" s="38">
        <v>0</v>
      </c>
      <c r="CH47" s="38">
        <v>0.25308156972259238</v>
      </c>
      <c r="CI47" s="38">
        <v>1.2653925147650515E-2</v>
      </c>
      <c r="CJ47" s="38">
        <v>0</v>
      </c>
      <c r="CK47" s="38">
        <v>1.2653925147650515E-2</v>
      </c>
      <c r="CL47" s="38"/>
      <c r="CM47" s="38">
        <v>0</v>
      </c>
      <c r="CN47" s="38"/>
      <c r="CO47" s="38">
        <v>0</v>
      </c>
      <c r="CP47" s="38">
        <v>0</v>
      </c>
      <c r="CQ47" s="38">
        <v>0</v>
      </c>
      <c r="CR47" s="38">
        <v>0</v>
      </c>
      <c r="CS47" s="38">
        <v>0</v>
      </c>
      <c r="CT47" s="38">
        <v>0</v>
      </c>
      <c r="CU47" s="38">
        <v>0</v>
      </c>
      <c r="CV47" s="38">
        <v>9999</v>
      </c>
      <c r="CW47" s="42">
        <v>9999</v>
      </c>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row>
    <row r="48" spans="1:131">
      <c r="A48" s="9" t="s">
        <v>4683</v>
      </c>
      <c r="B48" s="9" t="s">
        <v>4687</v>
      </c>
      <c r="C48" s="38">
        <v>15.18</v>
      </c>
      <c r="D48" s="38">
        <v>-1.3332910621703205</v>
      </c>
      <c r="E48" s="38">
        <v>-9.3759564279475016E-2</v>
      </c>
      <c r="F48" s="38">
        <v>0</v>
      </c>
      <c r="G48" s="38">
        <v>0</v>
      </c>
      <c r="H48" s="38">
        <v>0</v>
      </c>
      <c r="I48" s="38" t="s">
        <v>4724</v>
      </c>
      <c r="J48" s="38"/>
      <c r="K48" s="38"/>
      <c r="L48" s="38">
        <v>-1.4304271034909886</v>
      </c>
      <c r="M48" s="38">
        <v>-1.609377073300353E-4</v>
      </c>
      <c r="N48" s="38">
        <v>-1.5977613113000842E-4</v>
      </c>
      <c r="O48" s="38">
        <v>-9.4697160120705379E-2</v>
      </c>
      <c r="P48" s="38">
        <v>0</v>
      </c>
      <c r="Q48" s="38">
        <v>0</v>
      </c>
      <c r="R48" s="38">
        <v>0</v>
      </c>
      <c r="S48" s="38">
        <v>0</v>
      </c>
      <c r="T48" s="38">
        <v>0</v>
      </c>
      <c r="U48" s="38">
        <v>0</v>
      </c>
      <c r="V48" s="38" t="s">
        <v>4897</v>
      </c>
      <c r="W48" s="38" t="s">
        <v>4897</v>
      </c>
      <c r="X48" s="38" t="s">
        <v>4897</v>
      </c>
      <c r="Y48" s="38" t="s">
        <v>4897</v>
      </c>
      <c r="Z48" s="38">
        <v>0</v>
      </c>
      <c r="AA48" s="38">
        <v>0</v>
      </c>
      <c r="AB48" s="38">
        <v>0</v>
      </c>
      <c r="AC48" s="38">
        <v>0</v>
      </c>
      <c r="AD48" s="38">
        <v>0</v>
      </c>
      <c r="AE48" s="38">
        <v>0</v>
      </c>
      <c r="AF48" s="38">
        <v>0</v>
      </c>
      <c r="AG48" s="38">
        <v>0</v>
      </c>
      <c r="AH48" s="38">
        <v>0</v>
      </c>
      <c r="AI48" s="38">
        <v>0</v>
      </c>
      <c r="AJ48" s="38">
        <v>0</v>
      </c>
      <c r="AK48" s="38">
        <v>0</v>
      </c>
      <c r="AL48" s="38">
        <v>0</v>
      </c>
      <c r="AM48" s="38">
        <v>-0.71749512120636183</v>
      </c>
      <c r="AN48" s="38">
        <v>-5.6867095059478012E-2</v>
      </c>
      <c r="AO48" s="38">
        <v>0</v>
      </c>
      <c r="AP48" s="38">
        <v>0</v>
      </c>
      <c r="AQ48" s="38">
        <v>-0.7743622162658399</v>
      </c>
      <c r="AR48" s="38">
        <v>0</v>
      </c>
      <c r="AS48" s="453">
        <v>0</v>
      </c>
      <c r="AT48" s="38">
        <v>-0.71749512120636183</v>
      </c>
      <c r="AU48" s="38">
        <v>-6.7313702689988125E-2</v>
      </c>
      <c r="AV48" s="38">
        <v>0</v>
      </c>
      <c r="AW48" s="38">
        <v>0</v>
      </c>
      <c r="AX48" s="38">
        <v>-0.78480882389634998</v>
      </c>
      <c r="AY48" s="38">
        <v>0</v>
      </c>
      <c r="AZ48" s="453">
        <v>0</v>
      </c>
      <c r="BA48" s="38">
        <v>-0.71749512120636183</v>
      </c>
      <c r="BB48" s="38">
        <v>-0.12418079774946614</v>
      </c>
      <c r="BC48" s="38">
        <v>0</v>
      </c>
      <c r="BD48" s="38">
        <v>0</v>
      </c>
      <c r="BE48" s="38">
        <v>-0.84167591895582805</v>
      </c>
      <c r="BF48" s="38">
        <v>0</v>
      </c>
      <c r="BG48" s="38">
        <v>9999</v>
      </c>
      <c r="BH48" s="453">
        <v>0</v>
      </c>
      <c r="BI48" s="38">
        <v>9999</v>
      </c>
      <c r="BJ48" s="38">
        <v>9999</v>
      </c>
      <c r="BK48" s="38">
        <v>9999</v>
      </c>
      <c r="BL48" s="38">
        <v>9999</v>
      </c>
      <c r="BM48" s="38">
        <v>9999</v>
      </c>
      <c r="BN48" s="38">
        <v>-0.71749512120636183</v>
      </c>
      <c r="BO48" s="38">
        <v>-0.73481856689535041</v>
      </c>
      <c r="BP48" s="38">
        <v>-0.12418079774946614</v>
      </c>
      <c r="BQ48" s="38">
        <v>0</v>
      </c>
      <c r="BR48" s="38">
        <v>0</v>
      </c>
      <c r="BS48" s="38">
        <v>0</v>
      </c>
      <c r="BT48" s="38">
        <v>0</v>
      </c>
      <c r="BU48" s="38">
        <v>0</v>
      </c>
      <c r="BV48" s="38">
        <v>0</v>
      </c>
      <c r="BW48" s="38">
        <v>0</v>
      </c>
      <c r="BX48" s="38">
        <v>0</v>
      </c>
      <c r="BY48" s="38"/>
      <c r="BZ48" s="38">
        <v>0</v>
      </c>
      <c r="CA48" s="38">
        <v>0</v>
      </c>
      <c r="CB48" s="38">
        <v>-1.5764944858511785</v>
      </c>
      <c r="CC48" s="38">
        <v>0</v>
      </c>
      <c r="CD48" s="453">
        <v>0</v>
      </c>
      <c r="CE48" s="38">
        <v>9999</v>
      </c>
      <c r="CF48" s="38">
        <v>-1.358922578163301E-2</v>
      </c>
      <c r="CG48" s="38">
        <v>-1.1079567734122539E-2</v>
      </c>
      <c r="CH48" s="38">
        <v>-2.4668793515755551E-2</v>
      </c>
      <c r="CI48" s="38">
        <v>-6.7945287415821932E-4</v>
      </c>
      <c r="CJ48" s="38">
        <v>-5.5397838670612643E-4</v>
      </c>
      <c r="CK48" s="38">
        <v>-1.2334312608643459E-3</v>
      </c>
      <c r="CL48" s="38"/>
      <c r="CM48" s="38">
        <v>-9.3759564279475016E-2</v>
      </c>
      <c r="CN48" s="38" t="s">
        <v>4726</v>
      </c>
      <c r="CO48" s="38">
        <v>0</v>
      </c>
      <c r="CP48" s="38">
        <v>0</v>
      </c>
      <c r="CQ48" s="38">
        <v>-0.73481856689535041</v>
      </c>
      <c r="CR48" s="38">
        <v>0</v>
      </c>
      <c r="CS48" s="38">
        <v>0</v>
      </c>
      <c r="CT48" s="38">
        <v>-0.73481856689535041</v>
      </c>
      <c r="CU48" s="38">
        <v>0</v>
      </c>
      <c r="CV48" s="38">
        <v>9999</v>
      </c>
      <c r="CW48" s="453">
        <v>0</v>
      </c>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row>
    <row r="49" spans="1:131">
      <c r="A49" s="9" t="s">
        <v>4684</v>
      </c>
      <c r="B49" s="9" t="s">
        <v>4688</v>
      </c>
      <c r="C49" s="38">
        <v>15.18</v>
      </c>
      <c r="D49" s="38">
        <v>-4.5526969363483927</v>
      </c>
      <c r="E49" s="38">
        <v>-0.32015431075768913</v>
      </c>
      <c r="F49" s="38">
        <v>0</v>
      </c>
      <c r="G49" s="38">
        <v>0</v>
      </c>
      <c r="H49" s="38">
        <v>0</v>
      </c>
      <c r="I49" s="38" t="s">
        <v>4724</v>
      </c>
      <c r="J49" s="38"/>
      <c r="K49" s="38"/>
      <c r="L49" s="38">
        <v>-4.8843806701384898</v>
      </c>
      <c r="M49" s="38">
        <v>-5.495428776907136E-4</v>
      </c>
      <c r="N49" s="38">
        <v>-5.4557652363851632E-4</v>
      </c>
      <c r="O49" s="38">
        <v>-0.32335585454285037</v>
      </c>
      <c r="P49" s="38">
        <v>0</v>
      </c>
      <c r="Q49" s="38">
        <v>0</v>
      </c>
      <c r="R49" s="38">
        <v>0</v>
      </c>
      <c r="S49" s="38">
        <v>0</v>
      </c>
      <c r="T49" s="38">
        <v>0</v>
      </c>
      <c r="U49" s="38">
        <v>0</v>
      </c>
      <c r="V49" s="38" t="s">
        <v>4897</v>
      </c>
      <c r="W49" s="38" t="s">
        <v>4897</v>
      </c>
      <c r="X49" s="38" t="s">
        <v>4897</v>
      </c>
      <c r="Y49" s="38" t="s">
        <v>4897</v>
      </c>
      <c r="Z49" s="38">
        <v>0</v>
      </c>
      <c r="AA49" s="38">
        <v>0</v>
      </c>
      <c r="AB49" s="38">
        <v>0</v>
      </c>
      <c r="AC49" s="38">
        <v>0</v>
      </c>
      <c r="AD49" s="38">
        <v>0</v>
      </c>
      <c r="AE49" s="38">
        <v>0</v>
      </c>
      <c r="AF49" s="38">
        <v>0</v>
      </c>
      <c r="AG49" s="38">
        <v>0</v>
      </c>
      <c r="AH49" s="38">
        <v>0</v>
      </c>
      <c r="AI49" s="38">
        <v>0</v>
      </c>
      <c r="AJ49" s="38">
        <v>0</v>
      </c>
      <c r="AK49" s="38">
        <v>0</v>
      </c>
      <c r="AL49" s="38">
        <v>0</v>
      </c>
      <c r="AM49" s="38">
        <v>-2.4499810527821895</v>
      </c>
      <c r="AN49" s="38">
        <v>-0.19418014325760591</v>
      </c>
      <c r="AO49" s="38">
        <v>0</v>
      </c>
      <c r="AP49" s="38">
        <v>0</v>
      </c>
      <c r="AQ49" s="38">
        <v>-2.6441611960397955</v>
      </c>
      <c r="AR49" s="38">
        <v>0</v>
      </c>
      <c r="AS49" s="453">
        <v>0</v>
      </c>
      <c r="AT49" s="38">
        <v>-2.4499810527821895</v>
      </c>
      <c r="AU49" s="38">
        <v>-0.22985145307441276</v>
      </c>
      <c r="AV49" s="38">
        <v>0</v>
      </c>
      <c r="AW49" s="38">
        <v>0</v>
      </c>
      <c r="AX49" s="38">
        <v>-2.6798325058566022</v>
      </c>
      <c r="AY49" s="38">
        <v>0</v>
      </c>
      <c r="AZ49" s="453">
        <v>0</v>
      </c>
      <c r="BA49" s="38">
        <v>-2.4499810527821895</v>
      </c>
      <c r="BB49" s="38">
        <v>-0.4240315963320187</v>
      </c>
      <c r="BC49" s="38">
        <v>0</v>
      </c>
      <c r="BD49" s="38">
        <v>0</v>
      </c>
      <c r="BE49" s="38">
        <v>-2.8740126491142082</v>
      </c>
      <c r="BF49" s="38">
        <v>0</v>
      </c>
      <c r="BG49" s="38">
        <v>9999</v>
      </c>
      <c r="BH49" s="453">
        <v>0</v>
      </c>
      <c r="BI49" s="38">
        <v>9999</v>
      </c>
      <c r="BJ49" s="38">
        <v>9999</v>
      </c>
      <c r="BK49" s="38">
        <v>9999</v>
      </c>
      <c r="BL49" s="38">
        <v>9999</v>
      </c>
      <c r="BM49" s="38">
        <v>9999</v>
      </c>
      <c r="BN49" s="38">
        <v>-2.4499810527821895</v>
      </c>
      <c r="BO49" s="38">
        <v>-2.509134226723726</v>
      </c>
      <c r="BP49" s="38">
        <v>-0.4240315963320187</v>
      </c>
      <c r="BQ49" s="38">
        <v>0</v>
      </c>
      <c r="BR49" s="38">
        <v>0</v>
      </c>
      <c r="BS49" s="38">
        <v>0</v>
      </c>
      <c r="BT49" s="38">
        <v>0</v>
      </c>
      <c r="BU49" s="38">
        <v>0</v>
      </c>
      <c r="BV49" s="38">
        <v>0</v>
      </c>
      <c r="BW49" s="38">
        <v>0</v>
      </c>
      <c r="BX49" s="38">
        <v>0</v>
      </c>
      <c r="BY49" s="38"/>
      <c r="BZ49" s="38">
        <v>0</v>
      </c>
      <c r="CA49" s="38">
        <v>0</v>
      </c>
      <c r="CB49" s="38">
        <v>-5.3831468758379337</v>
      </c>
      <c r="CC49" s="38">
        <v>0</v>
      </c>
      <c r="CD49" s="453">
        <v>0</v>
      </c>
      <c r="CE49" s="38">
        <v>9999</v>
      </c>
      <c r="CF49" s="38">
        <v>-4.6402191043476725E-2</v>
      </c>
      <c r="CG49" s="38">
        <v>-3.7832634981513437E-2</v>
      </c>
      <c r="CH49" s="38">
        <v>-8.4234826024990161E-2</v>
      </c>
      <c r="CI49" s="38">
        <v>-2.3200808183157823E-3</v>
      </c>
      <c r="CJ49" s="38">
        <v>-1.8916317490756747E-3</v>
      </c>
      <c r="CK49" s="38">
        <v>-4.211712567391457E-3</v>
      </c>
      <c r="CL49" s="38"/>
      <c r="CM49" s="38">
        <v>-0.32015431075768913</v>
      </c>
      <c r="CN49" s="38" t="s">
        <v>4726</v>
      </c>
      <c r="CO49" s="38">
        <v>0</v>
      </c>
      <c r="CP49" s="38">
        <v>0</v>
      </c>
      <c r="CQ49" s="38">
        <v>-2.509134226723726</v>
      </c>
      <c r="CR49" s="38">
        <v>0</v>
      </c>
      <c r="CS49" s="38">
        <v>0</v>
      </c>
      <c r="CT49" s="38">
        <v>-2.509134226723726</v>
      </c>
      <c r="CU49" s="38">
        <v>0</v>
      </c>
      <c r="CV49" s="38">
        <v>9999</v>
      </c>
      <c r="CW49" s="453">
        <v>0</v>
      </c>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row>
    <row r="50" spans="1:131">
      <c r="A50" s="9" t="s">
        <v>4685</v>
      </c>
      <c r="B50" s="9" t="s">
        <v>4689</v>
      </c>
      <c r="C50" s="38">
        <v>15.18</v>
      </c>
      <c r="D50" s="38">
        <v>-7.9384946442534385</v>
      </c>
      <c r="E50" s="38">
        <v>-0.55825004756918339</v>
      </c>
      <c r="F50" s="38">
        <v>0</v>
      </c>
      <c r="G50" s="38">
        <v>0</v>
      </c>
      <c r="H50" s="38">
        <v>0</v>
      </c>
      <c r="I50" s="38" t="s">
        <v>4724</v>
      </c>
      <c r="J50" s="38"/>
      <c r="K50" s="38"/>
      <c r="L50" s="38">
        <v>-8.5168484378601335</v>
      </c>
      <c r="M50" s="38">
        <v>-9.58232724982226E-4</v>
      </c>
      <c r="N50" s="38">
        <v>-9.5131663088661607E-4</v>
      </c>
      <c r="O50" s="38">
        <v>-0.56383254922637271</v>
      </c>
      <c r="P50" s="38">
        <v>0</v>
      </c>
      <c r="Q50" s="38">
        <v>0</v>
      </c>
      <c r="R50" s="38">
        <v>0</v>
      </c>
      <c r="S50" s="38">
        <v>0</v>
      </c>
      <c r="T50" s="38">
        <v>0</v>
      </c>
      <c r="U50" s="38">
        <v>0</v>
      </c>
      <c r="V50" s="38" t="s">
        <v>4897</v>
      </c>
      <c r="W50" s="38" t="s">
        <v>4897</v>
      </c>
      <c r="X50" s="38" t="s">
        <v>4897</v>
      </c>
      <c r="Y50" s="38" t="s">
        <v>4897</v>
      </c>
      <c r="Z50" s="38">
        <v>0</v>
      </c>
      <c r="AA50" s="38">
        <v>0</v>
      </c>
      <c r="AB50" s="38">
        <v>0</v>
      </c>
      <c r="AC50" s="38">
        <v>0</v>
      </c>
      <c r="AD50" s="38">
        <v>0</v>
      </c>
      <c r="AE50" s="38">
        <v>0</v>
      </c>
      <c r="AF50" s="38">
        <v>0</v>
      </c>
      <c r="AG50" s="38">
        <v>0</v>
      </c>
      <c r="AH50" s="38">
        <v>0</v>
      </c>
      <c r="AI50" s="38">
        <v>0</v>
      </c>
      <c r="AJ50" s="38">
        <v>0</v>
      </c>
      <c r="AK50" s="38">
        <v>0</v>
      </c>
      <c r="AL50" s="38">
        <v>0</v>
      </c>
      <c r="AM50" s="38">
        <v>-4.2720088198169242</v>
      </c>
      <c r="AN50" s="38">
        <v>-0.3385900816203391</v>
      </c>
      <c r="AO50" s="38">
        <v>0</v>
      </c>
      <c r="AP50" s="38">
        <v>0</v>
      </c>
      <c r="AQ50" s="38">
        <v>-4.610598901437263</v>
      </c>
      <c r="AR50" s="38">
        <v>0</v>
      </c>
      <c r="AS50" s="453">
        <v>0</v>
      </c>
      <c r="AT50" s="38">
        <v>-4.2720088198169242</v>
      </c>
      <c r="AU50" s="38">
        <v>-0.40078980760547267</v>
      </c>
      <c r="AV50" s="38">
        <v>0</v>
      </c>
      <c r="AW50" s="38">
        <v>0</v>
      </c>
      <c r="AX50" s="38">
        <v>-4.6727986274223969</v>
      </c>
      <c r="AY50" s="38">
        <v>0</v>
      </c>
      <c r="AZ50" s="453">
        <v>0</v>
      </c>
      <c r="BA50" s="38">
        <v>-4.2720088198169242</v>
      </c>
      <c r="BB50" s="38">
        <v>-0.73937988922581177</v>
      </c>
      <c r="BC50" s="38">
        <v>0</v>
      </c>
      <c r="BD50" s="38">
        <v>0</v>
      </c>
      <c r="BE50" s="38">
        <v>-5.0113887090427358</v>
      </c>
      <c r="BF50" s="38">
        <v>0</v>
      </c>
      <c r="BG50" s="38">
        <v>9999</v>
      </c>
      <c r="BH50" s="453">
        <v>0</v>
      </c>
      <c r="BI50" s="38">
        <v>9999</v>
      </c>
      <c r="BJ50" s="38">
        <v>9999</v>
      </c>
      <c r="BK50" s="38">
        <v>9999</v>
      </c>
      <c r="BL50" s="38">
        <v>9999</v>
      </c>
      <c r="BM50" s="38">
        <v>9999</v>
      </c>
      <c r="BN50" s="38">
        <v>-4.2720088198169242</v>
      </c>
      <c r="BO50" s="38">
        <v>-4.37515365047242</v>
      </c>
      <c r="BP50" s="38">
        <v>-0.73937988922581177</v>
      </c>
      <c r="BQ50" s="38">
        <v>0</v>
      </c>
      <c r="BR50" s="38">
        <v>0</v>
      </c>
      <c r="BS50" s="38">
        <v>0</v>
      </c>
      <c r="BT50" s="38">
        <v>0</v>
      </c>
      <c r="BU50" s="38">
        <v>0</v>
      </c>
      <c r="BV50" s="38">
        <v>0</v>
      </c>
      <c r="BW50" s="38">
        <v>0</v>
      </c>
      <c r="BX50" s="38">
        <v>0</v>
      </c>
      <c r="BY50" s="38"/>
      <c r="BZ50" s="38">
        <v>0</v>
      </c>
      <c r="CA50" s="38">
        <v>0</v>
      </c>
      <c r="CB50" s="38">
        <v>-9.3865423595151558</v>
      </c>
      <c r="CC50" s="38">
        <v>0</v>
      </c>
      <c r="CD50" s="453">
        <v>0</v>
      </c>
      <c r="CE50" s="38">
        <v>9999</v>
      </c>
      <c r="CF50" s="38">
        <v>-8.0911062218808782E-2</v>
      </c>
      <c r="CG50" s="38">
        <v>-6.5968408259485495E-2</v>
      </c>
      <c r="CH50" s="38">
        <v>-0.14687947047829428</v>
      </c>
      <c r="CI50" s="38">
        <v>-4.0455030079835624E-3</v>
      </c>
      <c r="CJ50" s="38">
        <v>-3.2984204129742805E-3</v>
      </c>
      <c r="CK50" s="38">
        <v>-7.3439234209578428E-3</v>
      </c>
      <c r="CL50" s="38"/>
      <c r="CM50" s="38">
        <v>-0.55825004756918339</v>
      </c>
      <c r="CN50" s="38" t="s">
        <v>4726</v>
      </c>
      <c r="CO50" s="38">
        <v>0</v>
      </c>
      <c r="CP50" s="38">
        <v>0</v>
      </c>
      <c r="CQ50" s="38">
        <v>-4.37515365047242</v>
      </c>
      <c r="CR50" s="38">
        <v>0</v>
      </c>
      <c r="CS50" s="38">
        <v>0</v>
      </c>
      <c r="CT50" s="38">
        <v>-4.37515365047242</v>
      </c>
      <c r="CU50" s="38">
        <v>0</v>
      </c>
      <c r="CV50" s="38">
        <v>9999</v>
      </c>
      <c r="CW50" s="453">
        <v>0</v>
      </c>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row>
    <row r="51" spans="1:131">
      <c r="A51" s="9" t="s">
        <v>4686</v>
      </c>
      <c r="B51" s="9" t="s">
        <v>4690</v>
      </c>
      <c r="C51" s="38">
        <v>21.73469387755102</v>
      </c>
      <c r="D51" s="38">
        <v>-1.5894451189684815</v>
      </c>
      <c r="E51" s="38">
        <v>-0.11177280492531043</v>
      </c>
      <c r="F51" s="38">
        <v>0</v>
      </c>
      <c r="G51" s="38">
        <v>0</v>
      </c>
      <c r="H51" s="38">
        <v>0</v>
      </c>
      <c r="I51" s="38" t="s">
        <v>4725</v>
      </c>
      <c r="J51" s="38"/>
      <c r="K51" s="38"/>
      <c r="L51" s="38">
        <v>-1.7044919230706435</v>
      </c>
      <c r="M51" s="38">
        <v>-1.567268145376436E-4</v>
      </c>
      <c r="N51" s="38">
        <v>-1.5559563067344439E-4</v>
      </c>
      <c r="O51" s="38">
        <v>-0.11289053321112291</v>
      </c>
      <c r="P51" s="38">
        <v>0</v>
      </c>
      <c r="Q51" s="38">
        <v>0</v>
      </c>
      <c r="R51" s="38">
        <v>0</v>
      </c>
      <c r="S51" s="38">
        <v>0</v>
      </c>
      <c r="T51" s="38">
        <v>0</v>
      </c>
      <c r="U51" s="38">
        <v>0</v>
      </c>
      <c r="V51" s="38" t="s">
        <v>4897</v>
      </c>
      <c r="W51" s="38" t="s">
        <v>4897</v>
      </c>
      <c r="X51" s="38" t="s">
        <v>4897</v>
      </c>
      <c r="Y51" s="38" t="s">
        <v>4897</v>
      </c>
      <c r="Z51" s="38">
        <v>0</v>
      </c>
      <c r="AA51" s="38">
        <v>0</v>
      </c>
      <c r="AB51" s="38">
        <v>0</v>
      </c>
      <c r="AC51" s="38">
        <v>0</v>
      </c>
      <c r="AD51" s="38">
        <v>0</v>
      </c>
      <c r="AE51" s="38">
        <v>0</v>
      </c>
      <c r="AF51" s="38">
        <v>0</v>
      </c>
      <c r="AG51" s="38">
        <v>0</v>
      </c>
      <c r="AH51" s="38">
        <v>0</v>
      </c>
      <c r="AI51" s="38">
        <v>0</v>
      </c>
      <c r="AJ51" s="38">
        <v>0</v>
      </c>
      <c r="AK51" s="38">
        <v>0</v>
      </c>
      <c r="AL51" s="38">
        <v>0</v>
      </c>
      <c r="AM51" s="38">
        <v>-0.84953075535426226</v>
      </c>
      <c r="AN51" s="38">
        <v>-5.5379182470918858E-2</v>
      </c>
      <c r="AO51" s="38">
        <v>0</v>
      </c>
      <c r="AP51" s="38">
        <v>0</v>
      </c>
      <c r="AQ51" s="38">
        <v>-0.90490993782518114</v>
      </c>
      <c r="AR51" s="38">
        <v>0</v>
      </c>
      <c r="AS51" s="453">
        <v>0</v>
      </c>
      <c r="AT51" s="38">
        <v>-0.84953075535426226</v>
      </c>
      <c r="AU51" s="38">
        <v>-6.5552457359798366E-2</v>
      </c>
      <c r="AV51" s="38">
        <v>0</v>
      </c>
      <c r="AW51" s="38">
        <v>0</v>
      </c>
      <c r="AX51" s="38">
        <v>-0.91508321271406068</v>
      </c>
      <c r="AY51" s="38">
        <v>0</v>
      </c>
      <c r="AZ51" s="453">
        <v>0</v>
      </c>
      <c r="BA51" s="38">
        <v>-0.84953075535426226</v>
      </c>
      <c r="BB51" s="38">
        <v>-0.12093163983071722</v>
      </c>
      <c r="BC51" s="38">
        <v>0</v>
      </c>
      <c r="BD51" s="38">
        <v>0</v>
      </c>
      <c r="BE51" s="38">
        <v>-0.97046239518497956</v>
      </c>
      <c r="BF51" s="38">
        <v>0</v>
      </c>
      <c r="BG51" s="38">
        <v>9999</v>
      </c>
      <c r="BH51" s="453">
        <v>0</v>
      </c>
      <c r="BI51" s="38">
        <v>9999</v>
      </c>
      <c r="BJ51" s="38">
        <v>9999</v>
      </c>
      <c r="BK51" s="38">
        <v>9999</v>
      </c>
      <c r="BL51" s="38">
        <v>9999</v>
      </c>
      <c r="BM51" s="38">
        <v>9999</v>
      </c>
      <c r="BN51" s="38">
        <v>-0.84953075535426226</v>
      </c>
      <c r="BO51" s="38">
        <v>-0.87599311029509452</v>
      </c>
      <c r="BP51" s="38">
        <v>-0.12093163983071722</v>
      </c>
      <c r="BQ51" s="38">
        <v>0</v>
      </c>
      <c r="BR51" s="38">
        <v>0</v>
      </c>
      <c r="BS51" s="38">
        <v>0</v>
      </c>
      <c r="BT51" s="38">
        <v>0</v>
      </c>
      <c r="BU51" s="38">
        <v>0</v>
      </c>
      <c r="BV51" s="38">
        <v>0</v>
      </c>
      <c r="BW51" s="38">
        <v>0</v>
      </c>
      <c r="BX51" s="38">
        <v>0</v>
      </c>
      <c r="BY51" s="38"/>
      <c r="BZ51" s="38">
        <v>0</v>
      </c>
      <c r="CA51" s="38">
        <v>0</v>
      </c>
      <c r="CB51" s="38">
        <v>-1.846455505480074</v>
      </c>
      <c r="CC51" s="38">
        <v>0</v>
      </c>
      <c r="CD51" s="453">
        <v>0</v>
      </c>
      <c r="CE51" s="38">
        <v>9999</v>
      </c>
      <c r="CF51" s="38">
        <v>-1.6192869489700515E-2</v>
      </c>
      <c r="CG51" s="38">
        <v>-1.320819238570139E-2</v>
      </c>
      <c r="CH51" s="38">
        <v>-2.9401061875401903E-2</v>
      </c>
      <c r="CI51" s="38">
        <v>-8.0963366345855592E-4</v>
      </c>
      <c r="CJ51" s="38">
        <v>-6.604096192850689E-4</v>
      </c>
      <c r="CK51" s="38">
        <v>-1.4700432827436248E-3</v>
      </c>
      <c r="CL51" s="38"/>
      <c r="CM51" s="38">
        <v>-0.11177280492531043</v>
      </c>
      <c r="CN51" s="38" t="s">
        <v>4726</v>
      </c>
      <c r="CO51" s="38">
        <v>0</v>
      </c>
      <c r="CP51" s="38">
        <v>0</v>
      </c>
      <c r="CQ51" s="38">
        <v>-0.87599311029509452</v>
      </c>
      <c r="CR51" s="38">
        <v>0</v>
      </c>
      <c r="CS51" s="38">
        <v>0</v>
      </c>
      <c r="CT51" s="38">
        <v>-0.87599311029509452</v>
      </c>
      <c r="CU51" s="38">
        <v>0</v>
      </c>
      <c r="CV51" s="38">
        <v>9999</v>
      </c>
      <c r="CW51" s="453">
        <v>0</v>
      </c>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row>
    <row r="52" spans="1:131">
      <c r="A52" s="9"/>
      <c r="B52" s="9"/>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row>
    <row r="53" spans="1:131">
      <c r="A53" s="9"/>
      <c r="B53" s="9"/>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c r="BU53" s="38"/>
      <c r="BV53" s="38"/>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row>
    <row r="54" spans="1:131" ht="13.5" thickBot="1">
      <c r="A54" s="36" t="s">
        <v>4898</v>
      </c>
      <c r="B54" s="37"/>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c r="BU54" s="38"/>
      <c r="BV54" s="38"/>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row>
    <row r="55" spans="1:131" ht="26.25" thickBot="1">
      <c r="A55" s="446" t="s">
        <v>4801</v>
      </c>
      <c r="B55" s="447"/>
      <c r="C55" s="448" t="s">
        <v>4802</v>
      </c>
      <c r="D55" s="449"/>
      <c r="E55" s="449"/>
      <c r="F55" s="449"/>
      <c r="G55" s="449"/>
      <c r="H55" s="449"/>
      <c r="I55" s="449"/>
      <c r="J55" s="449"/>
      <c r="K55" s="450"/>
      <c r="L55" s="448" t="s">
        <v>4803</v>
      </c>
      <c r="M55" s="449"/>
      <c r="N55" s="449"/>
      <c r="O55" s="449"/>
      <c r="P55" s="449"/>
      <c r="Q55" s="450"/>
      <c r="R55" s="448" t="s">
        <v>4804</v>
      </c>
      <c r="S55" s="449"/>
      <c r="T55" s="449"/>
      <c r="U55" s="450"/>
      <c r="V55" s="448" t="s">
        <v>4805</v>
      </c>
      <c r="W55" s="449"/>
      <c r="X55" s="449"/>
      <c r="Y55" s="450"/>
      <c r="Z55" s="448" t="s">
        <v>4806</v>
      </c>
      <c r="AA55" s="449"/>
      <c r="AB55" s="449"/>
      <c r="AC55" s="450"/>
      <c r="AD55" s="448" t="s">
        <v>4807</v>
      </c>
      <c r="AE55" s="449"/>
      <c r="AF55" s="449"/>
      <c r="AG55" s="450"/>
      <c r="AH55" s="448" t="s">
        <v>4808</v>
      </c>
      <c r="AI55" s="449"/>
      <c r="AJ55" s="449"/>
      <c r="AK55" s="449"/>
      <c r="AL55" s="450"/>
      <c r="AM55" s="448" t="s">
        <v>4809</v>
      </c>
      <c r="AN55" s="449"/>
      <c r="AO55" s="449"/>
      <c r="AP55" s="449"/>
      <c r="AQ55" s="449"/>
      <c r="AR55" s="449"/>
      <c r="AS55" s="450"/>
      <c r="AT55" s="448" t="s">
        <v>4810</v>
      </c>
      <c r="AU55" s="449"/>
      <c r="AV55" s="449"/>
      <c r="AW55" s="449"/>
      <c r="AX55" s="449"/>
      <c r="AY55" s="449"/>
      <c r="AZ55" s="450"/>
      <c r="BA55" s="448" t="s">
        <v>4811</v>
      </c>
      <c r="BB55" s="449"/>
      <c r="BC55" s="449"/>
      <c r="BD55" s="449"/>
      <c r="BE55" s="449"/>
      <c r="BF55" s="450"/>
      <c r="BG55" s="448" t="s">
        <v>4812</v>
      </c>
      <c r="BH55" s="450"/>
      <c r="BI55" s="448" t="s">
        <v>4813</v>
      </c>
      <c r="BJ55" s="449"/>
      <c r="BK55" s="449"/>
      <c r="BL55" s="449"/>
      <c r="BM55" s="450"/>
      <c r="BN55" s="448" t="s">
        <v>4814</v>
      </c>
      <c r="BO55" s="449"/>
      <c r="BP55" s="449"/>
      <c r="BQ55" s="449"/>
      <c r="BR55" s="449"/>
      <c r="BS55" s="449"/>
      <c r="BT55" s="449"/>
      <c r="BU55" s="449"/>
      <c r="BV55" s="449"/>
      <c r="BW55" s="449"/>
      <c r="BX55" s="449"/>
      <c r="BY55" s="449"/>
      <c r="BZ55" s="449"/>
      <c r="CA55" s="449"/>
      <c r="CB55" s="449"/>
      <c r="CC55" s="450"/>
      <c r="CD55" s="448" t="s">
        <v>4815</v>
      </c>
      <c r="CE55" s="450"/>
      <c r="CF55" s="448" t="s">
        <v>4816</v>
      </c>
      <c r="CG55" s="449"/>
      <c r="CH55" s="449"/>
      <c r="CI55" s="449"/>
      <c r="CJ55" s="449"/>
      <c r="CK55" s="450"/>
      <c r="CL55" s="451"/>
      <c r="CM55" s="448" t="s">
        <v>5</v>
      </c>
      <c r="CN55" s="449"/>
      <c r="CO55" s="449"/>
      <c r="CP55" s="450"/>
      <c r="CQ55" s="448" t="s">
        <v>4817</v>
      </c>
      <c r="CR55" s="449"/>
      <c r="CS55" s="449"/>
      <c r="CT55" s="449"/>
      <c r="CU55" s="450"/>
      <c r="CV55" s="448" t="s">
        <v>4818</v>
      </c>
      <c r="CW55" s="450"/>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row>
    <row r="56" spans="1:131" ht="204">
      <c r="A56" s="39" t="s">
        <v>21</v>
      </c>
      <c r="B56" s="40" t="s">
        <v>22</v>
      </c>
      <c r="C56" s="41" t="s">
        <v>4681</v>
      </c>
      <c r="D56" s="41" t="s">
        <v>4819</v>
      </c>
      <c r="E56" s="41" t="s">
        <v>4820</v>
      </c>
      <c r="F56" s="41" t="s">
        <v>4821</v>
      </c>
      <c r="G56" s="41" t="s">
        <v>4822</v>
      </c>
      <c r="H56" s="41" t="s">
        <v>4823</v>
      </c>
      <c r="I56" s="41" t="s">
        <v>4824</v>
      </c>
      <c r="J56" s="41" t="s">
        <v>4825</v>
      </c>
      <c r="K56" s="41" t="s">
        <v>4826</v>
      </c>
      <c r="L56" s="41" t="s">
        <v>4827</v>
      </c>
      <c r="M56" s="41" t="s">
        <v>4828</v>
      </c>
      <c r="N56" s="41" t="s">
        <v>4829</v>
      </c>
      <c r="O56" s="41" t="s">
        <v>4830</v>
      </c>
      <c r="P56" s="41" t="s">
        <v>4831</v>
      </c>
      <c r="Q56" s="41" t="s">
        <v>4832</v>
      </c>
      <c r="R56" s="41" t="s">
        <v>4833</v>
      </c>
      <c r="S56" s="41" t="s">
        <v>4834</v>
      </c>
      <c r="T56" s="41" t="s">
        <v>4835</v>
      </c>
      <c r="U56" s="41" t="s">
        <v>4741</v>
      </c>
      <c r="V56" s="41" t="s">
        <v>4833</v>
      </c>
      <c r="W56" s="41" t="s">
        <v>4834</v>
      </c>
      <c r="X56" s="41" t="s">
        <v>4835</v>
      </c>
      <c r="Y56" s="41" t="s">
        <v>4741</v>
      </c>
      <c r="Z56" s="41" t="s">
        <v>4833</v>
      </c>
      <c r="AA56" s="41" t="s">
        <v>4834</v>
      </c>
      <c r="AB56" s="41" t="s">
        <v>4835</v>
      </c>
      <c r="AC56" s="41" t="s">
        <v>4741</v>
      </c>
      <c r="AD56" s="41" t="s">
        <v>4833</v>
      </c>
      <c r="AE56" s="41" t="s">
        <v>4834</v>
      </c>
      <c r="AF56" s="41" t="s">
        <v>4835</v>
      </c>
      <c r="AG56" s="41" t="s">
        <v>4741</v>
      </c>
      <c r="AH56" s="41" t="s">
        <v>4833</v>
      </c>
      <c r="AI56" s="41" t="s">
        <v>4834</v>
      </c>
      <c r="AJ56" s="41" t="s">
        <v>4835</v>
      </c>
      <c r="AK56" s="41" t="s">
        <v>4741</v>
      </c>
      <c r="AL56" s="41" t="s">
        <v>4836</v>
      </c>
      <c r="AM56" s="41" t="s">
        <v>4837</v>
      </c>
      <c r="AN56" s="41" t="s">
        <v>4838</v>
      </c>
      <c r="AO56" s="41" t="s">
        <v>4839</v>
      </c>
      <c r="AP56" s="41" t="s">
        <v>4840</v>
      </c>
      <c r="AQ56" s="41" t="s">
        <v>4841</v>
      </c>
      <c r="AR56" s="41" t="s">
        <v>4842</v>
      </c>
      <c r="AS56" s="41" t="s">
        <v>4843</v>
      </c>
      <c r="AT56" s="41" t="s">
        <v>4844</v>
      </c>
      <c r="AU56" s="41" t="s">
        <v>4845</v>
      </c>
      <c r="AV56" s="41" t="s">
        <v>4846</v>
      </c>
      <c r="AW56" s="41" t="s">
        <v>4847</v>
      </c>
      <c r="AX56" s="41" t="s">
        <v>4848</v>
      </c>
      <c r="AY56" s="41" t="s">
        <v>4849</v>
      </c>
      <c r="AZ56" s="41" t="s">
        <v>4850</v>
      </c>
      <c r="BA56" s="41" t="s">
        <v>4851</v>
      </c>
      <c r="BB56" s="41" t="s">
        <v>4852</v>
      </c>
      <c r="BC56" s="41" t="s">
        <v>4853</v>
      </c>
      <c r="BD56" s="41" t="s">
        <v>4854</v>
      </c>
      <c r="BE56" s="41" t="s">
        <v>4855</v>
      </c>
      <c r="BF56" s="41" t="s">
        <v>4856</v>
      </c>
      <c r="BG56" s="41" t="s">
        <v>4857</v>
      </c>
      <c r="BH56" s="41" t="s">
        <v>4858</v>
      </c>
      <c r="BI56" s="41" t="s">
        <v>4859</v>
      </c>
      <c r="BJ56" s="41" t="s">
        <v>4860</v>
      </c>
      <c r="BK56" s="41" t="s">
        <v>4861</v>
      </c>
      <c r="BL56" s="41" t="s">
        <v>4862</v>
      </c>
      <c r="BM56" s="41" t="s">
        <v>4863</v>
      </c>
      <c r="BN56" s="41" t="s">
        <v>4864</v>
      </c>
      <c r="BO56" s="41" t="s">
        <v>4865</v>
      </c>
      <c r="BP56" s="41" t="s">
        <v>4866</v>
      </c>
      <c r="BQ56" s="41" t="s">
        <v>4867</v>
      </c>
      <c r="BR56" s="41" t="s">
        <v>4868</v>
      </c>
      <c r="BS56" s="41" t="s">
        <v>4869</v>
      </c>
      <c r="BT56" s="41" t="s">
        <v>4870</v>
      </c>
      <c r="BU56" s="41" t="s">
        <v>4871</v>
      </c>
      <c r="BV56" s="41" t="s">
        <v>4872</v>
      </c>
      <c r="BW56" s="41" t="s">
        <v>4873</v>
      </c>
      <c r="BX56" s="41" t="s">
        <v>4874</v>
      </c>
      <c r="BY56" s="41" t="s">
        <v>4875</v>
      </c>
      <c r="BZ56" s="41" t="s">
        <v>4876</v>
      </c>
      <c r="CA56" s="41" t="s">
        <v>4877</v>
      </c>
      <c r="CB56" s="41" t="s">
        <v>4878</v>
      </c>
      <c r="CC56" s="41" t="s">
        <v>4879</v>
      </c>
      <c r="CD56" s="41" t="s">
        <v>23</v>
      </c>
      <c r="CE56" s="41" t="s">
        <v>24</v>
      </c>
      <c r="CF56" s="41" t="s">
        <v>4880</v>
      </c>
      <c r="CG56" s="41" t="s">
        <v>4881</v>
      </c>
      <c r="CH56" s="41" t="s">
        <v>4882</v>
      </c>
      <c r="CI56" s="41" t="s">
        <v>4883</v>
      </c>
      <c r="CJ56" s="41" t="s">
        <v>4884</v>
      </c>
      <c r="CK56" s="41" t="s">
        <v>4885</v>
      </c>
      <c r="CL56" s="41"/>
      <c r="CM56" s="41" t="s">
        <v>4886</v>
      </c>
      <c r="CN56" s="41" t="s">
        <v>4887</v>
      </c>
      <c r="CO56" s="41" t="s">
        <v>4888</v>
      </c>
      <c r="CP56" s="41" t="s">
        <v>4889</v>
      </c>
      <c r="CQ56" s="41" t="s">
        <v>4890</v>
      </c>
      <c r="CR56" s="41" t="s">
        <v>4891</v>
      </c>
      <c r="CS56" s="41" t="s">
        <v>4892</v>
      </c>
      <c r="CT56" s="41" t="s">
        <v>4893</v>
      </c>
      <c r="CU56" s="41" t="s">
        <v>4894</v>
      </c>
      <c r="CV56" s="41" t="s">
        <v>4895</v>
      </c>
      <c r="CW56" s="41" t="s">
        <v>4896</v>
      </c>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row>
    <row r="57" spans="1:131">
      <c r="A57" s="9" t="s">
        <v>4686</v>
      </c>
      <c r="B57" s="9"/>
      <c r="C57" s="38">
        <v>21.734693877551017</v>
      </c>
      <c r="D57" s="38">
        <v>23.25230797194061</v>
      </c>
      <c r="E57" s="38">
        <v>-0.11177280492531043</v>
      </c>
      <c r="F57" s="38">
        <v>45.204258252026108</v>
      </c>
      <c r="G57" s="38">
        <v>0</v>
      </c>
      <c r="H57" s="38">
        <v>0</v>
      </c>
      <c r="I57" s="38"/>
      <c r="J57" s="38"/>
      <c r="K57" s="38"/>
      <c r="L57" s="38">
        <v>24.935350493035692</v>
      </c>
      <c r="M57" s="38">
        <v>2.2927876625621151E-3</v>
      </c>
      <c r="N57" s="38">
        <v>2.2762393493996448E-3</v>
      </c>
      <c r="O57" s="38">
        <v>-0.11289053321112291</v>
      </c>
      <c r="P57" s="38">
        <v>0</v>
      </c>
      <c r="Q57" s="38">
        <v>0</v>
      </c>
      <c r="R57" s="38">
        <v>8.5426149599259489</v>
      </c>
      <c r="S57" s="38">
        <v>19.74068384798813</v>
      </c>
      <c r="T57" s="38">
        <v>0</v>
      </c>
      <c r="U57" s="38">
        <v>15.26413254549492</v>
      </c>
      <c r="V57" s="38">
        <v>2.7122554951215667</v>
      </c>
      <c r="W57" s="38">
        <v>6.3285961552836554</v>
      </c>
      <c r="X57" s="38">
        <v>0</v>
      </c>
      <c r="Y57" s="38">
        <v>0</v>
      </c>
      <c r="Z57" s="38">
        <v>0</v>
      </c>
      <c r="AA57" s="38">
        <v>0</v>
      </c>
      <c r="AB57" s="38">
        <v>0</v>
      </c>
      <c r="AC57" s="38">
        <v>0</v>
      </c>
      <c r="AD57" s="38">
        <v>0</v>
      </c>
      <c r="AE57" s="38">
        <v>0</v>
      </c>
      <c r="AF57" s="38">
        <v>0</v>
      </c>
      <c r="AG57" s="38">
        <v>0</v>
      </c>
      <c r="AH57" s="38">
        <v>11.254870455047516</v>
      </c>
      <c r="AI57" s="38">
        <v>26.069280003271786</v>
      </c>
      <c r="AJ57" s="38">
        <v>0</v>
      </c>
      <c r="AK57" s="38">
        <v>15.26413254549492</v>
      </c>
      <c r="AL57" s="38">
        <v>52.588283003814219</v>
      </c>
      <c r="AM57" s="38">
        <v>12.427953956631312</v>
      </c>
      <c r="AN57" s="38">
        <v>0.81015304692230461</v>
      </c>
      <c r="AO57" s="38">
        <v>0</v>
      </c>
      <c r="AP57" s="38">
        <v>0</v>
      </c>
      <c r="AQ57" s="38">
        <v>13.238107003553615</v>
      </c>
      <c r="AR57" s="38">
        <v>11.254870455047516</v>
      </c>
      <c r="AS57" s="42">
        <v>1.1762114061132236</v>
      </c>
      <c r="AT57" s="38">
        <v>12.427953956631312</v>
      </c>
      <c r="AU57" s="38">
        <v>0.95897990352554086</v>
      </c>
      <c r="AV57" s="38">
        <v>0</v>
      </c>
      <c r="AW57" s="38">
        <v>0</v>
      </c>
      <c r="AX57" s="38">
        <v>13.386933860156851</v>
      </c>
      <c r="AY57" s="38">
        <v>26.069280003271786</v>
      </c>
      <c r="AZ57" s="453">
        <v>0.513513754828547</v>
      </c>
      <c r="BA57" s="38">
        <v>12.427953956631312</v>
      </c>
      <c r="BB57" s="38">
        <v>1.7691329504478455</v>
      </c>
      <c r="BC57" s="38">
        <v>0</v>
      </c>
      <c r="BD57" s="38">
        <v>0</v>
      </c>
      <c r="BE57" s="38">
        <v>14.197086907079155</v>
      </c>
      <c r="BF57" s="38">
        <v>37.324150458319302</v>
      </c>
      <c r="BG57" s="38">
        <v>104.9193361819765</v>
      </c>
      <c r="BH57" s="453">
        <v>0.38037267379825174</v>
      </c>
      <c r="BI57" s="38">
        <v>33.212008310677902</v>
      </c>
      <c r="BJ57" s="38">
        <v>76.927864037187305</v>
      </c>
      <c r="BK57" s="38">
        <v>0</v>
      </c>
      <c r="BL57" s="38">
        <v>45.042943762085798</v>
      </c>
      <c r="BM57" s="38">
        <v>155.18281610995101</v>
      </c>
      <c r="BN57" s="38">
        <v>12.427953956631312</v>
      </c>
      <c r="BO57" s="38">
        <v>-0.87599311029509452</v>
      </c>
      <c r="BP57" s="38">
        <v>1.7691329504478455</v>
      </c>
      <c r="BQ57" s="38">
        <v>0</v>
      </c>
      <c r="BR57" s="38">
        <v>0</v>
      </c>
      <c r="BS57" s="38">
        <v>0</v>
      </c>
      <c r="BT57" s="38">
        <v>0</v>
      </c>
      <c r="BU57" s="38">
        <v>0</v>
      </c>
      <c r="BV57" s="38">
        <v>0</v>
      </c>
      <c r="BW57" s="38">
        <v>0</v>
      </c>
      <c r="BX57" s="38">
        <v>43.547431353408996</v>
      </c>
      <c r="BY57" s="38">
        <v>9.0408516504052212</v>
      </c>
      <c r="BZ57" s="38">
        <v>0</v>
      </c>
      <c r="CA57" s="38">
        <v>0</v>
      </c>
      <c r="CB57" s="38">
        <v>13.321093796784062</v>
      </c>
      <c r="CC57" s="38">
        <v>52.588283003814219</v>
      </c>
      <c r="CD57" s="453">
        <v>0.26554342336513037</v>
      </c>
      <c r="CE57" s="38">
        <v>152.54724887599428</v>
      </c>
      <c r="CF57" s="38">
        <v>0.23688870023289188</v>
      </c>
      <c r="CG57" s="38">
        <v>-1.320819238570139E-2</v>
      </c>
      <c r="CH57" s="38">
        <v>0.22368050784719049</v>
      </c>
      <c r="CI57" s="38">
        <v>1.1844291484191959E-2</v>
      </c>
      <c r="CJ57" s="38">
        <v>-6.604096192850689E-4</v>
      </c>
      <c r="CK57" s="38">
        <v>1.1183881864906891E-2</v>
      </c>
      <c r="CL57" s="38"/>
      <c r="CM57" s="38">
        <v>-0.11289053321112291</v>
      </c>
      <c r="CN57" s="38"/>
      <c r="CO57" s="38">
        <v>0</v>
      </c>
      <c r="CP57" s="38">
        <v>0</v>
      </c>
      <c r="CQ57" s="38">
        <v>-0.87599311029509452</v>
      </c>
      <c r="CR57" s="38">
        <v>0</v>
      </c>
      <c r="CS57" s="38">
        <v>0</v>
      </c>
      <c r="CT57" s="38">
        <v>-0.87599311029509452</v>
      </c>
      <c r="CU57" s="38">
        <v>0</v>
      </c>
      <c r="CV57" s="38">
        <v>9999</v>
      </c>
      <c r="CW57" s="453">
        <v>0</v>
      </c>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row>
    <row r="58" spans="1:131">
      <c r="A58" s="9" t="s">
        <v>4685</v>
      </c>
      <c r="B58" s="9"/>
      <c r="C58" s="38">
        <v>15.180000000000001</v>
      </c>
      <c r="D58" s="38">
        <v>56.620231590999808</v>
      </c>
      <c r="E58" s="38">
        <v>-0.55825004756918339</v>
      </c>
      <c r="F58" s="38">
        <v>99.131722333352826</v>
      </c>
      <c r="G58" s="38">
        <v>0</v>
      </c>
      <c r="H58" s="38">
        <v>0</v>
      </c>
      <c r="I58" s="38"/>
      <c r="J58" s="38"/>
      <c r="K58" s="38"/>
      <c r="L58" s="38">
        <v>60.745261234907062</v>
      </c>
      <c r="M58" s="38">
        <v>6.8344643711315128E-3</v>
      </c>
      <c r="N58" s="38">
        <v>6.7851362721723426E-3</v>
      </c>
      <c r="O58" s="38">
        <v>-0.56383254922637271</v>
      </c>
      <c r="P58" s="38">
        <v>0</v>
      </c>
      <c r="Q58" s="38">
        <v>0</v>
      </c>
      <c r="R58" s="38">
        <v>19.768189684598681</v>
      </c>
      <c r="S58" s="38">
        <v>45.681279636429437</v>
      </c>
      <c r="T58" s="38">
        <v>0</v>
      </c>
      <c r="U58" s="38">
        <v>56.685770483492199</v>
      </c>
      <c r="V58" s="38">
        <v>5.9479033400011696</v>
      </c>
      <c r="W58" s="38">
        <v>13.878441126669395</v>
      </c>
      <c r="X58" s="38">
        <v>0</v>
      </c>
      <c r="Y58" s="38">
        <v>0</v>
      </c>
      <c r="Z58" s="38">
        <v>0</v>
      </c>
      <c r="AA58" s="38">
        <v>0</v>
      </c>
      <c r="AB58" s="38">
        <v>0</v>
      </c>
      <c r="AC58" s="38">
        <v>0</v>
      </c>
      <c r="AD58" s="38">
        <v>0</v>
      </c>
      <c r="AE58" s="38">
        <v>0</v>
      </c>
      <c r="AF58" s="38">
        <v>0</v>
      </c>
      <c r="AG58" s="38">
        <v>0</v>
      </c>
      <c r="AH58" s="38">
        <v>25.71609302459985</v>
      </c>
      <c r="AI58" s="38">
        <v>59.559720763098831</v>
      </c>
      <c r="AJ58" s="38">
        <v>0</v>
      </c>
      <c r="AK58" s="38">
        <v>56.685770483492199</v>
      </c>
      <c r="AL58" s="38">
        <v>141.9615842711909</v>
      </c>
      <c r="AM58" s="38">
        <v>30.469520932652237</v>
      </c>
      <c r="AN58" s="38">
        <v>2.4149476311150213</v>
      </c>
      <c r="AO58" s="38">
        <v>0</v>
      </c>
      <c r="AP58" s="38">
        <v>0</v>
      </c>
      <c r="AQ58" s="38">
        <v>32.884468563767257</v>
      </c>
      <c r="AR58" s="38">
        <v>25.71609302459985</v>
      </c>
      <c r="AS58" s="42">
        <v>1.2787505680707481</v>
      </c>
      <c r="AT58" s="38">
        <v>30.469520932652237</v>
      </c>
      <c r="AU58" s="38">
        <v>2.8585787032508878</v>
      </c>
      <c r="AV58" s="38">
        <v>0</v>
      </c>
      <c r="AW58" s="38">
        <v>0</v>
      </c>
      <c r="AX58" s="38">
        <v>33.328099635903122</v>
      </c>
      <c r="AY58" s="38">
        <v>59.559720763098831</v>
      </c>
      <c r="AZ58" s="453">
        <v>0.55957447766531632</v>
      </c>
      <c r="BA58" s="38">
        <v>30.469520932652237</v>
      </c>
      <c r="BB58" s="38">
        <v>5.2735263343659087</v>
      </c>
      <c r="BC58" s="38">
        <v>0</v>
      </c>
      <c r="BD58" s="38">
        <v>0</v>
      </c>
      <c r="BE58" s="38">
        <v>35.743047267018142</v>
      </c>
      <c r="BF58" s="38">
        <v>85.275813787698681</v>
      </c>
      <c r="BG58" s="38">
        <v>96.908108080166599</v>
      </c>
      <c r="BH58" s="453">
        <v>0.41914636377441639</v>
      </c>
      <c r="BI58" s="38">
        <v>31.150333341171528</v>
      </c>
      <c r="BJ58" s="38">
        <v>72.145685338081904</v>
      </c>
      <c r="BK58" s="38">
        <v>0</v>
      </c>
      <c r="BL58" s="38">
        <v>68.664421324529727</v>
      </c>
      <c r="BM58" s="38">
        <v>171.96044000378316</v>
      </c>
      <c r="BN58" s="38">
        <v>30.469520932652237</v>
      </c>
      <c r="BO58" s="38">
        <v>-4.37515365047242</v>
      </c>
      <c r="BP58" s="38">
        <v>5.2735263343659087</v>
      </c>
      <c r="BQ58" s="38">
        <v>0</v>
      </c>
      <c r="BR58" s="38">
        <v>0</v>
      </c>
      <c r="BS58" s="38">
        <v>0</v>
      </c>
      <c r="BT58" s="38">
        <v>0</v>
      </c>
      <c r="BU58" s="38">
        <v>0</v>
      </c>
      <c r="BV58" s="38">
        <v>0</v>
      </c>
      <c r="BW58" s="38">
        <v>0</v>
      </c>
      <c r="BX58" s="38">
        <v>122.13523980452032</v>
      </c>
      <c r="BY58" s="38">
        <v>19.826344466670566</v>
      </c>
      <c r="BZ58" s="38">
        <v>0</v>
      </c>
      <c r="CA58" s="38">
        <v>0</v>
      </c>
      <c r="CB58" s="38">
        <v>31.367893616545722</v>
      </c>
      <c r="CC58" s="38">
        <v>141.9615842711909</v>
      </c>
      <c r="CD58" s="453">
        <v>0.24425204343527213</v>
      </c>
      <c r="CE58" s="38">
        <v>170.87222615492539</v>
      </c>
      <c r="CF58" s="38">
        <v>0.57708712878190527</v>
      </c>
      <c r="CG58" s="38">
        <v>-6.5968408259485495E-2</v>
      </c>
      <c r="CH58" s="38">
        <v>0.5111187205224198</v>
      </c>
      <c r="CI58" s="38">
        <v>2.8853999086580845E-2</v>
      </c>
      <c r="CJ58" s="38">
        <v>-3.2984204129742805E-3</v>
      </c>
      <c r="CK58" s="38">
        <v>2.5555578673606565E-2</v>
      </c>
      <c r="CL58" s="38"/>
      <c r="CM58" s="38">
        <v>-0.56383254922637271</v>
      </c>
      <c r="CN58" s="38"/>
      <c r="CO58" s="38">
        <v>0</v>
      </c>
      <c r="CP58" s="38">
        <v>0</v>
      </c>
      <c r="CQ58" s="38">
        <v>-4.37515365047242</v>
      </c>
      <c r="CR58" s="38">
        <v>0</v>
      </c>
      <c r="CS58" s="38">
        <v>0</v>
      </c>
      <c r="CT58" s="38">
        <v>-4.37515365047242</v>
      </c>
      <c r="CU58" s="38">
        <v>0</v>
      </c>
      <c r="CV58" s="38">
        <v>9999</v>
      </c>
      <c r="CW58" s="453">
        <v>0</v>
      </c>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row>
    <row r="59" spans="1:131">
      <c r="A59" s="9" t="s">
        <v>4683</v>
      </c>
      <c r="B59" s="9"/>
      <c r="C59" s="38">
        <v>15.179999999999996</v>
      </c>
      <c r="D59" s="38">
        <v>9.5095168670222243</v>
      </c>
      <c r="E59" s="38">
        <v>-9.3759564279475016E-2</v>
      </c>
      <c r="F59" s="38">
        <v>30.245004256070963</v>
      </c>
      <c r="G59" s="38">
        <v>0</v>
      </c>
      <c r="H59" s="38">
        <v>0</v>
      </c>
      <c r="I59" s="38"/>
      <c r="J59" s="38"/>
      <c r="K59" s="38"/>
      <c r="L59" s="38">
        <v>10.2023264489233</v>
      </c>
      <c r="M59" s="38">
        <v>1.1478662730279006E-3</v>
      </c>
      <c r="N59" s="38">
        <v>1.1395814890224438E-3</v>
      </c>
      <c r="O59" s="38">
        <v>-9.4697160120705379E-2</v>
      </c>
      <c r="P59" s="38">
        <v>0</v>
      </c>
      <c r="Q59" s="38">
        <v>0</v>
      </c>
      <c r="R59" s="38">
        <v>6.0312578766156042</v>
      </c>
      <c r="S59" s="38">
        <v>13.93731960371405</v>
      </c>
      <c r="T59" s="38">
        <v>0</v>
      </c>
      <c r="U59" s="38">
        <v>17.294780411124297</v>
      </c>
      <c r="V59" s="38">
        <v>1.8147002553642579</v>
      </c>
      <c r="W59" s="38">
        <v>4.2343005958499349</v>
      </c>
      <c r="X59" s="38">
        <v>0</v>
      </c>
      <c r="Y59" s="38">
        <v>0</v>
      </c>
      <c r="Z59" s="38">
        <v>0</v>
      </c>
      <c r="AA59" s="38">
        <v>0</v>
      </c>
      <c r="AB59" s="38">
        <v>0</v>
      </c>
      <c r="AC59" s="38">
        <v>0</v>
      </c>
      <c r="AD59" s="38">
        <v>0</v>
      </c>
      <c r="AE59" s="38">
        <v>0</v>
      </c>
      <c r="AF59" s="38">
        <v>0</v>
      </c>
      <c r="AG59" s="38">
        <v>0</v>
      </c>
      <c r="AH59" s="38">
        <v>7.8459581319798621</v>
      </c>
      <c r="AI59" s="38">
        <v>18.171620199563986</v>
      </c>
      <c r="AJ59" s="38">
        <v>0</v>
      </c>
      <c r="AK59" s="38">
        <v>17.294780411124297</v>
      </c>
      <c r="AL59" s="38">
        <v>43.312358742668145</v>
      </c>
      <c r="AM59" s="38">
        <v>5.1174362078236628</v>
      </c>
      <c r="AN59" s="38">
        <v>0.40559680852160479</v>
      </c>
      <c r="AO59" s="38">
        <v>0</v>
      </c>
      <c r="AP59" s="38">
        <v>0</v>
      </c>
      <c r="AQ59" s="38">
        <v>5.5230330163452672</v>
      </c>
      <c r="AR59" s="38">
        <v>7.8459581319798621</v>
      </c>
      <c r="AS59" s="453">
        <v>0.70393353156366845</v>
      </c>
      <c r="AT59" s="38">
        <v>5.1174362078236628</v>
      </c>
      <c r="AU59" s="38">
        <v>0.4801058143074759</v>
      </c>
      <c r="AV59" s="38">
        <v>0</v>
      </c>
      <c r="AW59" s="38">
        <v>0</v>
      </c>
      <c r="AX59" s="38">
        <v>5.5975420221311385</v>
      </c>
      <c r="AY59" s="38">
        <v>18.171620199563986</v>
      </c>
      <c r="AZ59" s="453">
        <v>0.30803758611823989</v>
      </c>
      <c r="BA59" s="38">
        <v>5.1174362078236628</v>
      </c>
      <c r="BB59" s="38">
        <v>0.88570262282908085</v>
      </c>
      <c r="BC59" s="38">
        <v>0</v>
      </c>
      <c r="BD59" s="38">
        <v>0</v>
      </c>
      <c r="BE59" s="38">
        <v>6.0031388306527429</v>
      </c>
      <c r="BF59" s="38">
        <v>26.017578331543845</v>
      </c>
      <c r="BG59" s="38">
        <v>181.2574232893657</v>
      </c>
      <c r="BH59" s="453">
        <v>0.23073395817836384</v>
      </c>
      <c r="BI59" s="38">
        <v>56.587027992732445</v>
      </c>
      <c r="BJ59" s="38">
        <v>131.05830589572014</v>
      </c>
      <c r="BK59" s="38">
        <v>0</v>
      </c>
      <c r="BL59" s="38">
        <v>124.73431629254623</v>
      </c>
      <c r="BM59" s="38">
        <v>312.37965018099885</v>
      </c>
      <c r="BN59" s="38">
        <v>5.1174362078236628</v>
      </c>
      <c r="BO59" s="38">
        <v>-0.73481856689535041</v>
      </c>
      <c r="BP59" s="38">
        <v>0.88570262282908085</v>
      </c>
      <c r="BQ59" s="38">
        <v>0</v>
      </c>
      <c r="BR59" s="38">
        <v>0</v>
      </c>
      <c r="BS59" s="38">
        <v>0</v>
      </c>
      <c r="BT59" s="38">
        <v>0</v>
      </c>
      <c r="BU59" s="38">
        <v>0</v>
      </c>
      <c r="BV59" s="38">
        <v>0</v>
      </c>
      <c r="BW59" s="38">
        <v>0</v>
      </c>
      <c r="BX59" s="38">
        <v>37.26335789145395</v>
      </c>
      <c r="BY59" s="38">
        <v>6.0490008512141928</v>
      </c>
      <c r="BZ59" s="38">
        <v>0</v>
      </c>
      <c r="CA59" s="38">
        <v>0</v>
      </c>
      <c r="CB59" s="38">
        <v>5.268320263757392</v>
      </c>
      <c r="CC59" s="38">
        <v>43.312358742668145</v>
      </c>
      <c r="CD59" s="453">
        <v>0.13628884294815743</v>
      </c>
      <c r="CE59" s="38">
        <v>311.29143633214102</v>
      </c>
      <c r="CF59" s="38">
        <v>9.6923301630671477E-2</v>
      </c>
      <c r="CG59" s="38">
        <v>-1.1079567734122539E-2</v>
      </c>
      <c r="CH59" s="38">
        <v>8.5843733896548938E-2</v>
      </c>
      <c r="CI59" s="38">
        <v>4.8461050632385662E-3</v>
      </c>
      <c r="CJ59" s="38">
        <v>-5.5397838670612643E-4</v>
      </c>
      <c r="CK59" s="38">
        <v>4.2921266765324397E-3</v>
      </c>
      <c r="CL59" s="38"/>
      <c r="CM59" s="38">
        <v>-9.4697160120705379E-2</v>
      </c>
      <c r="CN59" s="38"/>
      <c r="CO59" s="38">
        <v>0</v>
      </c>
      <c r="CP59" s="38">
        <v>0</v>
      </c>
      <c r="CQ59" s="38">
        <v>-0.73481856689535041</v>
      </c>
      <c r="CR59" s="38">
        <v>0</v>
      </c>
      <c r="CS59" s="38">
        <v>0</v>
      </c>
      <c r="CT59" s="38">
        <v>-0.73481856689535041</v>
      </c>
      <c r="CU59" s="38">
        <v>0</v>
      </c>
      <c r="CV59" s="38">
        <v>9999</v>
      </c>
      <c r="CW59" s="453">
        <v>0</v>
      </c>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row>
    <row r="60" spans="1:131">
      <c r="A60" s="9" t="s">
        <v>4684</v>
      </c>
      <c r="B60" s="9"/>
      <c r="C60" s="38">
        <v>15.179999999999998</v>
      </c>
      <c r="D60" s="38">
        <v>32.471490685741124</v>
      </c>
      <c r="E60" s="38">
        <v>-0.32015431075768913</v>
      </c>
      <c r="F60" s="38">
        <v>104.65682542877411</v>
      </c>
      <c r="G60" s="38">
        <v>0</v>
      </c>
      <c r="H60" s="38">
        <v>0</v>
      </c>
      <c r="I60" s="38"/>
      <c r="J60" s="38"/>
      <c r="K60" s="38"/>
      <c r="L60" s="38">
        <v>34.837179731806977</v>
      </c>
      <c r="M60" s="38">
        <v>3.9195397110403747E-3</v>
      </c>
      <c r="N60" s="38">
        <v>3.8912502310984977E-3</v>
      </c>
      <c r="O60" s="38">
        <v>-0.32335585454285037</v>
      </c>
      <c r="P60" s="38">
        <v>0</v>
      </c>
      <c r="Q60" s="38">
        <v>0</v>
      </c>
      <c r="R60" s="38">
        <v>20.869969048927388</v>
      </c>
      <c r="S60" s="38">
        <v>48.227324167697752</v>
      </c>
      <c r="T60" s="38">
        <v>0</v>
      </c>
      <c r="U60" s="38">
        <v>59.845149929271379</v>
      </c>
      <c r="V60" s="38">
        <v>6.2794095257264466</v>
      </c>
      <c r="W60" s="38">
        <v>14.651955560028375</v>
      </c>
      <c r="X60" s="38">
        <v>0</v>
      </c>
      <c r="Y60" s="38">
        <v>0</v>
      </c>
      <c r="Z60" s="38">
        <v>0</v>
      </c>
      <c r="AA60" s="38">
        <v>0</v>
      </c>
      <c r="AB60" s="38">
        <v>0</v>
      </c>
      <c r="AC60" s="38">
        <v>0</v>
      </c>
      <c r="AD60" s="38">
        <v>0</v>
      </c>
      <c r="AE60" s="38">
        <v>0</v>
      </c>
      <c r="AF60" s="38">
        <v>0</v>
      </c>
      <c r="AG60" s="38">
        <v>0</v>
      </c>
      <c r="AH60" s="38">
        <v>27.149378574653834</v>
      </c>
      <c r="AI60" s="38">
        <v>62.879279727726129</v>
      </c>
      <c r="AJ60" s="38">
        <v>0</v>
      </c>
      <c r="AK60" s="38">
        <v>59.845149929271379</v>
      </c>
      <c r="AL60" s="38">
        <v>149.87380823165134</v>
      </c>
      <c r="AM60" s="38">
        <v>17.474156098663531</v>
      </c>
      <c r="AN60" s="38">
        <v>1.3849634186725748</v>
      </c>
      <c r="AO60" s="38">
        <v>0</v>
      </c>
      <c r="AP60" s="38">
        <v>0</v>
      </c>
      <c r="AQ60" s="38">
        <v>18.859119517336104</v>
      </c>
      <c r="AR60" s="38">
        <v>27.149378574653834</v>
      </c>
      <c r="AS60" s="453">
        <v>0.69464276928027502</v>
      </c>
      <c r="AT60" s="38">
        <v>17.474156098663531</v>
      </c>
      <c r="AU60" s="38">
        <v>1.6393841764473445</v>
      </c>
      <c r="AV60" s="38">
        <v>0</v>
      </c>
      <c r="AW60" s="38">
        <v>0</v>
      </c>
      <c r="AX60" s="38">
        <v>19.113540275110875</v>
      </c>
      <c r="AY60" s="38">
        <v>62.879279727726129</v>
      </c>
      <c r="AZ60" s="453">
        <v>0.3039719977371641</v>
      </c>
      <c r="BA60" s="38">
        <v>17.474156098663531</v>
      </c>
      <c r="BB60" s="38">
        <v>3.0243475951199192</v>
      </c>
      <c r="BC60" s="38">
        <v>0</v>
      </c>
      <c r="BD60" s="38">
        <v>0</v>
      </c>
      <c r="BE60" s="38">
        <v>20.498503693783448</v>
      </c>
      <c r="BF60" s="38">
        <v>90.028658302379952</v>
      </c>
      <c r="BG60" s="38">
        <v>183.76715673487709</v>
      </c>
      <c r="BH60" s="453">
        <v>0.22768865026217502</v>
      </c>
      <c r="BI60" s="38">
        <v>57.343872587759122</v>
      </c>
      <c r="BJ60" s="38">
        <v>132.81119474620485</v>
      </c>
      <c r="BK60" s="38">
        <v>0</v>
      </c>
      <c r="BL60" s="38">
        <v>126.40262255370004</v>
      </c>
      <c r="BM60" s="38">
        <v>316.55768988766403</v>
      </c>
      <c r="BN60" s="38">
        <v>17.474156098663531</v>
      </c>
      <c r="BO60" s="38">
        <v>-2.509134226723726</v>
      </c>
      <c r="BP60" s="38">
        <v>3.0243475951199192</v>
      </c>
      <c r="BQ60" s="38">
        <v>0</v>
      </c>
      <c r="BR60" s="38">
        <v>0</v>
      </c>
      <c r="BS60" s="38">
        <v>0</v>
      </c>
      <c r="BT60" s="38">
        <v>0</v>
      </c>
      <c r="BU60" s="38">
        <v>0</v>
      </c>
      <c r="BV60" s="38">
        <v>0</v>
      </c>
      <c r="BW60" s="38">
        <v>0</v>
      </c>
      <c r="BX60" s="38">
        <v>128.9424431458965</v>
      </c>
      <c r="BY60" s="38">
        <v>20.931365085754823</v>
      </c>
      <c r="BZ60" s="38">
        <v>0</v>
      </c>
      <c r="CA60" s="38">
        <v>0</v>
      </c>
      <c r="CB60" s="38">
        <v>17.989369467059721</v>
      </c>
      <c r="CC60" s="38">
        <v>149.87380823165134</v>
      </c>
      <c r="CD60" s="453">
        <v>0.13451967367924281</v>
      </c>
      <c r="CE60" s="38">
        <v>315.46947603880625</v>
      </c>
      <c r="CF60" s="38">
        <v>0.33095730625872993</v>
      </c>
      <c r="CG60" s="38">
        <v>-3.7832634981513437E-2</v>
      </c>
      <c r="CH60" s="38">
        <v>0.29312467127721648</v>
      </c>
      <c r="CI60" s="38">
        <v>1.6547660372608314E-2</v>
      </c>
      <c r="CJ60" s="38">
        <v>-1.8916317490756747E-3</v>
      </c>
      <c r="CK60" s="38">
        <v>1.465602862353264E-2</v>
      </c>
      <c r="CL60" s="38"/>
      <c r="CM60" s="38">
        <v>-0.32335585454285037</v>
      </c>
      <c r="CN60" s="38"/>
      <c r="CO60" s="38">
        <v>0</v>
      </c>
      <c r="CP60" s="38">
        <v>0</v>
      </c>
      <c r="CQ60" s="38">
        <v>-2.509134226723726</v>
      </c>
      <c r="CR60" s="38">
        <v>0</v>
      </c>
      <c r="CS60" s="38">
        <v>0</v>
      </c>
      <c r="CT60" s="38">
        <v>-2.509134226723726</v>
      </c>
      <c r="CU60" s="38">
        <v>0</v>
      </c>
      <c r="CV60" s="38">
        <v>9999</v>
      </c>
      <c r="CW60" s="453">
        <v>0</v>
      </c>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row>
    <row r="61" spans="1:131">
      <c r="A61" s="9"/>
      <c r="B61" s="9"/>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453"/>
      <c r="AT61" s="38"/>
      <c r="AU61" s="38"/>
      <c r="AV61" s="38"/>
      <c r="AW61" s="38"/>
      <c r="AX61" s="38"/>
      <c r="AY61" s="38"/>
      <c r="AZ61" s="453"/>
      <c r="BA61" s="38"/>
      <c r="BB61" s="38"/>
      <c r="BC61" s="38"/>
      <c r="BD61" s="38"/>
      <c r="BE61" s="38"/>
      <c r="BF61" s="38"/>
      <c r="BG61" s="38"/>
      <c r="BH61" s="453"/>
      <c r="BI61" s="38"/>
      <c r="BJ61" s="38"/>
      <c r="BK61" s="38"/>
      <c r="BL61" s="38"/>
      <c r="BM61" s="38"/>
      <c r="BN61" s="38"/>
      <c r="BO61" s="38"/>
      <c r="BP61" s="38"/>
      <c r="BQ61" s="38"/>
      <c r="BR61" s="38"/>
      <c r="BS61" s="38"/>
      <c r="BT61" s="38"/>
      <c r="BU61" s="38"/>
      <c r="BV61" s="38"/>
      <c r="BW61" s="38"/>
      <c r="BX61" s="38"/>
      <c r="BY61" s="38"/>
      <c r="BZ61" s="38"/>
      <c r="CA61" s="38"/>
      <c r="CB61" s="38"/>
      <c r="CC61" s="38"/>
      <c r="CD61" s="453"/>
      <c r="CE61" s="38"/>
      <c r="CF61" s="38"/>
      <c r="CG61" s="38"/>
      <c r="CH61" s="38"/>
      <c r="CI61" s="38"/>
      <c r="CJ61" s="38"/>
      <c r="CK61" s="38"/>
      <c r="CL61" s="38"/>
      <c r="CM61" s="38"/>
      <c r="CN61" s="38"/>
      <c r="CO61" s="38"/>
      <c r="CP61" s="38"/>
      <c r="CQ61" s="38"/>
      <c r="CR61" s="38"/>
      <c r="CS61" s="38"/>
      <c r="CT61" s="38"/>
      <c r="CU61" s="38"/>
      <c r="CV61" s="38"/>
      <c r="CW61" s="453"/>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row>
    <row r="62" spans="1:131">
      <c r="A62" s="9"/>
      <c r="B62" s="9"/>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453"/>
      <c r="AT62" s="38"/>
      <c r="AU62" s="38"/>
      <c r="AV62" s="38"/>
      <c r="AW62" s="38"/>
      <c r="AX62" s="38"/>
      <c r="AY62" s="38"/>
      <c r="AZ62" s="453"/>
      <c r="BA62" s="38"/>
      <c r="BB62" s="38"/>
      <c r="BC62" s="38"/>
      <c r="BD62" s="38"/>
      <c r="BE62" s="38"/>
      <c r="BF62" s="38"/>
      <c r="BG62" s="38"/>
      <c r="BH62" s="453"/>
      <c r="BI62" s="38"/>
      <c r="BJ62" s="38"/>
      <c r="BK62" s="38"/>
      <c r="BL62" s="38"/>
      <c r="BM62" s="38"/>
      <c r="BN62" s="38"/>
      <c r="BO62" s="38"/>
      <c r="BP62" s="38"/>
      <c r="BQ62" s="38"/>
      <c r="BR62" s="38"/>
      <c r="BS62" s="38"/>
      <c r="BT62" s="38"/>
      <c r="BU62" s="38"/>
      <c r="BV62" s="38"/>
      <c r="BW62" s="38"/>
      <c r="BX62" s="38"/>
      <c r="BY62" s="38"/>
      <c r="BZ62" s="38"/>
      <c r="CA62" s="38"/>
      <c r="CB62" s="38"/>
      <c r="CC62" s="38"/>
      <c r="CD62" s="453"/>
      <c r="CE62" s="38"/>
      <c r="CF62" s="38"/>
      <c r="CG62" s="38"/>
      <c r="CH62" s="38"/>
      <c r="CI62" s="38"/>
      <c r="CJ62" s="38"/>
      <c r="CK62" s="38"/>
      <c r="CL62" s="38"/>
      <c r="CM62" s="38"/>
      <c r="CN62" s="38"/>
      <c r="CO62" s="38"/>
      <c r="CP62" s="38"/>
      <c r="CQ62" s="38"/>
      <c r="CR62" s="38"/>
      <c r="CS62" s="38"/>
      <c r="CT62" s="38"/>
      <c r="CU62" s="38"/>
      <c r="CV62" s="38"/>
      <c r="CW62" s="453"/>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row>
    <row r="63" spans="1:131" ht="13.5" thickBot="1">
      <c r="A63" s="36" t="s">
        <v>4899</v>
      </c>
      <c r="B63" s="37"/>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453"/>
      <c r="AT63" s="38"/>
      <c r="AU63" s="38"/>
      <c r="AV63" s="38"/>
      <c r="AW63" s="38"/>
      <c r="AX63" s="38"/>
      <c r="AY63" s="38"/>
      <c r="AZ63" s="453"/>
      <c r="BA63" s="38"/>
      <c r="BB63" s="38"/>
      <c r="BC63" s="38"/>
      <c r="BD63" s="38"/>
      <c r="BE63" s="38"/>
      <c r="BF63" s="38"/>
      <c r="BG63" s="38"/>
      <c r="BH63" s="453"/>
      <c r="BI63" s="38"/>
      <c r="BJ63" s="38"/>
      <c r="BK63" s="38"/>
      <c r="BL63" s="38"/>
      <c r="BM63" s="38"/>
      <c r="BN63" s="38"/>
      <c r="BO63" s="38"/>
      <c r="BP63" s="38"/>
      <c r="BQ63" s="38"/>
      <c r="BR63" s="38"/>
      <c r="BS63" s="38"/>
      <c r="BT63" s="38"/>
      <c r="BU63" s="38"/>
      <c r="BV63" s="38"/>
      <c r="BW63" s="38"/>
      <c r="BX63" s="38"/>
      <c r="BY63" s="38"/>
      <c r="BZ63" s="38"/>
      <c r="CA63" s="38"/>
      <c r="CB63" s="38"/>
      <c r="CC63" s="38"/>
      <c r="CD63" s="453"/>
      <c r="CE63" s="38"/>
      <c r="CF63" s="38"/>
      <c r="CG63" s="38"/>
      <c r="CH63" s="38"/>
      <c r="CI63" s="38"/>
      <c r="CJ63" s="38"/>
      <c r="CK63" s="38"/>
      <c r="CL63" s="38"/>
      <c r="CM63" s="38"/>
      <c r="CN63" s="38"/>
      <c r="CO63" s="38"/>
      <c r="CP63" s="38"/>
      <c r="CQ63" s="38"/>
      <c r="CR63" s="38"/>
      <c r="CS63" s="38"/>
      <c r="CT63" s="38"/>
      <c r="CU63" s="38"/>
      <c r="CV63" s="38"/>
      <c r="CW63" s="453"/>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row>
    <row r="64" spans="1:131" ht="13.5" thickBot="1">
      <c r="A64" s="454" t="s">
        <v>4900</v>
      </c>
      <c r="B64" s="455"/>
      <c r="C64" s="456"/>
      <c r="D64" s="456"/>
      <c r="E64" s="456"/>
      <c r="F64" s="456"/>
      <c r="G64" s="456"/>
      <c r="H64" s="456"/>
      <c r="I64" s="456"/>
      <c r="J64" s="456"/>
      <c r="K64" s="456"/>
      <c r="L64" s="43"/>
      <c r="M64" s="457"/>
      <c r="N64" s="458" t="s">
        <v>4939</v>
      </c>
      <c r="O64" s="456"/>
      <c r="P64" s="456"/>
      <c r="Q64" s="456"/>
      <c r="R64" s="456"/>
      <c r="S64" s="456"/>
      <c r="T64" s="456"/>
      <c r="U64" s="456"/>
      <c r="V64" s="456"/>
      <c r="W64" s="456"/>
      <c r="X64" s="456"/>
      <c r="Y64" s="43"/>
      <c r="Z64" s="457"/>
      <c r="AA64" s="458" t="s">
        <v>4940</v>
      </c>
      <c r="AB64" s="456"/>
      <c r="AC64" s="456"/>
      <c r="AD64" s="456"/>
      <c r="AE64" s="456"/>
      <c r="AF64" s="456"/>
      <c r="AG64" s="456"/>
      <c r="AH64" s="456"/>
      <c r="AI64" s="456"/>
      <c r="AJ64" s="456"/>
      <c r="AK64" s="456"/>
      <c r="AL64" s="43"/>
      <c r="AM64" s="38"/>
      <c r="AN64" s="38"/>
      <c r="AO64" s="38"/>
      <c r="AP64" s="38"/>
      <c r="AQ64" s="38"/>
      <c r="AR64" s="38"/>
      <c r="AS64" s="453"/>
      <c r="AT64" s="38"/>
      <c r="AU64" s="38"/>
      <c r="AV64" s="38"/>
      <c r="AW64" s="38"/>
      <c r="AX64" s="38"/>
      <c r="AY64" s="38"/>
      <c r="AZ64" s="453"/>
      <c r="BA64" s="38"/>
      <c r="BB64" s="38"/>
      <c r="BC64" s="38"/>
      <c r="BD64" s="38"/>
      <c r="BE64" s="38"/>
      <c r="BF64" s="38"/>
      <c r="BG64" s="38"/>
      <c r="BH64" s="453"/>
      <c r="BI64" s="38"/>
      <c r="BJ64" s="38"/>
      <c r="BK64" s="38"/>
      <c r="BL64" s="38"/>
      <c r="BM64" s="38"/>
      <c r="BN64" s="38"/>
      <c r="BO64" s="38"/>
      <c r="BP64" s="38"/>
      <c r="BQ64" s="38"/>
      <c r="BR64" s="38"/>
      <c r="BS64" s="38"/>
      <c r="BT64" s="38"/>
      <c r="BU64" s="38"/>
      <c r="BV64" s="38"/>
      <c r="BW64" s="38"/>
      <c r="BX64" s="38"/>
      <c r="BY64" s="38"/>
      <c r="BZ64" s="38"/>
      <c r="CA64" s="38"/>
      <c r="CB64" s="38"/>
      <c r="CC64" s="38"/>
      <c r="CD64" s="453"/>
      <c r="CE64" s="38"/>
      <c r="CF64" s="38"/>
      <c r="CG64" s="38"/>
      <c r="CH64" s="38"/>
      <c r="CI64" s="38"/>
      <c r="CJ64" s="38"/>
      <c r="CK64" s="38"/>
      <c r="CL64" s="38"/>
      <c r="CM64" s="38"/>
      <c r="CN64" s="38"/>
      <c r="CO64" s="38"/>
      <c r="CP64" s="38"/>
      <c r="CQ64" s="38"/>
      <c r="CR64" s="38"/>
      <c r="CS64" s="38"/>
      <c r="CT64" s="38"/>
      <c r="CU64" s="38"/>
      <c r="CV64" s="38"/>
      <c r="CW64" s="453"/>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row>
    <row r="65" spans="1:131" ht="191.25">
      <c r="A65" s="39"/>
      <c r="B65" s="40" t="s">
        <v>4901</v>
      </c>
      <c r="C65" s="41" t="s">
        <v>4902</v>
      </c>
      <c r="D65" s="41" t="s">
        <v>25</v>
      </c>
      <c r="E65" s="41" t="s">
        <v>26</v>
      </c>
      <c r="F65" s="41" t="s">
        <v>27</v>
      </c>
      <c r="G65" s="41" t="s">
        <v>28</v>
      </c>
      <c r="H65" s="41" t="s">
        <v>29</v>
      </c>
      <c r="I65" s="41" t="s">
        <v>30</v>
      </c>
      <c r="J65" s="41" t="s">
        <v>31</v>
      </c>
      <c r="K65" s="41" t="s">
        <v>24</v>
      </c>
      <c r="L65" s="41" t="s">
        <v>23</v>
      </c>
      <c r="M65" s="41" t="s">
        <v>32</v>
      </c>
      <c r="N65" s="41" t="s">
        <v>33</v>
      </c>
      <c r="O65" s="41" t="s">
        <v>34</v>
      </c>
      <c r="P65" s="41" t="s">
        <v>35</v>
      </c>
      <c r="Q65" s="41" t="s">
        <v>36</v>
      </c>
      <c r="R65" s="41" t="s">
        <v>37</v>
      </c>
      <c r="S65" s="41" t="s">
        <v>38</v>
      </c>
      <c r="T65" s="41" t="s">
        <v>39</v>
      </c>
      <c r="U65" s="41" t="s">
        <v>40</v>
      </c>
      <c r="V65" s="41" t="s">
        <v>41</v>
      </c>
      <c r="W65" s="41" t="s">
        <v>42</v>
      </c>
      <c r="X65" s="41" t="s">
        <v>43</v>
      </c>
      <c r="Y65" s="41" t="s">
        <v>44</v>
      </c>
      <c r="Z65" s="41"/>
      <c r="AA65" s="41" t="s">
        <v>33</v>
      </c>
      <c r="AB65" s="41" t="s">
        <v>34</v>
      </c>
      <c r="AC65" s="41" t="s">
        <v>35</v>
      </c>
      <c r="AD65" s="41" t="s">
        <v>36</v>
      </c>
      <c r="AE65" s="41" t="s">
        <v>37</v>
      </c>
      <c r="AF65" s="41" t="s">
        <v>38</v>
      </c>
      <c r="AG65" s="41" t="s">
        <v>39</v>
      </c>
      <c r="AH65" s="41" t="s">
        <v>40</v>
      </c>
      <c r="AI65" s="41" t="s">
        <v>41</v>
      </c>
      <c r="AJ65" s="41" t="s">
        <v>42</v>
      </c>
      <c r="AK65" s="41" t="s">
        <v>43</v>
      </c>
      <c r="AL65" s="41" t="s">
        <v>44</v>
      </c>
      <c r="AM65" s="38"/>
      <c r="AN65" s="38"/>
      <c r="AO65" s="38"/>
      <c r="AP65" s="38"/>
      <c r="AQ65" s="38"/>
      <c r="AR65" s="38"/>
      <c r="AS65" s="38"/>
      <c r="AT65" s="38"/>
      <c r="AU65" s="38"/>
      <c r="AV65" s="38"/>
      <c r="AW65" s="38"/>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38"/>
      <c r="CA65" s="38"/>
      <c r="CB65" s="38"/>
      <c r="CC65" s="38"/>
      <c r="CD65" s="38"/>
      <c r="CE65" s="38"/>
      <c r="CF65" s="38"/>
      <c r="CG65" s="38"/>
      <c r="CH65" s="38"/>
      <c r="CI65" s="38"/>
      <c r="CJ65" s="38"/>
      <c r="CK65" s="38"/>
      <c r="CL65" s="38"/>
      <c r="CM65" s="38"/>
      <c r="CN65" s="38"/>
      <c r="CO65" s="38"/>
      <c r="CP65" s="38"/>
      <c r="CQ65" s="38"/>
      <c r="CR65" s="38"/>
      <c r="CS65" s="38"/>
      <c r="CT65" s="38"/>
      <c r="CU65" s="38"/>
      <c r="CV65" s="38"/>
      <c r="CW65" s="38"/>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row>
    <row r="66" spans="1:131">
      <c r="A66" s="9"/>
      <c r="B66" s="52" t="s">
        <v>4903</v>
      </c>
      <c r="C66" s="459">
        <v>0</v>
      </c>
      <c r="D66" s="459">
        <v>0</v>
      </c>
      <c r="E66" s="459">
        <v>0</v>
      </c>
      <c r="F66" s="459">
        <v>0</v>
      </c>
      <c r="G66" s="459">
        <v>0</v>
      </c>
      <c r="H66" s="459">
        <v>0</v>
      </c>
      <c r="I66" s="459">
        <v>0</v>
      </c>
      <c r="J66" s="459">
        <v>0</v>
      </c>
      <c r="K66" s="459">
        <v>0</v>
      </c>
      <c r="L66" s="453">
        <v>0</v>
      </c>
      <c r="M66" s="460">
        <v>0</v>
      </c>
      <c r="N66" s="460">
        <v>0</v>
      </c>
      <c r="O66" s="460">
        <v>0</v>
      </c>
      <c r="P66" s="460">
        <v>0</v>
      </c>
      <c r="Q66" s="460">
        <v>0</v>
      </c>
      <c r="R66" s="460">
        <v>0</v>
      </c>
      <c r="S66" s="460">
        <v>0</v>
      </c>
      <c r="T66" s="460">
        <v>0</v>
      </c>
      <c r="U66" s="460">
        <v>0</v>
      </c>
      <c r="V66" s="460">
        <v>0</v>
      </c>
      <c r="W66" s="460">
        <v>0</v>
      </c>
      <c r="X66" s="460">
        <v>0</v>
      </c>
      <c r="Y66" s="460">
        <v>0</v>
      </c>
      <c r="Z66" s="460"/>
      <c r="AA66" s="460">
        <v>0</v>
      </c>
      <c r="AB66" s="460">
        <v>0</v>
      </c>
      <c r="AC66" s="460">
        <v>0</v>
      </c>
      <c r="AD66" s="460">
        <v>0</v>
      </c>
      <c r="AE66" s="460">
        <v>0</v>
      </c>
      <c r="AF66" s="460">
        <v>0</v>
      </c>
      <c r="AG66" s="460">
        <v>0</v>
      </c>
      <c r="AH66" s="460">
        <v>0</v>
      </c>
      <c r="AI66" s="460">
        <v>0</v>
      </c>
      <c r="AJ66" s="460">
        <v>0</v>
      </c>
      <c r="AK66" s="460">
        <v>0</v>
      </c>
      <c r="AL66" s="460">
        <v>0</v>
      </c>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C66" s="38"/>
      <c r="CD66" s="38"/>
      <c r="CE66" s="38"/>
      <c r="CF66" s="38"/>
      <c r="CG66" s="38"/>
      <c r="CH66" s="38"/>
      <c r="CI66" s="38"/>
      <c r="CJ66" s="38"/>
      <c r="CK66" s="38"/>
      <c r="CL66" s="38"/>
      <c r="CM66" s="38"/>
      <c r="CN66" s="38"/>
      <c r="CO66" s="38"/>
      <c r="CP66" s="38"/>
      <c r="CQ66" s="38"/>
      <c r="CR66" s="38"/>
      <c r="CS66" s="38"/>
      <c r="CT66" s="38"/>
      <c r="CU66" s="38"/>
      <c r="CV66" s="38"/>
      <c r="CW66" s="38"/>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row>
    <row r="67" spans="1:131">
      <c r="A67" s="9"/>
      <c r="B67" s="52" t="s">
        <v>4904</v>
      </c>
      <c r="C67" s="459">
        <v>0</v>
      </c>
      <c r="D67" s="459">
        <v>0</v>
      </c>
      <c r="E67" s="459">
        <v>0</v>
      </c>
      <c r="F67" s="459">
        <v>0</v>
      </c>
      <c r="G67" s="459">
        <v>0</v>
      </c>
      <c r="H67" s="459">
        <v>0</v>
      </c>
      <c r="I67" s="459">
        <v>0</v>
      </c>
      <c r="J67" s="459">
        <v>0</v>
      </c>
      <c r="K67" s="459">
        <v>0</v>
      </c>
      <c r="L67" s="453">
        <v>0</v>
      </c>
      <c r="M67" s="460">
        <v>0</v>
      </c>
      <c r="N67" s="460">
        <v>0</v>
      </c>
      <c r="O67" s="460">
        <v>0</v>
      </c>
      <c r="P67" s="460">
        <v>0</v>
      </c>
      <c r="Q67" s="460">
        <v>0</v>
      </c>
      <c r="R67" s="460">
        <v>0</v>
      </c>
      <c r="S67" s="460">
        <v>0</v>
      </c>
      <c r="T67" s="460">
        <v>0</v>
      </c>
      <c r="U67" s="460">
        <v>0</v>
      </c>
      <c r="V67" s="460">
        <v>0</v>
      </c>
      <c r="W67" s="460">
        <v>0</v>
      </c>
      <c r="X67" s="460">
        <v>0</v>
      </c>
      <c r="Y67" s="460">
        <v>0</v>
      </c>
      <c r="Z67" s="460"/>
      <c r="AA67" s="460">
        <v>0</v>
      </c>
      <c r="AB67" s="460">
        <v>0</v>
      </c>
      <c r="AC67" s="460">
        <v>0</v>
      </c>
      <c r="AD67" s="460">
        <v>0</v>
      </c>
      <c r="AE67" s="460">
        <v>0</v>
      </c>
      <c r="AF67" s="460">
        <v>0</v>
      </c>
      <c r="AG67" s="460">
        <v>0</v>
      </c>
      <c r="AH67" s="460">
        <v>0</v>
      </c>
      <c r="AI67" s="460">
        <v>0</v>
      </c>
      <c r="AJ67" s="460">
        <v>0</v>
      </c>
      <c r="AK67" s="460">
        <v>0</v>
      </c>
      <c r="AL67" s="460">
        <v>0</v>
      </c>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C67" s="38"/>
      <c r="CD67" s="38"/>
      <c r="CE67" s="38"/>
      <c r="CF67" s="38"/>
      <c r="CG67" s="38"/>
      <c r="CH67" s="38"/>
      <c r="CI67" s="38"/>
      <c r="CJ67" s="38"/>
      <c r="CK67" s="38"/>
      <c r="CL67" s="38"/>
      <c r="CM67" s="38"/>
      <c r="CN67" s="38"/>
      <c r="CO67" s="38"/>
      <c r="CP67" s="38"/>
      <c r="CQ67" s="38"/>
      <c r="CR67" s="38"/>
      <c r="CS67" s="38"/>
      <c r="CT67" s="38"/>
      <c r="CU67" s="38"/>
      <c r="CV67" s="38"/>
      <c r="CW67" s="38"/>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row>
    <row r="68" spans="1:131">
      <c r="A68" s="9"/>
      <c r="B68" s="52" t="s">
        <v>4905</v>
      </c>
      <c r="C68" s="459"/>
      <c r="D68" s="459"/>
      <c r="E68" s="459"/>
      <c r="F68" s="459"/>
      <c r="G68" s="459"/>
      <c r="H68" s="459"/>
      <c r="I68" s="459"/>
      <c r="J68" s="459"/>
      <c r="K68" s="459"/>
      <c r="L68" s="453"/>
      <c r="M68" s="460"/>
      <c r="N68" s="460"/>
      <c r="O68" s="460"/>
      <c r="P68" s="460"/>
      <c r="Q68" s="460"/>
      <c r="R68" s="460"/>
      <c r="S68" s="460"/>
      <c r="T68" s="460"/>
      <c r="U68" s="460"/>
      <c r="V68" s="460"/>
      <c r="W68" s="460"/>
      <c r="X68" s="460"/>
      <c r="Y68" s="460"/>
      <c r="Z68" s="460"/>
      <c r="AA68" s="460"/>
      <c r="AB68" s="460"/>
      <c r="AC68" s="460"/>
      <c r="AD68" s="460"/>
      <c r="AE68" s="460"/>
      <c r="AF68" s="460"/>
      <c r="AG68" s="460"/>
      <c r="AH68" s="460"/>
      <c r="AI68" s="460"/>
      <c r="AJ68" s="460"/>
      <c r="AK68" s="460"/>
      <c r="AL68" s="460"/>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C68" s="38"/>
      <c r="CD68" s="38"/>
      <c r="CE68" s="38"/>
      <c r="CF68" s="38"/>
      <c r="CG68" s="38"/>
      <c r="CH68" s="38"/>
      <c r="CI68" s="38"/>
      <c r="CJ68" s="38"/>
      <c r="CK68" s="38"/>
      <c r="CL68" s="38"/>
      <c r="CM68" s="38"/>
      <c r="CN68" s="38"/>
      <c r="CO68" s="38"/>
      <c r="CP68" s="38"/>
      <c r="CQ68" s="38"/>
      <c r="CR68" s="38"/>
      <c r="CS68" s="38"/>
      <c r="CT68" s="38"/>
      <c r="CU68" s="38"/>
      <c r="CV68" s="38"/>
      <c r="CW68" s="38"/>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row>
    <row r="69" spans="1:131">
      <c r="A69" s="9"/>
      <c r="B69" s="9" t="s">
        <v>71</v>
      </c>
      <c r="C69" s="460">
        <v>0</v>
      </c>
      <c r="D69" s="460">
        <v>0</v>
      </c>
      <c r="E69" s="460">
        <v>0</v>
      </c>
      <c r="F69" s="460">
        <v>0</v>
      </c>
      <c r="G69" s="460">
        <v>0</v>
      </c>
      <c r="H69" s="460">
        <v>0</v>
      </c>
      <c r="I69" s="460">
        <v>0</v>
      </c>
      <c r="J69" s="460">
        <v>0</v>
      </c>
      <c r="K69" s="460">
        <v>0</v>
      </c>
      <c r="L69" s="453">
        <v>0</v>
      </c>
      <c r="M69" s="460">
        <v>0</v>
      </c>
      <c r="N69" s="460">
        <v>0</v>
      </c>
      <c r="O69" s="460">
        <v>0</v>
      </c>
      <c r="P69" s="460">
        <v>0</v>
      </c>
      <c r="Q69" s="460">
        <v>0</v>
      </c>
      <c r="R69" s="460">
        <v>0</v>
      </c>
      <c r="S69" s="460">
        <v>0</v>
      </c>
      <c r="T69" s="460">
        <v>0</v>
      </c>
      <c r="U69" s="460">
        <v>0</v>
      </c>
      <c r="V69" s="460">
        <v>0</v>
      </c>
      <c r="W69" s="460">
        <v>0</v>
      </c>
      <c r="X69" s="460">
        <v>0</v>
      </c>
      <c r="Y69" s="460">
        <v>0</v>
      </c>
      <c r="Z69" s="460"/>
      <c r="AA69" s="460">
        <v>0</v>
      </c>
      <c r="AB69" s="460">
        <v>0</v>
      </c>
      <c r="AC69" s="460">
        <v>0</v>
      </c>
      <c r="AD69" s="460">
        <v>0</v>
      </c>
      <c r="AE69" s="460">
        <v>0</v>
      </c>
      <c r="AF69" s="460">
        <v>0</v>
      </c>
      <c r="AG69" s="460">
        <v>0</v>
      </c>
      <c r="AH69" s="460">
        <v>0</v>
      </c>
      <c r="AI69" s="460">
        <v>0</v>
      </c>
      <c r="AJ69" s="460">
        <v>0</v>
      </c>
      <c r="AK69" s="460">
        <v>0</v>
      </c>
      <c r="AL69" s="460">
        <v>0</v>
      </c>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C69" s="38"/>
      <c r="CD69" s="38"/>
      <c r="CE69" s="38"/>
      <c r="CF69" s="38"/>
      <c r="CG69" s="38"/>
      <c r="CH69" s="38"/>
      <c r="CI69" s="38"/>
      <c r="CJ69" s="38"/>
      <c r="CK69" s="38"/>
      <c r="CL69" s="38"/>
      <c r="CM69" s="38"/>
      <c r="CN69" s="38"/>
      <c r="CO69" s="38"/>
      <c r="CP69" s="38"/>
      <c r="CQ69" s="38"/>
      <c r="CR69" s="38"/>
      <c r="CS69" s="38"/>
      <c r="CT69" s="38"/>
      <c r="CU69" s="38"/>
      <c r="CV69" s="38"/>
      <c r="CW69" s="38"/>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row>
    <row r="70" spans="1:131">
      <c r="A70" s="9"/>
      <c r="B70" s="9" t="s">
        <v>74</v>
      </c>
      <c r="C70" s="460">
        <v>0</v>
      </c>
      <c r="D70" s="460">
        <v>0</v>
      </c>
      <c r="E70" s="460">
        <v>0</v>
      </c>
      <c r="F70" s="460">
        <v>0</v>
      </c>
      <c r="G70" s="460">
        <v>0</v>
      </c>
      <c r="H70" s="460">
        <v>0</v>
      </c>
      <c r="I70" s="460">
        <v>0</v>
      </c>
      <c r="J70" s="460">
        <v>0</v>
      </c>
      <c r="K70" s="460">
        <v>0</v>
      </c>
      <c r="L70" s="461">
        <v>0</v>
      </c>
      <c r="M70" s="460">
        <v>0</v>
      </c>
      <c r="N70" s="460">
        <v>0</v>
      </c>
      <c r="O70" s="460">
        <v>0</v>
      </c>
      <c r="P70" s="460">
        <v>0</v>
      </c>
      <c r="Q70" s="460">
        <v>0</v>
      </c>
      <c r="R70" s="460">
        <v>0</v>
      </c>
      <c r="S70" s="460">
        <v>0</v>
      </c>
      <c r="T70" s="460">
        <v>0</v>
      </c>
      <c r="U70" s="460">
        <v>0</v>
      </c>
      <c r="V70" s="460">
        <v>0</v>
      </c>
      <c r="W70" s="460">
        <v>0</v>
      </c>
      <c r="X70" s="460">
        <v>0</v>
      </c>
      <c r="Y70" s="460">
        <v>0</v>
      </c>
      <c r="Z70" s="460"/>
      <c r="AA70" s="460">
        <v>0</v>
      </c>
      <c r="AB70" s="460">
        <v>0</v>
      </c>
      <c r="AC70" s="460">
        <v>0</v>
      </c>
      <c r="AD70" s="460">
        <v>0</v>
      </c>
      <c r="AE70" s="460">
        <v>0</v>
      </c>
      <c r="AF70" s="460">
        <v>0</v>
      </c>
      <c r="AG70" s="460">
        <v>0</v>
      </c>
      <c r="AH70" s="460">
        <v>0</v>
      </c>
      <c r="AI70" s="460">
        <v>0</v>
      </c>
      <c r="AJ70" s="460">
        <v>0</v>
      </c>
      <c r="AK70" s="460">
        <v>0</v>
      </c>
      <c r="AL70" s="460">
        <v>0</v>
      </c>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8"/>
      <c r="CC70" s="38"/>
      <c r="CD70" s="38"/>
      <c r="CE70" s="38"/>
      <c r="CF70" s="38"/>
      <c r="CG70" s="38"/>
      <c r="CH70" s="38"/>
      <c r="CI70" s="38"/>
      <c r="CJ70" s="38"/>
      <c r="CK70" s="38"/>
      <c r="CL70" s="38"/>
      <c r="CM70" s="38"/>
      <c r="CN70" s="38"/>
      <c r="CO70" s="38"/>
      <c r="CP70" s="38"/>
      <c r="CQ70" s="38"/>
      <c r="CR70" s="38"/>
      <c r="CS70" s="38"/>
      <c r="CT70" s="38"/>
      <c r="CU70" s="38"/>
      <c r="CV70" s="38"/>
      <c r="CW70" s="38"/>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row>
    <row r="71" spans="1:131">
      <c r="A71" s="9"/>
      <c r="B71" s="9" t="s">
        <v>77</v>
      </c>
      <c r="C71" s="460">
        <v>0</v>
      </c>
      <c r="D71" s="460">
        <v>0</v>
      </c>
      <c r="E71" s="460">
        <v>0</v>
      </c>
      <c r="F71" s="460">
        <v>0</v>
      </c>
      <c r="G71" s="460">
        <v>0</v>
      </c>
      <c r="H71" s="460">
        <v>0</v>
      </c>
      <c r="I71" s="460">
        <v>0</v>
      </c>
      <c r="J71" s="460">
        <v>0</v>
      </c>
      <c r="K71" s="460">
        <v>0</v>
      </c>
      <c r="L71" s="461">
        <v>0</v>
      </c>
      <c r="M71" s="460">
        <v>0</v>
      </c>
      <c r="N71" s="460">
        <v>0</v>
      </c>
      <c r="O71" s="460">
        <v>0</v>
      </c>
      <c r="P71" s="460">
        <v>0</v>
      </c>
      <c r="Q71" s="460">
        <v>0</v>
      </c>
      <c r="R71" s="460">
        <v>0</v>
      </c>
      <c r="S71" s="460">
        <v>0</v>
      </c>
      <c r="T71" s="460">
        <v>0</v>
      </c>
      <c r="U71" s="460">
        <v>0</v>
      </c>
      <c r="V71" s="460">
        <v>0</v>
      </c>
      <c r="W71" s="460">
        <v>0</v>
      </c>
      <c r="X71" s="460">
        <v>0</v>
      </c>
      <c r="Y71" s="460">
        <v>0</v>
      </c>
      <c r="Z71" s="460"/>
      <c r="AA71" s="460">
        <v>0</v>
      </c>
      <c r="AB71" s="460">
        <v>0</v>
      </c>
      <c r="AC71" s="460">
        <v>0</v>
      </c>
      <c r="AD71" s="460">
        <v>0</v>
      </c>
      <c r="AE71" s="460">
        <v>0</v>
      </c>
      <c r="AF71" s="460">
        <v>0</v>
      </c>
      <c r="AG71" s="460">
        <v>0</v>
      </c>
      <c r="AH71" s="460">
        <v>0</v>
      </c>
      <c r="AI71" s="460">
        <v>0</v>
      </c>
      <c r="AJ71" s="460">
        <v>0</v>
      </c>
      <c r="AK71" s="460">
        <v>0</v>
      </c>
      <c r="AL71" s="460">
        <v>0</v>
      </c>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row>
    <row r="72" spans="1:131">
      <c r="A72" s="9"/>
      <c r="B72" s="9" t="s">
        <v>80</v>
      </c>
      <c r="C72" s="460">
        <v>0</v>
      </c>
      <c r="D72" s="460">
        <v>0</v>
      </c>
      <c r="E72" s="460">
        <v>0</v>
      </c>
      <c r="F72" s="460">
        <v>0</v>
      </c>
      <c r="G72" s="460">
        <v>0</v>
      </c>
      <c r="H72" s="460">
        <v>0</v>
      </c>
      <c r="I72" s="460">
        <v>0</v>
      </c>
      <c r="J72" s="460">
        <v>0</v>
      </c>
      <c r="K72" s="460">
        <v>0</v>
      </c>
      <c r="L72" s="461">
        <v>0</v>
      </c>
      <c r="M72" s="460">
        <v>0</v>
      </c>
      <c r="N72" s="460">
        <v>0</v>
      </c>
      <c r="O72" s="460">
        <v>0</v>
      </c>
      <c r="P72" s="460">
        <v>0</v>
      </c>
      <c r="Q72" s="460">
        <v>0</v>
      </c>
      <c r="R72" s="460">
        <v>0</v>
      </c>
      <c r="S72" s="460">
        <v>0</v>
      </c>
      <c r="T72" s="460">
        <v>0</v>
      </c>
      <c r="U72" s="460">
        <v>0</v>
      </c>
      <c r="V72" s="460">
        <v>0</v>
      </c>
      <c r="W72" s="460">
        <v>0</v>
      </c>
      <c r="X72" s="460">
        <v>0</v>
      </c>
      <c r="Y72" s="460">
        <v>0</v>
      </c>
      <c r="Z72" s="460"/>
      <c r="AA72" s="460">
        <v>0</v>
      </c>
      <c r="AB72" s="460">
        <v>0</v>
      </c>
      <c r="AC72" s="460">
        <v>0</v>
      </c>
      <c r="AD72" s="460">
        <v>0</v>
      </c>
      <c r="AE72" s="460">
        <v>0</v>
      </c>
      <c r="AF72" s="460">
        <v>0</v>
      </c>
      <c r="AG72" s="460">
        <v>0</v>
      </c>
      <c r="AH72" s="460">
        <v>0</v>
      </c>
      <c r="AI72" s="460">
        <v>0</v>
      </c>
      <c r="AJ72" s="460">
        <v>0</v>
      </c>
      <c r="AK72" s="460">
        <v>0</v>
      </c>
      <c r="AL72" s="460">
        <v>0</v>
      </c>
      <c r="AM72" s="38"/>
      <c r="AN72" s="38"/>
      <c r="AO72" s="38"/>
      <c r="AP72" s="38"/>
      <c r="AQ72" s="38"/>
      <c r="AR72" s="38"/>
      <c r="AS72" s="38"/>
      <c r="AT72" s="38"/>
      <c r="AU72" s="38"/>
      <c r="AV72" s="38"/>
      <c r="AW72" s="38"/>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38"/>
      <c r="CA72" s="38"/>
      <c r="CB72" s="38"/>
      <c r="CC72" s="38"/>
      <c r="CD72" s="38"/>
      <c r="CE72" s="38"/>
      <c r="CF72" s="38"/>
      <c r="CG72" s="38"/>
      <c r="CH72" s="38"/>
      <c r="CI72" s="38"/>
      <c r="CJ72" s="38"/>
      <c r="CK72" s="38"/>
      <c r="CL72" s="38"/>
      <c r="CM72" s="38"/>
      <c r="CN72" s="38"/>
      <c r="CO72" s="38"/>
      <c r="CP72" s="38"/>
      <c r="CQ72" s="38"/>
      <c r="CR72" s="38"/>
      <c r="CS72" s="38"/>
      <c r="CT72" s="38"/>
      <c r="CU72" s="38"/>
      <c r="CV72" s="38"/>
      <c r="CW72" s="38"/>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row>
    <row r="73" spans="1:131">
      <c r="A73" s="9"/>
      <c r="B73" s="9" t="s">
        <v>83</v>
      </c>
      <c r="C73" s="460">
        <v>0</v>
      </c>
      <c r="D73" s="460">
        <v>0</v>
      </c>
      <c r="E73" s="460">
        <v>0</v>
      </c>
      <c r="F73" s="460">
        <v>0</v>
      </c>
      <c r="G73" s="460">
        <v>0</v>
      </c>
      <c r="H73" s="460">
        <v>0</v>
      </c>
      <c r="I73" s="460">
        <v>0</v>
      </c>
      <c r="J73" s="460">
        <v>0</v>
      </c>
      <c r="K73" s="460">
        <v>0</v>
      </c>
      <c r="L73" s="461">
        <v>0</v>
      </c>
      <c r="M73" s="460">
        <v>0</v>
      </c>
      <c r="N73" s="460">
        <v>0</v>
      </c>
      <c r="O73" s="460">
        <v>0</v>
      </c>
      <c r="P73" s="460">
        <v>0</v>
      </c>
      <c r="Q73" s="460">
        <v>0</v>
      </c>
      <c r="R73" s="460">
        <v>0</v>
      </c>
      <c r="S73" s="460">
        <v>0</v>
      </c>
      <c r="T73" s="460">
        <v>0</v>
      </c>
      <c r="U73" s="460">
        <v>0</v>
      </c>
      <c r="V73" s="460">
        <v>0</v>
      </c>
      <c r="W73" s="460">
        <v>0</v>
      </c>
      <c r="X73" s="460">
        <v>0</v>
      </c>
      <c r="Y73" s="460">
        <v>0</v>
      </c>
      <c r="Z73" s="460"/>
      <c r="AA73" s="460">
        <v>0</v>
      </c>
      <c r="AB73" s="460">
        <v>0</v>
      </c>
      <c r="AC73" s="460">
        <v>0</v>
      </c>
      <c r="AD73" s="460">
        <v>0</v>
      </c>
      <c r="AE73" s="460">
        <v>0</v>
      </c>
      <c r="AF73" s="460">
        <v>0</v>
      </c>
      <c r="AG73" s="460">
        <v>0</v>
      </c>
      <c r="AH73" s="460">
        <v>0</v>
      </c>
      <c r="AI73" s="460">
        <v>0</v>
      </c>
      <c r="AJ73" s="460">
        <v>0</v>
      </c>
      <c r="AK73" s="460">
        <v>0</v>
      </c>
      <c r="AL73" s="460">
        <v>0</v>
      </c>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C73" s="38"/>
      <c r="CD73" s="38"/>
      <c r="CE73" s="38"/>
      <c r="CF73" s="38"/>
      <c r="CG73" s="38"/>
      <c r="CH73" s="38"/>
      <c r="CI73" s="38"/>
      <c r="CJ73" s="38"/>
      <c r="CK73" s="38"/>
      <c r="CL73" s="38"/>
      <c r="CM73" s="38"/>
      <c r="CN73" s="38"/>
      <c r="CO73" s="38"/>
      <c r="CP73" s="38"/>
      <c r="CQ73" s="38"/>
      <c r="CR73" s="38"/>
      <c r="CS73" s="38"/>
      <c r="CT73" s="38"/>
      <c r="CU73" s="38"/>
      <c r="CV73" s="38"/>
      <c r="CW73" s="38"/>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row>
    <row r="74" spans="1:131">
      <c r="A74" s="9"/>
      <c r="B74" s="9" t="s">
        <v>86</v>
      </c>
      <c r="C74" s="460">
        <v>0</v>
      </c>
      <c r="D74" s="460">
        <v>0</v>
      </c>
      <c r="E74" s="460">
        <v>0</v>
      </c>
      <c r="F74" s="460">
        <v>0</v>
      </c>
      <c r="G74" s="460">
        <v>0</v>
      </c>
      <c r="H74" s="460">
        <v>0</v>
      </c>
      <c r="I74" s="460">
        <v>0</v>
      </c>
      <c r="J74" s="460">
        <v>0</v>
      </c>
      <c r="K74" s="460">
        <v>0</v>
      </c>
      <c r="L74" s="461">
        <v>0</v>
      </c>
      <c r="M74" s="460">
        <v>0</v>
      </c>
      <c r="N74" s="460">
        <v>0</v>
      </c>
      <c r="O74" s="460">
        <v>0</v>
      </c>
      <c r="P74" s="460">
        <v>0</v>
      </c>
      <c r="Q74" s="460">
        <v>0</v>
      </c>
      <c r="R74" s="460">
        <v>0</v>
      </c>
      <c r="S74" s="460">
        <v>0</v>
      </c>
      <c r="T74" s="460">
        <v>0</v>
      </c>
      <c r="U74" s="460">
        <v>0</v>
      </c>
      <c r="V74" s="460">
        <v>0</v>
      </c>
      <c r="W74" s="460">
        <v>0</v>
      </c>
      <c r="X74" s="460">
        <v>0</v>
      </c>
      <c r="Y74" s="460">
        <v>0</v>
      </c>
      <c r="Z74" s="460"/>
      <c r="AA74" s="460">
        <v>0</v>
      </c>
      <c r="AB74" s="460">
        <v>0</v>
      </c>
      <c r="AC74" s="460">
        <v>0</v>
      </c>
      <c r="AD74" s="460">
        <v>0</v>
      </c>
      <c r="AE74" s="460">
        <v>0</v>
      </c>
      <c r="AF74" s="460">
        <v>0</v>
      </c>
      <c r="AG74" s="460">
        <v>0</v>
      </c>
      <c r="AH74" s="460">
        <v>0</v>
      </c>
      <c r="AI74" s="460">
        <v>0</v>
      </c>
      <c r="AJ74" s="460">
        <v>0</v>
      </c>
      <c r="AK74" s="460">
        <v>0</v>
      </c>
      <c r="AL74" s="460">
        <v>0</v>
      </c>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C74" s="38"/>
      <c r="CD74" s="38"/>
      <c r="CE74" s="38"/>
      <c r="CF74" s="38"/>
      <c r="CG74" s="38"/>
      <c r="CH74" s="38"/>
      <c r="CI74" s="38"/>
      <c r="CJ74" s="38"/>
      <c r="CK74" s="38"/>
      <c r="CL74" s="38"/>
      <c r="CM74" s="38"/>
      <c r="CN74" s="38"/>
      <c r="CO74" s="38"/>
      <c r="CP74" s="38"/>
      <c r="CQ74" s="38"/>
      <c r="CR74" s="38"/>
      <c r="CS74" s="38"/>
      <c r="CT74" s="38"/>
      <c r="CU74" s="38"/>
      <c r="CV74" s="38"/>
      <c r="CW74" s="38"/>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row>
    <row r="75" spans="1:131">
      <c r="A75" s="9"/>
      <c r="B75" s="9" t="s">
        <v>89</v>
      </c>
      <c r="C75" s="460">
        <v>0</v>
      </c>
      <c r="D75" s="460">
        <v>0</v>
      </c>
      <c r="E75" s="460">
        <v>0</v>
      </c>
      <c r="F75" s="460">
        <v>0</v>
      </c>
      <c r="G75" s="460">
        <v>0</v>
      </c>
      <c r="H75" s="460">
        <v>0</v>
      </c>
      <c r="I75" s="460">
        <v>0</v>
      </c>
      <c r="J75" s="460">
        <v>0</v>
      </c>
      <c r="K75" s="460">
        <v>0</v>
      </c>
      <c r="L75" s="461">
        <v>0</v>
      </c>
      <c r="M75" s="460">
        <v>0</v>
      </c>
      <c r="N75" s="460">
        <v>0</v>
      </c>
      <c r="O75" s="460">
        <v>0</v>
      </c>
      <c r="P75" s="460">
        <v>0</v>
      </c>
      <c r="Q75" s="460">
        <v>0</v>
      </c>
      <c r="R75" s="460">
        <v>0</v>
      </c>
      <c r="S75" s="460">
        <v>0</v>
      </c>
      <c r="T75" s="460">
        <v>0</v>
      </c>
      <c r="U75" s="460">
        <v>0</v>
      </c>
      <c r="V75" s="460">
        <v>0</v>
      </c>
      <c r="W75" s="460">
        <v>0</v>
      </c>
      <c r="X75" s="460">
        <v>0</v>
      </c>
      <c r="Y75" s="460">
        <v>0</v>
      </c>
      <c r="Z75" s="460"/>
      <c r="AA75" s="460">
        <v>0</v>
      </c>
      <c r="AB75" s="460">
        <v>0</v>
      </c>
      <c r="AC75" s="460">
        <v>0</v>
      </c>
      <c r="AD75" s="460">
        <v>0</v>
      </c>
      <c r="AE75" s="460">
        <v>0</v>
      </c>
      <c r="AF75" s="460">
        <v>0</v>
      </c>
      <c r="AG75" s="460">
        <v>0</v>
      </c>
      <c r="AH75" s="460">
        <v>0</v>
      </c>
      <c r="AI75" s="460">
        <v>0</v>
      </c>
      <c r="AJ75" s="460">
        <v>0</v>
      </c>
      <c r="AK75" s="460">
        <v>0</v>
      </c>
      <c r="AL75" s="460">
        <v>0</v>
      </c>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row>
    <row r="76" spans="1:131">
      <c r="A76" s="9"/>
      <c r="B76" s="9" t="s">
        <v>92</v>
      </c>
      <c r="C76" s="460">
        <v>0</v>
      </c>
      <c r="D76" s="460">
        <v>0</v>
      </c>
      <c r="E76" s="460">
        <v>0</v>
      </c>
      <c r="F76" s="460">
        <v>0</v>
      </c>
      <c r="G76" s="460">
        <v>0</v>
      </c>
      <c r="H76" s="460">
        <v>0</v>
      </c>
      <c r="I76" s="460">
        <v>0</v>
      </c>
      <c r="J76" s="460">
        <v>0</v>
      </c>
      <c r="K76" s="460">
        <v>0</v>
      </c>
      <c r="L76" s="461">
        <v>0</v>
      </c>
      <c r="M76" s="460">
        <v>0</v>
      </c>
      <c r="N76" s="460">
        <v>0</v>
      </c>
      <c r="O76" s="460">
        <v>0</v>
      </c>
      <c r="P76" s="460">
        <v>0</v>
      </c>
      <c r="Q76" s="460">
        <v>0</v>
      </c>
      <c r="R76" s="460">
        <v>0</v>
      </c>
      <c r="S76" s="460">
        <v>0</v>
      </c>
      <c r="T76" s="460">
        <v>0</v>
      </c>
      <c r="U76" s="460">
        <v>0</v>
      </c>
      <c r="V76" s="460">
        <v>0</v>
      </c>
      <c r="W76" s="460">
        <v>0</v>
      </c>
      <c r="X76" s="460">
        <v>0</v>
      </c>
      <c r="Y76" s="460">
        <v>0</v>
      </c>
      <c r="Z76" s="460"/>
      <c r="AA76" s="460">
        <v>0</v>
      </c>
      <c r="AB76" s="460">
        <v>0</v>
      </c>
      <c r="AC76" s="460">
        <v>0</v>
      </c>
      <c r="AD76" s="460">
        <v>0</v>
      </c>
      <c r="AE76" s="460">
        <v>0</v>
      </c>
      <c r="AF76" s="460">
        <v>0</v>
      </c>
      <c r="AG76" s="460">
        <v>0</v>
      </c>
      <c r="AH76" s="460">
        <v>0</v>
      </c>
      <c r="AI76" s="460">
        <v>0</v>
      </c>
      <c r="AJ76" s="460">
        <v>0</v>
      </c>
      <c r="AK76" s="460">
        <v>0</v>
      </c>
      <c r="AL76" s="460">
        <v>0</v>
      </c>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C76" s="38"/>
      <c r="CD76" s="38"/>
      <c r="CE76" s="38"/>
      <c r="CF76" s="38"/>
      <c r="CG76" s="38"/>
      <c r="CH76" s="38"/>
      <c r="CI76" s="38"/>
      <c r="CJ76" s="38"/>
      <c r="CK76" s="38"/>
      <c r="CL76" s="38"/>
      <c r="CM76" s="38"/>
      <c r="CN76" s="38"/>
      <c r="CO76" s="38"/>
      <c r="CP76" s="38"/>
      <c r="CQ76" s="38"/>
      <c r="CR76" s="38"/>
      <c r="CS76" s="38"/>
      <c r="CT76" s="38"/>
      <c r="CU76" s="38"/>
      <c r="CV76" s="38"/>
      <c r="CW76" s="38"/>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row>
    <row r="77" spans="1:131">
      <c r="A77" s="9"/>
      <c r="B77" s="9" t="s">
        <v>95</v>
      </c>
      <c r="C77" s="460">
        <v>0</v>
      </c>
      <c r="D77" s="460">
        <v>0</v>
      </c>
      <c r="E77" s="460">
        <v>0</v>
      </c>
      <c r="F77" s="460">
        <v>0</v>
      </c>
      <c r="G77" s="460">
        <v>0</v>
      </c>
      <c r="H77" s="460">
        <v>0</v>
      </c>
      <c r="I77" s="460">
        <v>0</v>
      </c>
      <c r="J77" s="460">
        <v>0</v>
      </c>
      <c r="K77" s="460">
        <v>0</v>
      </c>
      <c r="L77" s="461">
        <v>0</v>
      </c>
      <c r="M77" s="460">
        <v>0</v>
      </c>
      <c r="N77" s="460">
        <v>0</v>
      </c>
      <c r="O77" s="460">
        <v>0</v>
      </c>
      <c r="P77" s="460">
        <v>0</v>
      </c>
      <c r="Q77" s="460">
        <v>0</v>
      </c>
      <c r="R77" s="460">
        <v>0</v>
      </c>
      <c r="S77" s="460">
        <v>0</v>
      </c>
      <c r="T77" s="460">
        <v>0</v>
      </c>
      <c r="U77" s="460">
        <v>0</v>
      </c>
      <c r="V77" s="460">
        <v>0</v>
      </c>
      <c r="W77" s="460">
        <v>0</v>
      </c>
      <c r="X77" s="460">
        <v>0</v>
      </c>
      <c r="Y77" s="460">
        <v>0</v>
      </c>
      <c r="Z77" s="460"/>
      <c r="AA77" s="460">
        <v>0</v>
      </c>
      <c r="AB77" s="460">
        <v>0</v>
      </c>
      <c r="AC77" s="460">
        <v>0</v>
      </c>
      <c r="AD77" s="460">
        <v>0</v>
      </c>
      <c r="AE77" s="460">
        <v>0</v>
      </c>
      <c r="AF77" s="460">
        <v>0</v>
      </c>
      <c r="AG77" s="460">
        <v>0</v>
      </c>
      <c r="AH77" s="460">
        <v>0</v>
      </c>
      <c r="AI77" s="460">
        <v>0</v>
      </c>
      <c r="AJ77" s="460">
        <v>0</v>
      </c>
      <c r="AK77" s="460">
        <v>0</v>
      </c>
      <c r="AL77" s="460">
        <v>0</v>
      </c>
      <c r="AM77" s="38"/>
      <c r="AN77" s="38"/>
      <c r="AO77" s="38"/>
      <c r="AP77" s="38"/>
      <c r="AQ77" s="38"/>
      <c r="AR77" s="38"/>
      <c r="AS77" s="38"/>
      <c r="AT77" s="38"/>
      <c r="AU77" s="38"/>
      <c r="AV77" s="38"/>
      <c r="AW77" s="38"/>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38"/>
      <c r="CA77" s="38"/>
      <c r="CB77" s="38"/>
      <c r="CC77" s="38"/>
      <c r="CD77" s="38"/>
      <c r="CE77" s="38"/>
      <c r="CF77" s="38"/>
      <c r="CG77" s="38"/>
      <c r="CH77" s="38"/>
      <c r="CI77" s="38"/>
      <c r="CJ77" s="38"/>
      <c r="CK77" s="38"/>
      <c r="CL77" s="38"/>
      <c r="CM77" s="38"/>
      <c r="CN77" s="38"/>
      <c r="CO77" s="38"/>
      <c r="CP77" s="38"/>
      <c r="CQ77" s="38"/>
      <c r="CR77" s="38"/>
      <c r="CS77" s="38"/>
      <c r="CT77" s="38"/>
      <c r="CU77" s="38"/>
      <c r="CV77" s="38"/>
      <c r="CW77" s="38"/>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row>
    <row r="78" spans="1:131">
      <c r="A78" s="9"/>
      <c r="B78" s="9" t="s">
        <v>98</v>
      </c>
      <c r="C78" s="460">
        <v>0</v>
      </c>
      <c r="D78" s="460">
        <v>0</v>
      </c>
      <c r="E78" s="460">
        <v>0</v>
      </c>
      <c r="F78" s="460">
        <v>0</v>
      </c>
      <c r="G78" s="460">
        <v>0</v>
      </c>
      <c r="H78" s="460">
        <v>0</v>
      </c>
      <c r="I78" s="460">
        <v>0</v>
      </c>
      <c r="J78" s="460">
        <v>0</v>
      </c>
      <c r="K78" s="460">
        <v>0</v>
      </c>
      <c r="L78" s="461">
        <v>0</v>
      </c>
      <c r="M78" s="460">
        <v>0</v>
      </c>
      <c r="N78" s="460">
        <v>0</v>
      </c>
      <c r="O78" s="460">
        <v>0</v>
      </c>
      <c r="P78" s="460">
        <v>0</v>
      </c>
      <c r="Q78" s="460">
        <v>0</v>
      </c>
      <c r="R78" s="460">
        <v>0</v>
      </c>
      <c r="S78" s="460">
        <v>0</v>
      </c>
      <c r="T78" s="460">
        <v>0</v>
      </c>
      <c r="U78" s="460">
        <v>0</v>
      </c>
      <c r="V78" s="460">
        <v>0</v>
      </c>
      <c r="W78" s="460">
        <v>0</v>
      </c>
      <c r="X78" s="460">
        <v>0</v>
      </c>
      <c r="Y78" s="460">
        <v>0</v>
      </c>
      <c r="Z78" s="460"/>
      <c r="AA78" s="460">
        <v>0</v>
      </c>
      <c r="AB78" s="460">
        <v>0</v>
      </c>
      <c r="AC78" s="460">
        <v>0</v>
      </c>
      <c r="AD78" s="460">
        <v>0</v>
      </c>
      <c r="AE78" s="460">
        <v>0</v>
      </c>
      <c r="AF78" s="460">
        <v>0</v>
      </c>
      <c r="AG78" s="460">
        <v>0</v>
      </c>
      <c r="AH78" s="460">
        <v>0</v>
      </c>
      <c r="AI78" s="460">
        <v>0</v>
      </c>
      <c r="AJ78" s="460">
        <v>0</v>
      </c>
      <c r="AK78" s="460">
        <v>0</v>
      </c>
      <c r="AL78" s="460">
        <v>0</v>
      </c>
      <c r="AM78" s="38"/>
      <c r="AN78" s="38"/>
      <c r="AO78" s="38"/>
      <c r="AP78" s="38"/>
      <c r="AQ78" s="38"/>
      <c r="AR78" s="38"/>
      <c r="AS78" s="38"/>
      <c r="AT78" s="38"/>
      <c r="AU78" s="38"/>
      <c r="AV78" s="38"/>
      <c r="AW78" s="38"/>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38"/>
      <c r="CA78" s="38"/>
      <c r="CB78" s="38"/>
      <c r="CC78" s="38"/>
      <c r="CD78" s="38"/>
      <c r="CE78" s="38"/>
      <c r="CF78" s="38"/>
      <c r="CG78" s="38"/>
      <c r="CH78" s="38"/>
      <c r="CI78" s="38"/>
      <c r="CJ78" s="38"/>
      <c r="CK78" s="38"/>
      <c r="CL78" s="38"/>
      <c r="CM78" s="38"/>
      <c r="CN78" s="38"/>
      <c r="CO78" s="38"/>
      <c r="CP78" s="38"/>
      <c r="CQ78" s="38"/>
      <c r="CR78" s="38"/>
      <c r="CS78" s="38"/>
      <c r="CT78" s="38"/>
      <c r="CU78" s="38"/>
      <c r="CV78" s="38"/>
      <c r="CW78" s="38"/>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row>
    <row r="79" spans="1:131">
      <c r="A79" s="9"/>
      <c r="B79" s="9" t="s">
        <v>101</v>
      </c>
      <c r="C79" s="460">
        <v>0</v>
      </c>
      <c r="D79" s="460">
        <v>0</v>
      </c>
      <c r="E79" s="460">
        <v>0</v>
      </c>
      <c r="F79" s="460">
        <v>0</v>
      </c>
      <c r="G79" s="460">
        <v>0</v>
      </c>
      <c r="H79" s="460">
        <v>0</v>
      </c>
      <c r="I79" s="460">
        <v>0</v>
      </c>
      <c r="J79" s="460">
        <v>0</v>
      </c>
      <c r="K79" s="460">
        <v>0</v>
      </c>
      <c r="L79" s="461">
        <v>0</v>
      </c>
      <c r="M79" s="460">
        <v>0</v>
      </c>
      <c r="N79" s="460">
        <v>0</v>
      </c>
      <c r="O79" s="460">
        <v>0</v>
      </c>
      <c r="P79" s="460">
        <v>0</v>
      </c>
      <c r="Q79" s="460">
        <v>0</v>
      </c>
      <c r="R79" s="460">
        <v>0</v>
      </c>
      <c r="S79" s="460">
        <v>0</v>
      </c>
      <c r="T79" s="460">
        <v>0</v>
      </c>
      <c r="U79" s="460">
        <v>0</v>
      </c>
      <c r="V79" s="460">
        <v>0</v>
      </c>
      <c r="W79" s="460">
        <v>0</v>
      </c>
      <c r="X79" s="460">
        <v>0</v>
      </c>
      <c r="Y79" s="460">
        <v>0</v>
      </c>
      <c r="Z79" s="460"/>
      <c r="AA79" s="460">
        <v>0</v>
      </c>
      <c r="AB79" s="460">
        <v>0</v>
      </c>
      <c r="AC79" s="460">
        <v>0</v>
      </c>
      <c r="AD79" s="460">
        <v>0</v>
      </c>
      <c r="AE79" s="460">
        <v>0</v>
      </c>
      <c r="AF79" s="460">
        <v>0</v>
      </c>
      <c r="AG79" s="460">
        <v>0</v>
      </c>
      <c r="AH79" s="460">
        <v>0</v>
      </c>
      <c r="AI79" s="460">
        <v>0</v>
      </c>
      <c r="AJ79" s="460">
        <v>0</v>
      </c>
      <c r="AK79" s="460">
        <v>0</v>
      </c>
      <c r="AL79" s="460">
        <v>0</v>
      </c>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38"/>
      <c r="CA79" s="38"/>
      <c r="CB79" s="38"/>
      <c r="CC79" s="38"/>
      <c r="CD79" s="38"/>
      <c r="CE79" s="38"/>
      <c r="CF79" s="38"/>
      <c r="CG79" s="38"/>
      <c r="CH79" s="38"/>
      <c r="CI79" s="38"/>
      <c r="CJ79" s="38"/>
      <c r="CK79" s="38"/>
      <c r="CL79" s="38"/>
      <c r="CM79" s="38"/>
      <c r="CN79" s="38"/>
      <c r="CO79" s="38"/>
      <c r="CP79" s="38"/>
      <c r="CQ79" s="38"/>
      <c r="CR79" s="38"/>
      <c r="CS79" s="38"/>
      <c r="CT79" s="38"/>
      <c r="CU79" s="38"/>
      <c r="CV79" s="38"/>
      <c r="CW79" s="38"/>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row>
    <row r="80" spans="1:131">
      <c r="A80" s="9"/>
      <c r="B80" s="9" t="s">
        <v>104</v>
      </c>
      <c r="C80" s="460">
        <v>0</v>
      </c>
      <c r="D80" s="460">
        <v>0</v>
      </c>
      <c r="E80" s="460">
        <v>0</v>
      </c>
      <c r="F80" s="460">
        <v>0</v>
      </c>
      <c r="G80" s="460">
        <v>0</v>
      </c>
      <c r="H80" s="460">
        <v>0</v>
      </c>
      <c r="I80" s="460">
        <v>0</v>
      </c>
      <c r="J80" s="460">
        <v>0</v>
      </c>
      <c r="K80" s="460">
        <v>0</v>
      </c>
      <c r="L80" s="461">
        <v>0</v>
      </c>
      <c r="M80" s="460">
        <v>0</v>
      </c>
      <c r="N80" s="460">
        <v>0</v>
      </c>
      <c r="O80" s="460">
        <v>0</v>
      </c>
      <c r="P80" s="460">
        <v>0</v>
      </c>
      <c r="Q80" s="460">
        <v>0</v>
      </c>
      <c r="R80" s="460">
        <v>0</v>
      </c>
      <c r="S80" s="460">
        <v>0</v>
      </c>
      <c r="T80" s="460">
        <v>0</v>
      </c>
      <c r="U80" s="460">
        <v>0</v>
      </c>
      <c r="V80" s="460">
        <v>0</v>
      </c>
      <c r="W80" s="460">
        <v>0</v>
      </c>
      <c r="X80" s="460">
        <v>0</v>
      </c>
      <c r="Y80" s="460">
        <v>0</v>
      </c>
      <c r="Z80" s="460"/>
      <c r="AA80" s="460">
        <v>0</v>
      </c>
      <c r="AB80" s="460">
        <v>0</v>
      </c>
      <c r="AC80" s="460">
        <v>0</v>
      </c>
      <c r="AD80" s="460">
        <v>0</v>
      </c>
      <c r="AE80" s="460">
        <v>0</v>
      </c>
      <c r="AF80" s="460">
        <v>0</v>
      </c>
      <c r="AG80" s="460">
        <v>0</v>
      </c>
      <c r="AH80" s="460">
        <v>0</v>
      </c>
      <c r="AI80" s="460">
        <v>0</v>
      </c>
      <c r="AJ80" s="460">
        <v>0</v>
      </c>
      <c r="AK80" s="460">
        <v>0</v>
      </c>
      <c r="AL80" s="460">
        <v>0</v>
      </c>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c r="CS80" s="38"/>
      <c r="CT80" s="38"/>
      <c r="CU80" s="38"/>
      <c r="CV80" s="38"/>
      <c r="CW80" s="38"/>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row>
    <row r="81" spans="1:131">
      <c r="A81" s="9"/>
      <c r="B81" s="9" t="s">
        <v>107</v>
      </c>
      <c r="C81" s="460">
        <v>0</v>
      </c>
      <c r="D81" s="460">
        <v>0</v>
      </c>
      <c r="E81" s="460">
        <v>0</v>
      </c>
      <c r="F81" s="460">
        <v>0</v>
      </c>
      <c r="G81" s="460">
        <v>0</v>
      </c>
      <c r="H81" s="460">
        <v>0</v>
      </c>
      <c r="I81" s="460">
        <v>0</v>
      </c>
      <c r="J81" s="460">
        <v>0</v>
      </c>
      <c r="K81" s="460">
        <v>0</v>
      </c>
      <c r="L81" s="461">
        <v>0</v>
      </c>
      <c r="M81" s="460">
        <v>0</v>
      </c>
      <c r="N81" s="460">
        <v>0</v>
      </c>
      <c r="O81" s="460">
        <v>0</v>
      </c>
      <c r="P81" s="460">
        <v>0</v>
      </c>
      <c r="Q81" s="460">
        <v>0</v>
      </c>
      <c r="R81" s="460">
        <v>0</v>
      </c>
      <c r="S81" s="460">
        <v>0</v>
      </c>
      <c r="T81" s="460">
        <v>0</v>
      </c>
      <c r="U81" s="460">
        <v>0</v>
      </c>
      <c r="V81" s="460">
        <v>0</v>
      </c>
      <c r="W81" s="460">
        <v>0</v>
      </c>
      <c r="X81" s="460">
        <v>0</v>
      </c>
      <c r="Y81" s="460">
        <v>0</v>
      </c>
      <c r="Z81" s="460"/>
      <c r="AA81" s="460">
        <v>0</v>
      </c>
      <c r="AB81" s="460">
        <v>0</v>
      </c>
      <c r="AC81" s="460">
        <v>0</v>
      </c>
      <c r="AD81" s="460">
        <v>0</v>
      </c>
      <c r="AE81" s="460">
        <v>0</v>
      </c>
      <c r="AF81" s="460">
        <v>0</v>
      </c>
      <c r="AG81" s="460">
        <v>0</v>
      </c>
      <c r="AH81" s="460">
        <v>0</v>
      </c>
      <c r="AI81" s="460">
        <v>0</v>
      </c>
      <c r="AJ81" s="460">
        <v>0</v>
      </c>
      <c r="AK81" s="460">
        <v>0</v>
      </c>
      <c r="AL81" s="460">
        <v>0</v>
      </c>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38"/>
      <c r="CA81" s="38"/>
      <c r="CB81" s="38"/>
      <c r="CC81" s="38"/>
      <c r="CD81" s="38"/>
      <c r="CE81" s="38"/>
      <c r="CF81" s="38"/>
      <c r="CG81" s="38"/>
      <c r="CH81" s="38"/>
      <c r="CI81" s="38"/>
      <c r="CJ81" s="38"/>
      <c r="CK81" s="38"/>
      <c r="CL81" s="38"/>
      <c r="CM81" s="38"/>
      <c r="CN81" s="38"/>
      <c r="CO81" s="38"/>
      <c r="CP81" s="38"/>
      <c r="CQ81" s="38"/>
      <c r="CR81" s="38"/>
      <c r="CS81" s="38"/>
      <c r="CT81" s="38"/>
      <c r="CU81" s="38"/>
      <c r="CV81" s="38"/>
      <c r="CW81" s="38"/>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row>
    <row r="82" spans="1:131">
      <c r="A82" s="9"/>
      <c r="B82" s="9" t="s">
        <v>110</v>
      </c>
      <c r="C82" s="460">
        <v>0</v>
      </c>
      <c r="D82" s="460">
        <v>0</v>
      </c>
      <c r="E82" s="460">
        <v>0</v>
      </c>
      <c r="F82" s="460">
        <v>0</v>
      </c>
      <c r="G82" s="460">
        <v>0</v>
      </c>
      <c r="H82" s="460">
        <v>0</v>
      </c>
      <c r="I82" s="460">
        <v>0</v>
      </c>
      <c r="J82" s="460">
        <v>0</v>
      </c>
      <c r="K82" s="460">
        <v>0</v>
      </c>
      <c r="L82" s="461">
        <v>0</v>
      </c>
      <c r="M82" s="460">
        <v>0</v>
      </c>
      <c r="N82" s="460">
        <v>0</v>
      </c>
      <c r="O82" s="460">
        <v>0</v>
      </c>
      <c r="P82" s="460">
        <v>0</v>
      </c>
      <c r="Q82" s="460">
        <v>0</v>
      </c>
      <c r="R82" s="460">
        <v>0</v>
      </c>
      <c r="S82" s="460">
        <v>0</v>
      </c>
      <c r="T82" s="460">
        <v>0</v>
      </c>
      <c r="U82" s="460">
        <v>0</v>
      </c>
      <c r="V82" s="460">
        <v>0</v>
      </c>
      <c r="W82" s="460">
        <v>0</v>
      </c>
      <c r="X82" s="460">
        <v>0</v>
      </c>
      <c r="Y82" s="460">
        <v>0</v>
      </c>
      <c r="Z82" s="460"/>
      <c r="AA82" s="460">
        <v>0</v>
      </c>
      <c r="AB82" s="460">
        <v>0</v>
      </c>
      <c r="AC82" s="460">
        <v>0</v>
      </c>
      <c r="AD82" s="460">
        <v>0</v>
      </c>
      <c r="AE82" s="460">
        <v>0</v>
      </c>
      <c r="AF82" s="460">
        <v>0</v>
      </c>
      <c r="AG82" s="460">
        <v>0</v>
      </c>
      <c r="AH82" s="460">
        <v>0</v>
      </c>
      <c r="AI82" s="460">
        <v>0</v>
      </c>
      <c r="AJ82" s="460">
        <v>0</v>
      </c>
      <c r="AK82" s="460">
        <v>0</v>
      </c>
      <c r="AL82" s="460">
        <v>0</v>
      </c>
      <c r="AM82" s="38"/>
      <c r="AN82" s="38"/>
      <c r="AO82" s="38"/>
      <c r="AP82" s="38"/>
      <c r="AQ82" s="38"/>
      <c r="AR82" s="38"/>
      <c r="AS82" s="38"/>
      <c r="AT82" s="38"/>
      <c r="AU82" s="38"/>
      <c r="AV82" s="38"/>
      <c r="AW82" s="38"/>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38"/>
      <c r="CA82" s="38"/>
      <c r="CB82" s="38"/>
      <c r="CC82" s="38"/>
      <c r="CD82" s="38"/>
      <c r="CE82" s="38"/>
      <c r="CF82" s="38"/>
      <c r="CG82" s="38"/>
      <c r="CH82" s="38"/>
      <c r="CI82" s="38"/>
      <c r="CJ82" s="38"/>
      <c r="CK82" s="38"/>
      <c r="CL82" s="38"/>
      <c r="CM82" s="38"/>
      <c r="CN82" s="38"/>
      <c r="CO82" s="38"/>
      <c r="CP82" s="38"/>
      <c r="CQ82" s="38"/>
      <c r="CR82" s="38"/>
      <c r="CS82" s="38"/>
      <c r="CT82" s="38"/>
      <c r="CU82" s="38"/>
      <c r="CV82" s="38"/>
      <c r="CW82" s="38"/>
      <c r="CX82" s="9"/>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row>
    <row r="83" spans="1:131">
      <c r="A83" s="9"/>
      <c r="B83" s="9" t="s">
        <v>113</v>
      </c>
      <c r="C83" s="460">
        <v>0</v>
      </c>
      <c r="D83" s="460">
        <v>0</v>
      </c>
      <c r="E83" s="460">
        <v>0</v>
      </c>
      <c r="F83" s="460">
        <v>0</v>
      </c>
      <c r="G83" s="460">
        <v>0</v>
      </c>
      <c r="H83" s="460">
        <v>0</v>
      </c>
      <c r="I83" s="460">
        <v>0</v>
      </c>
      <c r="J83" s="460">
        <v>0</v>
      </c>
      <c r="K83" s="460">
        <v>0</v>
      </c>
      <c r="L83" s="461">
        <v>0</v>
      </c>
      <c r="M83" s="460">
        <v>0</v>
      </c>
      <c r="N83" s="460">
        <v>0</v>
      </c>
      <c r="O83" s="460">
        <v>0</v>
      </c>
      <c r="P83" s="460">
        <v>0</v>
      </c>
      <c r="Q83" s="460">
        <v>0</v>
      </c>
      <c r="R83" s="460">
        <v>0</v>
      </c>
      <c r="S83" s="460">
        <v>0</v>
      </c>
      <c r="T83" s="460">
        <v>0</v>
      </c>
      <c r="U83" s="460">
        <v>0</v>
      </c>
      <c r="V83" s="460">
        <v>0</v>
      </c>
      <c r="W83" s="460">
        <v>0</v>
      </c>
      <c r="X83" s="460">
        <v>0</v>
      </c>
      <c r="Y83" s="460">
        <v>0</v>
      </c>
      <c r="Z83" s="460"/>
      <c r="AA83" s="460">
        <v>0</v>
      </c>
      <c r="AB83" s="460">
        <v>0</v>
      </c>
      <c r="AC83" s="460">
        <v>0</v>
      </c>
      <c r="AD83" s="460">
        <v>0</v>
      </c>
      <c r="AE83" s="460">
        <v>0</v>
      </c>
      <c r="AF83" s="460">
        <v>0</v>
      </c>
      <c r="AG83" s="460">
        <v>0</v>
      </c>
      <c r="AH83" s="460">
        <v>0</v>
      </c>
      <c r="AI83" s="460">
        <v>0</v>
      </c>
      <c r="AJ83" s="460">
        <v>0</v>
      </c>
      <c r="AK83" s="460">
        <v>0</v>
      </c>
      <c r="AL83" s="460">
        <v>0</v>
      </c>
      <c r="AM83" s="38"/>
      <c r="AN83" s="38"/>
      <c r="AO83" s="38"/>
      <c r="AP83" s="38"/>
      <c r="AQ83" s="38"/>
      <c r="AR83" s="38"/>
      <c r="AS83" s="38"/>
      <c r="AT83" s="38"/>
      <c r="AU83" s="38"/>
      <c r="AV83" s="38"/>
      <c r="AW83" s="38"/>
      <c r="AX83" s="38"/>
      <c r="AY83" s="38"/>
      <c r="AZ83" s="38"/>
      <c r="BA83" s="38"/>
      <c r="BB83" s="38"/>
      <c r="BC83" s="38"/>
      <c r="BD83" s="38"/>
      <c r="BE83" s="38"/>
      <c r="BF83" s="38"/>
      <c r="BG83" s="38"/>
      <c r="BH83" s="38"/>
      <c r="BI83" s="38"/>
      <c r="BJ83" s="38"/>
      <c r="BK83" s="38"/>
      <c r="BL83" s="38"/>
      <c r="BM83" s="38"/>
      <c r="BN83" s="38"/>
      <c r="BO83" s="38"/>
      <c r="BP83" s="38"/>
      <c r="BQ83" s="38"/>
      <c r="BR83" s="38"/>
      <c r="BS83" s="38"/>
      <c r="BT83" s="38"/>
      <c r="BU83" s="38"/>
      <c r="BV83" s="38"/>
      <c r="BW83" s="38"/>
      <c r="BX83" s="38"/>
      <c r="BY83" s="38"/>
      <c r="BZ83" s="38"/>
      <c r="CA83" s="38"/>
      <c r="CB83" s="38"/>
      <c r="CC83" s="38"/>
      <c r="CD83" s="38"/>
      <c r="CE83" s="38"/>
      <c r="CF83" s="38"/>
      <c r="CG83" s="38"/>
      <c r="CH83" s="38"/>
      <c r="CI83" s="38"/>
      <c r="CJ83" s="38"/>
      <c r="CK83" s="38"/>
      <c r="CL83" s="38"/>
      <c r="CM83" s="38"/>
      <c r="CN83" s="38"/>
      <c r="CO83" s="38"/>
      <c r="CP83" s="38"/>
      <c r="CQ83" s="38"/>
      <c r="CR83" s="38"/>
      <c r="CS83" s="38"/>
      <c r="CT83" s="38"/>
      <c r="CU83" s="38"/>
      <c r="CV83" s="38"/>
      <c r="CW83" s="38"/>
      <c r="CX83" s="9"/>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row>
    <row r="84" spans="1:131">
      <c r="A84" s="9"/>
      <c r="B84" s="9" t="s">
        <v>116</v>
      </c>
      <c r="C84" s="460">
        <v>0</v>
      </c>
      <c r="D84" s="460">
        <v>0</v>
      </c>
      <c r="E84" s="460">
        <v>0</v>
      </c>
      <c r="F84" s="460">
        <v>0</v>
      </c>
      <c r="G84" s="460">
        <v>0</v>
      </c>
      <c r="H84" s="460">
        <v>0</v>
      </c>
      <c r="I84" s="460">
        <v>0</v>
      </c>
      <c r="J84" s="460">
        <v>0</v>
      </c>
      <c r="K84" s="460">
        <v>0</v>
      </c>
      <c r="L84" s="461">
        <v>0</v>
      </c>
      <c r="M84" s="460">
        <v>0</v>
      </c>
      <c r="N84" s="460">
        <v>0</v>
      </c>
      <c r="O84" s="460">
        <v>0</v>
      </c>
      <c r="P84" s="460">
        <v>0</v>
      </c>
      <c r="Q84" s="460">
        <v>0</v>
      </c>
      <c r="R84" s="460">
        <v>0</v>
      </c>
      <c r="S84" s="460">
        <v>0</v>
      </c>
      <c r="T84" s="460">
        <v>0</v>
      </c>
      <c r="U84" s="460">
        <v>0</v>
      </c>
      <c r="V84" s="460">
        <v>0</v>
      </c>
      <c r="W84" s="460">
        <v>0</v>
      </c>
      <c r="X84" s="460">
        <v>0</v>
      </c>
      <c r="Y84" s="460">
        <v>0</v>
      </c>
      <c r="Z84" s="460"/>
      <c r="AA84" s="460">
        <v>0</v>
      </c>
      <c r="AB84" s="460">
        <v>0</v>
      </c>
      <c r="AC84" s="460">
        <v>0</v>
      </c>
      <c r="AD84" s="460">
        <v>0</v>
      </c>
      <c r="AE84" s="460">
        <v>0</v>
      </c>
      <c r="AF84" s="460">
        <v>0</v>
      </c>
      <c r="AG84" s="460">
        <v>0</v>
      </c>
      <c r="AH84" s="460">
        <v>0</v>
      </c>
      <c r="AI84" s="460">
        <v>0</v>
      </c>
      <c r="AJ84" s="460">
        <v>0</v>
      </c>
      <c r="AK84" s="460">
        <v>0</v>
      </c>
      <c r="AL84" s="460">
        <v>0</v>
      </c>
      <c r="AM84" s="38"/>
      <c r="AN84" s="38"/>
      <c r="AO84" s="38"/>
      <c r="AP84" s="38"/>
      <c r="AQ84" s="38"/>
      <c r="AR84" s="38"/>
      <c r="AS84" s="38"/>
      <c r="AT84" s="38"/>
      <c r="AU84" s="38"/>
      <c r="AV84" s="38"/>
      <c r="AW84" s="38"/>
      <c r="AX84" s="38"/>
      <c r="AY84" s="38"/>
      <c r="AZ84" s="38"/>
      <c r="BA84" s="38"/>
      <c r="BB84" s="38"/>
      <c r="BC84" s="38"/>
      <c r="BD84" s="38"/>
      <c r="BE84" s="38"/>
      <c r="BF84" s="38"/>
      <c r="BG84" s="38"/>
      <c r="BH84" s="38"/>
      <c r="BI84" s="38"/>
      <c r="BJ84" s="38"/>
      <c r="BK84" s="38"/>
      <c r="BL84" s="38"/>
      <c r="BM84" s="38"/>
      <c r="BN84" s="38"/>
      <c r="BO84" s="38"/>
      <c r="BP84" s="38"/>
      <c r="BQ84" s="38"/>
      <c r="BR84" s="38"/>
      <c r="BS84" s="38"/>
      <c r="BT84" s="38"/>
      <c r="BU84" s="38"/>
      <c r="BV84" s="38"/>
      <c r="BW84" s="38"/>
      <c r="BX84" s="38"/>
      <c r="BY84" s="38"/>
      <c r="BZ84" s="38"/>
      <c r="CA84" s="38"/>
      <c r="CB84" s="38"/>
      <c r="CC84" s="38"/>
      <c r="CD84" s="38"/>
      <c r="CE84" s="38"/>
      <c r="CF84" s="38"/>
      <c r="CG84" s="38"/>
      <c r="CH84" s="38"/>
      <c r="CI84" s="38"/>
      <c r="CJ84" s="38"/>
      <c r="CK84" s="38"/>
      <c r="CL84" s="38"/>
      <c r="CM84" s="38"/>
      <c r="CN84" s="38"/>
      <c r="CO84" s="38"/>
      <c r="CP84" s="38"/>
      <c r="CQ84" s="38"/>
      <c r="CR84" s="38"/>
      <c r="CS84" s="38"/>
      <c r="CT84" s="38"/>
      <c r="CU84" s="38"/>
      <c r="CV84" s="38"/>
      <c r="CW84" s="38"/>
      <c r="CX84" s="9"/>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row>
    <row r="85" spans="1:131">
      <c r="A85" s="9"/>
      <c r="B85" s="9" t="s">
        <v>119</v>
      </c>
      <c r="C85" s="38">
        <v>24.935350493035692</v>
      </c>
      <c r="D85" s="38">
        <v>45.204258252026108</v>
      </c>
      <c r="E85" s="38">
        <v>9.0408516504052212</v>
      </c>
      <c r="F85" s="38">
        <v>54.245109902431331</v>
      </c>
      <c r="G85" s="38">
        <v>52.588283003814219</v>
      </c>
      <c r="H85" s="38">
        <v>13.321093796784062</v>
      </c>
      <c r="I85" s="38">
        <v>19056.766933274735</v>
      </c>
      <c r="J85" s="38">
        <v>104.9193361819765</v>
      </c>
      <c r="K85" s="38">
        <v>152.54724887599428</v>
      </c>
      <c r="L85" s="453">
        <v>0.26554342336513037</v>
      </c>
      <c r="M85" s="38">
        <v>0.22368050784719049</v>
      </c>
      <c r="N85" s="44">
        <v>0.85183678551173725</v>
      </c>
      <c r="O85" s="44">
        <v>0.85332991336115749</v>
      </c>
      <c r="P85" s="44">
        <v>1.0475992456571872</v>
      </c>
      <c r="Q85" s="44">
        <v>1.1187308258671338</v>
      </c>
      <c r="R85" s="44">
        <v>1.2901737643457478</v>
      </c>
      <c r="S85" s="44">
        <v>1.4178785669397072</v>
      </c>
      <c r="T85" s="44">
        <v>1.5338909785681261</v>
      </c>
      <c r="U85" s="44">
        <v>1.5188308992759827</v>
      </c>
      <c r="V85" s="44">
        <v>1.1707585518031132</v>
      </c>
      <c r="W85" s="44">
        <v>1.2969588848992453</v>
      </c>
      <c r="X85" s="44">
        <v>0.9989864318871774</v>
      </c>
      <c r="Y85" s="44">
        <v>0.91849435707603422</v>
      </c>
      <c r="Z85" s="44"/>
      <c r="AA85" s="44">
        <v>0.70597838233062515</v>
      </c>
      <c r="AB85" s="44">
        <v>0.68760663479450812</v>
      </c>
      <c r="AC85" s="44">
        <v>0.72973821833632213</v>
      </c>
      <c r="AD85" s="44">
        <v>0.86945990026681952</v>
      </c>
      <c r="AE85" s="44">
        <v>0.99777492433924475</v>
      </c>
      <c r="AF85" s="44">
        <v>1.0219217944753605</v>
      </c>
      <c r="AG85" s="44">
        <v>1.2921132900212011</v>
      </c>
      <c r="AH85" s="44">
        <v>1.0665173249329549</v>
      </c>
      <c r="AI85" s="44">
        <v>0.99617451926750844</v>
      </c>
      <c r="AJ85" s="44">
        <v>0.91238667401528828</v>
      </c>
      <c r="AK85" s="44">
        <v>0.86625978244752222</v>
      </c>
      <c r="AL85" s="44">
        <v>0.77194984261599053</v>
      </c>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c r="BU85" s="38"/>
      <c r="BV85" s="38"/>
      <c r="BW85" s="38"/>
      <c r="BX85" s="38"/>
      <c r="BY85" s="38"/>
      <c r="BZ85" s="38"/>
      <c r="CA85" s="38"/>
      <c r="CB85" s="38"/>
      <c r="CC85" s="38"/>
      <c r="CD85" s="38"/>
      <c r="CE85" s="38"/>
      <c r="CF85" s="38"/>
      <c r="CG85" s="38"/>
      <c r="CH85" s="38"/>
      <c r="CI85" s="38"/>
      <c r="CJ85" s="38"/>
      <c r="CK85" s="38"/>
      <c r="CL85" s="38"/>
      <c r="CM85" s="38"/>
      <c r="CN85" s="38"/>
      <c r="CO85" s="38"/>
      <c r="CP85" s="38"/>
      <c r="CQ85" s="38"/>
      <c r="CR85" s="38"/>
      <c r="CS85" s="38"/>
      <c r="CT85" s="38"/>
      <c r="CU85" s="38"/>
      <c r="CV85" s="38"/>
      <c r="CW85" s="38"/>
      <c r="CX85" s="9"/>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row>
    <row r="86" spans="1:131">
      <c r="A86" s="9"/>
      <c r="B86" s="9" t="s">
        <v>122</v>
      </c>
      <c r="C86" s="460">
        <v>0</v>
      </c>
      <c r="D86" s="460">
        <v>0</v>
      </c>
      <c r="E86" s="460">
        <v>0</v>
      </c>
      <c r="F86" s="460">
        <v>0</v>
      </c>
      <c r="G86" s="460">
        <v>0</v>
      </c>
      <c r="H86" s="460">
        <v>0</v>
      </c>
      <c r="I86" s="460">
        <v>0</v>
      </c>
      <c r="J86" s="460">
        <v>0</v>
      </c>
      <c r="K86" s="460">
        <v>0</v>
      </c>
      <c r="L86" s="461">
        <v>0</v>
      </c>
      <c r="M86" s="460">
        <v>0</v>
      </c>
      <c r="N86" s="460">
        <v>0</v>
      </c>
      <c r="O86" s="460">
        <v>0</v>
      </c>
      <c r="P86" s="460">
        <v>0</v>
      </c>
      <c r="Q86" s="460">
        <v>0</v>
      </c>
      <c r="R86" s="460">
        <v>0</v>
      </c>
      <c r="S86" s="460">
        <v>0</v>
      </c>
      <c r="T86" s="460">
        <v>0</v>
      </c>
      <c r="U86" s="460">
        <v>0</v>
      </c>
      <c r="V86" s="460">
        <v>0</v>
      </c>
      <c r="W86" s="460">
        <v>0</v>
      </c>
      <c r="X86" s="460">
        <v>0</v>
      </c>
      <c r="Y86" s="460">
        <v>0</v>
      </c>
      <c r="Z86" s="460"/>
      <c r="AA86" s="460">
        <v>0</v>
      </c>
      <c r="AB86" s="460">
        <v>0</v>
      </c>
      <c r="AC86" s="460">
        <v>0</v>
      </c>
      <c r="AD86" s="460">
        <v>0</v>
      </c>
      <c r="AE86" s="460">
        <v>0</v>
      </c>
      <c r="AF86" s="460">
        <v>0</v>
      </c>
      <c r="AG86" s="460">
        <v>0</v>
      </c>
      <c r="AH86" s="460">
        <v>0</v>
      </c>
      <c r="AI86" s="460">
        <v>0</v>
      </c>
      <c r="AJ86" s="460">
        <v>0</v>
      </c>
      <c r="AK86" s="460">
        <v>0</v>
      </c>
      <c r="AL86" s="460">
        <v>0</v>
      </c>
      <c r="AM86" s="38"/>
      <c r="AN86" s="38"/>
      <c r="AO86" s="38"/>
      <c r="AP86" s="38"/>
      <c r="AQ86" s="38"/>
      <c r="AR86" s="38"/>
      <c r="AS86" s="38"/>
      <c r="AT86" s="38"/>
      <c r="AU86" s="38"/>
      <c r="AV86" s="38"/>
      <c r="AW86" s="38"/>
      <c r="AX86" s="38"/>
      <c r="AY86" s="38"/>
      <c r="AZ86" s="38"/>
      <c r="BA86" s="38"/>
      <c r="BB86" s="38"/>
      <c r="BC86" s="38"/>
      <c r="BD86" s="38"/>
      <c r="BE86" s="38"/>
      <c r="BF86" s="38"/>
      <c r="BG86" s="38"/>
      <c r="BH86" s="38"/>
      <c r="BI86" s="38"/>
      <c r="BJ86" s="38"/>
      <c r="BK86" s="38"/>
      <c r="BL86" s="38"/>
      <c r="BM86" s="38"/>
      <c r="BN86" s="38"/>
      <c r="BO86" s="38"/>
      <c r="BP86" s="38"/>
      <c r="BQ86" s="38"/>
      <c r="BR86" s="38"/>
      <c r="BS86" s="38"/>
      <c r="BT86" s="38"/>
      <c r="BU86" s="38"/>
      <c r="BV86" s="38"/>
      <c r="BW86" s="38"/>
      <c r="BX86" s="38"/>
      <c r="BY86" s="38"/>
      <c r="BZ86" s="38"/>
      <c r="CA86" s="38"/>
      <c r="CB86" s="38"/>
      <c r="CC86" s="38"/>
      <c r="CD86" s="38"/>
      <c r="CE86" s="38"/>
      <c r="CF86" s="38"/>
      <c r="CG86" s="38"/>
      <c r="CH86" s="38"/>
      <c r="CI86" s="38"/>
      <c r="CJ86" s="38"/>
      <c r="CK86" s="38"/>
      <c r="CL86" s="38"/>
      <c r="CM86" s="38"/>
      <c r="CN86" s="38"/>
      <c r="CO86" s="38"/>
      <c r="CP86" s="38"/>
      <c r="CQ86" s="38"/>
      <c r="CR86" s="38"/>
      <c r="CS86" s="38"/>
      <c r="CT86" s="38"/>
      <c r="CU86" s="38"/>
      <c r="CV86" s="38"/>
      <c r="CW86" s="38"/>
      <c r="CX86" s="9"/>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row>
    <row r="87" spans="1:131">
      <c r="A87" s="9"/>
      <c r="B87" s="9" t="s">
        <v>125</v>
      </c>
      <c r="C87" s="38">
        <v>60.745261234907062</v>
      </c>
      <c r="D87" s="38">
        <v>99.131722333352826</v>
      </c>
      <c r="E87" s="38">
        <v>19.826344466670566</v>
      </c>
      <c r="F87" s="38">
        <v>118.95806680002339</v>
      </c>
      <c r="G87" s="38">
        <v>141.9615842711909</v>
      </c>
      <c r="H87" s="38">
        <v>31.367893616545722</v>
      </c>
      <c r="I87" s="38">
        <v>17154.79765801684</v>
      </c>
      <c r="J87" s="38">
        <v>96.908108080166599</v>
      </c>
      <c r="K87" s="38">
        <v>170.87222615492539</v>
      </c>
      <c r="L87" s="453">
        <v>0.24425204343527213</v>
      </c>
      <c r="M87" s="38">
        <v>0.5111187205224198</v>
      </c>
      <c r="N87" s="44">
        <v>2.4634833015459514</v>
      </c>
      <c r="O87" s="44">
        <v>2.3193803333862761</v>
      </c>
      <c r="P87" s="44">
        <v>2.7554904277673056</v>
      </c>
      <c r="Q87" s="44">
        <v>2.7525937110167087</v>
      </c>
      <c r="R87" s="44">
        <v>2.9339274063517524</v>
      </c>
      <c r="S87" s="44">
        <v>3.0771074274650565</v>
      </c>
      <c r="T87" s="44">
        <v>3.2677325839512994</v>
      </c>
      <c r="U87" s="44">
        <v>3.6756861959588818</v>
      </c>
      <c r="V87" s="44">
        <v>3.0649151674824666</v>
      </c>
      <c r="W87" s="44">
        <v>3.0335097399788356</v>
      </c>
      <c r="X87" s="44">
        <v>2.6533700761115377</v>
      </c>
      <c r="Y87" s="44">
        <v>2.6414059705624551</v>
      </c>
      <c r="Z87" s="44"/>
      <c r="AA87" s="44">
        <v>1.9328324127212773</v>
      </c>
      <c r="AB87" s="44">
        <v>1.7663329675169321</v>
      </c>
      <c r="AC87" s="44">
        <v>1.8207213378469842</v>
      </c>
      <c r="AD87" s="44">
        <v>2.1136579447691255</v>
      </c>
      <c r="AE87" s="44">
        <v>2.218509662648668</v>
      </c>
      <c r="AF87" s="44">
        <v>2.1796841398542823</v>
      </c>
      <c r="AG87" s="44">
        <v>2.7105358812739979</v>
      </c>
      <c r="AH87" s="44">
        <v>2.5145517843022107</v>
      </c>
      <c r="AI87" s="44">
        <v>2.5560054568916764</v>
      </c>
      <c r="AJ87" s="44">
        <v>2.0371849484160176</v>
      </c>
      <c r="AK87" s="44">
        <v>2.162088847321268</v>
      </c>
      <c r="AL87" s="44">
        <v>2.0945535097660821</v>
      </c>
      <c r="AM87" s="38"/>
      <c r="AN87" s="38"/>
      <c r="AO87" s="38"/>
      <c r="AP87" s="38"/>
      <c r="AQ87" s="38"/>
      <c r="AR87" s="38"/>
      <c r="AS87" s="38"/>
      <c r="AT87" s="38"/>
      <c r="AU87" s="38"/>
      <c r="AV87" s="38"/>
      <c r="AW87" s="38"/>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38"/>
      <c r="CA87" s="38"/>
      <c r="CB87" s="38"/>
      <c r="CC87" s="38"/>
      <c r="CD87" s="38"/>
      <c r="CE87" s="38"/>
      <c r="CF87" s="38"/>
      <c r="CG87" s="38"/>
      <c r="CH87" s="38"/>
      <c r="CI87" s="38"/>
      <c r="CJ87" s="38"/>
      <c r="CK87" s="38"/>
      <c r="CL87" s="38"/>
      <c r="CM87" s="38"/>
      <c r="CN87" s="38"/>
      <c r="CO87" s="38"/>
      <c r="CP87" s="38"/>
      <c r="CQ87" s="38"/>
      <c r="CR87" s="38"/>
      <c r="CS87" s="38"/>
      <c r="CT87" s="38"/>
      <c r="CU87" s="38"/>
      <c r="CV87" s="38"/>
      <c r="CW87" s="38"/>
      <c r="CX87" s="9"/>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row>
    <row r="88" spans="1:131">
      <c r="A88" s="9"/>
      <c r="B88" s="9" t="s">
        <v>128</v>
      </c>
      <c r="C88" s="460">
        <v>0</v>
      </c>
      <c r="D88" s="460">
        <v>0</v>
      </c>
      <c r="E88" s="460">
        <v>0</v>
      </c>
      <c r="F88" s="460">
        <v>0</v>
      </c>
      <c r="G88" s="460">
        <v>0</v>
      </c>
      <c r="H88" s="460">
        <v>0</v>
      </c>
      <c r="I88" s="460">
        <v>0</v>
      </c>
      <c r="J88" s="460">
        <v>0</v>
      </c>
      <c r="K88" s="460">
        <v>0</v>
      </c>
      <c r="L88" s="461">
        <v>0</v>
      </c>
      <c r="M88" s="460">
        <v>0</v>
      </c>
      <c r="N88" s="460">
        <v>0</v>
      </c>
      <c r="O88" s="460">
        <v>0</v>
      </c>
      <c r="P88" s="460">
        <v>0</v>
      </c>
      <c r="Q88" s="460">
        <v>0</v>
      </c>
      <c r="R88" s="460">
        <v>0</v>
      </c>
      <c r="S88" s="460">
        <v>0</v>
      </c>
      <c r="T88" s="460">
        <v>0</v>
      </c>
      <c r="U88" s="460">
        <v>0</v>
      </c>
      <c r="V88" s="460">
        <v>0</v>
      </c>
      <c r="W88" s="460">
        <v>0</v>
      </c>
      <c r="X88" s="460">
        <v>0</v>
      </c>
      <c r="Y88" s="460">
        <v>0</v>
      </c>
      <c r="Z88" s="460"/>
      <c r="AA88" s="460">
        <v>0</v>
      </c>
      <c r="AB88" s="460">
        <v>0</v>
      </c>
      <c r="AC88" s="460">
        <v>0</v>
      </c>
      <c r="AD88" s="460">
        <v>0</v>
      </c>
      <c r="AE88" s="460">
        <v>0</v>
      </c>
      <c r="AF88" s="460">
        <v>0</v>
      </c>
      <c r="AG88" s="460">
        <v>0</v>
      </c>
      <c r="AH88" s="460">
        <v>0</v>
      </c>
      <c r="AI88" s="460">
        <v>0</v>
      </c>
      <c r="AJ88" s="460">
        <v>0</v>
      </c>
      <c r="AK88" s="460">
        <v>0</v>
      </c>
      <c r="AL88" s="460">
        <v>0</v>
      </c>
      <c r="AM88" s="38"/>
      <c r="AN88" s="38"/>
      <c r="AO88" s="38"/>
      <c r="AP88" s="38"/>
      <c r="AQ88" s="38"/>
      <c r="AR88" s="38"/>
      <c r="AS88" s="38"/>
      <c r="AT88" s="38"/>
      <c r="AU88" s="38"/>
      <c r="AV88" s="38"/>
      <c r="AW88" s="38"/>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38"/>
      <c r="CA88" s="38"/>
      <c r="CB88" s="38"/>
      <c r="CC88" s="38"/>
      <c r="CD88" s="38"/>
      <c r="CE88" s="38"/>
      <c r="CF88" s="38"/>
      <c r="CG88" s="38"/>
      <c r="CH88" s="38"/>
      <c r="CI88" s="38"/>
      <c r="CJ88" s="38"/>
      <c r="CK88" s="38"/>
      <c r="CL88" s="38"/>
      <c r="CM88" s="38"/>
      <c r="CN88" s="38"/>
      <c r="CO88" s="38"/>
      <c r="CP88" s="38"/>
      <c r="CQ88" s="38"/>
      <c r="CR88" s="38"/>
      <c r="CS88" s="38"/>
      <c r="CT88" s="38"/>
      <c r="CU88" s="38"/>
      <c r="CV88" s="38"/>
      <c r="CW88" s="38"/>
      <c r="CX88" s="9"/>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row>
    <row r="89" spans="1:131">
      <c r="A89" s="9"/>
      <c r="B89" s="9" t="s">
        <v>131</v>
      </c>
      <c r="C89" s="460">
        <v>0</v>
      </c>
      <c r="D89" s="460">
        <v>0</v>
      </c>
      <c r="E89" s="460">
        <v>0</v>
      </c>
      <c r="F89" s="460">
        <v>0</v>
      </c>
      <c r="G89" s="460">
        <v>0</v>
      </c>
      <c r="H89" s="460">
        <v>0</v>
      </c>
      <c r="I89" s="460">
        <v>0</v>
      </c>
      <c r="J89" s="460">
        <v>0</v>
      </c>
      <c r="K89" s="460">
        <v>0</v>
      </c>
      <c r="L89" s="461">
        <v>0</v>
      </c>
      <c r="M89" s="460">
        <v>0</v>
      </c>
      <c r="N89" s="460">
        <v>0</v>
      </c>
      <c r="O89" s="460">
        <v>0</v>
      </c>
      <c r="P89" s="460">
        <v>0</v>
      </c>
      <c r="Q89" s="460">
        <v>0</v>
      </c>
      <c r="R89" s="460">
        <v>0</v>
      </c>
      <c r="S89" s="460">
        <v>0</v>
      </c>
      <c r="T89" s="460">
        <v>0</v>
      </c>
      <c r="U89" s="460">
        <v>0</v>
      </c>
      <c r="V89" s="460">
        <v>0</v>
      </c>
      <c r="W89" s="460">
        <v>0</v>
      </c>
      <c r="X89" s="460">
        <v>0</v>
      </c>
      <c r="Y89" s="460">
        <v>0</v>
      </c>
      <c r="Z89" s="460"/>
      <c r="AA89" s="460">
        <v>0</v>
      </c>
      <c r="AB89" s="460">
        <v>0</v>
      </c>
      <c r="AC89" s="460">
        <v>0</v>
      </c>
      <c r="AD89" s="460">
        <v>0</v>
      </c>
      <c r="AE89" s="460">
        <v>0</v>
      </c>
      <c r="AF89" s="460">
        <v>0</v>
      </c>
      <c r="AG89" s="460">
        <v>0</v>
      </c>
      <c r="AH89" s="460">
        <v>0</v>
      </c>
      <c r="AI89" s="460">
        <v>0</v>
      </c>
      <c r="AJ89" s="460">
        <v>0</v>
      </c>
      <c r="AK89" s="460">
        <v>0</v>
      </c>
      <c r="AL89" s="460">
        <v>0</v>
      </c>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38"/>
      <c r="CA89" s="38"/>
      <c r="CB89" s="38"/>
      <c r="CC89" s="38"/>
      <c r="CD89" s="38"/>
      <c r="CE89" s="38"/>
      <c r="CF89" s="38"/>
      <c r="CG89" s="38"/>
      <c r="CH89" s="38"/>
      <c r="CI89" s="38"/>
      <c r="CJ89" s="38"/>
      <c r="CK89" s="38"/>
      <c r="CL89" s="38"/>
      <c r="CM89" s="38"/>
      <c r="CN89" s="38"/>
      <c r="CO89" s="38"/>
      <c r="CP89" s="38"/>
      <c r="CQ89" s="38"/>
      <c r="CR89" s="38"/>
      <c r="CS89" s="38"/>
      <c r="CT89" s="38"/>
      <c r="CU89" s="38"/>
      <c r="CV89" s="38"/>
      <c r="CW89" s="38"/>
      <c r="CX89" s="9"/>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row>
    <row r="90" spans="1:131">
      <c r="A90" s="9"/>
      <c r="B90" s="9" t="s">
        <v>134</v>
      </c>
      <c r="C90" s="38">
        <v>45.039506180730278</v>
      </c>
      <c r="D90" s="38">
        <v>134.90182968484507</v>
      </c>
      <c r="E90" s="38">
        <v>26.980365936969015</v>
      </c>
      <c r="F90" s="38">
        <v>161.88219562181408</v>
      </c>
      <c r="G90" s="38">
        <v>193.18616697431949</v>
      </c>
      <c r="H90" s="38">
        <v>23.257689730817113</v>
      </c>
      <c r="I90" s="38">
        <v>31485.425882706651</v>
      </c>
      <c r="J90" s="38">
        <v>183.19865316807193</v>
      </c>
      <c r="K90" s="38">
        <v>314.52306857081766</v>
      </c>
      <c r="L90" s="453">
        <v>0.13492042501857682</v>
      </c>
      <c r="M90" s="38">
        <v>0.37896840517376545</v>
      </c>
      <c r="N90" s="44">
        <v>1.8265469458932102</v>
      </c>
      <c r="O90" s="44">
        <v>1.7197019608993911</v>
      </c>
      <c r="P90" s="44">
        <v>2.0430553038934276</v>
      </c>
      <c r="Q90" s="44">
        <v>2.0409075364900109</v>
      </c>
      <c r="R90" s="44">
        <v>2.1753572026167927</v>
      </c>
      <c r="S90" s="44">
        <v>2.2815178695526357</v>
      </c>
      <c r="T90" s="44">
        <v>2.4228566791852639</v>
      </c>
      <c r="U90" s="44">
        <v>2.7253334297323204</v>
      </c>
      <c r="V90" s="44">
        <v>2.2724779319891213</v>
      </c>
      <c r="W90" s="44">
        <v>2.2491924127995944</v>
      </c>
      <c r="X90" s="44">
        <v>1.9673382830744397</v>
      </c>
      <c r="Y90" s="44">
        <v>1.9584675103611411</v>
      </c>
      <c r="Z90" s="44"/>
      <c r="AA90" s="44">
        <v>1.43309643632005</v>
      </c>
      <c r="AB90" s="44">
        <v>1.3096456084049342</v>
      </c>
      <c r="AC90" s="44">
        <v>1.3499718049154292</v>
      </c>
      <c r="AD90" s="44">
        <v>1.567169325344401</v>
      </c>
      <c r="AE90" s="44">
        <v>1.6449115146031423</v>
      </c>
      <c r="AF90" s="44">
        <v>1.6161243740374691</v>
      </c>
      <c r="AG90" s="44">
        <v>2.0097238055431701</v>
      </c>
      <c r="AH90" s="44">
        <v>1.8644116154654817</v>
      </c>
      <c r="AI90" s="44">
        <v>1.8951473947649919</v>
      </c>
      <c r="AJ90" s="44">
        <v>1.5104685075047122</v>
      </c>
      <c r="AK90" s="44">
        <v>1.6030783640165742</v>
      </c>
      <c r="AL90" s="44">
        <v>1.5530043633225654</v>
      </c>
      <c r="AM90" s="38"/>
      <c r="AN90" s="38"/>
      <c r="AO90" s="38"/>
      <c r="AP90" s="38"/>
      <c r="AQ90" s="38"/>
      <c r="AR90" s="38"/>
      <c r="AS90" s="38"/>
      <c r="AT90" s="38"/>
      <c r="AU90" s="38"/>
      <c r="AV90" s="38"/>
      <c r="AW90" s="38"/>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38"/>
      <c r="CA90" s="38"/>
      <c r="CB90" s="38"/>
      <c r="CC90" s="38"/>
      <c r="CD90" s="38"/>
      <c r="CE90" s="38"/>
      <c r="CF90" s="38"/>
      <c r="CG90" s="38"/>
      <c r="CH90" s="38"/>
      <c r="CI90" s="38"/>
      <c r="CJ90" s="38"/>
      <c r="CK90" s="38"/>
      <c r="CL90" s="38"/>
      <c r="CM90" s="38"/>
      <c r="CN90" s="38"/>
      <c r="CO90" s="38"/>
      <c r="CP90" s="38"/>
      <c r="CQ90" s="38"/>
      <c r="CR90" s="38"/>
      <c r="CS90" s="38"/>
      <c r="CT90" s="38"/>
      <c r="CU90" s="38"/>
      <c r="CV90" s="38"/>
      <c r="CW90" s="38"/>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row>
    <row r="91" spans="1:131">
      <c r="A91" s="9"/>
      <c r="B91" s="9"/>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38"/>
      <c r="CA91" s="38"/>
      <c r="CB91" s="38"/>
      <c r="CC91" s="38"/>
      <c r="CD91" s="38"/>
      <c r="CE91" s="38"/>
      <c r="CF91" s="38"/>
      <c r="CG91" s="38"/>
      <c r="CH91" s="38"/>
      <c r="CI91" s="38"/>
      <c r="CJ91" s="38"/>
      <c r="CK91" s="38"/>
      <c r="CL91" s="38"/>
      <c r="CM91" s="38"/>
      <c r="CN91" s="38"/>
      <c r="CO91" s="38"/>
      <c r="CP91" s="38"/>
      <c r="CQ91" s="38"/>
      <c r="CR91" s="38"/>
      <c r="CS91" s="38"/>
      <c r="CT91" s="38"/>
      <c r="CU91" s="38"/>
      <c r="CV91" s="38"/>
      <c r="CW91" s="38"/>
      <c r="CX91" s="9"/>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row>
    <row r="92" spans="1:131">
      <c r="A92" s="9"/>
      <c r="B92" s="9"/>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38"/>
      <c r="CA92" s="38"/>
      <c r="CB92" s="38"/>
      <c r="CC92" s="38"/>
      <c r="CD92" s="38"/>
      <c r="CE92" s="38"/>
      <c r="CF92" s="38"/>
      <c r="CG92" s="38"/>
      <c r="CH92" s="38"/>
      <c r="CI92" s="38"/>
      <c r="CJ92" s="38"/>
      <c r="CK92" s="38"/>
      <c r="CL92" s="38"/>
      <c r="CM92" s="38"/>
      <c r="CN92" s="38"/>
      <c r="CO92" s="38"/>
      <c r="CP92" s="38"/>
      <c r="CQ92" s="38"/>
      <c r="CR92" s="38"/>
      <c r="CS92" s="38"/>
      <c r="CT92" s="38"/>
      <c r="CU92" s="38"/>
      <c r="CV92" s="38"/>
      <c r="CW92" s="38"/>
      <c r="CX92" s="9"/>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row>
    <row r="93" spans="1:131" ht="13.5" thickBot="1">
      <c r="A93" s="36" t="s">
        <v>45</v>
      </c>
      <c r="B93" s="37"/>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38"/>
      <c r="CA93" s="38"/>
      <c r="CB93" s="38"/>
      <c r="CC93" s="38"/>
      <c r="CD93" s="38"/>
      <c r="CE93" s="38"/>
      <c r="CF93" s="38"/>
      <c r="CG93" s="38"/>
      <c r="CH93" s="38"/>
      <c r="CI93" s="38"/>
      <c r="CJ93" s="38"/>
      <c r="CK93" s="38"/>
      <c r="CL93" s="38"/>
      <c r="CM93" s="38"/>
      <c r="CN93" s="38"/>
      <c r="CO93" s="38"/>
      <c r="CP93" s="38"/>
      <c r="CQ93" s="38"/>
      <c r="CR93" s="38"/>
      <c r="CS93" s="38"/>
      <c r="CT93" s="38"/>
      <c r="CU93" s="38"/>
      <c r="CV93" s="38"/>
      <c r="CW93" s="38"/>
      <c r="CX93" s="9"/>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row>
    <row r="94" spans="1:131" ht="13.5" thickBot="1">
      <c r="A94" s="45"/>
      <c r="B94" s="46"/>
      <c r="C94" s="47"/>
      <c r="D94" s="47"/>
      <c r="E94" s="47"/>
      <c r="F94" s="47"/>
      <c r="G94" s="47"/>
      <c r="H94" s="47"/>
      <c r="I94" s="47"/>
      <c r="J94" s="47"/>
      <c r="K94" s="47"/>
      <c r="L94" s="47"/>
      <c r="M94" s="47"/>
      <c r="N94" s="47"/>
      <c r="O94" s="48" t="s">
        <v>4941</v>
      </c>
      <c r="P94" s="49"/>
      <c r="Q94" s="49"/>
      <c r="R94" s="49"/>
      <c r="S94" s="49"/>
      <c r="T94" s="49"/>
      <c r="U94" s="49"/>
      <c r="V94" s="49"/>
      <c r="W94" s="49"/>
      <c r="X94" s="49"/>
      <c r="Y94" s="49"/>
      <c r="Z94" s="43"/>
      <c r="AA94" s="47"/>
      <c r="AB94" s="48" t="s">
        <v>4942</v>
      </c>
      <c r="AC94" s="49"/>
      <c r="AD94" s="49"/>
      <c r="AE94" s="49"/>
      <c r="AF94" s="49"/>
      <c r="AG94" s="49"/>
      <c r="AH94" s="49"/>
      <c r="AI94" s="49"/>
      <c r="AJ94" s="49"/>
      <c r="AK94" s="49"/>
      <c r="AL94" s="49"/>
      <c r="AM94" s="43"/>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38"/>
      <c r="CA94" s="38"/>
      <c r="CB94" s="38"/>
      <c r="CC94" s="38"/>
      <c r="CD94" s="38"/>
      <c r="CE94" s="38"/>
      <c r="CF94" s="38"/>
      <c r="CG94" s="38"/>
      <c r="CH94" s="38"/>
      <c r="CI94" s="38"/>
      <c r="CJ94" s="38"/>
      <c r="CK94" s="38"/>
      <c r="CL94" s="38"/>
      <c r="CM94" s="38"/>
      <c r="CN94" s="38"/>
      <c r="CO94" s="38"/>
      <c r="CP94" s="38"/>
      <c r="CQ94" s="38"/>
      <c r="CR94" s="38"/>
      <c r="CS94" s="38"/>
      <c r="CT94" s="38"/>
      <c r="CU94" s="38"/>
      <c r="CV94" s="38"/>
      <c r="CW94" s="38"/>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row>
    <row r="95" spans="1:131" ht="191.25">
      <c r="A95" s="39" t="s">
        <v>21</v>
      </c>
      <c r="B95" s="40" t="s">
        <v>22</v>
      </c>
      <c r="C95" s="41" t="s">
        <v>46</v>
      </c>
      <c r="D95" s="41" t="s">
        <v>25</v>
      </c>
      <c r="E95" s="41" t="s">
        <v>26</v>
      </c>
      <c r="F95" s="41" t="s">
        <v>27</v>
      </c>
      <c r="G95" s="41" t="s">
        <v>28</v>
      </c>
      <c r="H95" s="41" t="s">
        <v>29</v>
      </c>
      <c r="I95" s="41" t="s">
        <v>30</v>
      </c>
      <c r="J95" s="41" t="s">
        <v>31</v>
      </c>
      <c r="K95" s="41" t="s">
        <v>24</v>
      </c>
      <c r="L95" s="41" t="s">
        <v>23</v>
      </c>
      <c r="M95" s="41" t="s">
        <v>32</v>
      </c>
      <c r="N95" s="41" t="s">
        <v>4943</v>
      </c>
      <c r="O95" s="41" t="s">
        <v>33</v>
      </c>
      <c r="P95" s="41" t="s">
        <v>34</v>
      </c>
      <c r="Q95" s="41" t="s">
        <v>35</v>
      </c>
      <c r="R95" s="41" t="s">
        <v>36</v>
      </c>
      <c r="S95" s="41" t="s">
        <v>37</v>
      </c>
      <c r="T95" s="41" t="s">
        <v>38</v>
      </c>
      <c r="U95" s="41" t="s">
        <v>39</v>
      </c>
      <c r="V95" s="41" t="s">
        <v>40</v>
      </c>
      <c r="W95" s="41" t="s">
        <v>41</v>
      </c>
      <c r="X95" s="41" t="s">
        <v>42</v>
      </c>
      <c r="Y95" s="41" t="s">
        <v>43</v>
      </c>
      <c r="Z95" s="41" t="s">
        <v>44</v>
      </c>
      <c r="AA95" s="41"/>
      <c r="AB95" s="41" t="s">
        <v>33</v>
      </c>
      <c r="AC95" s="41" t="s">
        <v>34</v>
      </c>
      <c r="AD95" s="41" t="s">
        <v>35</v>
      </c>
      <c r="AE95" s="41" t="s">
        <v>36</v>
      </c>
      <c r="AF95" s="41" t="s">
        <v>37</v>
      </c>
      <c r="AG95" s="41" t="s">
        <v>38</v>
      </c>
      <c r="AH95" s="41" t="s">
        <v>39</v>
      </c>
      <c r="AI95" s="41" t="s">
        <v>40</v>
      </c>
      <c r="AJ95" s="41" t="s">
        <v>41</v>
      </c>
      <c r="AK95" s="41" t="s">
        <v>42</v>
      </c>
      <c r="AL95" s="41" t="s">
        <v>43</v>
      </c>
      <c r="AM95" s="41" t="s">
        <v>44</v>
      </c>
      <c r="AN95" s="38"/>
      <c r="AO95" s="38"/>
      <c r="AP95" s="38"/>
      <c r="AQ95" s="38"/>
      <c r="AR95" s="38"/>
      <c r="AS95" s="38"/>
      <c r="AT95" s="38"/>
      <c r="AU95" s="38"/>
      <c r="AV95" s="38"/>
      <c r="AW95" s="38"/>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38"/>
      <c r="CA95" s="38"/>
      <c r="CB95" s="38"/>
      <c r="CC95" s="38"/>
      <c r="CD95" s="38"/>
      <c r="CE95" s="38"/>
      <c r="CF95" s="38"/>
      <c r="CG95" s="38"/>
      <c r="CH95" s="38"/>
      <c r="CI95" s="38"/>
      <c r="CJ95" s="38"/>
      <c r="CK95" s="38"/>
      <c r="CL95" s="38"/>
      <c r="CM95" s="38"/>
      <c r="CN95" s="38"/>
      <c r="CO95" s="38"/>
      <c r="CP95" s="38"/>
      <c r="CQ95" s="38"/>
      <c r="CR95" s="38"/>
      <c r="CS95" s="38"/>
      <c r="CT95" s="38"/>
      <c r="CU95" s="38"/>
      <c r="CV95" s="38"/>
      <c r="CW95" s="38"/>
      <c r="CX95" s="9"/>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row>
    <row r="96" spans="1:131">
      <c r="A96" s="9" t="s">
        <v>4686</v>
      </c>
      <c r="B96" s="9"/>
      <c r="C96" s="44">
        <v>24.935350493035692</v>
      </c>
      <c r="D96" s="44">
        <v>45.204258252026108</v>
      </c>
      <c r="E96" s="44">
        <v>9.0408516504052212</v>
      </c>
      <c r="F96" s="44">
        <v>54.245109902431331</v>
      </c>
      <c r="G96" s="44">
        <v>52.588283003814219</v>
      </c>
      <c r="H96" s="44">
        <v>13.321093796784062</v>
      </c>
      <c r="I96" s="44">
        <v>19056.766933274735</v>
      </c>
      <c r="J96" s="44">
        <v>104.9193361819765</v>
      </c>
      <c r="K96" s="44">
        <v>152.54724887599428</v>
      </c>
      <c r="L96" s="453">
        <v>0.26554342336513037</v>
      </c>
      <c r="M96" s="44">
        <v>0.22368050784719049</v>
      </c>
      <c r="N96" s="44">
        <v>2.2927876625621151E-3</v>
      </c>
      <c r="O96" s="44">
        <v>0.85183678551173725</v>
      </c>
      <c r="P96" s="44">
        <v>0.85332991336115749</v>
      </c>
      <c r="Q96" s="44">
        <v>1.0475992456571872</v>
      </c>
      <c r="R96" s="44">
        <v>1.1187308258671338</v>
      </c>
      <c r="S96" s="44">
        <v>1.2901737643457478</v>
      </c>
      <c r="T96" s="44">
        <v>1.4178785669397072</v>
      </c>
      <c r="U96" s="44">
        <v>1.5338909785681261</v>
      </c>
      <c r="V96" s="44">
        <v>1.5188308992759827</v>
      </c>
      <c r="W96" s="44">
        <v>1.1707585518031132</v>
      </c>
      <c r="X96" s="44">
        <v>1.2969588848992453</v>
      </c>
      <c r="Y96" s="44">
        <v>0.9989864318871774</v>
      </c>
      <c r="Z96" s="44">
        <v>0.91849435707603422</v>
      </c>
      <c r="AA96" s="44"/>
      <c r="AB96" s="44">
        <v>0.70597838233062515</v>
      </c>
      <c r="AC96" s="44">
        <v>0.68760663479450812</v>
      </c>
      <c r="AD96" s="44">
        <v>0.72973821833632213</v>
      </c>
      <c r="AE96" s="44">
        <v>0.86945990026681952</v>
      </c>
      <c r="AF96" s="44">
        <v>0.99777492433924475</v>
      </c>
      <c r="AG96" s="44">
        <v>1.0219217944753605</v>
      </c>
      <c r="AH96" s="44">
        <v>1.2921132900212011</v>
      </c>
      <c r="AI96" s="44">
        <v>1.0665173249329549</v>
      </c>
      <c r="AJ96" s="44">
        <v>0.99617451926750844</v>
      </c>
      <c r="AK96" s="44">
        <v>0.91238667401528828</v>
      </c>
      <c r="AL96" s="44">
        <v>0.86625978244752222</v>
      </c>
      <c r="AM96" s="38">
        <v>0.77194984261599053</v>
      </c>
      <c r="AN96" s="38"/>
      <c r="AO96" s="38"/>
      <c r="AP96" s="38"/>
      <c r="AQ96" s="38"/>
      <c r="AR96" s="38"/>
      <c r="AS96" s="38"/>
      <c r="AT96" s="38"/>
      <c r="AU96" s="38"/>
      <c r="AV96" s="38"/>
      <c r="AW96" s="38"/>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38"/>
      <c r="CA96" s="38"/>
      <c r="CB96" s="38"/>
      <c r="CC96" s="38"/>
      <c r="CD96" s="38"/>
      <c r="CE96" s="38"/>
      <c r="CF96" s="38"/>
      <c r="CG96" s="38"/>
      <c r="CH96" s="38"/>
      <c r="CI96" s="38"/>
      <c r="CJ96" s="38"/>
      <c r="CK96" s="38"/>
      <c r="CL96" s="38"/>
      <c r="CM96" s="38"/>
      <c r="CN96" s="38"/>
      <c r="CO96" s="38"/>
      <c r="CP96" s="38"/>
      <c r="CQ96" s="38"/>
      <c r="CR96" s="38"/>
      <c r="CS96" s="38"/>
      <c r="CT96" s="38"/>
      <c r="CU96" s="38"/>
      <c r="CV96" s="38"/>
      <c r="CW96" s="38"/>
      <c r="CX96" s="9"/>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row>
    <row r="97" spans="1:131">
      <c r="A97" s="9" t="s">
        <v>4685</v>
      </c>
      <c r="B97" s="9"/>
      <c r="C97" s="44">
        <v>60.745261234907062</v>
      </c>
      <c r="D97" s="44">
        <v>99.131722333352826</v>
      </c>
      <c r="E97" s="44">
        <v>19.826344466670566</v>
      </c>
      <c r="F97" s="44">
        <v>118.95806680002339</v>
      </c>
      <c r="G97" s="44">
        <v>141.9615842711909</v>
      </c>
      <c r="H97" s="44">
        <v>31.367893616545722</v>
      </c>
      <c r="I97" s="44">
        <v>17154.797658016843</v>
      </c>
      <c r="J97" s="44">
        <v>96.908108080166599</v>
      </c>
      <c r="K97" s="44">
        <v>170.87222615492539</v>
      </c>
      <c r="L97" s="453">
        <v>0.24425204343527213</v>
      </c>
      <c r="M97" s="44">
        <v>0.5111187205224198</v>
      </c>
      <c r="N97" s="44">
        <v>6.8344643711315128E-3</v>
      </c>
      <c r="O97" s="44">
        <v>2.4634833015459514</v>
      </c>
      <c r="P97" s="44">
        <v>2.3193803333862761</v>
      </c>
      <c r="Q97" s="44">
        <v>2.7554904277673056</v>
      </c>
      <c r="R97" s="44">
        <v>2.7525937110167087</v>
      </c>
      <c r="S97" s="44">
        <v>2.9339274063517524</v>
      </c>
      <c r="T97" s="44">
        <v>3.0771074274650565</v>
      </c>
      <c r="U97" s="44">
        <v>3.2677325839512994</v>
      </c>
      <c r="V97" s="44">
        <v>3.6756861959588818</v>
      </c>
      <c r="W97" s="44">
        <v>3.0649151674824666</v>
      </c>
      <c r="X97" s="44">
        <v>3.0335097399788356</v>
      </c>
      <c r="Y97" s="44">
        <v>2.6533700761115377</v>
      </c>
      <c r="Z97" s="44">
        <v>2.6414059705624551</v>
      </c>
      <c r="AA97" s="44"/>
      <c r="AB97" s="44">
        <v>1.9328324127212773</v>
      </c>
      <c r="AC97" s="44">
        <v>1.7663329675169321</v>
      </c>
      <c r="AD97" s="44">
        <v>1.8207213378469842</v>
      </c>
      <c r="AE97" s="44">
        <v>2.1136579447691255</v>
      </c>
      <c r="AF97" s="44">
        <v>2.218509662648668</v>
      </c>
      <c r="AG97" s="44">
        <v>2.1796841398542823</v>
      </c>
      <c r="AH97" s="44">
        <v>2.7105358812739979</v>
      </c>
      <c r="AI97" s="44">
        <v>2.5145517843022107</v>
      </c>
      <c r="AJ97" s="44">
        <v>2.5560054568916764</v>
      </c>
      <c r="AK97" s="44">
        <v>2.0371849484160176</v>
      </c>
      <c r="AL97" s="44">
        <v>2.162088847321268</v>
      </c>
      <c r="AM97" s="38">
        <v>2.0945535097660821</v>
      </c>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38"/>
      <c r="CA97" s="38"/>
      <c r="CB97" s="38"/>
      <c r="CC97" s="38"/>
      <c r="CD97" s="38"/>
      <c r="CE97" s="38"/>
      <c r="CF97" s="38"/>
      <c r="CG97" s="38"/>
      <c r="CH97" s="38"/>
      <c r="CI97" s="38"/>
      <c r="CJ97" s="38"/>
      <c r="CK97" s="38"/>
      <c r="CL97" s="38"/>
      <c r="CM97" s="38"/>
      <c r="CN97" s="38"/>
      <c r="CO97" s="38"/>
      <c r="CP97" s="38"/>
      <c r="CQ97" s="38"/>
      <c r="CR97" s="38"/>
      <c r="CS97" s="38"/>
      <c r="CT97" s="38"/>
      <c r="CU97" s="38"/>
      <c r="CV97" s="38"/>
      <c r="CW97" s="38"/>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row>
    <row r="98" spans="1:131">
      <c r="A98" s="9" t="s">
        <v>4683</v>
      </c>
      <c r="B98" s="9"/>
      <c r="C98" s="44">
        <v>10.2023264489233</v>
      </c>
      <c r="D98" s="44">
        <v>30.245004256070963</v>
      </c>
      <c r="E98" s="44">
        <v>6.0490008512141928</v>
      </c>
      <c r="F98" s="44">
        <v>36.294005107285159</v>
      </c>
      <c r="G98" s="44">
        <v>43.312358742668145</v>
      </c>
      <c r="H98" s="44">
        <v>5.268320263757392</v>
      </c>
      <c r="I98" s="44">
        <v>31163.037796479373</v>
      </c>
      <c r="J98" s="44">
        <v>181.2574232893657</v>
      </c>
      <c r="K98" s="44">
        <v>311.29143633214102</v>
      </c>
      <c r="L98" s="453">
        <v>0.13628884294815743</v>
      </c>
      <c r="M98" s="44">
        <v>8.5843733896548938E-2</v>
      </c>
      <c r="N98" s="44">
        <v>1.1478662730279006E-3</v>
      </c>
      <c r="O98" s="44">
        <v>0.41374850207081521</v>
      </c>
      <c r="P98" s="44">
        <v>0.38954602942462024</v>
      </c>
      <c r="Q98" s="44">
        <v>0.46279186720841126</v>
      </c>
      <c r="R98" s="44">
        <v>0.46230535600870837</v>
      </c>
      <c r="S98" s="44">
        <v>0.49276082724034098</v>
      </c>
      <c r="T98" s="44">
        <v>0.51680828850176741</v>
      </c>
      <c r="U98" s="44">
        <v>0.54882428508015002</v>
      </c>
      <c r="V98" s="44">
        <v>0.61734116756788282</v>
      </c>
      <c r="W98" s="44">
        <v>0.51476056635910517</v>
      </c>
      <c r="X98" s="44">
        <v>0.50948594218025789</v>
      </c>
      <c r="Y98" s="44">
        <v>0.4456404854628952</v>
      </c>
      <c r="Z98" s="44">
        <v>0.44363108245762878</v>
      </c>
      <c r="AA98" s="44"/>
      <c r="AB98" s="44">
        <v>0.32462428911756569</v>
      </c>
      <c r="AC98" s="44">
        <v>0.29666026922520894</v>
      </c>
      <c r="AD98" s="44">
        <v>0.30579493912129063</v>
      </c>
      <c r="AE98" s="44">
        <v>0.35499441298810486</v>
      </c>
      <c r="AF98" s="44">
        <v>0.3726045348772965</v>
      </c>
      <c r="AG98" s="44">
        <v>0.36608368617163956</v>
      </c>
      <c r="AH98" s="44">
        <v>0.45524163284668179</v>
      </c>
      <c r="AI98" s="44">
        <v>0.42232558811404985</v>
      </c>
      <c r="AJ98" s="44">
        <v>0.42928784149261434</v>
      </c>
      <c r="AK98" s="44">
        <v>0.34215057204544069</v>
      </c>
      <c r="AL98" s="44">
        <v>0.36312851049642225</v>
      </c>
      <c r="AM98" s="38">
        <v>0.35178577286439949</v>
      </c>
      <c r="AN98" s="38"/>
      <c r="AO98" s="38"/>
      <c r="AP98" s="38"/>
      <c r="AQ98" s="38"/>
      <c r="AR98" s="38"/>
      <c r="AS98" s="38"/>
      <c r="AT98" s="38"/>
      <c r="AU98" s="38"/>
      <c r="AV98" s="38"/>
      <c r="AW98" s="38"/>
      <c r="AX98" s="38"/>
      <c r="AY98" s="38"/>
      <c r="AZ98" s="38"/>
      <c r="BA98" s="38"/>
      <c r="BB98" s="38"/>
      <c r="BC98" s="38"/>
      <c r="BD98" s="38"/>
      <c r="BE98" s="38"/>
      <c r="BF98" s="38"/>
      <c r="BG98" s="38"/>
      <c r="BH98" s="38"/>
      <c r="BI98" s="38"/>
      <c r="BJ98" s="38"/>
      <c r="BK98" s="38"/>
      <c r="BL98" s="38"/>
      <c r="BM98" s="38"/>
      <c r="BN98" s="38"/>
      <c r="BO98" s="38"/>
      <c r="BP98" s="38"/>
      <c r="BQ98" s="38"/>
      <c r="BR98" s="38"/>
      <c r="BS98" s="38"/>
      <c r="BT98" s="38"/>
      <c r="BU98" s="38"/>
      <c r="BV98" s="38"/>
      <c r="BW98" s="38"/>
      <c r="BX98" s="38"/>
      <c r="BY98" s="38"/>
      <c r="BZ98" s="38"/>
      <c r="CA98" s="38"/>
      <c r="CB98" s="38"/>
      <c r="CC98" s="38"/>
      <c r="CD98" s="38"/>
      <c r="CE98" s="38"/>
      <c r="CF98" s="38"/>
      <c r="CG98" s="38"/>
      <c r="CH98" s="38"/>
      <c r="CI98" s="38"/>
      <c r="CJ98" s="38"/>
      <c r="CK98" s="38"/>
      <c r="CL98" s="38"/>
      <c r="CM98" s="38"/>
      <c r="CN98" s="38"/>
      <c r="CO98" s="38"/>
      <c r="CP98" s="38"/>
      <c r="CQ98" s="38"/>
      <c r="CR98" s="38"/>
      <c r="CS98" s="38"/>
      <c r="CT98" s="38"/>
      <c r="CU98" s="38"/>
      <c r="CV98" s="38"/>
      <c r="CW98" s="38"/>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row>
    <row r="99" spans="1:131">
      <c r="A99" s="9" t="s">
        <v>4684</v>
      </c>
      <c r="B99" s="9"/>
      <c r="C99" s="44">
        <v>34.837179731806977</v>
      </c>
      <c r="D99" s="44">
        <v>104.65682542877411</v>
      </c>
      <c r="E99" s="44">
        <v>20.931365085754823</v>
      </c>
      <c r="F99" s="44">
        <v>125.58819051452893</v>
      </c>
      <c r="G99" s="44">
        <v>149.87380823165134</v>
      </c>
      <c r="H99" s="44">
        <v>17.989369467059721</v>
      </c>
      <c r="I99" s="44">
        <v>31579.839624698845</v>
      </c>
      <c r="J99" s="44">
        <v>183.76715673487709</v>
      </c>
      <c r="K99" s="44">
        <v>315.46947603880625</v>
      </c>
      <c r="L99" s="453">
        <v>0.13451967367924281</v>
      </c>
      <c r="M99" s="44">
        <v>0.29312467127721648</v>
      </c>
      <c r="N99" s="44">
        <v>3.9195397110403747E-3</v>
      </c>
      <c r="O99" s="44">
        <v>1.4127984438223951</v>
      </c>
      <c r="P99" s="44">
        <v>1.3301559314747708</v>
      </c>
      <c r="Q99" s="44">
        <v>1.5802634366850163</v>
      </c>
      <c r="R99" s="44">
        <v>1.5786021804813026</v>
      </c>
      <c r="S99" s="44">
        <v>1.6825963753764515</v>
      </c>
      <c r="T99" s="44">
        <v>1.7647095810508684</v>
      </c>
      <c r="U99" s="44">
        <v>1.8740323941051138</v>
      </c>
      <c r="V99" s="44">
        <v>2.1079922621644376</v>
      </c>
      <c r="W99" s="44">
        <v>1.757717365630016</v>
      </c>
      <c r="X99" s="44">
        <v>1.7397064706193364</v>
      </c>
      <c r="Y99" s="44">
        <v>1.5216977976115444</v>
      </c>
      <c r="Z99" s="44">
        <v>1.5148364279035123</v>
      </c>
      <c r="AA99" s="44"/>
      <c r="AB99" s="44">
        <v>1.1084721472024843</v>
      </c>
      <c r="AC99" s="44">
        <v>1.0129853391797252</v>
      </c>
      <c r="AD99" s="44">
        <v>1.0441768657941386</v>
      </c>
      <c r="AE99" s="44">
        <v>1.2121749123562962</v>
      </c>
      <c r="AF99" s="44">
        <v>1.2723069797258459</v>
      </c>
      <c r="AG99" s="44">
        <v>1.2500406878658297</v>
      </c>
      <c r="AH99" s="44">
        <v>1.5544821726964881</v>
      </c>
      <c r="AI99" s="44">
        <v>1.4420860273514318</v>
      </c>
      <c r="AJ99" s="44">
        <v>1.4658595532723777</v>
      </c>
      <c r="AK99" s="44">
        <v>1.1683179354592714</v>
      </c>
      <c r="AL99" s="44">
        <v>1.2399498535201521</v>
      </c>
      <c r="AM99" s="38">
        <v>1.2012185904581658</v>
      </c>
      <c r="AN99" s="38"/>
      <c r="AO99" s="38"/>
      <c r="AP99" s="38"/>
      <c r="AQ99" s="38"/>
      <c r="AR99" s="38"/>
      <c r="AS99" s="38"/>
      <c r="AT99" s="38"/>
      <c r="AU99" s="38"/>
      <c r="AV99" s="38"/>
      <c r="AW99" s="38"/>
      <c r="AX99" s="38"/>
      <c r="AY99" s="38"/>
      <c r="AZ99" s="38"/>
      <c r="BA99" s="38"/>
      <c r="BB99" s="38"/>
      <c r="BC99" s="38"/>
      <c r="BD99" s="38"/>
      <c r="BE99" s="38"/>
      <c r="BF99" s="38"/>
      <c r="BG99" s="38"/>
      <c r="BH99" s="38"/>
      <c r="BI99" s="38"/>
      <c r="BJ99" s="38"/>
      <c r="BK99" s="38"/>
      <c r="BL99" s="38"/>
      <c r="BM99" s="38"/>
      <c r="BN99" s="38"/>
      <c r="BO99" s="38"/>
      <c r="BP99" s="38"/>
      <c r="BQ99" s="38"/>
      <c r="BR99" s="38"/>
      <c r="BS99" s="38"/>
      <c r="BT99" s="38"/>
      <c r="BU99" s="38"/>
      <c r="BV99" s="38"/>
      <c r="BW99" s="38"/>
      <c r="BX99" s="38"/>
      <c r="BY99" s="38"/>
      <c r="BZ99" s="38"/>
      <c r="CA99" s="38"/>
      <c r="CB99" s="38"/>
      <c r="CC99" s="38"/>
      <c r="CD99" s="38"/>
      <c r="CE99" s="38"/>
      <c r="CF99" s="38"/>
      <c r="CG99" s="38"/>
      <c r="CH99" s="38"/>
      <c r="CI99" s="38"/>
      <c r="CJ99" s="38"/>
      <c r="CK99" s="38"/>
      <c r="CL99" s="38"/>
      <c r="CM99" s="38"/>
      <c r="CN99" s="38"/>
      <c r="CO99" s="38"/>
      <c r="CP99" s="38"/>
      <c r="CQ99" s="38"/>
      <c r="CR99" s="38"/>
      <c r="CS99" s="38"/>
      <c r="CT99" s="38"/>
      <c r="CU99" s="38"/>
      <c r="CV99" s="38"/>
      <c r="CW99" s="38"/>
      <c r="CX99" s="9"/>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row>
    <row r="100" spans="1:131">
      <c r="A100" s="9"/>
      <c r="B100" s="9"/>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c r="BJ100" s="38"/>
      <c r="BK100" s="38"/>
      <c r="BL100" s="38"/>
      <c r="BM100" s="38"/>
      <c r="BN100" s="38"/>
      <c r="BO100" s="38"/>
      <c r="BP100" s="38"/>
      <c r="BQ100" s="38"/>
      <c r="BR100" s="38"/>
      <c r="BS100" s="38"/>
      <c r="BT100" s="38"/>
      <c r="BU100" s="38"/>
      <c r="BV100" s="38"/>
      <c r="BW100" s="38"/>
      <c r="BX100" s="38"/>
      <c r="BY100" s="38"/>
      <c r="BZ100" s="38"/>
      <c r="CA100" s="38"/>
      <c r="CB100" s="38"/>
      <c r="CC100" s="38"/>
      <c r="CD100" s="38"/>
      <c r="CE100" s="38"/>
      <c r="CF100" s="38"/>
      <c r="CG100" s="38"/>
      <c r="CH100" s="38"/>
      <c r="CI100" s="38"/>
      <c r="CJ100" s="38"/>
      <c r="CK100" s="38"/>
      <c r="CL100" s="38"/>
      <c r="CM100" s="38"/>
      <c r="CN100" s="38"/>
      <c r="CO100" s="38"/>
      <c r="CP100" s="38"/>
      <c r="CQ100" s="38"/>
      <c r="CR100" s="38"/>
      <c r="CS100" s="38"/>
      <c r="CT100" s="38"/>
      <c r="CU100" s="38"/>
      <c r="CV100" s="38"/>
      <c r="CW100" s="38"/>
      <c r="CX100" s="9"/>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6"/>
  <dimension ref="B4:DC61"/>
  <sheetViews>
    <sheetView topLeftCell="F31" zoomScale="115" zoomScaleNormal="115" workbookViewId="0">
      <selection activeCell="R37" sqref="R37"/>
    </sheetView>
  </sheetViews>
  <sheetFormatPr defaultRowHeight="12.75"/>
  <cols>
    <col min="2" max="2" width="19.140625" customWidth="1"/>
    <col min="3" max="3" width="55.5703125" customWidth="1"/>
    <col min="4" max="4" width="37" customWidth="1"/>
    <col min="8" max="8" width="12.42578125" bestFit="1" customWidth="1"/>
    <col min="17" max="17" width="11.140625" customWidth="1"/>
  </cols>
  <sheetData>
    <row r="4" spans="2:107">
      <c r="B4" s="51" t="s">
        <v>4691</v>
      </c>
      <c r="C4">
        <v>1</v>
      </c>
      <c r="D4">
        <v>2</v>
      </c>
      <c r="E4">
        <v>3</v>
      </c>
      <c r="F4">
        <v>4</v>
      </c>
      <c r="G4">
        <v>5</v>
      </c>
      <c r="H4">
        <v>6</v>
      </c>
      <c r="I4">
        <v>7</v>
      </c>
      <c r="J4">
        <v>8</v>
      </c>
      <c r="K4">
        <v>9</v>
      </c>
      <c r="L4">
        <v>10</v>
      </c>
      <c r="M4">
        <v>11</v>
      </c>
      <c r="N4">
        <v>12</v>
      </c>
      <c r="O4">
        <v>13</v>
      </c>
      <c r="P4">
        <v>14</v>
      </c>
      <c r="Q4">
        <v>15</v>
      </c>
      <c r="R4">
        <v>16</v>
      </c>
    </row>
    <row r="5" spans="2:107" s="9" customFormat="1">
      <c r="C5" s="14" t="s">
        <v>3</v>
      </c>
      <c r="D5" s="15"/>
      <c r="E5" s="15"/>
      <c r="F5" s="15"/>
      <c r="G5" s="15"/>
      <c r="H5" s="15"/>
      <c r="I5" s="16"/>
      <c r="J5" s="17"/>
      <c r="K5" s="494" t="s">
        <v>4</v>
      </c>
      <c r="L5" s="495"/>
      <c r="M5" s="495"/>
      <c r="N5" s="495"/>
      <c r="O5" s="495"/>
      <c r="P5" s="496"/>
      <c r="Q5" s="497" t="s">
        <v>5</v>
      </c>
      <c r="R5" s="498"/>
      <c r="S5" s="18"/>
      <c r="T5" s="19"/>
      <c r="U5" s="19"/>
      <c r="V5" s="19"/>
      <c r="W5" s="19"/>
      <c r="X5" s="19"/>
      <c r="Y5" s="19"/>
      <c r="Z5" s="20"/>
      <c r="AA5" s="21"/>
      <c r="AB5" s="19"/>
      <c r="AC5" s="19"/>
      <c r="AD5" s="19"/>
      <c r="AE5" s="19"/>
      <c r="AF5" s="19"/>
      <c r="AG5" s="22"/>
      <c r="AH5" s="22"/>
      <c r="AI5" s="22"/>
      <c r="AJ5" s="22"/>
      <c r="AK5" s="22"/>
      <c r="AL5" s="22"/>
      <c r="AM5" s="22"/>
      <c r="AN5" s="22"/>
      <c r="AO5" s="22"/>
      <c r="AP5" s="22"/>
      <c r="AQ5" s="22"/>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row>
    <row r="6" spans="2:107" s="9" customFormat="1" ht="25.5">
      <c r="C6" s="23" t="s">
        <v>6</v>
      </c>
      <c r="D6" s="23" t="s">
        <v>7</v>
      </c>
      <c r="E6" s="23" t="s">
        <v>8</v>
      </c>
      <c r="F6" s="23" t="s">
        <v>9</v>
      </c>
      <c r="G6" s="23" t="s">
        <v>10</v>
      </c>
      <c r="H6" s="23" t="s">
        <v>11</v>
      </c>
      <c r="I6" s="23" t="s">
        <v>12</v>
      </c>
      <c r="J6" s="23" t="s">
        <v>13</v>
      </c>
      <c r="K6" s="23" t="s">
        <v>14</v>
      </c>
      <c r="L6" s="23" t="s">
        <v>15</v>
      </c>
      <c r="M6" s="23" t="s">
        <v>16</v>
      </c>
      <c r="N6" s="23" t="s">
        <v>17</v>
      </c>
      <c r="O6" s="23" t="s">
        <v>18</v>
      </c>
      <c r="P6" s="23" t="s">
        <v>19</v>
      </c>
      <c r="Q6" s="24" t="s">
        <v>20</v>
      </c>
      <c r="R6" s="23" t="s">
        <v>12</v>
      </c>
      <c r="S6" s="25"/>
      <c r="T6" s="25"/>
      <c r="U6" s="25"/>
      <c r="V6" s="25"/>
      <c r="W6" s="25"/>
      <c r="X6" s="25"/>
      <c r="Y6" s="25"/>
      <c r="Z6" s="25"/>
      <c r="AA6" s="25"/>
      <c r="AB6" s="25"/>
      <c r="AC6" s="25"/>
      <c r="AD6" s="25"/>
      <c r="AE6" s="25"/>
      <c r="AF6" s="25"/>
      <c r="AG6" s="22"/>
      <c r="AH6" s="22"/>
      <c r="AI6" s="22"/>
      <c r="AJ6" s="22"/>
      <c r="AK6" s="22"/>
      <c r="AL6" s="22"/>
      <c r="AM6" s="22"/>
      <c r="AN6" s="22"/>
      <c r="AO6" s="22"/>
      <c r="AP6" s="22"/>
      <c r="AQ6" s="22"/>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row>
    <row r="7" spans="2:107" ht="25.5">
      <c r="C7" s="26" t="str">
        <f>RawRTF!C8</f>
        <v>Standard Size Refrigerator and Refrigerator-freezer - CEE Tier 1</v>
      </c>
      <c r="D7" s="26" t="str">
        <f>RawRTF!D8</f>
        <v>Standard Size Refrigerator and Refrigerator-freezer - CEE Tier 1</v>
      </c>
      <c r="E7" s="26">
        <f>RawRTF!E8</f>
        <v>10.842807929192544</v>
      </c>
      <c r="F7" s="26">
        <f>RawRTF!F8</f>
        <v>15.18</v>
      </c>
      <c r="G7" s="26">
        <f>RawRTF!G8</f>
        <v>30.245004256070963</v>
      </c>
      <c r="H7" s="26">
        <f>RawRTF!H8</f>
        <v>0</v>
      </c>
      <c r="I7" s="26" t="str">
        <f>RawRTF!I8</f>
        <v>ResFRIG</v>
      </c>
      <c r="J7" s="26">
        <f>RawRTF!J8</f>
        <v>0</v>
      </c>
      <c r="K7" s="26">
        <f>RawRTF!K8</f>
        <v>0</v>
      </c>
      <c r="L7" s="26">
        <f>RawRTF!L8</f>
        <v>0</v>
      </c>
      <c r="M7" s="26">
        <f>RawRTF!M8</f>
        <v>0</v>
      </c>
      <c r="N7" s="26">
        <f>RawRTF!N8</f>
        <v>0</v>
      </c>
      <c r="O7" s="26">
        <f>RawRTF!O8</f>
        <v>0</v>
      </c>
      <c r="P7" s="26">
        <f>RawRTF!P8</f>
        <v>0</v>
      </c>
      <c r="Q7" s="26" t="str">
        <f>RawRTF!Q8</f>
        <v/>
      </c>
      <c r="R7" s="26">
        <f>RawRTF!R8</f>
        <v>0</v>
      </c>
      <c r="S7" s="50"/>
      <c r="T7" s="50"/>
      <c r="U7" s="50"/>
      <c r="V7" s="50"/>
      <c r="W7" s="50"/>
      <c r="X7" s="50"/>
      <c r="Y7" s="50"/>
      <c r="Z7" s="50"/>
      <c r="AA7" s="50"/>
      <c r="AB7" s="50"/>
      <c r="AC7" s="50"/>
      <c r="AD7" s="50"/>
      <c r="AE7" s="50"/>
      <c r="AF7" s="50"/>
      <c r="AG7" s="50"/>
      <c r="AH7" s="50"/>
      <c r="AI7" s="50"/>
      <c r="AJ7" s="50"/>
      <c r="AK7" s="50"/>
      <c r="AL7" s="50"/>
      <c r="AM7" s="50"/>
      <c r="AN7" s="50"/>
    </row>
    <row r="8" spans="2:107" ht="25.5">
      <c r="C8" s="26" t="str">
        <f>RawRTF!C9</f>
        <v>Standard Size Refrigerator and Refrigerator-freezer - CEE Tier 2</v>
      </c>
      <c r="D8" s="26" t="str">
        <f>RawRTF!D9</f>
        <v>Standard Size Refrigerator and Refrigerator-freezer - CEE Tier 2</v>
      </c>
      <c r="E8" s="26">
        <f>RawRTF!E9</f>
        <v>47.866995551282059</v>
      </c>
      <c r="F8" s="26">
        <f>RawRTF!F9</f>
        <v>15.18</v>
      </c>
      <c r="G8" s="26">
        <f>RawRTF!G9</f>
        <v>134.90182968484507</v>
      </c>
      <c r="H8" s="26">
        <f>RawRTF!H9</f>
        <v>0</v>
      </c>
      <c r="I8" s="26" t="str">
        <f>RawRTF!I9</f>
        <v>ResFRIG</v>
      </c>
      <c r="J8" s="26">
        <f>RawRTF!J9</f>
        <v>0</v>
      </c>
      <c r="K8" s="26">
        <f>RawRTF!K9</f>
        <v>0</v>
      </c>
      <c r="L8" s="26">
        <f>RawRTF!L9</f>
        <v>0</v>
      </c>
      <c r="M8" s="26">
        <f>RawRTF!M9</f>
        <v>0</v>
      </c>
      <c r="N8" s="26">
        <f>RawRTF!N9</f>
        <v>0</v>
      </c>
      <c r="O8" s="26">
        <f>RawRTF!O9</f>
        <v>0</v>
      </c>
      <c r="P8" s="26">
        <f>RawRTF!P9</f>
        <v>0</v>
      </c>
      <c r="Q8" s="26" t="str">
        <f>RawRTF!Q9</f>
        <v/>
      </c>
      <c r="R8" s="26">
        <f>RawRTF!R9</f>
        <v>0</v>
      </c>
      <c r="S8" s="50"/>
      <c r="T8" s="50"/>
      <c r="U8" s="50"/>
      <c r="V8" s="50"/>
      <c r="W8" s="50"/>
      <c r="X8" s="50"/>
      <c r="Y8" s="50"/>
      <c r="Z8" s="50"/>
      <c r="AA8" s="50"/>
      <c r="AB8" s="50"/>
      <c r="AC8" s="50"/>
      <c r="AD8" s="50"/>
      <c r="AE8" s="50"/>
      <c r="AF8" s="50"/>
      <c r="AG8" s="50"/>
      <c r="AH8" s="50"/>
      <c r="AI8" s="50"/>
      <c r="AJ8" s="50"/>
      <c r="AK8" s="50"/>
      <c r="AL8" s="50"/>
      <c r="AM8" s="50"/>
      <c r="AN8" s="50"/>
    </row>
    <row r="9" spans="2:107" ht="25.5">
      <c r="C9" s="26" t="str">
        <f>RawRTF!C10</f>
        <v>Standard Size Refrigerator and Refrigerator-freezer - CEE Tier 3</v>
      </c>
      <c r="D9" s="26" t="str">
        <f>RawRTF!D10</f>
        <v>Standard Size Refrigerator and Refrigerator-freezer - CEE Tier 3</v>
      </c>
      <c r="E9" s="26">
        <f>RawRTF!E10</f>
        <v>112.42572178653531</v>
      </c>
      <c r="F9" s="26">
        <f>RawRTF!F10</f>
        <v>15.18</v>
      </c>
      <c r="G9" s="26">
        <f>RawRTF!G10</f>
        <v>234.03355201819789</v>
      </c>
      <c r="H9" s="26">
        <f>RawRTF!H10</f>
        <v>0</v>
      </c>
      <c r="I9" s="26" t="str">
        <f>RawRTF!I10</f>
        <v>ResFRIG</v>
      </c>
      <c r="J9" s="26">
        <f>RawRTF!J10</f>
        <v>0</v>
      </c>
      <c r="K9" s="26">
        <f>RawRTF!K10</f>
        <v>0</v>
      </c>
      <c r="L9" s="26">
        <f>RawRTF!L10</f>
        <v>0</v>
      </c>
      <c r="M9" s="26">
        <f>RawRTF!M10</f>
        <v>0</v>
      </c>
      <c r="N9" s="26">
        <f>RawRTF!N10</f>
        <v>0</v>
      </c>
      <c r="O9" s="26">
        <f>RawRTF!O10</f>
        <v>0</v>
      </c>
      <c r="P9" s="26">
        <f>RawRTF!P10</f>
        <v>0</v>
      </c>
      <c r="Q9" s="26" t="str">
        <f>RawRTF!Q10</f>
        <v/>
      </c>
      <c r="R9" s="26">
        <f>RawRTF!R10</f>
        <v>0</v>
      </c>
      <c r="S9" s="50"/>
      <c r="T9" s="50"/>
      <c r="U9" s="50"/>
      <c r="V9" s="50"/>
      <c r="W9" s="50"/>
      <c r="X9" s="50"/>
      <c r="Y9" s="50"/>
      <c r="Z9" s="50"/>
      <c r="AA9" s="50"/>
      <c r="AB9" s="50"/>
      <c r="AC9" s="50"/>
      <c r="AD9" s="50"/>
      <c r="AE9" s="50"/>
      <c r="AF9" s="50"/>
      <c r="AG9" s="50"/>
      <c r="AH9" s="50"/>
      <c r="AI9" s="50"/>
      <c r="AJ9" s="50"/>
      <c r="AK9" s="50"/>
      <c r="AL9" s="50"/>
      <c r="AM9" s="50"/>
      <c r="AN9" s="50"/>
    </row>
    <row r="10" spans="2:107">
      <c r="C10" s="26" t="str">
        <f>RawRTF!C12</f>
        <v>Standard Size Freezer - Energy Star</v>
      </c>
      <c r="D10" s="26" t="str">
        <f>RawRTF!D12</f>
        <v>Standard Size Freezer - Energy Star</v>
      </c>
      <c r="E10" s="26">
        <f>RawRTF!E12</f>
        <v>24.841753090909091</v>
      </c>
      <c r="F10" s="26">
        <f>RawRTF!F12</f>
        <v>21.73469387755102</v>
      </c>
      <c r="G10" s="26">
        <f>RawRTF!G12</f>
        <v>45.204258252026108</v>
      </c>
      <c r="H10" s="26">
        <f>RawRTF!H12</f>
        <v>0</v>
      </c>
      <c r="I10" s="26" t="str">
        <f>RawRTF!I12</f>
        <v>ResFRIG</v>
      </c>
      <c r="J10" s="26">
        <f>RawRTF!J12</f>
        <v>0</v>
      </c>
      <c r="K10" s="26">
        <f>RawRTF!K12</f>
        <v>0</v>
      </c>
      <c r="L10" s="26">
        <f>RawRTF!L12</f>
        <v>0</v>
      </c>
      <c r="M10" s="26">
        <f>RawRTF!M12</f>
        <v>0</v>
      </c>
      <c r="N10" s="26">
        <f>RawRTF!N12</f>
        <v>0</v>
      </c>
      <c r="O10" s="26">
        <f>RawRTF!O12</f>
        <v>0</v>
      </c>
      <c r="P10" s="26">
        <f>RawRTF!P12</f>
        <v>0</v>
      </c>
      <c r="Q10" s="26" t="str">
        <f>RawRTF!Q12</f>
        <v/>
      </c>
      <c r="R10" s="26">
        <f>RawRTF!R12</f>
        <v>0</v>
      </c>
      <c r="S10" s="50"/>
      <c r="T10" s="50"/>
      <c r="U10" s="50"/>
      <c r="V10" s="50"/>
      <c r="W10" s="50"/>
      <c r="X10" s="50"/>
      <c r="Y10" s="50"/>
      <c r="Z10" s="50"/>
      <c r="AA10" s="50"/>
      <c r="AB10" s="50"/>
      <c r="AC10" s="50"/>
      <c r="AD10" s="50"/>
      <c r="AE10" s="50"/>
      <c r="AF10" s="50"/>
      <c r="AG10" s="50"/>
      <c r="AH10" s="50"/>
      <c r="AI10" s="50"/>
      <c r="AJ10" s="50"/>
      <c r="AK10" s="50"/>
      <c r="AL10" s="50"/>
      <c r="AM10" s="50"/>
      <c r="AN10" s="50"/>
    </row>
    <row r="11" spans="2:107" ht="25.5">
      <c r="C11" s="26" t="str">
        <f>RawRTF!C18</f>
        <v>Standard Size Refrigerator and Refrigerator-freezer - CEE Tier 1</v>
      </c>
      <c r="D11" s="26" t="str">
        <f>RawRTF!D18</f>
        <v>Standard Size Refrigerator and Refrigerator-freezer - CEE Tier 1 _HVAC</v>
      </c>
      <c r="E11" s="26">
        <f>RawRTF!E18</f>
        <v>-1.3332910621703205</v>
      </c>
      <c r="F11" s="26">
        <f>RawRTF!F18</f>
        <v>15.18</v>
      </c>
      <c r="G11" s="26">
        <f>RawRTF!G18</f>
        <v>0</v>
      </c>
      <c r="H11" s="26">
        <f>RawRTF!H18</f>
        <v>0</v>
      </c>
      <c r="I11" s="26" t="str">
        <f>RawRTF!I18</f>
        <v>ResSpHtFAFZ1</v>
      </c>
      <c r="J11" s="26">
        <f>RawRTF!J18</f>
        <v>0</v>
      </c>
      <c r="K11" s="26">
        <f>RawRTF!K18</f>
        <v>0</v>
      </c>
      <c r="L11" s="26">
        <f>RawRTF!L18</f>
        <v>0</v>
      </c>
      <c r="M11" s="26">
        <f>RawRTF!M18</f>
        <v>0</v>
      </c>
      <c r="N11" s="26">
        <f>RawRTF!N18</f>
        <v>0</v>
      </c>
      <c r="O11" s="26">
        <f>RawRTF!O18</f>
        <v>0</v>
      </c>
      <c r="P11" s="26">
        <f>RawRTF!P18</f>
        <v>0</v>
      </c>
      <c r="Q11" s="26">
        <f>RawRTF!Q18</f>
        <v>-9.3759564279475016E-2</v>
      </c>
      <c r="R11" s="26" t="str">
        <f>RawRTF!R18</f>
        <v>ResSpHtFAFZ1</v>
      </c>
      <c r="S11" s="50"/>
      <c r="T11" s="50"/>
      <c r="U11" s="50"/>
      <c r="V11" s="50"/>
      <c r="W11" s="50"/>
      <c r="X11" s="50"/>
      <c r="Y11" s="50"/>
      <c r="Z11" s="50"/>
      <c r="AA11" s="50"/>
      <c r="AB11" s="50"/>
      <c r="AC11" s="50"/>
      <c r="AD11" s="50"/>
      <c r="AE11" s="50"/>
      <c r="AF11" s="50"/>
      <c r="AG11" s="50"/>
      <c r="AH11" s="50"/>
      <c r="AI11" s="50"/>
      <c r="AJ11" s="50"/>
      <c r="AK11" s="50"/>
      <c r="AL11" s="50"/>
      <c r="AM11" s="50"/>
      <c r="AN11" s="50"/>
    </row>
    <row r="12" spans="2:107" ht="25.5">
      <c r="C12" s="26" t="str">
        <f>RawRTF!C19</f>
        <v>Standard Size Refrigerator and Refrigerator-freezer - CEE Tier 2</v>
      </c>
      <c r="D12" s="26" t="str">
        <f>RawRTF!D19</f>
        <v>Standard Size Refrigerator and Refrigerator-freezer - CEE Tier 2 _HVAC</v>
      </c>
      <c r="E12" s="26">
        <f>RawRTF!E19</f>
        <v>-5.8859879985187131</v>
      </c>
      <c r="F12" s="26">
        <f>RawRTF!F19</f>
        <v>15.18</v>
      </c>
      <c r="G12" s="26">
        <f>RawRTF!G19</f>
        <v>0</v>
      </c>
      <c r="H12" s="26">
        <f>RawRTF!H19</f>
        <v>0</v>
      </c>
      <c r="I12" s="26" t="str">
        <f>RawRTF!I19</f>
        <v>ResSpHtFAFZ1</v>
      </c>
      <c r="J12" s="26">
        <f>RawRTF!J19</f>
        <v>0</v>
      </c>
      <c r="K12" s="26">
        <f>RawRTF!K19</f>
        <v>0</v>
      </c>
      <c r="L12" s="26">
        <f>RawRTF!L19</f>
        <v>0</v>
      </c>
      <c r="M12" s="26">
        <f>RawRTF!M19</f>
        <v>0</v>
      </c>
      <c r="N12" s="26">
        <f>RawRTF!N19</f>
        <v>0</v>
      </c>
      <c r="O12" s="26">
        <f>RawRTF!O19</f>
        <v>0</v>
      </c>
      <c r="P12" s="26">
        <f>RawRTF!P19</f>
        <v>0</v>
      </c>
      <c r="Q12" s="26">
        <f>RawRTF!Q19</f>
        <v>-0.41391387503716415</v>
      </c>
      <c r="R12" s="26" t="str">
        <f>RawRTF!R19</f>
        <v>ResSpHtFAFZ1</v>
      </c>
      <c r="S12" s="50"/>
      <c r="T12" s="50"/>
      <c r="U12" s="50"/>
      <c r="V12" s="50"/>
      <c r="W12" s="50"/>
      <c r="X12" s="50"/>
      <c r="Y12" s="50"/>
      <c r="Z12" s="50"/>
      <c r="AA12" s="50"/>
      <c r="AB12" s="50"/>
      <c r="AC12" s="50"/>
      <c r="AD12" s="50"/>
      <c r="AE12" s="50"/>
      <c r="AF12" s="50"/>
      <c r="AG12" s="50"/>
      <c r="AH12" s="50"/>
      <c r="AI12" s="50"/>
      <c r="AJ12" s="50"/>
      <c r="AK12" s="50"/>
      <c r="AL12" s="50"/>
      <c r="AM12" s="50"/>
      <c r="AN12" s="50"/>
    </row>
    <row r="13" spans="2:107" ht="25.5">
      <c r="C13" s="26" t="str">
        <f>RawRTF!C20</f>
        <v>Standard Size Refrigerator and Refrigerator-freezer - CEE Tier 3</v>
      </c>
      <c r="D13" s="26" t="str">
        <f>RawRTF!D20</f>
        <v>Standard Size Refrigerator and Refrigerator-freezer - CEE Tier 3 _HVAC</v>
      </c>
      <c r="E13" s="26">
        <f>RawRTF!E20</f>
        <v>-13.824482642772152</v>
      </c>
      <c r="F13" s="26">
        <f>RawRTF!F20</f>
        <v>15.18</v>
      </c>
      <c r="G13" s="26">
        <f>RawRTF!G20</f>
        <v>0</v>
      </c>
      <c r="H13" s="26">
        <f>RawRTF!H20</f>
        <v>0</v>
      </c>
      <c r="I13" s="26" t="str">
        <f>RawRTF!I20</f>
        <v>ResSpHtFAFZ1</v>
      </c>
      <c r="J13" s="26">
        <f>RawRTF!J20</f>
        <v>0</v>
      </c>
      <c r="K13" s="26">
        <f>RawRTF!K20</f>
        <v>0</v>
      </c>
      <c r="L13" s="26">
        <f>RawRTF!L20</f>
        <v>0</v>
      </c>
      <c r="M13" s="26">
        <f>RawRTF!M20</f>
        <v>0</v>
      </c>
      <c r="N13" s="26">
        <f>RawRTF!N20</f>
        <v>0</v>
      </c>
      <c r="O13" s="26">
        <f>RawRTF!O20</f>
        <v>0</v>
      </c>
      <c r="P13" s="26">
        <f>RawRTF!P20</f>
        <v>0</v>
      </c>
      <c r="Q13" s="26">
        <f>RawRTF!Q20</f>
        <v>-0.97216392260634754</v>
      </c>
      <c r="R13" s="26" t="str">
        <f>RawRTF!R20</f>
        <v>ResSpHtFAFZ1</v>
      </c>
      <c r="S13" s="50"/>
      <c r="T13" s="50"/>
      <c r="U13" s="50"/>
      <c r="V13" s="50"/>
      <c r="W13" s="50"/>
      <c r="X13" s="50"/>
      <c r="Y13" s="50"/>
      <c r="Z13" s="50"/>
      <c r="AA13" s="50"/>
      <c r="AB13" s="50"/>
      <c r="AC13" s="50"/>
      <c r="AD13" s="50"/>
      <c r="AE13" s="50"/>
      <c r="AF13" s="50"/>
      <c r="AG13" s="50"/>
      <c r="AH13" s="50"/>
      <c r="AI13" s="50"/>
      <c r="AJ13" s="50"/>
      <c r="AK13" s="50"/>
      <c r="AL13" s="50"/>
      <c r="AM13" s="50"/>
      <c r="AN13" s="50"/>
    </row>
    <row r="14" spans="2:107" ht="25.5">
      <c r="C14" s="26" t="str">
        <f>RawRTF!C22</f>
        <v>Standard Size Freezer - Energy Star</v>
      </c>
      <c r="D14" s="26" t="str">
        <f>RawRTF!D22</f>
        <v>Standard Size Freezer - Energy Star _HVAC</v>
      </c>
      <c r="E14" s="26">
        <f>RawRTF!E22</f>
        <v>-1.5894451189684815</v>
      </c>
      <c r="F14" s="26">
        <f>RawRTF!F22</f>
        <v>21.73469387755102</v>
      </c>
      <c r="G14" s="26">
        <f>RawRTF!G22</f>
        <v>0</v>
      </c>
      <c r="H14" s="26">
        <f>RawRTF!H22</f>
        <v>0</v>
      </c>
      <c r="I14" s="26" t="str">
        <f>RawRTF!I22</f>
        <v>ResSpHtFAFZ1</v>
      </c>
      <c r="J14" s="26">
        <f>RawRTF!J22</f>
        <v>0</v>
      </c>
      <c r="K14" s="26">
        <f>RawRTF!K22</f>
        <v>0</v>
      </c>
      <c r="L14" s="26">
        <f>RawRTF!L22</f>
        <v>0</v>
      </c>
      <c r="M14" s="26">
        <f>RawRTF!M22</f>
        <v>0</v>
      </c>
      <c r="N14" s="26">
        <f>RawRTF!N22</f>
        <v>0</v>
      </c>
      <c r="O14" s="26">
        <f>RawRTF!O22</f>
        <v>0</v>
      </c>
      <c r="P14" s="26">
        <f>RawRTF!P22</f>
        <v>0</v>
      </c>
      <c r="Q14" s="26">
        <f>RawRTF!Q22</f>
        <v>-0.11177280492531043</v>
      </c>
      <c r="R14" s="26" t="str">
        <f>RawRTF!R22</f>
        <v>ResSpHtFAFZ1</v>
      </c>
      <c r="S14" s="50"/>
      <c r="T14" s="50"/>
      <c r="U14" s="50"/>
      <c r="V14" s="50"/>
      <c r="W14" s="50"/>
      <c r="X14" s="50"/>
      <c r="Y14" s="50"/>
      <c r="Z14" s="50"/>
      <c r="AA14" s="50"/>
      <c r="AB14" s="50"/>
      <c r="AC14" s="50"/>
      <c r="AD14" s="50"/>
      <c r="AE14" s="50"/>
      <c r="AF14" s="50"/>
      <c r="AG14" s="50"/>
      <c r="AH14" s="50"/>
      <c r="AI14" s="50"/>
      <c r="AJ14" s="50"/>
      <c r="AK14" s="50"/>
      <c r="AL14" s="50"/>
      <c r="AM14" s="50"/>
      <c r="AN14" s="50"/>
    </row>
    <row r="15" spans="2:107">
      <c r="C15" s="26"/>
      <c r="D15" s="31"/>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row>
    <row r="16" spans="2:107">
      <c r="C16" s="26"/>
      <c r="D16" s="32"/>
      <c r="E16" s="50"/>
      <c r="F16" s="50"/>
      <c r="G16" s="50"/>
      <c r="H16" s="50"/>
      <c r="I16" s="5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row>
    <row r="17" spans="3:40">
      <c r="C17" s="26"/>
      <c r="D17" s="26"/>
      <c r="E17" s="50"/>
      <c r="F17" s="50"/>
      <c r="G17" s="50"/>
      <c r="H17" s="50"/>
      <c r="I17" s="50"/>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row>
    <row r="18" spans="3:40">
      <c r="C18" s="26"/>
      <c r="D18" s="31"/>
      <c r="E18" s="50"/>
      <c r="F18" s="50"/>
      <c r="G18" s="50"/>
      <c r="H18" s="50"/>
      <c r="I18" s="50"/>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row>
    <row r="19" spans="3:40">
      <c r="C19" s="26"/>
      <c r="D19" s="32"/>
      <c r="E19" s="50"/>
      <c r="F19" s="50"/>
      <c r="G19" s="50"/>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row>
    <row r="20" spans="3:40">
      <c r="C20" s="26"/>
      <c r="D20" s="26"/>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row>
    <row r="21" spans="3:40">
      <c r="C21" s="26"/>
      <c r="D21" s="31"/>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row>
    <row r="22" spans="3:40">
      <c r="C22" s="26"/>
      <c r="D22" s="32"/>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row>
    <row r="23" spans="3:40">
      <c r="C23" s="26"/>
      <c r="D23" s="26"/>
      <c r="E23" s="50"/>
      <c r="F23" s="50"/>
      <c r="G23" s="50"/>
      <c r="H23" s="50"/>
      <c r="I23" s="50"/>
      <c r="J23" s="50"/>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row>
    <row r="24" spans="3:40">
      <c r="C24" s="26"/>
      <c r="D24" s="31"/>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row>
    <row r="25" spans="3:40">
      <c r="C25" s="26"/>
      <c r="D25" s="32"/>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0"/>
      <c r="AL25" s="50"/>
      <c r="AM25" s="50"/>
      <c r="AN25" s="50"/>
    </row>
    <row r="26" spans="3:40">
      <c r="C26" s="26"/>
      <c r="D26" s="26"/>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row>
    <row r="27" spans="3:40">
      <c r="C27" s="26"/>
      <c r="D27" s="31"/>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row>
    <row r="28" spans="3:40">
      <c r="C28" s="26"/>
      <c r="D28" s="32"/>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row>
    <row r="29" spans="3:40">
      <c r="C29" s="26"/>
      <c r="D29" s="26"/>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row>
    <row r="30" spans="3:40">
      <c r="C30" s="26"/>
      <c r="D30" s="31"/>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row>
    <row r="31" spans="3:40">
      <c r="C31" s="26"/>
      <c r="D31" s="32"/>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row>
    <row r="32" spans="3:40">
      <c r="C32" s="26"/>
      <c r="D32" s="32"/>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row>
    <row r="33" spans="2:107">
      <c r="C33" s="26"/>
      <c r="D33" s="32"/>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row>
    <row r="34" spans="2:107">
      <c r="B34" s="51" t="s">
        <v>48</v>
      </c>
    </row>
    <row r="35" spans="2:107" s="9" customFormat="1">
      <c r="C35" s="14" t="s">
        <v>3</v>
      </c>
      <c r="D35" s="15"/>
      <c r="E35" s="15"/>
      <c r="F35" s="15"/>
      <c r="G35" s="15"/>
      <c r="H35" s="15"/>
      <c r="I35" s="16"/>
      <c r="J35" s="17"/>
      <c r="K35" s="494" t="s">
        <v>4</v>
      </c>
      <c r="L35" s="495"/>
      <c r="M35" s="495"/>
      <c r="N35" s="495"/>
      <c r="O35" s="495"/>
      <c r="P35" s="496"/>
      <c r="Q35" s="497" t="s">
        <v>5</v>
      </c>
      <c r="R35" s="498"/>
      <c r="S35" s="18"/>
      <c r="T35" s="19"/>
      <c r="U35" s="19"/>
      <c r="V35" s="19"/>
      <c r="W35" s="19"/>
      <c r="X35" s="19"/>
      <c r="Y35" s="19"/>
      <c r="Z35" s="20"/>
      <c r="AA35" s="21"/>
      <c r="AB35" s="19"/>
      <c r="AC35" s="19"/>
      <c r="AD35" s="19"/>
      <c r="AE35" s="19"/>
      <c r="AF35" s="19"/>
      <c r="AG35" s="22"/>
      <c r="AH35" s="22"/>
      <c r="AI35" s="22"/>
      <c r="AJ35" s="22"/>
      <c r="AK35" s="22"/>
      <c r="AL35" s="22"/>
      <c r="AM35" s="22"/>
      <c r="AN35" s="22"/>
      <c r="AO35" s="22"/>
      <c r="AP35" s="22"/>
      <c r="AQ35" s="22"/>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row>
    <row r="36" spans="2:107" ht="25.5">
      <c r="B36" s="9" t="s">
        <v>47</v>
      </c>
      <c r="C36" s="23" t="s">
        <v>6</v>
      </c>
      <c r="D36" s="23" t="s">
        <v>7</v>
      </c>
      <c r="E36" s="23" t="s">
        <v>8</v>
      </c>
      <c r="F36" s="23" t="s">
        <v>9</v>
      </c>
      <c r="G36" s="23" t="s">
        <v>10</v>
      </c>
      <c r="H36" s="23" t="s">
        <v>11</v>
      </c>
      <c r="I36" s="23" t="s">
        <v>12</v>
      </c>
      <c r="J36" s="23" t="s">
        <v>13</v>
      </c>
      <c r="K36" s="23" t="s">
        <v>14</v>
      </c>
      <c r="L36" s="23" t="s">
        <v>15</v>
      </c>
      <c r="M36" s="23" t="s">
        <v>16</v>
      </c>
      <c r="N36" s="23" t="s">
        <v>17</v>
      </c>
      <c r="O36" s="23" t="s">
        <v>18</v>
      </c>
      <c r="P36" s="23" t="s">
        <v>19</v>
      </c>
      <c r="Q36" s="24" t="s">
        <v>20</v>
      </c>
      <c r="R36" s="23" t="s">
        <v>12</v>
      </c>
    </row>
    <row r="37" spans="2:107" ht="25.5">
      <c r="C37" s="26" t="s">
        <v>4683</v>
      </c>
      <c r="D37" s="26" t="s">
        <v>4683</v>
      </c>
      <c r="E37" s="50">
        <f>E7</f>
        <v>10.842807929192544</v>
      </c>
      <c r="F37" s="50">
        <f t="shared" ref="F37:R37" si="0">F7</f>
        <v>15.18</v>
      </c>
      <c r="G37" s="50">
        <f t="shared" si="0"/>
        <v>30.245004256070963</v>
      </c>
      <c r="H37" s="50">
        <f t="shared" si="0"/>
        <v>0</v>
      </c>
      <c r="I37" s="50" t="str">
        <f t="shared" si="0"/>
        <v>ResFRIG</v>
      </c>
      <c r="J37" s="50">
        <f t="shared" si="0"/>
        <v>0</v>
      </c>
      <c r="K37" s="50">
        <f t="shared" si="0"/>
        <v>0</v>
      </c>
      <c r="L37" s="50">
        <f t="shared" si="0"/>
        <v>0</v>
      </c>
      <c r="M37" s="50">
        <f t="shared" si="0"/>
        <v>0</v>
      </c>
      <c r="N37" s="50">
        <f t="shared" si="0"/>
        <v>0</v>
      </c>
      <c r="O37" s="50">
        <f t="shared" si="0"/>
        <v>0</v>
      </c>
      <c r="P37" s="50">
        <f t="shared" si="0"/>
        <v>0</v>
      </c>
      <c r="Q37" s="50" t="str">
        <f t="shared" si="0"/>
        <v/>
      </c>
      <c r="R37" s="50">
        <f t="shared" si="0"/>
        <v>0</v>
      </c>
    </row>
    <row r="38" spans="2:107" ht="25.5">
      <c r="C38" s="26" t="s">
        <v>4684</v>
      </c>
      <c r="D38" s="26" t="s">
        <v>4684</v>
      </c>
      <c r="E38" s="50">
        <f>E8-E7</f>
        <v>37.024187622089514</v>
      </c>
      <c r="F38" s="50">
        <f t="shared" ref="F38" si="1">F8</f>
        <v>15.18</v>
      </c>
      <c r="G38" s="50">
        <f>G8-G7</f>
        <v>104.65682542877411</v>
      </c>
      <c r="H38" s="50">
        <f>H8-H7</f>
        <v>0</v>
      </c>
      <c r="I38" s="50" t="str">
        <f t="shared" ref="I38:R39" si="2">I8</f>
        <v>ResFRIG</v>
      </c>
      <c r="J38" s="50">
        <f t="shared" si="2"/>
        <v>0</v>
      </c>
      <c r="K38" s="50">
        <f t="shared" si="2"/>
        <v>0</v>
      </c>
      <c r="L38" s="50">
        <f t="shared" si="2"/>
        <v>0</v>
      </c>
      <c r="M38" s="50">
        <f t="shared" si="2"/>
        <v>0</v>
      </c>
      <c r="N38" s="50">
        <f t="shared" si="2"/>
        <v>0</v>
      </c>
      <c r="O38" s="50">
        <f t="shared" si="2"/>
        <v>0</v>
      </c>
      <c r="P38" s="50">
        <f t="shared" si="2"/>
        <v>0</v>
      </c>
      <c r="Q38" s="50" t="str">
        <f t="shared" si="2"/>
        <v/>
      </c>
      <c r="R38" s="50">
        <f t="shared" si="2"/>
        <v>0</v>
      </c>
    </row>
    <row r="39" spans="2:107" ht="25.5">
      <c r="C39" s="26" t="s">
        <v>4685</v>
      </c>
      <c r="D39" s="26" t="s">
        <v>4685</v>
      </c>
      <c r="E39" s="50">
        <f>E9-E8</f>
        <v>64.558726235253246</v>
      </c>
      <c r="F39" s="50">
        <f t="shared" ref="F39" si="3">F9</f>
        <v>15.18</v>
      </c>
      <c r="G39" s="50">
        <f>G9-G8</f>
        <v>99.131722333352826</v>
      </c>
      <c r="H39" s="50">
        <f>H9-H8</f>
        <v>0</v>
      </c>
      <c r="I39" s="50" t="str">
        <f>I9</f>
        <v>ResFRIG</v>
      </c>
      <c r="J39" s="50">
        <f>J9-J8</f>
        <v>0</v>
      </c>
      <c r="K39" s="50">
        <f>K9-K8</f>
        <v>0</v>
      </c>
      <c r="L39" s="50">
        <f t="shared" si="2"/>
        <v>0</v>
      </c>
      <c r="M39" s="50">
        <f>M9-M8</f>
        <v>0</v>
      </c>
      <c r="N39" s="50">
        <f t="shared" si="2"/>
        <v>0</v>
      </c>
      <c r="O39" s="50">
        <f>O9-O8</f>
        <v>0</v>
      </c>
      <c r="P39" s="50">
        <f t="shared" si="2"/>
        <v>0</v>
      </c>
      <c r="Q39" s="50"/>
      <c r="R39" s="50">
        <f t="shared" si="2"/>
        <v>0</v>
      </c>
    </row>
    <row r="40" spans="2:107">
      <c r="C40" s="26" t="s">
        <v>4686</v>
      </c>
      <c r="D40" s="26" t="s">
        <v>4686</v>
      </c>
      <c r="E40" s="50">
        <f>E10</f>
        <v>24.841753090909091</v>
      </c>
      <c r="F40" s="50">
        <f t="shared" ref="F40:R40" si="4">F10</f>
        <v>21.73469387755102</v>
      </c>
      <c r="G40" s="50">
        <f t="shared" si="4"/>
        <v>45.204258252026108</v>
      </c>
      <c r="H40" s="50">
        <f t="shared" si="4"/>
        <v>0</v>
      </c>
      <c r="I40" s="50" t="str">
        <f t="shared" si="4"/>
        <v>ResFRIG</v>
      </c>
      <c r="J40" s="50">
        <f t="shared" si="4"/>
        <v>0</v>
      </c>
      <c r="K40" s="50">
        <f t="shared" si="4"/>
        <v>0</v>
      </c>
      <c r="L40" s="50">
        <f t="shared" si="4"/>
        <v>0</v>
      </c>
      <c r="M40" s="50">
        <f t="shared" si="4"/>
        <v>0</v>
      </c>
      <c r="N40" s="50">
        <f t="shared" si="4"/>
        <v>0</v>
      </c>
      <c r="O40" s="50">
        <f t="shared" si="4"/>
        <v>0</v>
      </c>
      <c r="P40" s="50">
        <f t="shared" si="4"/>
        <v>0</v>
      </c>
      <c r="Q40" s="50" t="str">
        <f t="shared" si="4"/>
        <v/>
      </c>
      <c r="R40" s="50">
        <f t="shared" si="4"/>
        <v>0</v>
      </c>
    </row>
    <row r="41" spans="2:107" ht="25.5">
      <c r="C41" s="26" t="s">
        <v>4683</v>
      </c>
      <c r="D41" s="26" t="s">
        <v>4687</v>
      </c>
      <c r="E41" s="50">
        <f>E11</f>
        <v>-1.3332910621703205</v>
      </c>
      <c r="F41" s="50">
        <f t="shared" ref="F41:R43" si="5">F11</f>
        <v>15.18</v>
      </c>
      <c r="G41" s="50">
        <f t="shared" si="5"/>
        <v>0</v>
      </c>
      <c r="H41" s="50">
        <f t="shared" si="5"/>
        <v>0</v>
      </c>
      <c r="I41" s="50" t="str">
        <f t="shared" si="5"/>
        <v>ResSpHtFAFZ1</v>
      </c>
      <c r="J41" s="50">
        <f t="shared" si="5"/>
        <v>0</v>
      </c>
      <c r="K41" s="50">
        <f t="shared" si="5"/>
        <v>0</v>
      </c>
      <c r="L41" s="50">
        <f t="shared" si="5"/>
        <v>0</v>
      </c>
      <c r="M41" s="50">
        <f t="shared" si="5"/>
        <v>0</v>
      </c>
      <c r="N41" s="50">
        <f t="shared" si="5"/>
        <v>0</v>
      </c>
      <c r="O41" s="50">
        <f t="shared" si="5"/>
        <v>0</v>
      </c>
      <c r="P41" s="50">
        <f t="shared" si="5"/>
        <v>0</v>
      </c>
      <c r="Q41" s="50">
        <f>Q11</f>
        <v>-9.3759564279475016E-2</v>
      </c>
      <c r="R41" s="50" t="str">
        <f t="shared" si="5"/>
        <v>ResSpHtFAFZ1</v>
      </c>
    </row>
    <row r="42" spans="2:107" ht="25.5">
      <c r="C42" s="26" t="s">
        <v>4684</v>
      </c>
      <c r="D42" s="26" t="s">
        <v>4688</v>
      </c>
      <c r="E42" s="50">
        <f>E12-E11</f>
        <v>-4.5526969363483927</v>
      </c>
      <c r="F42" s="50">
        <f t="shared" si="5"/>
        <v>15.18</v>
      </c>
      <c r="G42" s="50">
        <f>G12-G11</f>
        <v>0</v>
      </c>
      <c r="H42" s="50">
        <f>H12-H11</f>
        <v>0</v>
      </c>
      <c r="I42" s="50" t="str">
        <f t="shared" ref="I42:R43" si="6">I12</f>
        <v>ResSpHtFAFZ1</v>
      </c>
      <c r="J42" s="50">
        <f t="shared" si="6"/>
        <v>0</v>
      </c>
      <c r="K42" s="50">
        <f t="shared" si="6"/>
        <v>0</v>
      </c>
      <c r="L42" s="50">
        <f t="shared" si="6"/>
        <v>0</v>
      </c>
      <c r="M42" s="50">
        <f t="shared" si="6"/>
        <v>0</v>
      </c>
      <c r="N42" s="50">
        <f t="shared" si="6"/>
        <v>0</v>
      </c>
      <c r="O42" s="50">
        <f t="shared" si="6"/>
        <v>0</v>
      </c>
      <c r="P42" s="50">
        <f t="shared" si="6"/>
        <v>0</v>
      </c>
      <c r="Q42" s="50">
        <f>Q12-Q11</f>
        <v>-0.32015431075768913</v>
      </c>
      <c r="R42" s="50" t="str">
        <f t="shared" si="6"/>
        <v>ResSpHtFAFZ1</v>
      </c>
    </row>
    <row r="43" spans="2:107" ht="25.5">
      <c r="C43" s="26" t="s">
        <v>4685</v>
      </c>
      <c r="D43" s="26" t="s">
        <v>4689</v>
      </c>
      <c r="E43" s="50">
        <f>E13-E12</f>
        <v>-7.9384946442534385</v>
      </c>
      <c r="F43" s="50">
        <f t="shared" si="5"/>
        <v>15.18</v>
      </c>
      <c r="G43" s="50">
        <f>G13-G12</f>
        <v>0</v>
      </c>
      <c r="H43" s="50">
        <f>H13-H12</f>
        <v>0</v>
      </c>
      <c r="I43" s="50" t="str">
        <f t="shared" ref="I43" si="7">I13</f>
        <v>ResSpHtFAFZ1</v>
      </c>
      <c r="J43" s="50">
        <f>J13-J12</f>
        <v>0</v>
      </c>
      <c r="K43" s="50">
        <f>K13-K12</f>
        <v>0</v>
      </c>
      <c r="L43" s="50">
        <f t="shared" si="6"/>
        <v>0</v>
      </c>
      <c r="M43" s="50">
        <f>M13-M12</f>
        <v>0</v>
      </c>
      <c r="N43" s="50">
        <f t="shared" si="6"/>
        <v>0</v>
      </c>
      <c r="O43" s="50">
        <f>O13-O12</f>
        <v>0</v>
      </c>
      <c r="P43" s="50">
        <f t="shared" si="6"/>
        <v>0</v>
      </c>
      <c r="Q43" s="50">
        <f>Q13-Q12</f>
        <v>-0.55825004756918339</v>
      </c>
      <c r="R43" s="50" t="str">
        <f t="shared" ref="R43" si="8">R13</f>
        <v>ResSpHtFAFZ1</v>
      </c>
    </row>
    <row r="44" spans="2:107">
      <c r="C44" s="26" t="s">
        <v>4686</v>
      </c>
      <c r="D44" s="26" t="s">
        <v>4690</v>
      </c>
      <c r="E44" s="50">
        <f>E14</f>
        <v>-1.5894451189684815</v>
      </c>
      <c r="F44" s="50">
        <f t="shared" ref="F44:R44" si="9">F14</f>
        <v>21.73469387755102</v>
      </c>
      <c r="G44" s="50">
        <f t="shared" si="9"/>
        <v>0</v>
      </c>
      <c r="H44" s="50">
        <f t="shared" si="9"/>
        <v>0</v>
      </c>
      <c r="I44" s="50" t="str">
        <f t="shared" si="9"/>
        <v>ResSpHtFAFZ1</v>
      </c>
      <c r="J44" s="50">
        <f t="shared" si="9"/>
        <v>0</v>
      </c>
      <c r="K44" s="50">
        <f t="shared" si="9"/>
        <v>0</v>
      </c>
      <c r="L44" s="50">
        <f t="shared" si="9"/>
        <v>0</v>
      </c>
      <c r="M44" s="50">
        <f t="shared" si="9"/>
        <v>0</v>
      </c>
      <c r="N44" s="50">
        <f t="shared" si="9"/>
        <v>0</v>
      </c>
      <c r="O44" s="50">
        <f t="shared" si="9"/>
        <v>0</v>
      </c>
      <c r="P44" s="50">
        <f t="shared" si="9"/>
        <v>0</v>
      </c>
      <c r="Q44" s="50">
        <f t="shared" si="9"/>
        <v>-0.11177280492531043</v>
      </c>
      <c r="R44" s="50" t="str">
        <f t="shared" si="9"/>
        <v>ResSpHtFAFZ1</v>
      </c>
    </row>
    <row r="45" spans="2:107">
      <c r="C45" s="26"/>
      <c r="D45" s="31"/>
      <c r="E45" s="50"/>
      <c r="F45" s="50"/>
      <c r="G45" s="50"/>
      <c r="H45" s="50"/>
      <c r="I45" s="50"/>
      <c r="J45" s="50"/>
      <c r="K45" s="50"/>
      <c r="L45" s="50"/>
      <c r="M45" s="50"/>
      <c r="N45" s="50"/>
      <c r="O45" s="50"/>
      <c r="P45" s="50"/>
      <c r="Q45" s="50"/>
      <c r="R45" s="50"/>
    </row>
    <row r="46" spans="2:107">
      <c r="C46" s="26"/>
      <c r="D46" s="32"/>
      <c r="E46" s="50"/>
      <c r="F46" s="50"/>
      <c r="G46" s="50"/>
      <c r="H46" s="50"/>
      <c r="I46" s="50"/>
      <c r="J46" s="50"/>
      <c r="K46" s="50"/>
      <c r="L46" s="50"/>
      <c r="M46" s="50"/>
      <c r="N46" s="50"/>
      <c r="O46" s="50"/>
      <c r="P46" s="50"/>
      <c r="Q46" s="50"/>
      <c r="R46" s="50"/>
    </row>
    <row r="47" spans="2:107">
      <c r="C47" s="26"/>
      <c r="D47" s="26"/>
      <c r="E47" s="50"/>
      <c r="F47" s="50"/>
      <c r="G47" s="50"/>
      <c r="H47" s="50"/>
      <c r="I47" s="50"/>
      <c r="J47" s="50"/>
      <c r="K47" s="50"/>
      <c r="L47" s="50"/>
      <c r="M47" s="50"/>
      <c r="N47" s="50"/>
      <c r="O47" s="50"/>
      <c r="P47" s="50"/>
      <c r="Q47" s="50"/>
      <c r="R47" s="50"/>
    </row>
    <row r="48" spans="2:107">
      <c r="C48" s="26"/>
      <c r="D48" s="31"/>
      <c r="E48" s="50"/>
      <c r="F48" s="50"/>
      <c r="G48" s="50"/>
      <c r="H48" s="50"/>
      <c r="I48" s="50"/>
      <c r="J48" s="50"/>
      <c r="K48" s="50"/>
      <c r="L48" s="50"/>
      <c r="M48" s="50"/>
      <c r="N48" s="50"/>
      <c r="O48" s="50"/>
      <c r="P48" s="50"/>
      <c r="Q48" s="50"/>
      <c r="R48" s="50"/>
    </row>
    <row r="49" spans="3:18">
      <c r="C49" s="26"/>
      <c r="D49" s="32"/>
      <c r="E49" s="50"/>
      <c r="F49" s="50"/>
      <c r="G49" s="50"/>
      <c r="H49" s="50"/>
      <c r="I49" s="50"/>
      <c r="J49" s="50"/>
      <c r="K49" s="50"/>
      <c r="L49" s="50"/>
      <c r="M49" s="50"/>
      <c r="N49" s="50"/>
      <c r="O49" s="50"/>
      <c r="P49" s="50"/>
      <c r="Q49" s="50"/>
      <c r="R49" s="50"/>
    </row>
    <row r="50" spans="3:18">
      <c r="C50" s="26"/>
      <c r="D50" s="26"/>
      <c r="E50" s="50"/>
      <c r="F50" s="50"/>
      <c r="G50" s="50"/>
      <c r="H50" s="50"/>
      <c r="I50" s="50"/>
      <c r="J50" s="50"/>
      <c r="K50" s="50"/>
      <c r="L50" s="50"/>
      <c r="M50" s="50"/>
      <c r="N50" s="50"/>
      <c r="O50" s="50"/>
      <c r="P50" s="50"/>
      <c r="Q50" s="50"/>
      <c r="R50" s="50"/>
    </row>
    <row r="51" spans="3:18">
      <c r="C51" s="26"/>
      <c r="D51" s="31"/>
      <c r="E51" s="50"/>
      <c r="F51" s="50"/>
      <c r="G51" s="50"/>
      <c r="H51" s="50"/>
      <c r="I51" s="50"/>
      <c r="J51" s="50"/>
      <c r="K51" s="50"/>
      <c r="L51" s="50"/>
      <c r="M51" s="50"/>
      <c r="N51" s="50"/>
      <c r="O51" s="50"/>
      <c r="P51" s="50"/>
      <c r="Q51" s="50"/>
      <c r="R51" s="50"/>
    </row>
    <row r="52" spans="3:18">
      <c r="C52" s="26"/>
      <c r="D52" s="32"/>
      <c r="E52" s="50"/>
      <c r="F52" s="50"/>
      <c r="G52" s="50"/>
      <c r="H52" s="50"/>
      <c r="I52" s="50"/>
      <c r="J52" s="50"/>
      <c r="K52" s="50"/>
      <c r="L52" s="50"/>
      <c r="M52" s="50"/>
      <c r="N52" s="50"/>
      <c r="O52" s="50"/>
      <c r="P52" s="50"/>
      <c r="Q52" s="50"/>
      <c r="R52" s="50"/>
    </row>
    <row r="53" spans="3:18">
      <c r="C53" s="26"/>
      <c r="D53" s="26"/>
      <c r="E53" s="50"/>
      <c r="F53" s="50"/>
      <c r="G53" s="50"/>
      <c r="H53" s="50"/>
      <c r="I53" s="50"/>
      <c r="J53" s="50"/>
      <c r="K53" s="50"/>
      <c r="L53" s="50"/>
      <c r="M53" s="50"/>
      <c r="N53" s="50"/>
      <c r="O53" s="50"/>
      <c r="P53" s="50"/>
      <c r="Q53" s="50"/>
      <c r="R53" s="50"/>
    </row>
    <row r="54" spans="3:18">
      <c r="C54" s="26"/>
      <c r="D54" s="31"/>
      <c r="E54" s="50"/>
      <c r="F54" s="50"/>
      <c r="G54" s="50"/>
      <c r="H54" s="50"/>
      <c r="I54" s="50"/>
      <c r="J54" s="50"/>
      <c r="K54" s="50"/>
      <c r="L54" s="50"/>
      <c r="M54" s="50"/>
      <c r="N54" s="50"/>
      <c r="O54" s="50"/>
      <c r="P54" s="50"/>
      <c r="Q54" s="50"/>
      <c r="R54" s="50"/>
    </row>
    <row r="55" spans="3:18">
      <c r="C55" s="26"/>
      <c r="D55" s="32"/>
      <c r="E55" s="50"/>
      <c r="F55" s="50"/>
      <c r="G55" s="50"/>
      <c r="H55" s="50"/>
      <c r="I55" s="50"/>
      <c r="J55" s="50"/>
      <c r="K55" s="50"/>
      <c r="L55" s="50"/>
      <c r="M55" s="50"/>
      <c r="N55" s="50"/>
      <c r="O55" s="50"/>
      <c r="P55" s="50"/>
      <c r="Q55" s="50"/>
      <c r="R55" s="50"/>
    </row>
    <row r="56" spans="3:18">
      <c r="C56" s="26"/>
      <c r="D56" s="26"/>
      <c r="E56" s="50"/>
      <c r="F56" s="50"/>
      <c r="G56" s="50"/>
      <c r="H56" s="50"/>
      <c r="I56" s="50"/>
      <c r="J56" s="50"/>
      <c r="K56" s="50"/>
      <c r="L56" s="50"/>
      <c r="M56" s="50"/>
      <c r="N56" s="50"/>
      <c r="O56" s="50"/>
      <c r="P56" s="50"/>
      <c r="Q56" s="50"/>
      <c r="R56" s="50"/>
    </row>
    <row r="57" spans="3:18">
      <c r="C57" s="26"/>
      <c r="D57" s="31"/>
      <c r="E57" s="50"/>
      <c r="F57" s="50"/>
      <c r="G57" s="50"/>
      <c r="H57" s="50"/>
      <c r="I57" s="50"/>
      <c r="J57" s="50"/>
      <c r="K57" s="50"/>
      <c r="L57" s="50"/>
      <c r="M57" s="50"/>
      <c r="N57" s="50"/>
      <c r="O57" s="50"/>
      <c r="P57" s="50"/>
      <c r="Q57" s="50"/>
      <c r="R57" s="50"/>
    </row>
    <row r="58" spans="3:18">
      <c r="C58" s="26"/>
      <c r="D58" s="32"/>
      <c r="E58" s="50"/>
      <c r="F58" s="50"/>
      <c r="G58" s="50"/>
      <c r="H58" s="50"/>
      <c r="I58" s="50"/>
      <c r="J58" s="50"/>
      <c r="K58" s="50"/>
      <c r="L58" s="50"/>
      <c r="M58" s="50"/>
      <c r="N58" s="50"/>
      <c r="O58" s="50"/>
      <c r="P58" s="50"/>
      <c r="Q58" s="50"/>
      <c r="R58" s="50"/>
    </row>
    <row r="59" spans="3:18">
      <c r="C59" s="26"/>
      <c r="D59" s="26"/>
      <c r="E59" s="50"/>
      <c r="F59" s="50"/>
      <c r="G59" s="50"/>
      <c r="H59" s="50"/>
      <c r="I59" s="50"/>
      <c r="J59" s="50"/>
      <c r="K59" s="50"/>
      <c r="L59" s="50"/>
      <c r="M59" s="50"/>
      <c r="N59" s="50"/>
      <c r="O59" s="50"/>
      <c r="P59" s="50"/>
      <c r="Q59" s="50"/>
      <c r="R59" s="50"/>
    </row>
    <row r="60" spans="3:18">
      <c r="C60" s="26"/>
      <c r="D60" s="31"/>
      <c r="E60" s="50"/>
      <c r="F60" s="50"/>
      <c r="G60" s="50"/>
      <c r="H60" s="50"/>
      <c r="I60" s="50"/>
      <c r="J60" s="50"/>
      <c r="K60" s="50"/>
      <c r="L60" s="50"/>
      <c r="M60" s="50"/>
      <c r="N60" s="50"/>
      <c r="O60" s="50"/>
      <c r="P60" s="50"/>
      <c r="Q60" s="50"/>
      <c r="R60" s="50"/>
    </row>
    <row r="61" spans="3:18">
      <c r="C61" s="26"/>
      <c r="D61" s="32"/>
      <c r="E61" s="50"/>
      <c r="F61" s="50"/>
      <c r="G61" s="50"/>
      <c r="H61" s="50"/>
      <c r="I61" s="50"/>
      <c r="J61" s="50"/>
      <c r="K61" s="50"/>
      <c r="L61" s="50"/>
      <c r="M61" s="50"/>
      <c r="N61" s="50"/>
      <c r="O61" s="50"/>
      <c r="P61" s="50"/>
      <c r="Q61" s="50"/>
      <c r="R61" s="50"/>
    </row>
  </sheetData>
  <mergeCells count="4">
    <mergeCell ref="K5:P5"/>
    <mergeCell ref="Q5:R5"/>
    <mergeCell ref="K35:P35"/>
    <mergeCell ref="Q35:R35"/>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sheetPr codeName="Sheet18">
    <tabColor rgb="FFFFC000"/>
  </sheetPr>
  <dimension ref="A1:DC125"/>
  <sheetViews>
    <sheetView zoomScale="90" zoomScaleNormal="90" workbookViewId="0">
      <selection activeCell="E18" sqref="E18"/>
    </sheetView>
  </sheetViews>
  <sheetFormatPr defaultRowHeight="12.75"/>
  <cols>
    <col min="1" max="2" width="9.140625" style="9"/>
    <col min="3" max="3" width="60" style="9" customWidth="1"/>
    <col min="4" max="4" width="61.28515625" style="9" customWidth="1"/>
    <col min="5" max="5" width="17.28515625" style="9" bestFit="1" customWidth="1"/>
    <col min="6" max="6" width="12" style="9" bestFit="1" customWidth="1"/>
    <col min="7" max="7" width="12.5703125" style="9" customWidth="1"/>
    <col min="8" max="8" width="13.7109375" style="9" customWidth="1"/>
    <col min="9" max="9" width="17.28515625" style="9" bestFit="1" customWidth="1"/>
    <col min="10" max="10" width="15.5703125" style="9" bestFit="1" customWidth="1"/>
    <col min="11" max="11" width="15.28515625" style="9" bestFit="1" customWidth="1"/>
    <col min="12" max="12" width="14.28515625" style="9" bestFit="1" customWidth="1"/>
    <col min="13" max="13" width="14.28515625" style="9" customWidth="1"/>
    <col min="14" max="14" width="12.5703125" style="9" customWidth="1"/>
    <col min="15" max="15" width="10.28515625" style="9" bestFit="1" customWidth="1"/>
    <col min="16" max="17" width="10.85546875" style="9" bestFit="1" customWidth="1"/>
    <col min="18" max="18" width="13.42578125" style="9" customWidth="1"/>
    <col min="19" max="19" width="11.85546875" style="9" bestFit="1" customWidth="1"/>
    <col min="20" max="20" width="11" style="9" bestFit="1" customWidth="1"/>
    <col min="21" max="21" width="14.28515625" style="9" bestFit="1" customWidth="1"/>
    <col min="22" max="22" width="10.7109375" style="9" customWidth="1"/>
    <col min="23" max="23" width="13.85546875" style="9" bestFit="1" customWidth="1"/>
    <col min="24" max="24" width="11.7109375" style="9" bestFit="1" customWidth="1"/>
    <col min="25" max="25" width="15.28515625" style="9" bestFit="1" customWidth="1"/>
    <col min="26" max="28" width="12.28515625" style="9" bestFit="1" customWidth="1"/>
    <col min="29" max="29" width="12.5703125" style="9" bestFit="1" customWidth="1"/>
    <col min="30" max="32" width="14.28515625" style="9" bestFit="1" customWidth="1"/>
    <col min="33" max="33" width="13.7109375" style="9" bestFit="1" customWidth="1"/>
    <col min="34" max="34" width="14" style="9" bestFit="1" customWidth="1"/>
    <col min="35" max="35" width="12.85546875" style="9" bestFit="1" customWidth="1"/>
    <col min="36" max="36" width="15.28515625" style="9" bestFit="1" customWidth="1"/>
    <col min="37" max="37" width="12.28515625" style="9" bestFit="1" customWidth="1"/>
    <col min="38" max="38" width="10.85546875" style="9" bestFit="1" customWidth="1"/>
    <col min="39" max="39" width="12.28515625" style="9" bestFit="1" customWidth="1"/>
    <col min="40" max="40" width="12.5703125" style="9" bestFit="1" customWidth="1"/>
    <col min="41" max="45" width="12.85546875" style="9" customWidth="1"/>
    <col min="46" max="46" width="12.5703125" style="9" customWidth="1"/>
    <col min="47" max="47" width="12.28515625" style="9" customWidth="1"/>
    <col min="48" max="48" width="12.7109375" style="9" customWidth="1"/>
    <col min="49" max="49" width="11.85546875" style="9" customWidth="1"/>
    <col min="50" max="50" width="12.5703125" style="9" bestFit="1" customWidth="1"/>
    <col min="51" max="51" width="13.42578125" style="9" customWidth="1"/>
    <col min="52" max="52" width="15.7109375" style="9" bestFit="1" customWidth="1"/>
    <col min="53" max="53" width="11" style="9" bestFit="1" customWidth="1"/>
    <col min="54" max="54" width="14.28515625" style="9" bestFit="1" customWidth="1"/>
    <col min="55" max="55" width="14.7109375" style="9" bestFit="1" customWidth="1"/>
    <col min="56" max="56" width="15" style="9" bestFit="1" customWidth="1"/>
    <col min="57" max="57" width="12.5703125" style="9" bestFit="1" customWidth="1"/>
    <col min="58" max="58" width="13.5703125" style="9" customWidth="1"/>
    <col min="59" max="60" width="14.5703125" style="9" bestFit="1" customWidth="1"/>
    <col min="61" max="61" width="14.85546875" style="9" bestFit="1" customWidth="1"/>
    <col min="62" max="62" width="12.5703125" style="9" bestFit="1" customWidth="1"/>
    <col min="63" max="63" width="13.28515625" style="9" bestFit="1" customWidth="1"/>
    <col min="64" max="64" width="14" style="9" bestFit="1" customWidth="1"/>
    <col min="65" max="65" width="13.28515625" style="9" bestFit="1" customWidth="1"/>
    <col min="66" max="66" width="11.140625" style="9" bestFit="1" customWidth="1"/>
    <col min="67" max="67" width="16.85546875" style="9" bestFit="1" customWidth="1"/>
    <col min="68" max="68" width="14.7109375" style="9" customWidth="1"/>
    <col min="69" max="69" width="12" style="9" customWidth="1"/>
    <col min="70" max="70" width="14" style="9" customWidth="1"/>
    <col min="71" max="71" width="12.5703125" style="9" customWidth="1"/>
    <col min="72" max="72" width="11.28515625" style="9" customWidth="1"/>
    <col min="73" max="73" width="14.42578125" style="9" customWidth="1"/>
    <col min="74" max="74" width="15.7109375" style="9" customWidth="1"/>
    <col min="75" max="75" width="12.85546875" style="9" customWidth="1"/>
    <col min="76" max="76" width="13" style="9" customWidth="1"/>
    <col min="77" max="77" width="11.7109375" style="9" customWidth="1"/>
    <col min="78" max="78" width="14" style="9" customWidth="1"/>
    <col min="79" max="79" width="14.85546875" style="9" customWidth="1"/>
    <col min="80" max="80" width="11.85546875" style="9" customWidth="1"/>
    <col min="81" max="81" width="13.85546875" style="9" customWidth="1"/>
    <col min="82" max="82" width="13.7109375" style="9" customWidth="1"/>
    <col min="83" max="83" width="13" style="9" customWidth="1"/>
    <col min="84" max="84" width="12.42578125" style="9" customWidth="1"/>
    <col min="85" max="85" width="13" style="9" customWidth="1"/>
    <col min="86" max="86" width="12.7109375" style="9" hidden="1" customWidth="1"/>
    <col min="87" max="87" width="12.42578125" style="9" hidden="1" customWidth="1"/>
    <col min="88" max="88" width="10.28515625" style="9" hidden="1" customWidth="1"/>
    <col min="89" max="92" width="9.85546875" style="9" hidden="1" customWidth="1"/>
    <col min="93" max="93" width="9.85546875" style="9" customWidth="1"/>
    <col min="94" max="101" width="10.7109375" style="9" customWidth="1"/>
    <col min="102" max="102" width="16.5703125" style="9" customWidth="1"/>
    <col min="103" max="107" width="10.7109375" style="9" customWidth="1"/>
    <col min="108" max="16384" width="9.140625" style="9"/>
  </cols>
  <sheetData>
    <row r="1" spans="1:107">
      <c r="C1" s="1" t="s">
        <v>0</v>
      </c>
      <c r="D1" s="2"/>
      <c r="E1" s="2"/>
      <c r="F1" s="2"/>
      <c r="G1" s="2"/>
      <c r="H1" s="2"/>
      <c r="I1" s="2"/>
      <c r="J1" s="3"/>
      <c r="K1" s="4"/>
      <c r="L1" s="4"/>
      <c r="M1" s="4"/>
      <c r="N1" s="4"/>
      <c r="O1" s="4"/>
      <c r="P1" s="5"/>
      <c r="Q1" s="6"/>
      <c r="R1" s="5"/>
      <c r="S1" s="5"/>
      <c r="T1" s="5"/>
      <c r="U1" s="3"/>
      <c r="V1" s="3"/>
      <c r="W1" s="3"/>
      <c r="X1" s="5"/>
      <c r="Y1" s="3"/>
      <c r="Z1" s="3"/>
      <c r="AA1" s="3"/>
      <c r="AB1" s="3"/>
      <c r="AC1" s="3"/>
      <c r="AD1" s="3"/>
      <c r="AE1" s="3"/>
      <c r="AF1" s="3"/>
      <c r="AG1" s="3"/>
      <c r="AH1" s="3"/>
      <c r="AI1" s="3"/>
      <c r="AJ1" s="3"/>
      <c r="AK1" s="3"/>
      <c r="AL1" s="3"/>
      <c r="AM1" s="3"/>
      <c r="AN1" s="3"/>
      <c r="AO1" s="3"/>
      <c r="AP1" s="3"/>
      <c r="AQ1" s="3"/>
      <c r="AR1" s="7"/>
      <c r="AS1" s="3"/>
      <c r="AT1" s="3"/>
      <c r="AU1" s="3"/>
      <c r="AV1" s="3"/>
      <c r="AW1" s="3"/>
      <c r="AX1" s="7"/>
      <c r="AY1" s="3"/>
      <c r="AZ1" s="3"/>
      <c r="BA1" s="3"/>
      <c r="BB1" s="3"/>
      <c r="BC1" s="3"/>
      <c r="BD1" s="3"/>
      <c r="BE1" s="3"/>
      <c r="BF1" s="3"/>
      <c r="BG1" s="3"/>
      <c r="BH1" s="3"/>
      <c r="BI1" s="3"/>
      <c r="BJ1" s="3"/>
      <c r="BK1" s="3"/>
      <c r="BL1" s="3"/>
      <c r="BM1" s="3"/>
      <c r="BN1" s="3"/>
      <c r="BO1" s="8"/>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7"/>
      <c r="CS1" s="3"/>
      <c r="CT1" s="3"/>
      <c r="CU1" s="3"/>
      <c r="CV1" s="3"/>
      <c r="CW1" s="3"/>
      <c r="CX1" s="3"/>
      <c r="CY1" s="3"/>
      <c r="CZ1" s="3"/>
      <c r="DA1" s="3"/>
      <c r="DB1" s="3"/>
      <c r="DC1" s="3"/>
    </row>
    <row r="2" spans="1:107">
      <c r="C2" s="10" t="s">
        <v>1</v>
      </c>
      <c r="D2" s="3"/>
      <c r="E2" s="3"/>
      <c r="F2" s="3"/>
      <c r="G2" s="3"/>
      <c r="H2" s="3"/>
      <c r="I2" s="3"/>
      <c r="J2" s="3"/>
      <c r="K2" s="4"/>
      <c r="L2" s="4"/>
      <c r="M2" s="4"/>
      <c r="N2" s="4"/>
      <c r="O2" s="4"/>
      <c r="P2" s="5"/>
      <c r="Q2" s="5"/>
      <c r="R2" s="5"/>
      <c r="S2" s="5"/>
      <c r="T2" s="5"/>
      <c r="U2" s="3"/>
      <c r="V2" s="3"/>
      <c r="W2" s="3"/>
      <c r="X2" s="5"/>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7"/>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row>
    <row r="3" spans="1:107">
      <c r="C3" s="10" t="s">
        <v>2</v>
      </c>
      <c r="E3" s="10">
        <v>2012</v>
      </c>
      <c r="L3" s="11"/>
      <c r="M3" s="12"/>
      <c r="CQ3" s="12"/>
      <c r="CR3" s="12"/>
    </row>
    <row r="5" spans="1:107">
      <c r="C5" s="13">
        <v>1</v>
      </c>
      <c r="D5" s="13">
        <v>2</v>
      </c>
      <c r="E5" s="13">
        <v>3</v>
      </c>
      <c r="F5" s="13">
        <v>4</v>
      </c>
      <c r="G5" s="13">
        <v>5</v>
      </c>
      <c r="H5" s="13">
        <v>6</v>
      </c>
      <c r="I5" s="13">
        <v>7</v>
      </c>
      <c r="J5" s="13">
        <v>8</v>
      </c>
      <c r="K5" s="13">
        <v>9</v>
      </c>
      <c r="L5" s="13">
        <v>10</v>
      </c>
      <c r="M5" s="13">
        <v>11</v>
      </c>
      <c r="N5" s="13">
        <v>12</v>
      </c>
      <c r="O5" s="13">
        <v>13</v>
      </c>
      <c r="P5" s="13">
        <v>14</v>
      </c>
      <c r="Q5" s="13">
        <v>15</v>
      </c>
      <c r="R5" s="13">
        <v>16</v>
      </c>
      <c r="S5" s="13">
        <v>17</v>
      </c>
      <c r="T5" s="13">
        <v>18</v>
      </c>
      <c r="U5" s="13">
        <v>19</v>
      </c>
      <c r="V5" s="13">
        <v>20</v>
      </c>
      <c r="W5" s="13">
        <v>21</v>
      </c>
      <c r="X5" s="13">
        <v>22</v>
      </c>
      <c r="Y5" s="13">
        <v>23</v>
      </c>
      <c r="Z5" s="13">
        <v>24</v>
      </c>
      <c r="AA5" s="13">
        <v>25</v>
      </c>
      <c r="AB5" s="13">
        <v>26</v>
      </c>
      <c r="AC5" s="13">
        <v>27</v>
      </c>
      <c r="AD5" s="13">
        <v>28</v>
      </c>
      <c r="AE5" s="13">
        <v>29</v>
      </c>
      <c r="AF5" s="13">
        <v>30</v>
      </c>
      <c r="AG5" s="13">
        <v>31</v>
      </c>
      <c r="AH5" s="13">
        <v>32</v>
      </c>
      <c r="AI5" s="13">
        <v>33</v>
      </c>
      <c r="AJ5" s="13">
        <v>34</v>
      </c>
      <c r="AK5" s="13">
        <v>35</v>
      </c>
      <c r="AL5" s="13">
        <v>36</v>
      </c>
      <c r="AM5" s="13">
        <v>37</v>
      </c>
      <c r="AN5" s="13">
        <v>38</v>
      </c>
      <c r="AO5" s="13">
        <v>39</v>
      </c>
      <c r="AP5" s="13">
        <v>40</v>
      </c>
      <c r="AQ5" s="13">
        <v>41</v>
      </c>
      <c r="AR5" s="13">
        <v>42</v>
      </c>
      <c r="AS5" s="13">
        <v>43</v>
      </c>
      <c r="AT5" s="13">
        <v>44</v>
      </c>
      <c r="AU5" s="13">
        <v>45</v>
      </c>
      <c r="AV5" s="13">
        <v>46</v>
      </c>
      <c r="AW5" s="13">
        <v>47</v>
      </c>
      <c r="AX5" s="13">
        <v>48</v>
      </c>
      <c r="AY5" s="13">
        <v>49</v>
      </c>
      <c r="AZ5" s="13">
        <v>50</v>
      </c>
      <c r="BA5" s="13">
        <v>51</v>
      </c>
      <c r="BB5" s="13">
        <v>52</v>
      </c>
      <c r="BC5" s="13">
        <v>53</v>
      </c>
      <c r="BD5" s="13">
        <v>54</v>
      </c>
      <c r="BE5" s="13">
        <v>55</v>
      </c>
      <c r="BF5" s="13">
        <v>56</v>
      </c>
      <c r="BG5" s="13">
        <v>57</v>
      </c>
      <c r="BH5" s="13">
        <v>58</v>
      </c>
      <c r="BI5" s="13">
        <v>59</v>
      </c>
      <c r="BJ5" s="13">
        <v>60</v>
      </c>
      <c r="BK5" s="13">
        <v>61</v>
      </c>
      <c r="BL5" s="13">
        <v>62</v>
      </c>
      <c r="BM5" s="13">
        <v>63</v>
      </c>
      <c r="BN5" s="13">
        <v>64</v>
      </c>
      <c r="BO5" s="13">
        <v>65</v>
      </c>
      <c r="BP5" s="13">
        <v>66</v>
      </c>
      <c r="BQ5" s="13">
        <v>67</v>
      </c>
      <c r="BR5" s="13">
        <v>68</v>
      </c>
      <c r="BS5" s="13">
        <v>69</v>
      </c>
      <c r="BT5" s="13">
        <v>70</v>
      </c>
      <c r="BU5" s="13">
        <v>71</v>
      </c>
      <c r="BV5" s="13">
        <v>72</v>
      </c>
      <c r="BW5" s="13">
        <v>73</v>
      </c>
      <c r="BX5" s="13">
        <v>74</v>
      </c>
      <c r="BY5" s="13">
        <v>75</v>
      </c>
      <c r="BZ5" s="13">
        <v>76</v>
      </c>
      <c r="CA5" s="13">
        <v>77</v>
      </c>
      <c r="CB5" s="13">
        <v>78</v>
      </c>
      <c r="CC5" s="13">
        <v>79</v>
      </c>
      <c r="CD5" s="13">
        <v>80</v>
      </c>
      <c r="CE5" s="13">
        <v>81</v>
      </c>
      <c r="CF5" s="13">
        <v>82</v>
      </c>
      <c r="CG5" s="13">
        <v>83</v>
      </c>
      <c r="CH5" s="13">
        <v>84</v>
      </c>
      <c r="CI5" s="13">
        <v>85</v>
      </c>
      <c r="CJ5" s="13">
        <v>86</v>
      </c>
      <c r="CK5" s="13">
        <v>87</v>
      </c>
      <c r="CL5" s="13">
        <v>88</v>
      </c>
      <c r="CM5" s="13">
        <v>89</v>
      </c>
      <c r="CN5" s="13">
        <v>90</v>
      </c>
      <c r="CO5" s="13">
        <v>91</v>
      </c>
      <c r="CP5" s="13">
        <v>92</v>
      </c>
      <c r="CQ5" s="13">
        <v>93</v>
      </c>
      <c r="CR5" s="13">
        <v>94</v>
      </c>
      <c r="CS5" s="13">
        <v>95</v>
      </c>
      <c r="CT5" s="13">
        <v>96</v>
      </c>
      <c r="CU5" s="13">
        <v>97</v>
      </c>
      <c r="CV5" s="13">
        <v>98</v>
      </c>
      <c r="CW5" s="13">
        <v>99</v>
      </c>
      <c r="CX5" s="13">
        <v>100</v>
      </c>
      <c r="CY5" s="13">
        <v>101</v>
      </c>
      <c r="CZ5" s="13">
        <v>102</v>
      </c>
      <c r="DA5" s="13">
        <v>103</v>
      </c>
      <c r="DB5" s="13">
        <v>104</v>
      </c>
      <c r="DC5" s="13">
        <v>105</v>
      </c>
    </row>
    <row r="6" spans="1:107">
      <c r="C6" s="14" t="s">
        <v>3</v>
      </c>
      <c r="D6" s="15"/>
      <c r="E6" s="15"/>
      <c r="F6" s="15"/>
      <c r="G6" s="15"/>
      <c r="H6" s="15"/>
      <c r="I6" s="16"/>
      <c r="J6" s="17"/>
      <c r="K6" s="494" t="s">
        <v>4</v>
      </c>
      <c r="L6" s="495"/>
      <c r="M6" s="495"/>
      <c r="N6" s="495"/>
      <c r="O6" s="495"/>
      <c r="P6" s="496"/>
      <c r="Q6" s="497" t="s">
        <v>5</v>
      </c>
      <c r="R6" s="498"/>
      <c r="S6" s="18"/>
      <c r="T6" s="19"/>
      <c r="U6" s="19"/>
      <c r="V6" s="19"/>
      <c r="W6" s="19"/>
      <c r="X6" s="19"/>
      <c r="Y6" s="19"/>
      <c r="Z6" s="20"/>
      <c r="AA6" s="21"/>
      <c r="AB6" s="19"/>
      <c r="AC6" s="19"/>
      <c r="AD6" s="19"/>
      <c r="AE6" s="19"/>
      <c r="AF6" s="19"/>
      <c r="AG6" s="22"/>
      <c r="AH6" s="22"/>
      <c r="AI6" s="22"/>
      <c r="AJ6" s="22"/>
      <c r="AK6" s="22"/>
      <c r="AL6" s="22"/>
      <c r="AM6" s="22"/>
      <c r="AN6" s="22"/>
      <c r="AO6" s="22"/>
      <c r="AP6" s="22"/>
      <c r="AQ6" s="22"/>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row>
    <row r="7" spans="1:107" ht="25.5">
      <c r="A7" s="9" t="s">
        <v>49</v>
      </c>
      <c r="B7" s="9" t="s">
        <v>47</v>
      </c>
      <c r="C7" s="23" t="s">
        <v>6</v>
      </c>
      <c r="D7" s="23" t="s">
        <v>7</v>
      </c>
      <c r="E7" s="23" t="s">
        <v>8</v>
      </c>
      <c r="F7" s="23" t="s">
        <v>9</v>
      </c>
      <c r="G7" s="23" t="s">
        <v>10</v>
      </c>
      <c r="H7" s="23" t="s">
        <v>11</v>
      </c>
      <c r="I7" s="23" t="s">
        <v>12</v>
      </c>
      <c r="J7" s="23" t="s">
        <v>13</v>
      </c>
      <c r="K7" s="23" t="s">
        <v>14</v>
      </c>
      <c r="L7" s="23" t="s">
        <v>15</v>
      </c>
      <c r="M7" s="23" t="s">
        <v>16</v>
      </c>
      <c r="N7" s="23" t="s">
        <v>17</v>
      </c>
      <c r="O7" s="23" t="s">
        <v>18</v>
      </c>
      <c r="P7" s="23" t="s">
        <v>19</v>
      </c>
      <c r="Q7" s="24" t="s">
        <v>20</v>
      </c>
      <c r="R7" s="23" t="s">
        <v>12</v>
      </c>
      <c r="S7" s="25"/>
      <c r="T7" s="25"/>
      <c r="U7" s="25"/>
      <c r="V7" s="25"/>
      <c r="W7" s="25"/>
      <c r="X7" s="25"/>
      <c r="Y7" s="25"/>
      <c r="Z7" s="25"/>
      <c r="AA7" s="25"/>
      <c r="AB7" s="25"/>
      <c r="AC7" s="25"/>
      <c r="AD7" s="25"/>
      <c r="AE7" s="25"/>
      <c r="AF7" s="25"/>
      <c r="AG7" s="22"/>
      <c r="AH7" s="22"/>
      <c r="AI7" s="22"/>
      <c r="AJ7" s="22"/>
      <c r="AK7" s="22"/>
      <c r="AL7" s="22"/>
      <c r="AM7" s="22"/>
      <c r="AN7" s="22"/>
      <c r="AO7" s="22"/>
      <c r="AP7" s="22"/>
      <c r="AQ7" s="22"/>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row>
    <row r="8" spans="1:107">
      <c r="C8" s="26" t="str">
        <f>'Measure Development'!I27</f>
        <v>Standard Size Refrigerator and Refrigerator-freezer - CEE Tier 1</v>
      </c>
      <c r="D8" s="26" t="str">
        <f>'Measure Development'!J27</f>
        <v>Standard Size Refrigerator and Refrigerator-freezer - CEE Tier 1</v>
      </c>
      <c r="E8" s="66">
        <f>'Measure Development'!K27</f>
        <v>10.842807929192544</v>
      </c>
      <c r="F8" s="26">
        <f>'Measure Development'!L27</f>
        <v>15.18</v>
      </c>
      <c r="G8" s="484">
        <f>'Measure Development'!M27</f>
        <v>30.245004256070963</v>
      </c>
      <c r="H8" s="26">
        <f>'Measure Development'!N27</f>
        <v>0</v>
      </c>
      <c r="I8" s="26" t="str">
        <f>'Measure Development'!O27</f>
        <v>ResFRIG</v>
      </c>
      <c r="J8" s="26">
        <f>'Measure Development'!P27</f>
        <v>0</v>
      </c>
      <c r="K8" s="26">
        <f>'Measure Development'!Q27</f>
        <v>0</v>
      </c>
      <c r="L8" s="26">
        <f>'Measure Development'!R27</f>
        <v>0</v>
      </c>
      <c r="M8" s="26">
        <f>'Measure Development'!S27</f>
        <v>0</v>
      </c>
      <c r="N8" s="26">
        <f>'Measure Development'!T27</f>
        <v>0</v>
      </c>
      <c r="O8" s="26">
        <f>'Measure Development'!U27</f>
        <v>0</v>
      </c>
      <c r="P8" s="26">
        <f>'Measure Development'!V27</f>
        <v>0</v>
      </c>
      <c r="Q8" s="26" t="str">
        <f>IF('Measure Development'!W27="","",'Measure Development'!W27)</f>
        <v/>
      </c>
      <c r="R8" s="26">
        <f>'Measure Development'!X27</f>
        <v>0</v>
      </c>
      <c r="S8" s="27"/>
      <c r="T8" s="28"/>
      <c r="U8" s="29"/>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row>
    <row r="9" spans="1:107">
      <c r="C9" s="26" t="str">
        <f>'Measure Development'!I28</f>
        <v>Standard Size Refrigerator and Refrigerator-freezer - CEE Tier 2</v>
      </c>
      <c r="D9" s="26" t="str">
        <f>'Measure Development'!J28</f>
        <v>Standard Size Refrigerator and Refrigerator-freezer - CEE Tier 2</v>
      </c>
      <c r="E9" s="66">
        <f>'Measure Development'!K28</f>
        <v>47.866995551282059</v>
      </c>
      <c r="F9" s="26">
        <f>'Measure Development'!L28</f>
        <v>15.18</v>
      </c>
      <c r="G9" s="484">
        <f>'Measure Development'!M28</f>
        <v>134.90182968484507</v>
      </c>
      <c r="H9" s="26">
        <f>'Measure Development'!N28</f>
        <v>0</v>
      </c>
      <c r="I9" s="26" t="str">
        <f>'Measure Development'!O28</f>
        <v>ResFRIG</v>
      </c>
      <c r="J9" s="26">
        <f>'Measure Development'!P28</f>
        <v>0</v>
      </c>
      <c r="K9" s="26">
        <f>'Measure Development'!Q28</f>
        <v>0</v>
      </c>
      <c r="L9" s="26">
        <f>'Measure Development'!R28</f>
        <v>0</v>
      </c>
      <c r="M9" s="26">
        <f>'Measure Development'!S28</f>
        <v>0</v>
      </c>
      <c r="N9" s="26">
        <f>'Measure Development'!T28</f>
        <v>0</v>
      </c>
      <c r="O9" s="26">
        <f>'Measure Development'!U28</f>
        <v>0</v>
      </c>
      <c r="P9" s="26">
        <f>'Measure Development'!V28</f>
        <v>0</v>
      </c>
      <c r="Q9" s="26" t="str">
        <f>IF('Measure Development'!W28="","",'Measure Development'!W28)</f>
        <v/>
      </c>
      <c r="R9" s="26">
        <f>'Measure Development'!X28</f>
        <v>0</v>
      </c>
      <c r="S9" s="27"/>
      <c r="T9" s="28"/>
      <c r="U9" s="29"/>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row>
    <row r="10" spans="1:107">
      <c r="C10" s="26" t="str">
        <f>'Measure Development'!I29</f>
        <v>Standard Size Refrigerator and Refrigerator-freezer - CEE Tier 3</v>
      </c>
      <c r="D10" s="26" t="str">
        <f>'Measure Development'!J29</f>
        <v>Standard Size Refrigerator and Refrigerator-freezer - CEE Tier 3</v>
      </c>
      <c r="E10" s="66">
        <f>'Measure Development'!K29</f>
        <v>112.42572178653531</v>
      </c>
      <c r="F10" s="26">
        <f>'Measure Development'!L29</f>
        <v>15.18</v>
      </c>
      <c r="G10" s="484">
        <f>'Measure Development'!M29</f>
        <v>234.03355201819789</v>
      </c>
      <c r="H10" s="26">
        <f>'Measure Development'!N29</f>
        <v>0</v>
      </c>
      <c r="I10" s="26" t="str">
        <f>'Measure Development'!O29</f>
        <v>ResFRIG</v>
      </c>
      <c r="J10" s="26">
        <f>'Measure Development'!P29</f>
        <v>0</v>
      </c>
      <c r="K10" s="26">
        <f>'Measure Development'!Q29</f>
        <v>0</v>
      </c>
      <c r="L10" s="26">
        <f>'Measure Development'!R29</f>
        <v>0</v>
      </c>
      <c r="M10" s="26">
        <f>'Measure Development'!S29</f>
        <v>0</v>
      </c>
      <c r="N10" s="26">
        <f>'Measure Development'!T29</f>
        <v>0</v>
      </c>
      <c r="O10" s="26">
        <f>'Measure Development'!U29</f>
        <v>0</v>
      </c>
      <c r="P10" s="26">
        <f>'Measure Development'!V29</f>
        <v>0</v>
      </c>
      <c r="Q10" s="26" t="str">
        <f>IF('Measure Development'!W29="","",'Measure Development'!W29)</f>
        <v/>
      </c>
      <c r="R10" s="26">
        <f>'Measure Development'!X29</f>
        <v>0</v>
      </c>
      <c r="S10" s="27"/>
      <c r="T10" s="28"/>
      <c r="U10" s="29"/>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row>
    <row r="11" spans="1:107">
      <c r="C11" s="26" t="str">
        <f>'Measure Development'!I30</f>
        <v>Standard Size Refrigerator and Refrigerator-freezer - Energy Star</v>
      </c>
      <c r="D11" s="26" t="str">
        <f>'Measure Development'!J30</f>
        <v>Standard Size Refrigerator and Refrigerator-freezer - Energy Star</v>
      </c>
      <c r="E11" s="66">
        <f>'Measure Development'!K30</f>
        <v>45.18124583177476</v>
      </c>
      <c r="F11" s="26">
        <f>'Measure Development'!L30</f>
        <v>15.18</v>
      </c>
      <c r="G11" s="484">
        <f>'Measure Development'!M30</f>
        <v>100.22547927755612</v>
      </c>
      <c r="H11" s="26">
        <f>'Measure Development'!N30</f>
        <v>0</v>
      </c>
      <c r="I11" s="26" t="str">
        <f>'Measure Development'!O30</f>
        <v>ResFRIG</v>
      </c>
      <c r="J11" s="26">
        <f>'Measure Development'!P30</f>
        <v>0</v>
      </c>
      <c r="K11" s="26">
        <f>'Measure Development'!Q30</f>
        <v>0</v>
      </c>
      <c r="L11" s="26">
        <f>'Measure Development'!R30</f>
        <v>0</v>
      </c>
      <c r="M11" s="26">
        <f>'Measure Development'!S30</f>
        <v>0</v>
      </c>
      <c r="N11" s="26">
        <f>'Measure Development'!T30</f>
        <v>0</v>
      </c>
      <c r="O11" s="26">
        <f>'Measure Development'!U30</f>
        <v>0</v>
      </c>
      <c r="P11" s="26">
        <f>'Measure Development'!V30</f>
        <v>0</v>
      </c>
      <c r="Q11" s="26" t="str">
        <f>IF('Measure Development'!W30="","",'Measure Development'!W30)</f>
        <v/>
      </c>
      <c r="R11" s="26">
        <f>'Measure Development'!X30</f>
        <v>0</v>
      </c>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row>
    <row r="12" spans="1:107">
      <c r="C12" s="26" t="str">
        <f>'Measure Development'!I31</f>
        <v>Standard Size Freezer - Energy Star</v>
      </c>
      <c r="D12" s="26" t="str">
        <f>'Measure Development'!J31</f>
        <v>Standard Size Freezer - Energy Star</v>
      </c>
      <c r="E12" s="66">
        <f>'Measure Development'!K31</f>
        <v>24.841753090909091</v>
      </c>
      <c r="F12" s="66">
        <f>'Measure Development'!L31</f>
        <v>21.73469387755102</v>
      </c>
      <c r="G12" s="484">
        <f>'Measure Development'!M31</f>
        <v>45.204258252026108</v>
      </c>
      <c r="H12" s="26">
        <f>'Measure Development'!N31</f>
        <v>0</v>
      </c>
      <c r="I12" s="26" t="str">
        <f>'Measure Development'!O31</f>
        <v>ResFRIG</v>
      </c>
      <c r="J12" s="26">
        <f>'Measure Development'!P31</f>
        <v>0</v>
      </c>
      <c r="K12" s="26">
        <f>'Measure Development'!Q31</f>
        <v>0</v>
      </c>
      <c r="L12" s="26">
        <f>'Measure Development'!R31</f>
        <v>0</v>
      </c>
      <c r="M12" s="26">
        <f>'Measure Development'!S31</f>
        <v>0</v>
      </c>
      <c r="N12" s="26">
        <f>'Measure Development'!T31</f>
        <v>0</v>
      </c>
      <c r="O12" s="26">
        <f>'Measure Development'!U31</f>
        <v>0</v>
      </c>
      <c r="P12" s="26">
        <f>'Measure Development'!V31</f>
        <v>0</v>
      </c>
      <c r="Q12" s="26" t="str">
        <f>IF('Measure Development'!W31="","",'Measure Development'!W31)</f>
        <v/>
      </c>
      <c r="R12" s="26">
        <f>'Measure Development'!X31</f>
        <v>0</v>
      </c>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row>
    <row r="13" spans="1:107">
      <c r="C13" s="26" t="str">
        <f>'Measure Development'!I32</f>
        <v>Compact Refrigerator and Refrigerator-freezer - CEE Tier 1</v>
      </c>
      <c r="D13" s="26" t="str">
        <f>'Measure Development'!J32</f>
        <v>Compact Refrigerator and Refrigerator-freezer - CEE Tier 1</v>
      </c>
      <c r="E13" s="66">
        <f>'Measure Development'!K32</f>
        <v>2.859961208970168</v>
      </c>
      <c r="F13" s="66">
        <f>'Measure Development'!L32</f>
        <v>4.6742424242424248</v>
      </c>
      <c r="G13" s="484">
        <f>'Measure Development'!M32</f>
        <v>0</v>
      </c>
      <c r="H13" s="26">
        <f>'Measure Development'!N32</f>
        <v>0</v>
      </c>
      <c r="I13" s="26" t="str">
        <f>'Measure Development'!O32</f>
        <v>ResFRIG</v>
      </c>
      <c r="J13" s="26">
        <f>'Measure Development'!P32</f>
        <v>0</v>
      </c>
      <c r="K13" s="26">
        <f>'Measure Development'!Q32</f>
        <v>0</v>
      </c>
      <c r="L13" s="26">
        <f>'Measure Development'!R32</f>
        <v>0</v>
      </c>
      <c r="M13" s="26">
        <f>'Measure Development'!S32</f>
        <v>0</v>
      </c>
      <c r="N13" s="26">
        <f>'Measure Development'!T32</f>
        <v>0</v>
      </c>
      <c r="O13" s="26">
        <f>'Measure Development'!U32</f>
        <v>0</v>
      </c>
      <c r="P13" s="26">
        <f>'Measure Development'!V32</f>
        <v>0</v>
      </c>
      <c r="Q13" s="26" t="str">
        <f>IF('Measure Development'!W32="","",'Measure Development'!W32)</f>
        <v/>
      </c>
      <c r="R13" s="26">
        <f>'Measure Development'!X32</f>
        <v>0</v>
      </c>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row>
    <row r="14" spans="1:107">
      <c r="C14" s="26" t="str">
        <f>'Measure Development'!I33</f>
        <v>Compact Refrigerator and Refrigerator-freezer - CEE Tier 2</v>
      </c>
      <c r="D14" s="26" t="str">
        <f>'Measure Development'!J33</f>
        <v>Compact Refrigerator and Refrigerator-freezer - CEE Tier 2</v>
      </c>
      <c r="E14" s="66">
        <f>'Measure Development'!K33</f>
        <v>15.010049523809521</v>
      </c>
      <c r="F14" s="66">
        <f>'Measure Development'!L33</f>
        <v>4.6742424242424248</v>
      </c>
      <c r="G14" s="484">
        <f>'Measure Development'!M33</f>
        <v>16.247446340770196</v>
      </c>
      <c r="H14" s="26">
        <f>'Measure Development'!N33</f>
        <v>0</v>
      </c>
      <c r="I14" s="26" t="str">
        <f>'Measure Development'!O33</f>
        <v>ResFRIG</v>
      </c>
      <c r="J14" s="26">
        <f>'Measure Development'!P33</f>
        <v>0</v>
      </c>
      <c r="K14" s="26">
        <f>'Measure Development'!Q33</f>
        <v>0</v>
      </c>
      <c r="L14" s="26">
        <f>'Measure Development'!R33</f>
        <v>0</v>
      </c>
      <c r="M14" s="26">
        <f>'Measure Development'!S33</f>
        <v>0</v>
      </c>
      <c r="N14" s="26">
        <f>'Measure Development'!T33</f>
        <v>0</v>
      </c>
      <c r="O14" s="26">
        <f>'Measure Development'!U33</f>
        <v>0</v>
      </c>
      <c r="P14" s="26">
        <f>'Measure Development'!V33</f>
        <v>0</v>
      </c>
      <c r="Q14" s="26" t="str">
        <f>IF('Measure Development'!W33="","",'Measure Development'!W33)</f>
        <v/>
      </c>
      <c r="R14" s="26">
        <f>'Measure Development'!X33</f>
        <v>0</v>
      </c>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row>
    <row r="15" spans="1:107">
      <c r="C15" s="26" t="str">
        <f>'Measure Development'!I34</f>
        <v>Compact Refrigerator and Refrigerator-freezer - CEE Tier 3</v>
      </c>
      <c r="D15" s="26" t="str">
        <f>'Measure Development'!J34</f>
        <v>Compact Refrigerator and Refrigerator-freezer - CEE Tier 3</v>
      </c>
      <c r="E15" s="66">
        <f>'Measure Development'!K34</f>
        <v>35.698709719946727</v>
      </c>
      <c r="F15" s="66">
        <f>'Measure Development'!L34</f>
        <v>4.6742424242424248</v>
      </c>
      <c r="G15" s="484">
        <f>'Measure Development'!M34</f>
        <v>46.849691847074567</v>
      </c>
      <c r="H15" s="26">
        <f>'Measure Development'!N34</f>
        <v>0</v>
      </c>
      <c r="I15" s="26" t="str">
        <f>'Measure Development'!O34</f>
        <v>ResFRIG</v>
      </c>
      <c r="J15" s="26">
        <f>'Measure Development'!P34</f>
        <v>0</v>
      </c>
      <c r="K15" s="26">
        <f>'Measure Development'!Q34</f>
        <v>0</v>
      </c>
      <c r="L15" s="26">
        <f>'Measure Development'!R34</f>
        <v>0</v>
      </c>
      <c r="M15" s="26">
        <f>'Measure Development'!S34</f>
        <v>0</v>
      </c>
      <c r="N15" s="26">
        <f>'Measure Development'!T34</f>
        <v>0</v>
      </c>
      <c r="O15" s="26">
        <f>'Measure Development'!U34</f>
        <v>0</v>
      </c>
      <c r="P15" s="26">
        <f>'Measure Development'!V34</f>
        <v>0</v>
      </c>
      <c r="Q15" s="26" t="str">
        <f>IF('Measure Development'!W34="","",'Measure Development'!W34)</f>
        <v/>
      </c>
      <c r="R15" s="26">
        <f>'Measure Development'!X34</f>
        <v>0</v>
      </c>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row>
    <row r="16" spans="1:107">
      <c r="C16" s="26" t="str">
        <f>'Measure Development'!I35</f>
        <v>Compact Refrigerator and Refrigerator-freezer - Energy Star</v>
      </c>
      <c r="D16" s="26" t="str">
        <f>'Measure Development'!J35</f>
        <v>Compact Refrigerator and Refrigerator-freezer - Energy Star</v>
      </c>
      <c r="E16" s="66">
        <f>'Measure Development'!K35</f>
        <v>10.412841849480721</v>
      </c>
      <c r="F16" s="66">
        <f>'Measure Development'!L35</f>
        <v>4.6742424242424248</v>
      </c>
      <c r="G16" s="484">
        <f>'Measure Development'!M35</f>
        <v>11.017658409116242</v>
      </c>
      <c r="H16" s="26">
        <f>'Measure Development'!N35</f>
        <v>0</v>
      </c>
      <c r="I16" s="26" t="str">
        <f>'Measure Development'!O35</f>
        <v>ResFRIG</v>
      </c>
      <c r="J16" s="26">
        <f>'Measure Development'!P35</f>
        <v>0</v>
      </c>
      <c r="K16" s="26">
        <f>'Measure Development'!Q35</f>
        <v>0</v>
      </c>
      <c r="L16" s="26">
        <f>'Measure Development'!R35</f>
        <v>0</v>
      </c>
      <c r="M16" s="26">
        <f>'Measure Development'!S35</f>
        <v>0</v>
      </c>
      <c r="N16" s="26">
        <f>'Measure Development'!T35</f>
        <v>0</v>
      </c>
      <c r="O16" s="26">
        <f>'Measure Development'!U35</f>
        <v>0</v>
      </c>
      <c r="P16" s="26">
        <f>'Measure Development'!V35</f>
        <v>0</v>
      </c>
      <c r="Q16" s="26" t="str">
        <f>IF('Measure Development'!W35="","",'Measure Development'!W35)</f>
        <v/>
      </c>
      <c r="R16" s="26">
        <f>'Measure Development'!X35</f>
        <v>0</v>
      </c>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row>
    <row r="17" spans="3:104">
      <c r="C17" s="26" t="str">
        <f>'Measure Development'!I36</f>
        <v>Compact Freezer - Energy Star</v>
      </c>
      <c r="D17" s="26" t="str">
        <f>'Measure Development'!J36</f>
        <v>Compact Freezer - Energy Star</v>
      </c>
      <c r="E17" s="66">
        <f>'Measure Development'!K36</f>
        <v>10.819064490523967</v>
      </c>
      <c r="F17" s="66">
        <f>'Measure Development'!L36</f>
        <v>6.5377358490566042</v>
      </c>
      <c r="G17" s="484">
        <f>'Measure Development'!M36</f>
        <v>12.91926969197284</v>
      </c>
      <c r="H17" s="26">
        <f>'Measure Development'!N36</f>
        <v>0</v>
      </c>
      <c r="I17" s="26" t="str">
        <f>'Measure Development'!O36</f>
        <v>ResFRIG</v>
      </c>
      <c r="J17" s="26">
        <f>'Measure Development'!P36</f>
        <v>0</v>
      </c>
      <c r="K17" s="26">
        <f>'Measure Development'!Q36</f>
        <v>0</v>
      </c>
      <c r="L17" s="26">
        <f>'Measure Development'!R36</f>
        <v>0</v>
      </c>
      <c r="M17" s="26">
        <f>'Measure Development'!S36</f>
        <v>0</v>
      </c>
      <c r="N17" s="26">
        <f>'Measure Development'!T36</f>
        <v>0</v>
      </c>
      <c r="O17" s="26">
        <f>'Measure Development'!U36</f>
        <v>0</v>
      </c>
      <c r="P17" s="26">
        <f>'Measure Development'!V36</f>
        <v>0</v>
      </c>
      <c r="Q17" s="26" t="str">
        <f>IF('Measure Development'!W36="","",'Measure Development'!W36)</f>
        <v/>
      </c>
      <c r="R17" s="26">
        <f>'Measure Development'!X36</f>
        <v>0</v>
      </c>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row>
    <row r="18" spans="3:104" ht="25.5">
      <c r="C18" s="26" t="str">
        <f>'Measure Development'!I37</f>
        <v>Standard Size Refrigerator and Refrigerator-freezer - CEE Tier 1</v>
      </c>
      <c r="D18" s="26" t="str">
        <f>'Measure Development'!J37</f>
        <v>Standard Size Refrigerator and Refrigerator-freezer - CEE Tier 1 _HVAC</v>
      </c>
      <c r="E18" s="66">
        <f>'Measure Development'!K37</f>
        <v>-1.3332910621703205</v>
      </c>
      <c r="F18" s="66">
        <f>'Measure Development'!L37</f>
        <v>15.18</v>
      </c>
      <c r="G18" s="484">
        <f>'Measure Development'!M37</f>
        <v>0</v>
      </c>
      <c r="H18" s="26">
        <f>'Measure Development'!N37</f>
        <v>0</v>
      </c>
      <c r="I18" s="26" t="str">
        <f>'Measure Development'!O37</f>
        <v>ResSpHtFAFZ1</v>
      </c>
      <c r="J18" s="26">
        <f>'Measure Development'!P37</f>
        <v>0</v>
      </c>
      <c r="K18" s="26">
        <f>'Measure Development'!Q37</f>
        <v>0</v>
      </c>
      <c r="L18" s="26">
        <f>'Measure Development'!R37</f>
        <v>0</v>
      </c>
      <c r="M18" s="26">
        <f>'Measure Development'!S37</f>
        <v>0</v>
      </c>
      <c r="N18" s="26">
        <f>'Measure Development'!T37</f>
        <v>0</v>
      </c>
      <c r="O18" s="26">
        <f>'Measure Development'!U37</f>
        <v>0</v>
      </c>
      <c r="P18" s="26">
        <f>'Measure Development'!V37</f>
        <v>0</v>
      </c>
      <c r="Q18" s="26">
        <f>IF('Measure Development'!W37="","",'Measure Development'!W37)</f>
        <v>-9.3759564279475016E-2</v>
      </c>
      <c r="R18" s="26" t="str">
        <f>'Measure Development'!X37</f>
        <v>ResSpHtFAFZ1</v>
      </c>
      <c r="S18" s="30"/>
      <c r="T18" s="30"/>
      <c r="U18" s="30"/>
      <c r="V18" s="30"/>
      <c r="W18" s="30"/>
      <c r="X18" s="30"/>
      <c r="Y18" s="30"/>
      <c r="Z18" s="30"/>
      <c r="AA18" s="30"/>
      <c r="AB18" s="30"/>
      <c r="AC18" s="30"/>
      <c r="AD18" s="30"/>
      <c r="AE18" s="30"/>
      <c r="AF18" s="30"/>
      <c r="AG18" s="30"/>
      <c r="AH18" s="30"/>
      <c r="AI18" s="30"/>
      <c r="AJ18" s="30"/>
      <c r="AK18" s="30"/>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row>
    <row r="19" spans="3:104" ht="25.5">
      <c r="C19" s="26" t="str">
        <f>'Measure Development'!I38</f>
        <v>Standard Size Refrigerator and Refrigerator-freezer - CEE Tier 2</v>
      </c>
      <c r="D19" s="26" t="str">
        <f>'Measure Development'!J38</f>
        <v>Standard Size Refrigerator and Refrigerator-freezer - CEE Tier 2 _HVAC</v>
      </c>
      <c r="E19" s="66">
        <f>'Measure Development'!K38</f>
        <v>-5.8859879985187131</v>
      </c>
      <c r="F19" s="66">
        <f>'Measure Development'!L38</f>
        <v>15.18</v>
      </c>
      <c r="G19" s="484">
        <f>'Measure Development'!M38</f>
        <v>0</v>
      </c>
      <c r="H19" s="26">
        <f>'Measure Development'!N38</f>
        <v>0</v>
      </c>
      <c r="I19" s="26" t="str">
        <f>'Measure Development'!O38</f>
        <v>ResSpHtFAFZ1</v>
      </c>
      <c r="J19" s="26">
        <f>'Measure Development'!P38</f>
        <v>0</v>
      </c>
      <c r="K19" s="26">
        <f>'Measure Development'!Q38</f>
        <v>0</v>
      </c>
      <c r="L19" s="26">
        <f>'Measure Development'!R38</f>
        <v>0</v>
      </c>
      <c r="M19" s="26">
        <f>'Measure Development'!S38</f>
        <v>0</v>
      </c>
      <c r="N19" s="26">
        <f>'Measure Development'!T38</f>
        <v>0</v>
      </c>
      <c r="O19" s="26">
        <f>'Measure Development'!U38</f>
        <v>0</v>
      </c>
      <c r="P19" s="26">
        <f>'Measure Development'!V38</f>
        <v>0</v>
      </c>
      <c r="Q19" s="26">
        <f>IF('Measure Development'!W38="","",'Measure Development'!W38)</f>
        <v>-0.41391387503716415</v>
      </c>
      <c r="R19" s="26" t="str">
        <f>'Measure Development'!X38</f>
        <v>ResSpHtFAFZ1</v>
      </c>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row>
    <row r="20" spans="3:104" ht="25.5">
      <c r="C20" s="26" t="str">
        <f>'Measure Development'!I39</f>
        <v>Standard Size Refrigerator and Refrigerator-freezer - CEE Tier 3</v>
      </c>
      <c r="D20" s="26" t="str">
        <f>'Measure Development'!J39</f>
        <v>Standard Size Refrigerator and Refrigerator-freezer - CEE Tier 3 _HVAC</v>
      </c>
      <c r="E20" s="66">
        <f>'Measure Development'!K39</f>
        <v>-13.824482642772152</v>
      </c>
      <c r="F20" s="66">
        <f>'Measure Development'!L39</f>
        <v>15.18</v>
      </c>
      <c r="G20" s="484">
        <f>'Measure Development'!M39</f>
        <v>0</v>
      </c>
      <c r="H20" s="26">
        <f>'Measure Development'!N39</f>
        <v>0</v>
      </c>
      <c r="I20" s="26" t="str">
        <f>'Measure Development'!O39</f>
        <v>ResSpHtFAFZ1</v>
      </c>
      <c r="J20" s="26">
        <f>'Measure Development'!P39</f>
        <v>0</v>
      </c>
      <c r="K20" s="26">
        <f>'Measure Development'!Q39</f>
        <v>0</v>
      </c>
      <c r="L20" s="26">
        <f>'Measure Development'!R39</f>
        <v>0</v>
      </c>
      <c r="M20" s="26">
        <f>'Measure Development'!S39</f>
        <v>0</v>
      </c>
      <c r="N20" s="26">
        <f>'Measure Development'!T39</f>
        <v>0</v>
      </c>
      <c r="O20" s="26">
        <f>'Measure Development'!U39</f>
        <v>0</v>
      </c>
      <c r="P20" s="26">
        <f>'Measure Development'!V39</f>
        <v>0</v>
      </c>
      <c r="Q20" s="26">
        <f>IF('Measure Development'!W39="","",'Measure Development'!W39)</f>
        <v>-0.97216392260634754</v>
      </c>
      <c r="R20" s="26" t="str">
        <f>'Measure Development'!X39</f>
        <v>ResSpHtFAFZ1</v>
      </c>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row>
    <row r="21" spans="3:104" ht="25.5">
      <c r="C21" s="26" t="str">
        <f>'Measure Development'!I40</f>
        <v>Standard Size Refrigerator and Refrigerator-freezer - Energy Star</v>
      </c>
      <c r="D21" s="26" t="str">
        <f>'Measure Development'!J40</f>
        <v>Standard Size Refrigerator and Refrigerator-freezer - Energy Star _HVAC</v>
      </c>
      <c r="E21" s="66">
        <f>'Measure Development'!K40</f>
        <v>-5.5557334999026713</v>
      </c>
      <c r="F21" s="66">
        <f>'Measure Development'!L40</f>
        <v>15.18</v>
      </c>
      <c r="G21" s="484">
        <f>'Measure Development'!M40</f>
        <v>0</v>
      </c>
      <c r="H21" s="26">
        <f>'Measure Development'!N40</f>
        <v>0</v>
      </c>
      <c r="I21" s="26" t="str">
        <f>'Measure Development'!O40</f>
        <v>ResSpHtFAFZ1</v>
      </c>
      <c r="J21" s="26">
        <f>'Measure Development'!P40</f>
        <v>0</v>
      </c>
      <c r="K21" s="26">
        <f>'Measure Development'!Q40</f>
        <v>0</v>
      </c>
      <c r="L21" s="26">
        <f>'Measure Development'!R40</f>
        <v>0</v>
      </c>
      <c r="M21" s="26">
        <f>'Measure Development'!S40</f>
        <v>0</v>
      </c>
      <c r="N21" s="26">
        <f>'Measure Development'!T40</f>
        <v>0</v>
      </c>
      <c r="O21" s="26">
        <f>'Measure Development'!U40</f>
        <v>0</v>
      </c>
      <c r="P21" s="26">
        <f>'Measure Development'!V40</f>
        <v>0</v>
      </c>
      <c r="Q21" s="26">
        <f>IF('Measure Development'!W40="","",'Measure Development'!W40)</f>
        <v>-0.39068975033541087</v>
      </c>
      <c r="R21" s="26" t="str">
        <f>'Measure Development'!X40</f>
        <v>ResSpHtFAFZ1</v>
      </c>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row>
    <row r="22" spans="3:104" ht="25.5">
      <c r="C22" s="26" t="str">
        <f>'Measure Development'!I41</f>
        <v>Standard Size Freezer - Energy Star</v>
      </c>
      <c r="D22" s="26" t="str">
        <f>'Measure Development'!J41</f>
        <v>Standard Size Freezer - Energy Star _HVAC</v>
      </c>
      <c r="E22" s="66">
        <f>'Measure Development'!K41</f>
        <v>-1.5894451189684815</v>
      </c>
      <c r="F22" s="66">
        <f>'Measure Development'!L41</f>
        <v>21.73469387755102</v>
      </c>
      <c r="G22" s="484">
        <f>'Measure Development'!M41</f>
        <v>0</v>
      </c>
      <c r="H22" s="26">
        <f>'Measure Development'!N41</f>
        <v>0</v>
      </c>
      <c r="I22" s="26" t="str">
        <f>'Measure Development'!O41</f>
        <v>ResSpHtFAFZ1</v>
      </c>
      <c r="J22" s="26">
        <f>'Measure Development'!P41</f>
        <v>0</v>
      </c>
      <c r="K22" s="26">
        <f>'Measure Development'!Q41</f>
        <v>0</v>
      </c>
      <c r="L22" s="26">
        <f>'Measure Development'!R41</f>
        <v>0</v>
      </c>
      <c r="M22" s="26">
        <f>'Measure Development'!S41</f>
        <v>0</v>
      </c>
      <c r="N22" s="26">
        <f>'Measure Development'!T41</f>
        <v>0</v>
      </c>
      <c r="O22" s="26">
        <f>'Measure Development'!U41</f>
        <v>0</v>
      </c>
      <c r="P22" s="26">
        <f>'Measure Development'!V41</f>
        <v>0</v>
      </c>
      <c r="Q22" s="26">
        <f>IF('Measure Development'!W41="","",'Measure Development'!W41)</f>
        <v>-0.11177280492531043</v>
      </c>
      <c r="R22" s="26" t="str">
        <f>'Measure Development'!X41</f>
        <v>ResSpHtFAFZ1</v>
      </c>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row>
    <row r="23" spans="3:104" ht="25.5">
      <c r="C23" s="26" t="str">
        <f>'Measure Development'!I42</f>
        <v>Compact Refrigerator and Refrigerator-freezer - CEE Tier 1</v>
      </c>
      <c r="D23" s="26" t="str">
        <f>'Measure Development'!J42</f>
        <v>Compact Refrigerator and Refrigerator-freezer - CEE Tier 1 _HVAC</v>
      </c>
      <c r="E23" s="66">
        <f>'Measure Development'!K42</f>
        <v>-0.30887581056877816</v>
      </c>
      <c r="F23" s="66">
        <f>'Measure Development'!L42</f>
        <v>4.6742424242424248</v>
      </c>
      <c r="G23" s="484">
        <f>'Measure Development'!M42</f>
        <v>0</v>
      </c>
      <c r="H23" s="26">
        <f>'Measure Development'!N42</f>
        <v>0</v>
      </c>
      <c r="I23" s="26" t="str">
        <f>'Measure Development'!O42</f>
        <v>ResSpHtFAFZ1</v>
      </c>
      <c r="J23" s="26">
        <f>'Measure Development'!P42</f>
        <v>0</v>
      </c>
      <c r="K23" s="26">
        <f>'Measure Development'!Q42</f>
        <v>0</v>
      </c>
      <c r="L23" s="26">
        <f>'Measure Development'!R42</f>
        <v>0</v>
      </c>
      <c r="M23" s="26">
        <f>'Measure Development'!S42</f>
        <v>0</v>
      </c>
      <c r="N23" s="26">
        <f>'Measure Development'!T42</f>
        <v>0</v>
      </c>
      <c r="O23" s="26">
        <f>'Measure Development'!U42</f>
        <v>0</v>
      </c>
      <c r="P23" s="26">
        <f>'Measure Development'!V42</f>
        <v>0</v>
      </c>
      <c r="Q23" s="26">
        <f>IF('Measure Development'!W42="","",'Measure Development'!W42)</f>
        <v>-2.1720734682086112E-2</v>
      </c>
      <c r="R23" s="26" t="str">
        <f>'Measure Development'!X42</f>
        <v>ResSpHtFAFZ1</v>
      </c>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row>
    <row r="24" spans="3:104" ht="25.5">
      <c r="C24" s="26" t="str">
        <f>'Measure Development'!I43</f>
        <v>Compact Refrigerator and Refrigerator-freezer - CEE Tier 2</v>
      </c>
      <c r="D24" s="26" t="str">
        <f>'Measure Development'!J43</f>
        <v>Compact Refrigerator and Refrigerator-freezer - CEE Tier 2 _HVAC</v>
      </c>
      <c r="E24" s="66">
        <f>'Measure Development'!K43</f>
        <v>-1.6210853485714285</v>
      </c>
      <c r="F24" s="66">
        <f>'Measure Development'!L43</f>
        <v>4.6742424242424248</v>
      </c>
      <c r="G24" s="484">
        <f>'Measure Development'!M43</f>
        <v>0</v>
      </c>
      <c r="H24" s="26">
        <f>'Measure Development'!N43</f>
        <v>0</v>
      </c>
      <c r="I24" s="26" t="str">
        <f>'Measure Development'!O43</f>
        <v>ResSpHtFAFZ1</v>
      </c>
      <c r="J24" s="26">
        <f>'Measure Development'!P43</f>
        <v>0</v>
      </c>
      <c r="K24" s="26">
        <f>'Measure Development'!Q43</f>
        <v>0</v>
      </c>
      <c r="L24" s="26">
        <f>'Measure Development'!R43</f>
        <v>0</v>
      </c>
      <c r="M24" s="26">
        <f>'Measure Development'!S43</f>
        <v>0</v>
      </c>
      <c r="N24" s="26">
        <f>'Measure Development'!T43</f>
        <v>0</v>
      </c>
      <c r="O24" s="26">
        <f>'Measure Development'!U43</f>
        <v>0</v>
      </c>
      <c r="P24" s="26">
        <f>'Measure Development'!V43</f>
        <v>0</v>
      </c>
      <c r="Q24" s="26">
        <f>IF('Measure Development'!W43="","",'Measure Development'!W43)</f>
        <v>-0.11399780607130618</v>
      </c>
      <c r="R24" s="26" t="str">
        <f>'Measure Development'!X43</f>
        <v>ResSpHtFAFZ1</v>
      </c>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row>
    <row r="25" spans="3:104" ht="25.5">
      <c r="C25" s="26" t="str">
        <f>'Measure Development'!I44</f>
        <v>Compact Refrigerator and Refrigerator-freezer - CEE Tier 3</v>
      </c>
      <c r="D25" s="26" t="str">
        <f>'Measure Development'!J44</f>
        <v>Compact Refrigerator and Refrigerator-freezer - CEE Tier 3 _HVAC</v>
      </c>
      <c r="E25" s="66">
        <f>'Measure Development'!K44</f>
        <v>-3.8554606497542472</v>
      </c>
      <c r="F25" s="66">
        <f>'Measure Development'!L44</f>
        <v>4.6742424242424248</v>
      </c>
      <c r="G25" s="484">
        <f>'Measure Development'!M44</f>
        <v>0</v>
      </c>
      <c r="H25" s="26">
        <f>'Measure Development'!N44</f>
        <v>0</v>
      </c>
      <c r="I25" s="26" t="str">
        <f>'Measure Development'!O44</f>
        <v>ResSpHtFAFZ1</v>
      </c>
      <c r="J25" s="26">
        <f>'Measure Development'!P44</f>
        <v>0</v>
      </c>
      <c r="K25" s="26">
        <f>'Measure Development'!Q44</f>
        <v>0</v>
      </c>
      <c r="L25" s="26">
        <f>'Measure Development'!R44</f>
        <v>0</v>
      </c>
      <c r="M25" s="26">
        <f>'Measure Development'!S44</f>
        <v>0</v>
      </c>
      <c r="N25" s="26">
        <f>'Measure Development'!T44</f>
        <v>0</v>
      </c>
      <c r="O25" s="26">
        <f>'Measure Development'!U44</f>
        <v>0</v>
      </c>
      <c r="P25" s="26">
        <f>'Measure Development'!V44</f>
        <v>0</v>
      </c>
      <c r="Q25" s="26">
        <f>IF('Measure Development'!W44="","",'Measure Development'!W44)</f>
        <v>-0.27112332848702619</v>
      </c>
      <c r="R25" s="26" t="str">
        <f>'Measure Development'!X44</f>
        <v>ResSpHtFAFZ1</v>
      </c>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c r="CG25" s="27"/>
      <c r="CH25" s="27"/>
      <c r="CI25" s="27"/>
      <c r="CJ25" s="27"/>
      <c r="CK25" s="27"/>
      <c r="CL25" s="27"/>
      <c r="CM25" s="27"/>
      <c r="CN25" s="27"/>
      <c r="CO25" s="27"/>
      <c r="CP25" s="27"/>
      <c r="CQ25" s="27"/>
      <c r="CR25" s="27"/>
      <c r="CS25" s="27"/>
      <c r="CT25" s="27"/>
      <c r="CU25" s="27"/>
      <c r="CV25" s="27"/>
      <c r="CW25" s="27"/>
      <c r="CX25" s="27"/>
      <c r="CY25" s="27"/>
      <c r="CZ25" s="27"/>
    </row>
    <row r="26" spans="3:104" ht="25.5">
      <c r="C26" s="26" t="str">
        <f>'Measure Development'!I45</f>
        <v>Compact Refrigerator and Refrigerator-freezer - Energy Star</v>
      </c>
      <c r="D26" s="26" t="str">
        <f>'Measure Development'!J45</f>
        <v>Compact Refrigerator and Refrigerator-freezer - Energy Star _HVAC</v>
      </c>
      <c r="E26" s="66">
        <f>'Measure Development'!K45</f>
        <v>-1.124586919743918</v>
      </c>
      <c r="F26" s="66">
        <f>'Measure Development'!L45</f>
        <v>4.6742424242424248</v>
      </c>
      <c r="G26" s="484">
        <f>'Measure Development'!M45</f>
        <v>0</v>
      </c>
      <c r="H26" s="26">
        <f>'Measure Development'!N45</f>
        <v>0</v>
      </c>
      <c r="I26" s="26" t="str">
        <f>'Measure Development'!O45</f>
        <v>ResSpHtFAFZ1</v>
      </c>
      <c r="J26" s="26">
        <f>'Measure Development'!P45</f>
        <v>0</v>
      </c>
      <c r="K26" s="26">
        <f>'Measure Development'!Q45</f>
        <v>0</v>
      </c>
      <c r="L26" s="26">
        <f>'Measure Development'!R45</f>
        <v>0</v>
      </c>
      <c r="M26" s="26">
        <f>'Measure Development'!S45</f>
        <v>0</v>
      </c>
      <c r="N26" s="26">
        <f>'Measure Development'!T45</f>
        <v>0</v>
      </c>
      <c r="O26" s="26">
        <f>'Measure Development'!U45</f>
        <v>0</v>
      </c>
      <c r="P26" s="26">
        <f>'Measure Development'!V45</f>
        <v>0</v>
      </c>
      <c r="Q26" s="26">
        <f>IF('Measure Development'!W45="","",'Measure Development'!W45)</f>
        <v>-7.9083091892891741E-2</v>
      </c>
      <c r="R26" s="26" t="str">
        <f>'Measure Development'!X45</f>
        <v>ResSpHtFAFZ1</v>
      </c>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row>
    <row r="27" spans="3:104" ht="25.5">
      <c r="C27" s="26" t="str">
        <f>'Measure Development'!I46</f>
        <v>Compact Freezer - Energy Star</v>
      </c>
      <c r="D27" s="26" t="str">
        <f>'Measure Development'!J46</f>
        <v>Compact Freezer - Energy Star _HVAC</v>
      </c>
      <c r="E27" s="66">
        <f>'Measure Development'!K46</f>
        <v>-0.65635657909178746</v>
      </c>
      <c r="F27" s="66">
        <f>'Measure Development'!L46</f>
        <v>6.5377358490566042</v>
      </c>
      <c r="G27" s="484">
        <f>'Measure Development'!M46</f>
        <v>0</v>
      </c>
      <c r="H27" s="26">
        <f>'Measure Development'!N46</f>
        <v>0</v>
      </c>
      <c r="I27" s="26" t="str">
        <f>'Measure Development'!O46</f>
        <v>ResSpHtFAFZ1</v>
      </c>
      <c r="J27" s="26">
        <f>'Measure Development'!P46</f>
        <v>0</v>
      </c>
      <c r="K27" s="26">
        <f>'Measure Development'!Q46</f>
        <v>0</v>
      </c>
      <c r="L27" s="26">
        <f>'Measure Development'!R46</f>
        <v>0</v>
      </c>
      <c r="M27" s="26">
        <f>'Measure Development'!S46</f>
        <v>0</v>
      </c>
      <c r="N27" s="26">
        <f>'Measure Development'!T46</f>
        <v>0</v>
      </c>
      <c r="O27" s="26">
        <f>'Measure Development'!U46</f>
        <v>0</v>
      </c>
      <c r="P27" s="26">
        <f>'Measure Development'!V46</f>
        <v>0</v>
      </c>
      <c r="Q27" s="26">
        <f>IF('Measure Development'!W46="","",'Measure Development'!W46)</f>
        <v>-4.615624345927808E-2</v>
      </c>
      <c r="R27" s="26" t="str">
        <f>'Measure Development'!X46</f>
        <v>ResSpHtFAFZ1</v>
      </c>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c r="CG27" s="27"/>
      <c r="CH27" s="27"/>
      <c r="CI27" s="27"/>
      <c r="CJ27" s="27"/>
      <c r="CK27" s="27"/>
      <c r="CL27" s="27"/>
      <c r="CM27" s="27"/>
      <c r="CN27" s="27"/>
      <c r="CO27" s="27"/>
      <c r="CP27" s="27"/>
      <c r="CQ27" s="27"/>
      <c r="CR27" s="27"/>
      <c r="CS27" s="27"/>
      <c r="CT27" s="27"/>
      <c r="CU27" s="27"/>
      <c r="CV27" s="27"/>
      <c r="CW27" s="27"/>
      <c r="CX27" s="27"/>
      <c r="CY27" s="27"/>
      <c r="CZ27" s="27"/>
    </row>
    <row r="28" spans="3:104">
      <c r="C28" s="32"/>
      <c r="D28" s="32"/>
      <c r="E28" s="88"/>
      <c r="F28" s="33"/>
      <c r="G28" s="34"/>
      <c r="H28" s="32"/>
      <c r="I28" s="32"/>
      <c r="J28" s="34"/>
      <c r="K28" s="32"/>
      <c r="L28" s="32"/>
      <c r="M28" s="32"/>
      <c r="N28" s="32"/>
      <c r="O28" s="32"/>
      <c r="P28" s="32"/>
      <c r="Q28" s="35"/>
      <c r="R28" s="32"/>
      <c r="S28" s="30"/>
      <c r="T28" s="30"/>
      <c r="U28" s="30"/>
      <c r="V28" s="30"/>
      <c r="W28" s="30"/>
      <c r="X28" s="30"/>
      <c r="Y28" s="30"/>
      <c r="Z28" s="30"/>
      <c r="AA28" s="30"/>
      <c r="AB28" s="30"/>
      <c r="AC28" s="30"/>
      <c r="AD28" s="30"/>
      <c r="AE28" s="30"/>
      <c r="AF28" s="30"/>
      <c r="AG28" s="30"/>
      <c r="AH28" s="30"/>
      <c r="AI28" s="30"/>
      <c r="AJ28" s="30"/>
      <c r="AK28" s="30"/>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c r="CG28" s="27"/>
      <c r="CH28" s="27"/>
      <c r="CI28" s="27"/>
      <c r="CJ28" s="27"/>
      <c r="CK28" s="27"/>
      <c r="CL28" s="27"/>
      <c r="CM28" s="27"/>
      <c r="CN28" s="27"/>
      <c r="CO28" s="27"/>
      <c r="CP28" s="27"/>
      <c r="CQ28" s="27"/>
      <c r="CR28" s="27"/>
      <c r="CS28" s="27"/>
      <c r="CT28" s="27"/>
      <c r="CU28" s="27"/>
      <c r="CV28" s="27"/>
      <c r="CW28" s="27"/>
      <c r="CX28" s="27"/>
      <c r="CY28" s="27"/>
      <c r="CZ28" s="27"/>
    </row>
    <row r="29" spans="3:104">
      <c r="C29" s="32"/>
      <c r="D29" s="32"/>
      <c r="E29" s="88"/>
      <c r="F29" s="33"/>
      <c r="G29" s="34"/>
      <c r="H29" s="32"/>
      <c r="I29" s="32"/>
      <c r="J29" s="34"/>
      <c r="K29" s="32"/>
      <c r="L29" s="32"/>
      <c r="M29" s="32"/>
      <c r="N29" s="32"/>
      <c r="O29" s="32"/>
      <c r="P29" s="32"/>
      <c r="Q29" s="35"/>
      <c r="R29" s="32"/>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c r="CW29" s="27"/>
      <c r="CX29" s="27"/>
      <c r="CY29" s="27"/>
      <c r="CZ29" s="27"/>
    </row>
    <row r="30" spans="3:104">
      <c r="C30" s="32"/>
      <c r="D30" s="32"/>
      <c r="E30" s="88"/>
      <c r="F30" s="33"/>
      <c r="G30" s="34"/>
      <c r="H30" s="32"/>
      <c r="I30" s="32"/>
      <c r="J30" s="34"/>
      <c r="K30" s="32"/>
      <c r="L30" s="32"/>
      <c r="M30" s="32"/>
      <c r="N30" s="32"/>
      <c r="O30" s="32"/>
      <c r="P30" s="32"/>
      <c r="Q30" s="35"/>
      <c r="R30" s="32"/>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c r="CG30" s="27"/>
      <c r="CH30" s="27"/>
      <c r="CI30" s="27"/>
      <c r="CJ30" s="27"/>
      <c r="CK30" s="27"/>
      <c r="CL30" s="27"/>
      <c r="CM30" s="27"/>
      <c r="CN30" s="27"/>
      <c r="CO30" s="27"/>
      <c r="CP30" s="27"/>
      <c r="CQ30" s="27"/>
      <c r="CR30" s="27"/>
      <c r="CS30" s="27"/>
      <c r="CT30" s="27"/>
      <c r="CU30" s="27"/>
      <c r="CV30" s="27"/>
      <c r="CW30" s="27"/>
      <c r="CX30" s="27"/>
      <c r="CY30" s="27"/>
      <c r="CZ30" s="27"/>
    </row>
    <row r="31" spans="3:104">
      <c r="C31" s="32"/>
      <c r="D31" s="32"/>
      <c r="E31" s="88"/>
      <c r="F31" s="33"/>
      <c r="G31" s="34"/>
      <c r="H31" s="32"/>
      <c r="I31" s="32"/>
      <c r="J31" s="34"/>
      <c r="K31" s="32"/>
      <c r="L31" s="32"/>
      <c r="M31" s="32"/>
      <c r="N31" s="32"/>
      <c r="O31" s="32"/>
      <c r="P31" s="32"/>
      <c r="Q31" s="35"/>
      <c r="R31" s="32"/>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c r="CW31" s="27"/>
      <c r="CX31" s="27"/>
      <c r="CY31" s="27"/>
      <c r="CZ31" s="27"/>
    </row>
    <row r="32" spans="3:104">
      <c r="C32" s="32"/>
      <c r="D32" s="32"/>
      <c r="E32" s="88"/>
      <c r="F32" s="33"/>
      <c r="G32" s="34"/>
      <c r="H32" s="32"/>
      <c r="I32" s="32"/>
      <c r="J32" s="34"/>
      <c r="K32" s="32"/>
      <c r="L32" s="32"/>
      <c r="M32" s="32"/>
      <c r="N32" s="32"/>
      <c r="O32" s="32"/>
      <c r="P32" s="32"/>
      <c r="Q32" s="35"/>
      <c r="R32" s="32"/>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row>
    <row r="33" spans="3:104">
      <c r="C33" s="32"/>
      <c r="D33" s="32"/>
      <c r="E33" s="88"/>
      <c r="F33" s="33"/>
      <c r="G33" s="34"/>
      <c r="H33" s="32"/>
      <c r="I33" s="32"/>
      <c r="J33" s="34"/>
      <c r="K33" s="32"/>
      <c r="L33" s="32"/>
      <c r="M33" s="32"/>
      <c r="N33" s="32"/>
      <c r="O33" s="32"/>
      <c r="P33" s="32"/>
      <c r="Q33" s="35"/>
      <c r="R33" s="32"/>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c r="CW33" s="27"/>
      <c r="CX33" s="27"/>
      <c r="CY33" s="27"/>
      <c r="CZ33" s="27"/>
    </row>
    <row r="34" spans="3:104">
      <c r="C34" s="32"/>
      <c r="D34" s="32"/>
      <c r="E34" s="88"/>
      <c r="F34" s="33"/>
      <c r="G34" s="34"/>
      <c r="H34" s="32"/>
      <c r="I34" s="32"/>
      <c r="J34" s="34"/>
      <c r="K34" s="32"/>
      <c r="L34" s="32"/>
      <c r="M34" s="32"/>
      <c r="N34" s="32"/>
      <c r="O34" s="32"/>
      <c r="P34" s="32"/>
      <c r="Q34" s="35"/>
      <c r="R34" s="32"/>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row>
    <row r="35" spans="3:104">
      <c r="C35" s="32"/>
      <c r="D35" s="32"/>
      <c r="E35" s="88"/>
      <c r="F35" s="33"/>
      <c r="G35" s="34"/>
      <c r="H35" s="32"/>
      <c r="I35" s="32"/>
      <c r="J35" s="34"/>
      <c r="K35" s="32"/>
      <c r="L35" s="32"/>
      <c r="M35" s="32"/>
      <c r="N35" s="32"/>
      <c r="O35" s="32"/>
      <c r="P35" s="32"/>
      <c r="Q35" s="35"/>
      <c r="R35" s="32"/>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row>
    <row r="36" spans="3:104">
      <c r="C36" s="26"/>
      <c r="D36" s="26"/>
      <c r="E36" s="66"/>
      <c r="F36" s="26"/>
      <c r="G36" s="26"/>
      <c r="H36" s="26"/>
      <c r="I36" s="26"/>
      <c r="J36" s="26"/>
      <c r="K36" s="26"/>
      <c r="L36" s="26"/>
      <c r="M36" s="26"/>
      <c r="N36" s="26"/>
      <c r="O36" s="26"/>
      <c r="P36" s="26"/>
      <c r="Q36" s="26"/>
      <c r="R36" s="26"/>
    </row>
    <row r="37" spans="3:104">
      <c r="C37" s="26"/>
      <c r="D37" s="26"/>
      <c r="E37" s="66"/>
      <c r="F37" s="26"/>
      <c r="G37" s="26"/>
      <c r="H37" s="26"/>
      <c r="I37" s="26"/>
      <c r="J37" s="26"/>
      <c r="K37" s="26"/>
      <c r="L37" s="26"/>
      <c r="M37" s="26"/>
      <c r="N37" s="26"/>
      <c r="O37" s="26"/>
      <c r="P37" s="26"/>
      <c r="Q37" s="26"/>
      <c r="R37" s="26"/>
    </row>
    <row r="38" spans="3:104">
      <c r="C38" s="26"/>
      <c r="D38" s="26"/>
      <c r="E38" s="66"/>
      <c r="F38" s="26"/>
      <c r="G38" s="26"/>
      <c r="H38" s="26"/>
      <c r="I38" s="26"/>
      <c r="J38" s="26"/>
      <c r="K38" s="26"/>
      <c r="L38" s="26"/>
      <c r="M38" s="26"/>
      <c r="N38" s="26"/>
      <c r="O38" s="26"/>
      <c r="P38" s="26"/>
      <c r="Q38" s="26"/>
      <c r="R38" s="26"/>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row>
    <row r="39" spans="3:104">
      <c r="C39" s="26"/>
      <c r="D39" s="26"/>
      <c r="E39" s="66"/>
      <c r="F39" s="26"/>
      <c r="G39" s="26"/>
      <c r="H39" s="26"/>
      <c r="I39" s="26"/>
      <c r="J39" s="26"/>
      <c r="K39" s="26"/>
      <c r="L39" s="26"/>
      <c r="M39" s="26"/>
      <c r="N39" s="26"/>
      <c r="O39" s="26"/>
      <c r="P39" s="26"/>
      <c r="Q39" s="26"/>
      <c r="R39" s="26"/>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row>
    <row r="40" spans="3:104">
      <c r="C40" s="26"/>
      <c r="D40" s="26"/>
      <c r="E40" s="66"/>
      <c r="F40" s="26"/>
      <c r="G40" s="26"/>
      <c r="H40" s="26"/>
      <c r="I40" s="26"/>
      <c r="J40" s="26"/>
      <c r="K40" s="26"/>
      <c r="L40" s="26"/>
      <c r="M40" s="26"/>
      <c r="N40" s="26"/>
      <c r="O40" s="26"/>
      <c r="P40" s="26"/>
      <c r="Q40" s="26"/>
      <c r="R40" s="26"/>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row>
    <row r="41" spans="3:104">
      <c r="C41" s="26"/>
      <c r="D41" s="26"/>
      <c r="E41" s="66"/>
      <c r="F41" s="26"/>
      <c r="G41" s="26"/>
      <c r="H41" s="26"/>
      <c r="I41" s="26"/>
      <c r="J41" s="26"/>
      <c r="K41" s="26"/>
      <c r="L41" s="26"/>
      <c r="M41" s="26"/>
      <c r="N41" s="26"/>
      <c r="O41" s="26"/>
      <c r="P41" s="26"/>
      <c r="Q41" s="26"/>
      <c r="R41" s="26"/>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row>
    <row r="42" spans="3:104">
      <c r="C42" s="26"/>
      <c r="D42" s="26"/>
      <c r="E42" s="66"/>
      <c r="F42" s="26"/>
      <c r="G42" s="26"/>
      <c r="H42" s="26"/>
      <c r="I42" s="26"/>
      <c r="J42" s="26"/>
      <c r="K42" s="26"/>
      <c r="L42" s="26"/>
      <c r="M42" s="26"/>
      <c r="N42" s="26"/>
      <c r="O42" s="26"/>
      <c r="P42" s="26"/>
      <c r="Q42" s="26"/>
      <c r="R42" s="26"/>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row>
    <row r="43" spans="3:104">
      <c r="C43" s="26"/>
      <c r="D43" s="26"/>
      <c r="E43" s="66"/>
      <c r="F43" s="26"/>
      <c r="G43" s="26"/>
      <c r="H43" s="26"/>
      <c r="I43" s="26"/>
      <c r="J43" s="26"/>
      <c r="K43" s="26"/>
      <c r="L43" s="26"/>
      <c r="M43" s="26"/>
      <c r="N43" s="26"/>
      <c r="O43" s="26"/>
      <c r="P43" s="26"/>
      <c r="Q43" s="26"/>
      <c r="R43" s="26"/>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row>
    <row r="44" spans="3:104">
      <c r="C44" s="26"/>
      <c r="D44" s="26"/>
      <c r="E44" s="66"/>
      <c r="F44" s="26"/>
      <c r="G44" s="26"/>
      <c r="H44" s="26"/>
      <c r="I44" s="26"/>
      <c r="J44" s="26"/>
      <c r="K44" s="26"/>
      <c r="L44" s="26"/>
      <c r="M44" s="26"/>
      <c r="N44" s="26"/>
      <c r="O44" s="26"/>
      <c r="P44" s="26"/>
      <c r="Q44" s="26"/>
      <c r="R44" s="26"/>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row>
    <row r="45" spans="3:104">
      <c r="C45" s="26"/>
      <c r="D45" s="26"/>
      <c r="E45" s="66"/>
      <c r="F45" s="26"/>
      <c r="G45" s="26"/>
      <c r="H45" s="26"/>
      <c r="I45" s="26"/>
      <c r="J45" s="26"/>
      <c r="K45" s="26"/>
      <c r="L45" s="26"/>
      <c r="M45" s="26"/>
      <c r="N45" s="26"/>
      <c r="O45" s="26"/>
      <c r="P45" s="26"/>
      <c r="Q45" s="26"/>
      <c r="R45" s="26"/>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c r="CV45" s="38"/>
      <c r="CW45" s="38"/>
      <c r="CX45" s="38"/>
      <c r="CY45" s="38"/>
    </row>
    <row r="46" spans="3:104">
      <c r="C46" s="26"/>
      <c r="D46" s="26"/>
      <c r="E46" s="66"/>
      <c r="F46" s="26"/>
      <c r="G46" s="26"/>
      <c r="H46" s="26"/>
      <c r="I46" s="26"/>
      <c r="J46" s="26"/>
      <c r="K46" s="26"/>
      <c r="L46" s="26"/>
      <c r="M46" s="26"/>
      <c r="N46" s="26"/>
      <c r="O46" s="26"/>
      <c r="P46" s="26"/>
      <c r="Q46" s="26"/>
      <c r="R46" s="26"/>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row>
    <row r="47" spans="3:104">
      <c r="C47" s="26"/>
      <c r="D47" s="26"/>
      <c r="E47" s="66"/>
      <c r="F47" s="26"/>
      <c r="G47" s="26"/>
      <c r="H47" s="26"/>
      <c r="I47" s="26"/>
      <c r="J47" s="26"/>
      <c r="K47" s="26"/>
      <c r="L47" s="26"/>
      <c r="M47" s="26"/>
      <c r="N47" s="26"/>
      <c r="O47" s="26"/>
      <c r="P47" s="26"/>
      <c r="Q47" s="26"/>
      <c r="R47" s="26"/>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row>
    <row r="48" spans="3:104">
      <c r="C48" s="26"/>
      <c r="D48" s="26"/>
      <c r="E48" s="66"/>
      <c r="F48" s="26"/>
      <c r="G48" s="26"/>
      <c r="H48" s="26"/>
      <c r="I48" s="26"/>
      <c r="J48" s="26"/>
      <c r="K48" s="26"/>
      <c r="L48" s="26"/>
      <c r="M48" s="26"/>
      <c r="N48" s="26"/>
      <c r="O48" s="26"/>
      <c r="P48" s="26"/>
      <c r="Q48" s="26"/>
      <c r="R48" s="26"/>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row>
    <row r="49" spans="3:103">
      <c r="C49" s="26"/>
      <c r="D49" s="26"/>
      <c r="E49" s="66"/>
      <c r="F49" s="26"/>
      <c r="G49" s="26"/>
      <c r="H49" s="26"/>
      <c r="I49" s="26"/>
      <c r="J49" s="26"/>
      <c r="K49" s="26"/>
      <c r="L49" s="26"/>
      <c r="M49" s="26"/>
      <c r="N49" s="26"/>
      <c r="O49" s="26"/>
      <c r="P49" s="26"/>
      <c r="Q49" s="26"/>
      <c r="R49" s="26"/>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row>
    <row r="50" spans="3:103">
      <c r="C50" s="26"/>
      <c r="D50" s="26"/>
      <c r="E50" s="66"/>
      <c r="F50" s="26"/>
      <c r="G50" s="26"/>
      <c r="H50" s="26"/>
      <c r="I50" s="26"/>
      <c r="J50" s="26"/>
      <c r="K50" s="26"/>
      <c r="L50" s="26"/>
      <c r="M50" s="26"/>
      <c r="N50" s="26"/>
      <c r="O50" s="26"/>
      <c r="P50" s="26"/>
      <c r="Q50" s="26"/>
      <c r="R50" s="26"/>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row>
    <row r="51" spans="3:103">
      <c r="C51" s="26"/>
      <c r="D51" s="26"/>
      <c r="E51" s="66"/>
      <c r="F51" s="26"/>
      <c r="G51" s="26"/>
      <c r="H51" s="26"/>
      <c r="I51" s="26"/>
      <c r="J51" s="26"/>
      <c r="K51" s="26"/>
      <c r="L51" s="26"/>
      <c r="M51" s="26"/>
      <c r="N51" s="26"/>
      <c r="O51" s="26"/>
      <c r="P51" s="26"/>
      <c r="Q51" s="26"/>
      <c r="R51" s="26"/>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row>
    <row r="52" spans="3:103">
      <c r="C52" s="26"/>
      <c r="D52" s="26"/>
      <c r="E52" s="66"/>
      <c r="F52" s="26"/>
      <c r="G52" s="26"/>
      <c r="H52" s="26"/>
      <c r="I52" s="26"/>
      <c r="J52" s="26"/>
      <c r="K52" s="26"/>
      <c r="L52" s="26"/>
      <c r="M52" s="26"/>
      <c r="N52" s="26"/>
      <c r="O52" s="26"/>
      <c r="P52" s="26"/>
      <c r="Q52" s="26"/>
      <c r="R52" s="26"/>
    </row>
    <row r="53" spans="3:103">
      <c r="C53" s="26"/>
      <c r="D53" s="26"/>
      <c r="E53" s="66"/>
      <c r="F53" s="26"/>
      <c r="G53" s="26"/>
      <c r="H53" s="26"/>
      <c r="I53" s="26"/>
      <c r="J53" s="26"/>
      <c r="K53" s="26"/>
      <c r="L53" s="26"/>
      <c r="M53" s="26"/>
      <c r="N53" s="26"/>
      <c r="O53" s="26"/>
      <c r="P53" s="26"/>
      <c r="Q53" s="26"/>
      <c r="R53" s="26"/>
    </row>
    <row r="54" spans="3:103">
      <c r="C54" s="26"/>
      <c r="D54" s="26"/>
      <c r="E54" s="66"/>
      <c r="F54" s="26"/>
      <c r="G54" s="26"/>
      <c r="H54" s="26"/>
      <c r="I54" s="26"/>
      <c r="J54" s="26"/>
      <c r="K54" s="26"/>
      <c r="L54" s="26"/>
      <c r="M54" s="26"/>
      <c r="N54" s="26"/>
      <c r="O54" s="26"/>
      <c r="P54" s="26"/>
      <c r="Q54" s="26"/>
      <c r="R54" s="26"/>
    </row>
    <row r="55" spans="3:103">
      <c r="C55" s="26"/>
      <c r="D55" s="26"/>
      <c r="E55" s="66"/>
      <c r="F55" s="26"/>
      <c r="G55" s="26"/>
      <c r="H55" s="26"/>
      <c r="I55" s="26"/>
      <c r="J55" s="26"/>
      <c r="K55" s="26"/>
      <c r="L55" s="26"/>
      <c r="M55" s="26"/>
      <c r="N55" s="26"/>
      <c r="O55" s="26"/>
      <c r="P55" s="26"/>
      <c r="Q55" s="26"/>
      <c r="R55" s="26"/>
    </row>
    <row r="56" spans="3:103">
      <c r="C56" s="26"/>
      <c r="D56" s="26"/>
      <c r="E56" s="66"/>
      <c r="F56" s="26"/>
      <c r="G56" s="26"/>
      <c r="H56" s="26"/>
      <c r="I56" s="26"/>
      <c r="J56" s="26"/>
      <c r="K56" s="26"/>
      <c r="L56" s="26"/>
      <c r="M56" s="26"/>
      <c r="N56" s="26"/>
      <c r="O56" s="26"/>
      <c r="P56" s="26"/>
      <c r="Q56" s="26"/>
      <c r="R56" s="26"/>
    </row>
    <row r="57" spans="3:103">
      <c r="C57" s="26"/>
      <c r="D57" s="26"/>
      <c r="E57" s="66"/>
      <c r="F57" s="26"/>
      <c r="G57" s="26"/>
      <c r="H57" s="26"/>
      <c r="I57" s="26"/>
      <c r="J57" s="26"/>
      <c r="K57" s="26"/>
      <c r="L57" s="26"/>
      <c r="M57" s="26"/>
      <c r="N57" s="26"/>
      <c r="O57" s="26"/>
      <c r="P57" s="26"/>
      <c r="Q57" s="26"/>
      <c r="R57" s="26"/>
    </row>
    <row r="58" spans="3:103">
      <c r="C58" s="26"/>
      <c r="D58" s="26"/>
      <c r="E58" s="66"/>
      <c r="F58" s="26"/>
      <c r="G58" s="26"/>
      <c r="H58" s="26"/>
      <c r="I58" s="26"/>
      <c r="J58" s="26"/>
      <c r="K58" s="26"/>
      <c r="L58" s="26"/>
      <c r="M58" s="26"/>
      <c r="N58" s="26"/>
      <c r="O58" s="26"/>
      <c r="P58" s="26"/>
      <c r="Q58" s="26"/>
      <c r="R58" s="26"/>
    </row>
    <row r="59" spans="3:103">
      <c r="C59" s="26"/>
      <c r="D59" s="26"/>
      <c r="E59" s="66"/>
      <c r="F59" s="26"/>
      <c r="G59" s="26"/>
      <c r="H59" s="26"/>
      <c r="I59" s="26"/>
      <c r="J59" s="26"/>
      <c r="K59" s="26"/>
      <c r="L59" s="26"/>
      <c r="M59" s="26"/>
      <c r="N59" s="26"/>
      <c r="O59" s="26"/>
      <c r="P59" s="26"/>
      <c r="Q59" s="26"/>
      <c r="R59" s="26"/>
    </row>
    <row r="60" spans="3:103">
      <c r="C60" s="26"/>
      <c r="D60" s="26"/>
      <c r="E60" s="66"/>
      <c r="F60" s="26"/>
      <c r="G60" s="26"/>
      <c r="H60" s="26"/>
      <c r="I60" s="26"/>
      <c r="J60" s="26"/>
      <c r="K60" s="26"/>
      <c r="L60" s="26"/>
      <c r="M60" s="26"/>
      <c r="N60" s="26"/>
      <c r="O60" s="26"/>
      <c r="P60" s="26"/>
      <c r="Q60" s="26"/>
      <c r="R60" s="26"/>
    </row>
    <row r="61" spans="3:103">
      <c r="C61" s="26"/>
      <c r="D61" s="26"/>
      <c r="E61" s="66"/>
      <c r="F61" s="26"/>
      <c r="G61" s="26"/>
      <c r="H61" s="26"/>
      <c r="I61" s="26"/>
      <c r="J61" s="26"/>
      <c r="K61" s="26"/>
      <c r="L61" s="26"/>
      <c r="M61" s="26"/>
      <c r="N61" s="26"/>
      <c r="O61" s="26"/>
      <c r="P61" s="26"/>
      <c r="Q61" s="26"/>
      <c r="R61" s="26"/>
    </row>
    <row r="62" spans="3:103">
      <c r="C62" s="26"/>
      <c r="D62" s="26"/>
      <c r="E62" s="66"/>
      <c r="F62" s="26"/>
      <c r="G62" s="26"/>
      <c r="H62" s="26"/>
      <c r="I62" s="26"/>
      <c r="J62" s="26"/>
      <c r="K62" s="26"/>
      <c r="L62" s="26"/>
      <c r="M62" s="26"/>
      <c r="N62" s="26"/>
      <c r="O62" s="26"/>
      <c r="P62" s="26"/>
      <c r="Q62" s="26"/>
      <c r="R62" s="26"/>
    </row>
    <row r="63" spans="3:103">
      <c r="C63" s="26"/>
      <c r="D63" s="26"/>
      <c r="E63" s="66"/>
      <c r="F63" s="26"/>
      <c r="G63" s="26"/>
      <c r="H63" s="26"/>
      <c r="I63" s="26"/>
      <c r="J63" s="26"/>
      <c r="K63" s="26"/>
      <c r="L63" s="26"/>
      <c r="M63" s="26"/>
      <c r="N63" s="26"/>
      <c r="O63" s="26"/>
      <c r="P63" s="26"/>
      <c r="Q63" s="26"/>
      <c r="R63" s="26"/>
    </row>
    <row r="64" spans="3:103">
      <c r="C64" s="26"/>
      <c r="D64" s="26"/>
      <c r="E64" s="66"/>
      <c r="F64" s="26"/>
      <c r="G64" s="26"/>
      <c r="H64" s="26"/>
      <c r="I64" s="26"/>
      <c r="J64" s="26"/>
      <c r="K64" s="26"/>
      <c r="L64" s="26"/>
      <c r="M64" s="26"/>
      <c r="N64" s="26"/>
      <c r="O64" s="26"/>
      <c r="P64" s="26"/>
      <c r="Q64" s="26"/>
      <c r="R64" s="26"/>
    </row>
    <row r="65" spans="3:18">
      <c r="C65" s="26"/>
      <c r="D65" s="26"/>
      <c r="E65" s="66"/>
      <c r="F65" s="26"/>
      <c r="G65" s="26"/>
      <c r="H65" s="26"/>
      <c r="I65" s="26"/>
      <c r="J65" s="26"/>
      <c r="K65" s="26"/>
      <c r="L65" s="26"/>
      <c r="M65" s="26"/>
      <c r="N65" s="26"/>
      <c r="O65" s="26"/>
      <c r="P65" s="26"/>
      <c r="Q65" s="26"/>
      <c r="R65" s="26"/>
    </row>
    <row r="66" spans="3:18">
      <c r="C66" s="26"/>
      <c r="D66" s="26"/>
      <c r="E66" s="66"/>
      <c r="F66" s="26"/>
      <c r="G66" s="26"/>
      <c r="H66" s="26"/>
      <c r="I66" s="26"/>
      <c r="J66" s="26"/>
      <c r="K66" s="26"/>
      <c r="L66" s="26"/>
      <c r="M66" s="26"/>
      <c r="N66" s="26"/>
      <c r="O66" s="26"/>
      <c r="P66" s="26"/>
      <c r="Q66" s="26"/>
      <c r="R66" s="26"/>
    </row>
    <row r="67" spans="3:18">
      <c r="C67" s="26"/>
      <c r="D67" s="26"/>
      <c r="E67" s="66"/>
      <c r="F67" s="26"/>
      <c r="G67" s="26"/>
      <c r="H67" s="26"/>
      <c r="I67" s="26"/>
      <c r="J67" s="26"/>
      <c r="K67" s="26"/>
      <c r="L67" s="26"/>
      <c r="M67" s="26"/>
      <c r="N67" s="26"/>
      <c r="O67" s="26"/>
      <c r="P67" s="26"/>
      <c r="Q67" s="26"/>
      <c r="R67" s="26"/>
    </row>
    <row r="68" spans="3:18">
      <c r="C68" s="26"/>
      <c r="D68" s="26"/>
      <c r="E68" s="66"/>
      <c r="F68" s="26"/>
      <c r="G68" s="26"/>
      <c r="H68" s="26"/>
      <c r="I68" s="26"/>
      <c r="J68" s="26"/>
      <c r="K68" s="26"/>
      <c r="L68" s="26"/>
      <c r="M68" s="26"/>
      <c r="N68" s="26"/>
      <c r="O68" s="26"/>
      <c r="P68" s="26"/>
      <c r="Q68" s="26"/>
      <c r="R68" s="26"/>
    </row>
    <row r="69" spans="3:18">
      <c r="C69" s="26"/>
      <c r="D69" s="26"/>
      <c r="E69" s="66"/>
      <c r="F69" s="26"/>
      <c r="G69" s="26"/>
      <c r="H69" s="26"/>
      <c r="I69" s="26"/>
      <c r="J69" s="26"/>
      <c r="K69" s="26"/>
      <c r="L69" s="26"/>
      <c r="M69" s="26"/>
      <c r="N69" s="26"/>
      <c r="O69" s="26"/>
      <c r="P69" s="26"/>
      <c r="Q69" s="26"/>
      <c r="R69" s="26"/>
    </row>
    <row r="70" spans="3:18">
      <c r="C70" s="26"/>
      <c r="D70" s="26"/>
      <c r="E70" s="66"/>
      <c r="F70" s="26"/>
      <c r="G70" s="26"/>
      <c r="H70" s="26"/>
      <c r="I70" s="26"/>
      <c r="J70" s="26"/>
      <c r="K70" s="26"/>
      <c r="L70" s="26"/>
      <c r="M70" s="26"/>
      <c r="N70" s="26"/>
      <c r="O70" s="26"/>
      <c r="P70" s="26"/>
      <c r="Q70" s="26"/>
      <c r="R70" s="26"/>
    </row>
    <row r="71" spans="3:18">
      <c r="C71" s="26"/>
      <c r="D71" s="26"/>
      <c r="E71" s="66"/>
      <c r="F71" s="26"/>
      <c r="G71" s="26"/>
      <c r="H71" s="26"/>
      <c r="I71" s="26"/>
      <c r="J71" s="26"/>
      <c r="K71" s="26"/>
      <c r="L71" s="26"/>
      <c r="M71" s="26"/>
      <c r="N71" s="26"/>
      <c r="O71" s="26"/>
      <c r="P71" s="26"/>
      <c r="Q71" s="26"/>
      <c r="R71" s="26"/>
    </row>
    <row r="72" spans="3:18">
      <c r="C72" s="26"/>
      <c r="D72" s="26"/>
      <c r="E72" s="66"/>
      <c r="F72" s="26"/>
      <c r="G72" s="26"/>
      <c r="H72" s="26"/>
      <c r="I72" s="26"/>
      <c r="J72" s="26"/>
      <c r="K72" s="26"/>
      <c r="L72" s="26"/>
      <c r="M72" s="26"/>
      <c r="N72" s="26"/>
      <c r="O72" s="26"/>
      <c r="P72" s="26"/>
      <c r="Q72" s="26"/>
      <c r="R72" s="26"/>
    </row>
    <row r="73" spans="3:18">
      <c r="C73" s="26"/>
      <c r="D73" s="26"/>
      <c r="E73" s="66"/>
      <c r="F73" s="26"/>
      <c r="G73" s="26"/>
      <c r="H73" s="26"/>
      <c r="I73" s="26"/>
      <c r="J73" s="26"/>
      <c r="K73" s="26"/>
      <c r="L73" s="26"/>
      <c r="M73" s="26"/>
      <c r="N73" s="26"/>
      <c r="O73" s="26"/>
      <c r="P73" s="26"/>
      <c r="Q73" s="26"/>
      <c r="R73" s="26"/>
    </row>
    <row r="74" spans="3:18">
      <c r="C74" s="26"/>
      <c r="D74" s="26"/>
      <c r="E74" s="66"/>
      <c r="F74" s="26"/>
      <c r="G74" s="26"/>
      <c r="H74" s="26"/>
      <c r="I74" s="26"/>
      <c r="J74" s="26"/>
      <c r="K74" s="26"/>
      <c r="L74" s="26"/>
      <c r="M74" s="26"/>
      <c r="N74" s="26"/>
      <c r="O74" s="26"/>
      <c r="P74" s="26"/>
      <c r="Q74" s="26"/>
      <c r="R74" s="26"/>
    </row>
    <row r="75" spans="3:18">
      <c r="C75" s="26"/>
      <c r="D75" s="26"/>
      <c r="E75" s="66"/>
      <c r="F75" s="26"/>
      <c r="G75" s="26"/>
      <c r="H75" s="26"/>
      <c r="I75" s="26"/>
      <c r="J75" s="26"/>
      <c r="K75" s="26"/>
      <c r="L75" s="26"/>
      <c r="M75" s="26"/>
      <c r="N75" s="26"/>
      <c r="O75" s="26"/>
      <c r="P75" s="26"/>
      <c r="Q75" s="26"/>
      <c r="R75" s="26"/>
    </row>
    <row r="76" spans="3:18">
      <c r="C76" s="26"/>
      <c r="D76" s="26"/>
      <c r="E76" s="66"/>
      <c r="F76" s="26"/>
      <c r="G76" s="26"/>
      <c r="H76" s="26"/>
      <c r="I76" s="26"/>
      <c r="J76" s="26"/>
      <c r="K76" s="26"/>
      <c r="L76" s="26"/>
      <c r="M76" s="26"/>
      <c r="N76" s="26"/>
      <c r="O76" s="26"/>
      <c r="P76" s="26"/>
      <c r="Q76" s="26"/>
      <c r="R76" s="26"/>
    </row>
    <row r="77" spans="3:18">
      <c r="C77" s="26"/>
      <c r="D77" s="26"/>
      <c r="E77" s="66"/>
      <c r="F77" s="26"/>
      <c r="G77" s="26"/>
      <c r="H77" s="26"/>
      <c r="I77" s="26"/>
      <c r="J77" s="26"/>
      <c r="K77" s="26"/>
      <c r="L77" s="26"/>
      <c r="M77" s="26"/>
      <c r="N77" s="26"/>
      <c r="O77" s="26"/>
      <c r="P77" s="26"/>
      <c r="Q77" s="26"/>
      <c r="R77" s="26"/>
    </row>
    <row r="78" spans="3:18">
      <c r="C78" s="26"/>
      <c r="D78" s="26"/>
      <c r="E78" s="66"/>
      <c r="F78" s="26"/>
      <c r="G78" s="26"/>
      <c r="H78" s="26"/>
      <c r="I78" s="26"/>
      <c r="J78" s="26"/>
      <c r="K78" s="26"/>
      <c r="L78" s="26"/>
      <c r="M78" s="26"/>
      <c r="N78" s="26"/>
      <c r="O78" s="26"/>
      <c r="P78" s="26"/>
      <c r="Q78" s="26"/>
      <c r="R78" s="26"/>
    </row>
    <row r="79" spans="3:18">
      <c r="C79" s="26"/>
      <c r="D79" s="26"/>
      <c r="E79" s="66"/>
      <c r="F79" s="26"/>
      <c r="G79" s="26"/>
      <c r="H79" s="26"/>
      <c r="I79" s="26"/>
      <c r="J79" s="26"/>
      <c r="K79" s="26"/>
      <c r="L79" s="26"/>
      <c r="M79" s="26"/>
      <c r="N79" s="26"/>
      <c r="O79" s="26"/>
      <c r="P79" s="26"/>
      <c r="Q79" s="26"/>
      <c r="R79" s="26"/>
    </row>
    <row r="80" spans="3:18">
      <c r="C80" s="26"/>
      <c r="D80" s="26"/>
      <c r="E80" s="66"/>
      <c r="F80" s="26"/>
      <c r="G80" s="26"/>
      <c r="H80" s="26"/>
      <c r="I80" s="26"/>
      <c r="J80" s="26"/>
      <c r="K80" s="26"/>
      <c r="L80" s="26"/>
      <c r="M80" s="26"/>
      <c r="N80" s="26"/>
      <c r="O80" s="26"/>
      <c r="P80" s="26"/>
      <c r="Q80" s="26"/>
      <c r="R80" s="26"/>
    </row>
    <row r="81" spans="3:18">
      <c r="C81" s="26"/>
      <c r="D81" s="26"/>
      <c r="E81" s="26"/>
      <c r="F81" s="26"/>
      <c r="G81" s="26"/>
      <c r="H81" s="26"/>
      <c r="I81" s="26"/>
      <c r="J81" s="26"/>
      <c r="K81" s="26"/>
      <c r="L81" s="26"/>
      <c r="M81" s="26"/>
      <c r="N81" s="26"/>
      <c r="O81" s="26"/>
      <c r="P81" s="26"/>
      <c r="Q81" s="26"/>
      <c r="R81" s="26"/>
    </row>
    <row r="82" spans="3:18">
      <c r="C82" s="26"/>
      <c r="D82" s="26"/>
      <c r="E82" s="26"/>
      <c r="F82" s="26"/>
      <c r="G82" s="26"/>
      <c r="H82" s="26"/>
      <c r="I82" s="26"/>
      <c r="J82" s="26"/>
      <c r="K82" s="26"/>
      <c r="L82" s="26"/>
      <c r="M82" s="26"/>
      <c r="N82" s="26"/>
      <c r="O82" s="26"/>
      <c r="P82" s="26"/>
      <c r="Q82" s="26"/>
      <c r="R82" s="26"/>
    </row>
    <row r="83" spans="3:18">
      <c r="C83" s="26"/>
      <c r="D83" s="26"/>
      <c r="E83" s="26"/>
      <c r="F83" s="26"/>
      <c r="G83" s="26"/>
      <c r="H83" s="26"/>
      <c r="I83" s="26"/>
      <c r="J83" s="26"/>
      <c r="K83" s="26"/>
      <c r="L83" s="26"/>
      <c r="M83" s="26"/>
      <c r="N83" s="26"/>
      <c r="O83" s="26"/>
      <c r="P83" s="26"/>
      <c r="Q83" s="26"/>
      <c r="R83" s="26"/>
    </row>
    <row r="84" spans="3:18">
      <c r="C84" s="26"/>
      <c r="D84" s="26"/>
      <c r="E84" s="26"/>
      <c r="F84" s="26"/>
      <c r="G84" s="26"/>
      <c r="H84" s="26"/>
      <c r="I84" s="26"/>
      <c r="J84" s="26"/>
      <c r="K84" s="26"/>
      <c r="L84" s="26"/>
      <c r="M84" s="26"/>
      <c r="N84" s="26"/>
      <c r="O84" s="26"/>
      <c r="P84" s="26"/>
      <c r="Q84" s="26"/>
      <c r="R84" s="26"/>
    </row>
    <row r="85" spans="3:18">
      <c r="C85" s="26"/>
      <c r="D85" s="26"/>
      <c r="E85" s="26"/>
      <c r="F85" s="26"/>
      <c r="G85" s="26"/>
      <c r="H85" s="26"/>
      <c r="I85" s="26"/>
      <c r="J85" s="26"/>
      <c r="K85" s="26"/>
      <c r="L85" s="26"/>
      <c r="M85" s="26"/>
      <c r="N85" s="26"/>
      <c r="O85" s="26"/>
      <c r="P85" s="26"/>
      <c r="Q85" s="26"/>
      <c r="R85" s="26"/>
    </row>
    <row r="86" spans="3:18">
      <c r="C86" s="26"/>
      <c r="D86" s="26"/>
      <c r="E86" s="26"/>
      <c r="F86" s="26"/>
      <c r="G86" s="26"/>
      <c r="H86" s="26"/>
      <c r="I86" s="26"/>
      <c r="J86" s="26"/>
      <c r="K86" s="26"/>
      <c r="L86" s="26"/>
      <c r="M86" s="26"/>
      <c r="N86" s="26"/>
      <c r="O86" s="26"/>
      <c r="P86" s="26"/>
      <c r="Q86" s="26"/>
      <c r="R86" s="26"/>
    </row>
    <row r="87" spans="3:18">
      <c r="C87" s="26"/>
      <c r="D87" s="26"/>
      <c r="E87" s="26"/>
      <c r="F87" s="26"/>
      <c r="G87" s="26"/>
      <c r="H87" s="26"/>
      <c r="I87" s="26"/>
      <c r="J87" s="26"/>
      <c r="K87" s="26"/>
      <c r="L87" s="26"/>
      <c r="M87" s="26"/>
      <c r="N87" s="26"/>
      <c r="O87" s="26"/>
      <c r="P87" s="26"/>
      <c r="Q87" s="26"/>
      <c r="R87" s="26"/>
    </row>
    <row r="88" spans="3:18">
      <c r="C88" s="26"/>
      <c r="D88" s="26"/>
      <c r="E88" s="26"/>
      <c r="F88" s="26"/>
      <c r="G88" s="26"/>
      <c r="H88" s="26"/>
      <c r="I88" s="26"/>
      <c r="J88" s="26"/>
      <c r="K88" s="26"/>
      <c r="L88" s="26"/>
      <c r="M88" s="26"/>
      <c r="N88" s="26"/>
      <c r="O88" s="26"/>
      <c r="P88" s="26"/>
      <c r="Q88" s="26"/>
      <c r="R88" s="26"/>
    </row>
    <row r="89" spans="3:18">
      <c r="C89" s="26"/>
      <c r="D89" s="26"/>
      <c r="E89" s="26"/>
      <c r="F89" s="26"/>
      <c r="G89" s="26"/>
      <c r="H89" s="26"/>
      <c r="I89" s="26"/>
      <c r="J89" s="26"/>
      <c r="K89" s="26"/>
      <c r="L89" s="26"/>
      <c r="M89" s="26"/>
      <c r="N89" s="26"/>
      <c r="O89" s="26"/>
      <c r="P89" s="26"/>
      <c r="Q89" s="26"/>
      <c r="R89" s="26"/>
    </row>
    <row r="90" spans="3:18">
      <c r="C90" s="26"/>
      <c r="D90" s="26"/>
      <c r="E90" s="26"/>
      <c r="F90" s="26"/>
      <c r="G90" s="26"/>
      <c r="H90" s="26"/>
      <c r="I90" s="26"/>
      <c r="J90" s="26"/>
      <c r="K90" s="26"/>
      <c r="L90" s="26"/>
      <c r="M90" s="26"/>
      <c r="N90" s="26"/>
      <c r="O90" s="26"/>
      <c r="P90" s="26"/>
      <c r="Q90" s="26"/>
      <c r="R90" s="26"/>
    </row>
    <row r="91" spans="3:18">
      <c r="C91" s="26"/>
      <c r="D91" s="26"/>
      <c r="E91" s="26"/>
      <c r="F91" s="26"/>
      <c r="G91" s="26"/>
      <c r="H91" s="26"/>
      <c r="I91" s="26"/>
      <c r="J91" s="26"/>
      <c r="K91" s="26"/>
      <c r="L91" s="26"/>
      <c r="M91" s="26"/>
      <c r="N91" s="26"/>
      <c r="O91" s="26"/>
      <c r="P91" s="26"/>
      <c r="Q91" s="26"/>
      <c r="R91" s="26"/>
    </row>
    <row r="92" spans="3:18">
      <c r="C92" s="26"/>
      <c r="D92" s="26"/>
      <c r="E92" s="26"/>
      <c r="F92" s="26"/>
      <c r="G92" s="26"/>
      <c r="H92" s="26"/>
      <c r="I92" s="26"/>
      <c r="J92" s="26"/>
      <c r="K92" s="26"/>
      <c r="L92" s="26"/>
      <c r="M92" s="26"/>
      <c r="N92" s="26"/>
      <c r="O92" s="26"/>
      <c r="P92" s="26"/>
      <c r="Q92" s="26"/>
      <c r="R92" s="26"/>
    </row>
    <row r="93" spans="3:18">
      <c r="C93" s="26"/>
      <c r="D93" s="26"/>
      <c r="E93" s="26"/>
      <c r="F93" s="26"/>
      <c r="G93" s="26"/>
      <c r="H93" s="26"/>
      <c r="I93" s="26"/>
      <c r="J93" s="26"/>
      <c r="K93" s="26"/>
      <c r="L93" s="26"/>
      <c r="M93" s="26"/>
      <c r="N93" s="26"/>
      <c r="O93" s="26"/>
      <c r="P93" s="26"/>
      <c r="Q93" s="26"/>
      <c r="R93" s="26"/>
    </row>
    <row r="94" spans="3:18">
      <c r="C94" s="26"/>
      <c r="D94" s="26"/>
      <c r="E94" s="26"/>
      <c r="F94" s="26"/>
      <c r="G94" s="26"/>
      <c r="H94" s="26"/>
      <c r="I94" s="26"/>
      <c r="J94" s="26"/>
      <c r="K94" s="26"/>
      <c r="L94" s="26"/>
      <c r="M94" s="26"/>
      <c r="N94" s="26"/>
      <c r="O94" s="26"/>
      <c r="P94" s="26"/>
      <c r="Q94" s="26"/>
      <c r="R94" s="26"/>
    </row>
    <row r="95" spans="3:18">
      <c r="C95" s="26"/>
      <c r="D95" s="26"/>
      <c r="E95" s="26"/>
      <c r="F95" s="26"/>
      <c r="G95" s="26"/>
      <c r="H95" s="26"/>
      <c r="I95" s="26"/>
      <c r="J95" s="26"/>
      <c r="K95" s="26"/>
      <c r="L95" s="26"/>
      <c r="M95" s="26"/>
      <c r="N95" s="26"/>
      <c r="O95" s="26"/>
      <c r="P95" s="26"/>
      <c r="Q95" s="26"/>
      <c r="R95" s="26"/>
    </row>
    <row r="96" spans="3:18">
      <c r="C96" s="26"/>
      <c r="D96" s="26"/>
      <c r="E96" s="26"/>
      <c r="F96" s="26"/>
      <c r="G96" s="26"/>
      <c r="H96" s="26"/>
      <c r="I96" s="26"/>
      <c r="J96" s="26"/>
      <c r="K96" s="26"/>
      <c r="L96" s="26"/>
      <c r="M96" s="26"/>
      <c r="N96" s="26"/>
      <c r="O96" s="26"/>
      <c r="P96" s="26"/>
      <c r="Q96" s="26"/>
      <c r="R96" s="26"/>
    </row>
    <row r="97" spans="3:18">
      <c r="C97" s="26"/>
      <c r="D97" s="26"/>
      <c r="E97" s="26"/>
      <c r="F97" s="26"/>
      <c r="G97" s="26"/>
      <c r="H97" s="26"/>
      <c r="I97" s="26"/>
      <c r="J97" s="26"/>
      <c r="K97" s="26"/>
      <c r="L97" s="26"/>
      <c r="M97" s="26"/>
      <c r="N97" s="26"/>
      <c r="O97" s="26"/>
      <c r="P97" s="26"/>
      <c r="Q97" s="26"/>
      <c r="R97" s="26"/>
    </row>
    <row r="98" spans="3:18">
      <c r="C98" s="26"/>
      <c r="D98" s="26"/>
      <c r="E98" s="26"/>
      <c r="F98" s="26"/>
      <c r="G98" s="26"/>
      <c r="H98" s="26"/>
      <c r="I98" s="26"/>
      <c r="J98" s="26"/>
      <c r="K98" s="26"/>
      <c r="L98" s="26"/>
      <c r="M98" s="26"/>
      <c r="N98" s="26"/>
      <c r="O98" s="26"/>
      <c r="P98" s="26"/>
      <c r="Q98" s="26"/>
      <c r="R98" s="26"/>
    </row>
    <row r="99" spans="3:18">
      <c r="C99" s="26"/>
      <c r="D99" s="26"/>
      <c r="E99" s="26"/>
      <c r="F99" s="26"/>
      <c r="G99" s="26"/>
      <c r="H99" s="26"/>
      <c r="I99" s="26"/>
      <c r="J99" s="26"/>
      <c r="K99" s="26"/>
      <c r="L99" s="26"/>
      <c r="M99" s="26"/>
      <c r="N99" s="26"/>
      <c r="O99" s="26"/>
      <c r="P99" s="26"/>
      <c r="Q99" s="26"/>
      <c r="R99" s="26"/>
    </row>
    <row r="100" spans="3:18">
      <c r="C100" s="26"/>
      <c r="D100" s="26"/>
      <c r="E100" s="26"/>
      <c r="F100" s="26"/>
      <c r="G100" s="26"/>
      <c r="H100" s="26"/>
      <c r="I100" s="26"/>
      <c r="J100" s="26"/>
      <c r="K100" s="26"/>
      <c r="L100" s="26"/>
      <c r="M100" s="26"/>
      <c r="N100" s="26"/>
      <c r="O100" s="26"/>
      <c r="P100" s="26"/>
      <c r="Q100" s="26"/>
      <c r="R100" s="26"/>
    </row>
    <row r="101" spans="3:18">
      <c r="C101" s="26"/>
      <c r="D101" s="26"/>
      <c r="E101" s="26"/>
      <c r="F101" s="26"/>
      <c r="G101" s="26"/>
      <c r="H101" s="26"/>
      <c r="I101" s="26"/>
      <c r="J101" s="26"/>
      <c r="K101" s="26"/>
      <c r="L101" s="26"/>
      <c r="M101" s="26"/>
      <c r="N101" s="26"/>
      <c r="O101" s="26"/>
      <c r="P101" s="26"/>
      <c r="Q101" s="26"/>
      <c r="R101" s="26"/>
    </row>
    <row r="102" spans="3:18">
      <c r="C102" s="26"/>
      <c r="D102" s="26"/>
      <c r="E102" s="26"/>
      <c r="F102" s="26"/>
      <c r="G102" s="26"/>
      <c r="H102" s="26"/>
      <c r="I102" s="26"/>
      <c r="J102" s="26"/>
      <c r="K102" s="26"/>
      <c r="L102" s="26"/>
      <c r="M102" s="26"/>
      <c r="N102" s="26"/>
      <c r="O102" s="26"/>
      <c r="P102" s="26"/>
      <c r="Q102" s="26"/>
      <c r="R102" s="26"/>
    </row>
    <row r="103" spans="3:18">
      <c r="C103" s="26"/>
      <c r="D103" s="26"/>
      <c r="E103" s="26"/>
      <c r="F103" s="26"/>
      <c r="G103" s="26"/>
      <c r="H103" s="26"/>
      <c r="I103" s="26"/>
      <c r="J103" s="26"/>
      <c r="K103" s="26"/>
      <c r="L103" s="26"/>
      <c r="M103" s="26"/>
      <c r="N103" s="26"/>
      <c r="O103" s="26"/>
      <c r="P103" s="26"/>
      <c r="Q103" s="26"/>
      <c r="R103" s="26"/>
    </row>
    <row r="104" spans="3:18">
      <c r="C104" s="26"/>
      <c r="D104" s="26"/>
      <c r="E104" s="26"/>
      <c r="F104" s="26"/>
      <c r="G104" s="26"/>
      <c r="H104" s="26"/>
      <c r="I104" s="26"/>
      <c r="J104" s="26"/>
      <c r="K104" s="26"/>
      <c r="L104" s="26"/>
      <c r="M104" s="26"/>
      <c r="N104" s="26"/>
      <c r="O104" s="26"/>
      <c r="P104" s="26"/>
      <c r="Q104" s="26"/>
      <c r="R104" s="26"/>
    </row>
    <row r="105" spans="3:18">
      <c r="C105" s="26"/>
      <c r="D105" s="26"/>
      <c r="E105" s="26"/>
      <c r="F105" s="26"/>
      <c r="G105" s="26"/>
      <c r="H105" s="26"/>
      <c r="I105" s="26"/>
      <c r="J105" s="26"/>
      <c r="K105" s="26"/>
      <c r="L105" s="26"/>
      <c r="M105" s="26"/>
      <c r="N105" s="26"/>
      <c r="O105" s="26"/>
      <c r="P105" s="26"/>
      <c r="Q105" s="26"/>
      <c r="R105" s="26"/>
    </row>
    <row r="106" spans="3:18">
      <c r="C106" s="26"/>
      <c r="D106" s="26"/>
      <c r="E106" s="26"/>
      <c r="F106" s="26"/>
      <c r="G106" s="26"/>
      <c r="H106" s="26"/>
      <c r="I106" s="26"/>
      <c r="J106" s="26"/>
      <c r="K106" s="26"/>
      <c r="L106" s="26"/>
      <c r="M106" s="26"/>
      <c r="N106" s="26"/>
      <c r="O106" s="26"/>
      <c r="P106" s="26"/>
      <c r="Q106" s="26"/>
      <c r="R106" s="26"/>
    </row>
    <row r="107" spans="3:18">
      <c r="C107" s="26"/>
      <c r="D107" s="26"/>
      <c r="E107" s="26"/>
      <c r="F107" s="26"/>
      <c r="G107" s="26"/>
      <c r="H107" s="26"/>
      <c r="I107" s="26"/>
      <c r="J107" s="26"/>
      <c r="K107" s="26"/>
      <c r="L107" s="26"/>
      <c r="M107" s="26"/>
      <c r="N107" s="26"/>
      <c r="O107" s="26"/>
      <c r="P107" s="26"/>
      <c r="Q107" s="26"/>
      <c r="R107" s="26"/>
    </row>
    <row r="108" spans="3:18">
      <c r="C108" s="26"/>
      <c r="D108" s="26"/>
      <c r="E108" s="26"/>
      <c r="F108" s="26"/>
      <c r="G108" s="26"/>
      <c r="H108" s="26"/>
      <c r="I108" s="26"/>
      <c r="J108" s="26"/>
      <c r="K108" s="26"/>
      <c r="L108" s="26"/>
      <c r="M108" s="26"/>
      <c r="N108" s="26"/>
      <c r="O108" s="26"/>
      <c r="P108" s="26"/>
      <c r="Q108" s="26"/>
      <c r="R108" s="26"/>
    </row>
    <row r="109" spans="3:18">
      <c r="C109" s="26"/>
      <c r="D109" s="26"/>
      <c r="E109" s="26"/>
      <c r="F109" s="26"/>
      <c r="G109" s="26"/>
      <c r="H109" s="26"/>
      <c r="I109" s="26"/>
      <c r="J109" s="26"/>
      <c r="K109" s="26"/>
      <c r="L109" s="26"/>
      <c r="M109" s="26"/>
      <c r="N109" s="26"/>
      <c r="O109" s="26"/>
      <c r="P109" s="26"/>
      <c r="Q109" s="26"/>
      <c r="R109" s="26"/>
    </row>
    <row r="110" spans="3:18">
      <c r="C110" s="26"/>
      <c r="D110" s="26"/>
      <c r="E110" s="26"/>
      <c r="F110" s="26"/>
      <c r="G110" s="26"/>
      <c r="H110" s="26"/>
      <c r="I110" s="26"/>
      <c r="J110" s="26"/>
      <c r="K110" s="26"/>
      <c r="L110" s="26"/>
      <c r="M110" s="26"/>
      <c r="N110" s="26"/>
      <c r="O110" s="26"/>
      <c r="P110" s="26"/>
      <c r="Q110" s="26"/>
      <c r="R110" s="26"/>
    </row>
    <row r="111" spans="3:18">
      <c r="C111" s="26"/>
      <c r="D111" s="26"/>
      <c r="E111" s="26"/>
      <c r="F111" s="26"/>
      <c r="G111" s="26"/>
      <c r="H111" s="26"/>
      <c r="I111" s="26"/>
      <c r="J111" s="26"/>
      <c r="K111" s="26"/>
      <c r="L111" s="26"/>
      <c r="M111" s="26"/>
      <c r="N111" s="26"/>
      <c r="O111" s="26"/>
      <c r="P111" s="26"/>
      <c r="Q111" s="26"/>
      <c r="R111" s="26"/>
    </row>
    <row r="112" spans="3:18">
      <c r="C112" s="26"/>
      <c r="D112" s="26"/>
      <c r="E112" s="26"/>
      <c r="F112" s="26"/>
      <c r="G112" s="26"/>
      <c r="H112" s="26"/>
      <c r="I112" s="26"/>
      <c r="J112" s="26"/>
      <c r="K112" s="26"/>
      <c r="L112" s="26"/>
      <c r="M112" s="26"/>
      <c r="N112" s="26"/>
      <c r="O112" s="26"/>
      <c r="P112" s="26"/>
      <c r="Q112" s="26"/>
      <c r="R112" s="26"/>
    </row>
    <row r="113" spans="3:18">
      <c r="C113" s="26"/>
      <c r="D113" s="26"/>
      <c r="E113" s="26"/>
      <c r="F113" s="26"/>
      <c r="G113" s="26"/>
      <c r="H113" s="26"/>
      <c r="I113" s="26"/>
      <c r="J113" s="26"/>
      <c r="K113" s="26"/>
      <c r="L113" s="26"/>
      <c r="M113" s="26"/>
      <c r="N113" s="26"/>
      <c r="O113" s="26"/>
      <c r="P113" s="26"/>
      <c r="Q113" s="26"/>
      <c r="R113" s="26"/>
    </row>
    <row r="114" spans="3:18">
      <c r="C114" s="26"/>
      <c r="D114" s="26"/>
      <c r="E114" s="26"/>
      <c r="F114" s="26"/>
      <c r="G114" s="26"/>
      <c r="H114" s="26"/>
      <c r="I114" s="26"/>
      <c r="J114" s="26"/>
      <c r="K114" s="26"/>
      <c r="L114" s="26"/>
      <c r="M114" s="26"/>
      <c r="N114" s="26"/>
      <c r="O114" s="26"/>
      <c r="P114" s="26"/>
      <c r="Q114" s="26"/>
      <c r="R114" s="26"/>
    </row>
    <row r="115" spans="3:18">
      <c r="C115" s="26"/>
      <c r="D115" s="26"/>
      <c r="E115" s="26"/>
      <c r="F115" s="26"/>
      <c r="G115" s="26"/>
      <c r="H115" s="26"/>
      <c r="I115" s="26"/>
      <c r="J115" s="26"/>
      <c r="K115" s="26"/>
      <c r="L115" s="26"/>
      <c r="M115" s="26"/>
      <c r="N115" s="26"/>
      <c r="O115" s="26"/>
      <c r="P115" s="26"/>
      <c r="Q115" s="26"/>
      <c r="R115" s="26"/>
    </row>
    <row r="116" spans="3:18">
      <c r="C116" s="26"/>
      <c r="D116" s="26"/>
      <c r="E116" s="26"/>
      <c r="F116" s="26"/>
      <c r="G116" s="26"/>
      <c r="H116" s="26"/>
      <c r="I116" s="26"/>
      <c r="J116" s="26"/>
      <c r="K116" s="26"/>
      <c r="L116" s="26"/>
      <c r="M116" s="26"/>
      <c r="N116" s="26"/>
      <c r="O116" s="26"/>
      <c r="P116" s="26"/>
      <c r="Q116" s="26"/>
      <c r="R116" s="26"/>
    </row>
    <row r="117" spans="3:18">
      <c r="C117" s="26"/>
      <c r="D117" s="26"/>
      <c r="E117" s="26"/>
      <c r="F117" s="26"/>
      <c r="G117" s="26"/>
      <c r="H117" s="26"/>
      <c r="I117" s="26"/>
      <c r="J117" s="26"/>
      <c r="K117" s="26"/>
      <c r="L117" s="26"/>
      <c r="M117" s="26"/>
      <c r="N117" s="26"/>
      <c r="O117" s="26"/>
      <c r="P117" s="26"/>
      <c r="Q117" s="26"/>
      <c r="R117" s="26"/>
    </row>
    <row r="118" spans="3:18">
      <c r="C118" s="26"/>
      <c r="D118" s="26"/>
      <c r="E118" s="26"/>
      <c r="F118" s="26"/>
      <c r="G118" s="26"/>
      <c r="H118" s="26"/>
      <c r="I118" s="26"/>
      <c r="J118" s="26"/>
      <c r="K118" s="26"/>
      <c r="L118" s="26"/>
      <c r="M118" s="26"/>
      <c r="N118" s="26"/>
      <c r="O118" s="26"/>
      <c r="P118" s="26"/>
      <c r="Q118" s="26"/>
      <c r="R118" s="26"/>
    </row>
    <row r="119" spans="3:18">
      <c r="C119" s="26"/>
      <c r="D119" s="26"/>
      <c r="E119" s="26"/>
      <c r="F119" s="26"/>
      <c r="G119" s="26"/>
      <c r="H119" s="26"/>
      <c r="I119" s="26"/>
      <c r="J119" s="26"/>
      <c r="K119" s="26"/>
      <c r="L119" s="26"/>
      <c r="M119" s="26"/>
      <c r="N119" s="26"/>
      <c r="O119" s="26"/>
      <c r="P119" s="26"/>
      <c r="Q119" s="26"/>
      <c r="R119" s="26"/>
    </row>
    <row r="120" spans="3:18">
      <c r="C120" s="26"/>
      <c r="D120" s="26"/>
      <c r="E120" s="26"/>
      <c r="F120" s="26"/>
      <c r="G120" s="26"/>
      <c r="H120" s="26"/>
      <c r="I120" s="26"/>
      <c r="J120" s="26"/>
      <c r="K120" s="26"/>
      <c r="L120" s="26"/>
      <c r="M120" s="26"/>
      <c r="N120" s="26"/>
      <c r="O120" s="26"/>
      <c r="P120" s="26"/>
      <c r="Q120" s="26"/>
      <c r="R120" s="26"/>
    </row>
    <row r="121" spans="3:18">
      <c r="C121" s="26"/>
      <c r="D121" s="26"/>
      <c r="E121" s="26"/>
      <c r="F121" s="26"/>
      <c r="G121" s="26"/>
      <c r="H121" s="26"/>
      <c r="I121" s="26"/>
      <c r="J121" s="26"/>
      <c r="K121" s="26"/>
      <c r="L121" s="26"/>
      <c r="M121" s="26"/>
      <c r="N121" s="26"/>
      <c r="O121" s="26"/>
      <c r="P121" s="26"/>
      <c r="Q121" s="26"/>
      <c r="R121" s="26"/>
    </row>
    <row r="122" spans="3:18">
      <c r="C122" s="26"/>
      <c r="D122" s="26"/>
      <c r="E122" s="26"/>
      <c r="F122" s="26"/>
      <c r="G122" s="26"/>
      <c r="H122" s="26"/>
      <c r="I122" s="26"/>
      <c r="J122" s="26"/>
      <c r="K122" s="26"/>
      <c r="L122" s="26"/>
      <c r="M122" s="26"/>
      <c r="N122" s="26"/>
      <c r="O122" s="26"/>
      <c r="P122" s="26"/>
      <c r="Q122" s="26"/>
      <c r="R122" s="26"/>
    </row>
    <row r="123" spans="3:18">
      <c r="C123" s="26"/>
      <c r="D123" s="26"/>
      <c r="E123" s="26"/>
      <c r="F123" s="26"/>
      <c r="G123" s="26"/>
      <c r="H123" s="26"/>
      <c r="I123" s="26"/>
      <c r="J123" s="26"/>
      <c r="K123" s="26"/>
      <c r="L123" s="26"/>
      <c r="M123" s="26"/>
      <c r="N123" s="26"/>
      <c r="O123" s="26"/>
      <c r="P123" s="26"/>
      <c r="Q123" s="26"/>
      <c r="R123" s="26"/>
    </row>
    <row r="124" spans="3:18">
      <c r="C124" s="26"/>
      <c r="D124" s="26"/>
      <c r="E124" s="26"/>
      <c r="F124" s="26"/>
      <c r="G124" s="26"/>
      <c r="H124" s="26"/>
      <c r="I124" s="26"/>
      <c r="J124" s="26"/>
      <c r="K124" s="26"/>
      <c r="L124" s="26"/>
      <c r="M124" s="26"/>
      <c r="N124" s="26"/>
      <c r="O124" s="26"/>
      <c r="P124" s="26"/>
      <c r="Q124" s="26"/>
      <c r="R124" s="26"/>
    </row>
    <row r="125" spans="3:18">
      <c r="C125" s="26"/>
      <c r="D125" s="26"/>
      <c r="E125" s="26"/>
      <c r="F125" s="26"/>
      <c r="G125" s="26"/>
      <c r="H125" s="26"/>
      <c r="I125" s="26"/>
      <c r="J125" s="26"/>
      <c r="K125" s="26"/>
      <c r="L125" s="26"/>
      <c r="M125" s="26"/>
      <c r="N125" s="26"/>
      <c r="O125" s="26"/>
      <c r="P125" s="26"/>
      <c r="Q125" s="26"/>
      <c r="R125" s="26"/>
    </row>
  </sheetData>
  <dataConsolidate/>
  <mergeCells count="2">
    <mergeCell ref="K6:P6"/>
    <mergeCell ref="Q6:R6"/>
  </mergeCells>
  <pageMargins left="0.75" right="0.75" top="1" bottom="1" header="0.5" footer="0.5"/>
  <pageSetup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sheetPr codeName="Sheet7"/>
  <dimension ref="A1:X58"/>
  <sheetViews>
    <sheetView zoomScale="80" zoomScaleNormal="80" workbookViewId="0">
      <selection activeCell="B35" sqref="B35:B36"/>
    </sheetView>
  </sheetViews>
  <sheetFormatPr defaultRowHeight="12.75"/>
  <cols>
    <col min="1" max="1" width="9.140625" style="9"/>
    <col min="2" max="2" width="30" style="343" customWidth="1"/>
    <col min="3" max="6" width="15.140625" style="9" customWidth="1"/>
    <col min="7" max="7" width="16.42578125" style="9" customWidth="1"/>
    <col min="8" max="8" width="9.140625" style="9"/>
    <col min="9" max="9" width="61" style="9" customWidth="1"/>
    <col min="10" max="10" width="55.5703125" style="9" customWidth="1"/>
    <col min="11" max="23" width="9.140625" style="9"/>
    <col min="24" max="24" width="17.7109375" style="9" customWidth="1"/>
    <col min="25" max="16384" width="9.140625" style="9"/>
  </cols>
  <sheetData>
    <row r="1" spans="2:24">
      <c r="I1" s="52" t="s">
        <v>4579</v>
      </c>
    </row>
    <row r="2" spans="2:24" ht="39" thickBot="1">
      <c r="B2" s="183" t="s">
        <v>4580</v>
      </c>
      <c r="C2" s="183"/>
      <c r="D2" s="187"/>
      <c r="E2" s="187"/>
      <c r="F2" s="187"/>
      <c r="I2" s="23" t="s">
        <v>6</v>
      </c>
      <c r="J2" s="23" t="s">
        <v>7</v>
      </c>
      <c r="K2" s="23" t="s">
        <v>8</v>
      </c>
      <c r="L2" s="23" t="s">
        <v>9</v>
      </c>
      <c r="M2" s="23" t="s">
        <v>10</v>
      </c>
      <c r="N2" s="344" t="s">
        <v>11</v>
      </c>
      <c r="O2" s="23" t="s">
        <v>12</v>
      </c>
      <c r="P2" s="345" t="s">
        <v>13</v>
      </c>
      <c r="Q2" s="345" t="s">
        <v>14</v>
      </c>
      <c r="R2" s="345" t="s">
        <v>15</v>
      </c>
      <c r="S2" s="345" t="s">
        <v>16</v>
      </c>
      <c r="T2" s="345" t="s">
        <v>17</v>
      </c>
      <c r="U2" s="345" t="s">
        <v>18</v>
      </c>
      <c r="V2" s="345" t="s">
        <v>19</v>
      </c>
      <c r="W2" s="346" t="s">
        <v>20</v>
      </c>
      <c r="X2" s="345" t="s">
        <v>12</v>
      </c>
    </row>
    <row r="3" spans="2:24">
      <c r="B3" s="500" t="s">
        <v>4581</v>
      </c>
      <c r="C3" s="502" t="s">
        <v>4093</v>
      </c>
      <c r="D3" s="503"/>
      <c r="E3" s="504"/>
      <c r="F3" s="505" t="s">
        <v>3990</v>
      </c>
      <c r="I3" s="9" t="s">
        <v>4582</v>
      </c>
      <c r="J3" s="347" t="s">
        <v>4582</v>
      </c>
      <c r="K3" s="348">
        <f>C5</f>
        <v>10.842807929192544</v>
      </c>
      <c r="L3" s="349">
        <f>$C$46</f>
        <v>15.18</v>
      </c>
      <c r="M3" s="350">
        <f>C37</f>
        <v>30.245004256070963</v>
      </c>
      <c r="N3" s="347">
        <v>0</v>
      </c>
      <c r="O3" s="347" t="s">
        <v>4583</v>
      </c>
      <c r="P3" s="347">
        <v>0</v>
      </c>
      <c r="Q3" s="347">
        <v>0</v>
      </c>
      <c r="R3" s="347">
        <v>0</v>
      </c>
      <c r="S3" s="347">
        <v>0</v>
      </c>
      <c r="T3" s="347">
        <v>0</v>
      </c>
      <c r="U3" s="347">
        <v>0</v>
      </c>
      <c r="V3" s="347">
        <v>0</v>
      </c>
      <c r="W3" s="347"/>
      <c r="X3" s="347"/>
    </row>
    <row r="4" spans="2:24" ht="42" customHeight="1">
      <c r="B4" s="501"/>
      <c r="C4" s="351" t="s">
        <v>3987</v>
      </c>
      <c r="D4" s="352" t="s">
        <v>3988</v>
      </c>
      <c r="E4" s="353" t="s">
        <v>3989</v>
      </c>
      <c r="F4" s="506"/>
      <c r="G4" s="44"/>
      <c r="I4" s="9" t="s">
        <v>4584</v>
      </c>
      <c r="J4" s="347" t="s">
        <v>4584</v>
      </c>
      <c r="K4" s="348">
        <f>D5</f>
        <v>47.866995551282059</v>
      </c>
      <c r="L4" s="349">
        <f>$C$46</f>
        <v>15.18</v>
      </c>
      <c r="M4" s="350">
        <f>D37</f>
        <v>134.90182968484507</v>
      </c>
      <c r="N4" s="347">
        <v>0</v>
      </c>
      <c r="O4" s="347" t="s">
        <v>4583</v>
      </c>
      <c r="P4" s="347">
        <v>0</v>
      </c>
      <c r="Q4" s="347">
        <v>0</v>
      </c>
      <c r="R4" s="347">
        <v>0</v>
      </c>
      <c r="S4" s="347">
        <v>0</v>
      </c>
      <c r="T4" s="347">
        <v>0</v>
      </c>
      <c r="U4" s="347">
        <v>0</v>
      </c>
      <c r="V4" s="347">
        <v>0</v>
      </c>
      <c r="W4" s="347"/>
      <c r="X4" s="347"/>
    </row>
    <row r="5" spans="2:24" s="359" customFormat="1" ht="27" customHeight="1">
      <c r="B5" s="354" t="s">
        <v>4559</v>
      </c>
      <c r="C5" s="355">
        <f>'CEC analysis'!AG6</f>
        <v>10.842807929192544</v>
      </c>
      <c r="D5" s="356">
        <f>'CEC analysis'!AH6</f>
        <v>47.866995551282059</v>
      </c>
      <c r="E5" s="357">
        <f>'CEC analysis'!AI6</f>
        <v>112.42572178653531</v>
      </c>
      <c r="F5" s="358">
        <f>'CEC analysis'!AJ6</f>
        <v>45.18124583177476</v>
      </c>
      <c r="I5" s="9" t="s">
        <v>4585</v>
      </c>
      <c r="J5" s="347" t="s">
        <v>4585</v>
      </c>
      <c r="K5" s="348">
        <f>E5</f>
        <v>112.42572178653531</v>
      </c>
      <c r="L5" s="349">
        <f>$C$46</f>
        <v>15.18</v>
      </c>
      <c r="M5" s="350">
        <f>E37</f>
        <v>234.03355201819789</v>
      </c>
      <c r="N5" s="347">
        <v>0</v>
      </c>
      <c r="O5" s="347" t="s">
        <v>4583</v>
      </c>
      <c r="P5" s="347">
        <v>0</v>
      </c>
      <c r="Q5" s="347">
        <v>0</v>
      </c>
      <c r="R5" s="347">
        <v>0</v>
      </c>
      <c r="S5" s="347">
        <v>0</v>
      </c>
      <c r="T5" s="347">
        <v>0</v>
      </c>
      <c r="U5" s="347">
        <v>0</v>
      </c>
      <c r="V5" s="347">
        <v>0</v>
      </c>
      <c r="W5" s="347"/>
      <c r="X5" s="347"/>
    </row>
    <row r="6" spans="2:24" s="359" customFormat="1" ht="27" customHeight="1">
      <c r="B6" s="354" t="s">
        <v>3946</v>
      </c>
      <c r="C6" s="507" t="s">
        <v>4586</v>
      </c>
      <c r="D6" s="508"/>
      <c r="E6" s="509"/>
      <c r="F6" s="358">
        <f>'CEC analysis'!AJ28</f>
        <v>24.841753090909091</v>
      </c>
      <c r="I6" s="9" t="s">
        <v>4587</v>
      </c>
      <c r="J6" s="347" t="s">
        <v>4587</v>
      </c>
      <c r="K6" s="348">
        <f>F5</f>
        <v>45.18124583177476</v>
      </c>
      <c r="L6" s="349">
        <f>$C$46</f>
        <v>15.18</v>
      </c>
      <c r="M6" s="350">
        <f>F37</f>
        <v>100.22547927755612</v>
      </c>
      <c r="N6" s="347">
        <v>0</v>
      </c>
      <c r="O6" s="347" t="s">
        <v>4583</v>
      </c>
      <c r="P6" s="347">
        <v>0</v>
      </c>
      <c r="Q6" s="347">
        <v>0</v>
      </c>
      <c r="R6" s="347">
        <v>0</v>
      </c>
      <c r="S6" s="347">
        <v>0</v>
      </c>
      <c r="T6" s="347">
        <v>0</v>
      </c>
      <c r="U6" s="347">
        <v>0</v>
      </c>
      <c r="V6" s="347">
        <v>0</v>
      </c>
      <c r="W6" s="347"/>
      <c r="X6" s="347"/>
    </row>
    <row r="7" spans="2:24" s="359" customFormat="1" ht="27" customHeight="1">
      <c r="B7" s="354" t="s">
        <v>4570</v>
      </c>
      <c r="C7" s="355">
        <f>'CEC analysis'!AG35</f>
        <v>2.859961208970168</v>
      </c>
      <c r="D7" s="356">
        <f>'CEC analysis'!AH35</f>
        <v>15.010049523809521</v>
      </c>
      <c r="E7" s="357">
        <f>'CEC analysis'!AI35</f>
        <v>35.698709719946727</v>
      </c>
      <c r="F7" s="358">
        <f>'CEC analysis'!AJ35</f>
        <v>10.412841849480721</v>
      </c>
      <c r="I7" s="359" t="s">
        <v>4588</v>
      </c>
      <c r="J7" s="347" t="s">
        <v>4588</v>
      </c>
      <c r="K7" s="348">
        <f>F6</f>
        <v>24.841753090909091</v>
      </c>
      <c r="L7" s="349">
        <f>C47</f>
        <v>21.73469387755102</v>
      </c>
      <c r="M7" s="350">
        <f>F38</f>
        <v>45.204258252026108</v>
      </c>
      <c r="N7" s="347">
        <v>0</v>
      </c>
      <c r="O7" s="347" t="s">
        <v>4583</v>
      </c>
      <c r="P7" s="347">
        <v>0</v>
      </c>
      <c r="Q7" s="347">
        <v>0</v>
      </c>
      <c r="R7" s="347">
        <v>0</v>
      </c>
      <c r="S7" s="347">
        <v>0</v>
      </c>
      <c r="T7" s="347">
        <v>0</v>
      </c>
      <c r="U7" s="347">
        <v>0</v>
      </c>
      <c r="V7" s="347">
        <v>0</v>
      </c>
      <c r="W7" s="347"/>
      <c r="X7" s="347"/>
    </row>
    <row r="8" spans="2:24" s="359" customFormat="1" ht="27" customHeight="1" thickBot="1">
      <c r="B8" s="360" t="s">
        <v>3948</v>
      </c>
      <c r="C8" s="510" t="s">
        <v>4586</v>
      </c>
      <c r="D8" s="511"/>
      <c r="E8" s="512"/>
      <c r="F8" s="361">
        <f>'CEC analysis'!AJ45</f>
        <v>10.819064490523967</v>
      </c>
      <c r="I8" s="9" t="s">
        <v>4589</v>
      </c>
      <c r="J8" s="347" t="s">
        <v>4589</v>
      </c>
      <c r="K8" s="348">
        <f>C7</f>
        <v>2.859961208970168</v>
      </c>
      <c r="L8" s="349">
        <f>$C$48</f>
        <v>4.6742424242424248</v>
      </c>
      <c r="M8" s="350">
        <f>C39</f>
        <v>-5.9184254239785714</v>
      </c>
      <c r="N8" s="347">
        <v>0</v>
      </c>
      <c r="O8" s="347" t="s">
        <v>4583</v>
      </c>
      <c r="P8" s="347">
        <v>0</v>
      </c>
      <c r="Q8" s="347">
        <v>0</v>
      </c>
      <c r="R8" s="347">
        <v>0</v>
      </c>
      <c r="S8" s="347">
        <v>0</v>
      </c>
      <c r="T8" s="347">
        <v>0</v>
      </c>
      <c r="U8" s="347">
        <v>0</v>
      </c>
      <c r="V8" s="347">
        <v>0</v>
      </c>
      <c r="W8" s="347"/>
      <c r="X8" s="347"/>
    </row>
    <row r="9" spans="2:24" s="359" customFormat="1" ht="27" customHeight="1">
      <c r="B9" s="343"/>
      <c r="C9" s="9"/>
      <c r="D9" s="9"/>
      <c r="E9" s="9"/>
      <c r="F9" s="9"/>
      <c r="I9" s="9" t="s">
        <v>4590</v>
      </c>
      <c r="J9" s="347" t="s">
        <v>4590</v>
      </c>
      <c r="K9" s="348">
        <f>D7</f>
        <v>15.010049523809521</v>
      </c>
      <c r="L9" s="349">
        <f>$C$48</f>
        <v>4.6742424242424248</v>
      </c>
      <c r="M9" s="350">
        <f>D39</f>
        <v>16.247446340770196</v>
      </c>
      <c r="N9" s="347">
        <v>0</v>
      </c>
      <c r="O9" s="347" t="s">
        <v>4583</v>
      </c>
      <c r="P9" s="347">
        <v>0</v>
      </c>
      <c r="Q9" s="347">
        <v>0</v>
      </c>
      <c r="R9" s="347">
        <v>0</v>
      </c>
      <c r="S9" s="347">
        <v>0</v>
      </c>
      <c r="T9" s="347">
        <v>0</v>
      </c>
      <c r="U9" s="347">
        <v>0</v>
      </c>
      <c r="V9" s="347">
        <v>0</v>
      </c>
      <c r="W9" s="347"/>
      <c r="X9" s="347"/>
    </row>
    <row r="10" spans="2:24" s="359" customFormat="1" ht="27" customHeight="1" thickBot="1">
      <c r="B10" s="183" t="s">
        <v>4591</v>
      </c>
      <c r="C10" s="183"/>
      <c r="D10" s="187"/>
      <c r="E10" s="187"/>
      <c r="F10" s="187"/>
      <c r="I10" s="9" t="s">
        <v>4592</v>
      </c>
      <c r="J10" s="347" t="s">
        <v>4592</v>
      </c>
      <c r="K10" s="348">
        <f>E7</f>
        <v>35.698709719946727</v>
      </c>
      <c r="L10" s="349">
        <f>$C$48</f>
        <v>4.6742424242424248</v>
      </c>
      <c r="M10" s="350">
        <f>E39</f>
        <v>46.849691847074567</v>
      </c>
      <c r="N10" s="347">
        <v>0</v>
      </c>
      <c r="O10" s="347" t="s">
        <v>4583</v>
      </c>
      <c r="P10" s="347">
        <v>0</v>
      </c>
      <c r="Q10" s="347">
        <v>0</v>
      </c>
      <c r="R10" s="347">
        <v>0</v>
      </c>
      <c r="S10" s="347">
        <v>0</v>
      </c>
      <c r="T10" s="347">
        <v>0</v>
      </c>
      <c r="U10" s="347">
        <v>0</v>
      </c>
      <c r="V10" s="347">
        <v>0</v>
      </c>
      <c r="W10" s="347"/>
      <c r="X10" s="347"/>
    </row>
    <row r="11" spans="2:24" s="359" customFormat="1" ht="27" customHeight="1">
      <c r="B11" s="500" t="s">
        <v>4581</v>
      </c>
      <c r="C11" s="502" t="s">
        <v>4093</v>
      </c>
      <c r="D11" s="503"/>
      <c r="E11" s="504"/>
      <c r="F11" s="505" t="s">
        <v>3990</v>
      </c>
      <c r="I11" s="9" t="s">
        <v>4593</v>
      </c>
      <c r="J11" s="347" t="s">
        <v>4593</v>
      </c>
      <c r="K11" s="348">
        <f>F7</f>
        <v>10.412841849480721</v>
      </c>
      <c r="L11" s="349">
        <f>$C$48</f>
        <v>4.6742424242424248</v>
      </c>
      <c r="M11" s="350">
        <f>F39</f>
        <v>11.017658409116242</v>
      </c>
      <c r="N11" s="347">
        <v>0</v>
      </c>
      <c r="O11" s="347" t="s">
        <v>4583</v>
      </c>
      <c r="P11" s="347">
        <v>0</v>
      </c>
      <c r="Q11" s="347">
        <v>0</v>
      </c>
      <c r="R11" s="347">
        <v>0</v>
      </c>
      <c r="S11" s="347">
        <v>0</v>
      </c>
      <c r="T11" s="347">
        <v>0</v>
      </c>
      <c r="U11" s="347">
        <v>0</v>
      </c>
      <c r="V11" s="347">
        <v>0</v>
      </c>
      <c r="W11" s="347"/>
      <c r="X11" s="347"/>
    </row>
    <row r="12" spans="2:24" s="359" customFormat="1" ht="27" customHeight="1">
      <c r="B12" s="501"/>
      <c r="C12" s="351" t="s">
        <v>3987</v>
      </c>
      <c r="D12" s="352" t="s">
        <v>3988</v>
      </c>
      <c r="E12" s="353" t="s">
        <v>3989</v>
      </c>
      <c r="F12" s="506"/>
      <c r="I12" s="359" t="s">
        <v>4594</v>
      </c>
      <c r="J12" s="347" t="s">
        <v>4594</v>
      </c>
      <c r="K12" s="348">
        <f>F8</f>
        <v>10.819064490523967</v>
      </c>
      <c r="L12" s="349">
        <f>C49</f>
        <v>6.5377358490566042</v>
      </c>
      <c r="M12" s="350">
        <f>F40</f>
        <v>12.91926969197284</v>
      </c>
      <c r="N12" s="347">
        <v>0</v>
      </c>
      <c r="O12" s="347" t="s">
        <v>4583</v>
      </c>
      <c r="P12" s="347">
        <v>0</v>
      </c>
      <c r="Q12" s="347">
        <v>0</v>
      </c>
      <c r="R12" s="347">
        <v>0</v>
      </c>
      <c r="S12" s="347">
        <v>0</v>
      </c>
      <c r="T12" s="347">
        <v>0</v>
      </c>
      <c r="U12" s="347">
        <v>0</v>
      </c>
      <c r="V12" s="347">
        <v>0</v>
      </c>
      <c r="W12" s="347"/>
      <c r="X12" s="347"/>
    </row>
    <row r="13" spans="2:24" s="359" customFormat="1" ht="27" customHeight="1">
      <c r="B13" s="354" t="s">
        <v>4559</v>
      </c>
      <c r="C13" s="355">
        <f>-C5*'HVAC Interaction'!$C$12*'HVAC Interaction'!$B3</f>
        <v>-1.3332910621703205</v>
      </c>
      <c r="D13" s="356">
        <f>-D5*'HVAC Interaction'!$C$12*'HVAC Interaction'!$B3</f>
        <v>-5.8859879985187131</v>
      </c>
      <c r="E13" s="357">
        <f>-E5*'HVAC Interaction'!$C$12*'HVAC Interaction'!$B3</f>
        <v>-13.824482642772152</v>
      </c>
      <c r="F13" s="358">
        <f>-F5*'HVAC Interaction'!$C$12*'HVAC Interaction'!$B3</f>
        <v>-5.5557334999026713</v>
      </c>
      <c r="G13" s="9"/>
      <c r="I13" s="9" t="str">
        <f>I3</f>
        <v>Standard Size Refrigerator and Refrigerator-freezer - CEE Tier 1</v>
      </c>
      <c r="J13" s="347" t="str">
        <f t="shared" ref="J13:J22" si="0">J3&amp; " _HVAC"</f>
        <v>Standard Size Refrigerator and Refrigerator-freezer - CEE Tier 1 _HVAC</v>
      </c>
      <c r="K13" s="348">
        <f>C13</f>
        <v>-1.3332910621703205</v>
      </c>
      <c r="L13" s="349">
        <f>L3</f>
        <v>15.18</v>
      </c>
      <c r="M13" s="350">
        <v>0</v>
      </c>
      <c r="N13" s="347">
        <v>0</v>
      </c>
      <c r="O13" s="347" t="s">
        <v>4595</v>
      </c>
      <c r="P13" s="347">
        <v>0</v>
      </c>
      <c r="Q13" s="347">
        <v>0</v>
      </c>
      <c r="R13" s="347">
        <v>0</v>
      </c>
      <c r="S13" s="347">
        <v>0</v>
      </c>
      <c r="T13" s="347">
        <v>0</v>
      </c>
      <c r="U13" s="347">
        <v>0</v>
      </c>
      <c r="V13" s="347">
        <v>0</v>
      </c>
      <c r="W13" s="349">
        <f>C29</f>
        <v>-9.3759564279475016E-2</v>
      </c>
      <c r="X13" s="347" t="str">
        <f t="shared" ref="X13:X22" si="1">O13</f>
        <v>ResSpHtFAFZ1</v>
      </c>
    </row>
    <row r="14" spans="2:24" s="359" customFormat="1" ht="27" customHeight="1">
      <c r="B14" s="354" t="s">
        <v>3946</v>
      </c>
      <c r="C14" s="507" t="s">
        <v>4586</v>
      </c>
      <c r="D14" s="508"/>
      <c r="E14" s="509"/>
      <c r="F14" s="358">
        <f>-F6*'HVAC Interaction'!$C$12*'HVAC Interaction'!$B4</f>
        <v>-1.5894451189684815</v>
      </c>
      <c r="G14" s="9"/>
      <c r="I14" s="9" t="str">
        <f t="shared" ref="I14:I22" si="2">I4</f>
        <v>Standard Size Refrigerator and Refrigerator-freezer - CEE Tier 2</v>
      </c>
      <c r="J14" s="347" t="str">
        <f t="shared" si="0"/>
        <v>Standard Size Refrigerator and Refrigerator-freezer - CEE Tier 2 _HVAC</v>
      </c>
      <c r="K14" s="348">
        <f>D13</f>
        <v>-5.8859879985187131</v>
      </c>
      <c r="L14" s="349">
        <f t="shared" ref="L14:L22" si="3">L4</f>
        <v>15.18</v>
      </c>
      <c r="M14" s="350">
        <v>0</v>
      </c>
      <c r="N14" s="347">
        <v>0</v>
      </c>
      <c r="O14" s="347" t="s">
        <v>4595</v>
      </c>
      <c r="P14" s="347">
        <v>0</v>
      </c>
      <c r="Q14" s="347">
        <v>0</v>
      </c>
      <c r="R14" s="347">
        <v>0</v>
      </c>
      <c r="S14" s="347">
        <v>0</v>
      </c>
      <c r="T14" s="347">
        <v>0</v>
      </c>
      <c r="U14" s="347">
        <v>0</v>
      </c>
      <c r="V14" s="347">
        <v>0</v>
      </c>
      <c r="W14" s="349">
        <f>D29</f>
        <v>-0.41391387503716415</v>
      </c>
      <c r="X14" s="347" t="str">
        <f t="shared" si="1"/>
        <v>ResSpHtFAFZ1</v>
      </c>
    </row>
    <row r="15" spans="2:24" s="359" customFormat="1" ht="27" customHeight="1">
      <c r="B15" s="354" t="s">
        <v>4570</v>
      </c>
      <c r="C15" s="355">
        <f>-C7*'HVAC Interaction'!$C$12*'HVAC Interaction'!$B5</f>
        <v>-0.30887581056877816</v>
      </c>
      <c r="D15" s="356">
        <f>-D7*'HVAC Interaction'!$C$12*'HVAC Interaction'!$B5</f>
        <v>-1.6210853485714285</v>
      </c>
      <c r="E15" s="357">
        <f>-E7*'HVAC Interaction'!$C$12*'HVAC Interaction'!$B5</f>
        <v>-3.8554606497542472</v>
      </c>
      <c r="F15" s="358">
        <f>-F7*'HVAC Interaction'!$C$12*'HVAC Interaction'!$B5</f>
        <v>-1.124586919743918</v>
      </c>
      <c r="G15" s="9"/>
      <c r="I15" s="9" t="str">
        <f t="shared" si="2"/>
        <v>Standard Size Refrigerator and Refrigerator-freezer - CEE Tier 3</v>
      </c>
      <c r="J15" s="347" t="str">
        <f t="shared" si="0"/>
        <v>Standard Size Refrigerator and Refrigerator-freezer - CEE Tier 3 _HVAC</v>
      </c>
      <c r="K15" s="348">
        <f>E13</f>
        <v>-13.824482642772152</v>
      </c>
      <c r="L15" s="349">
        <f t="shared" si="3"/>
        <v>15.18</v>
      </c>
      <c r="M15" s="350">
        <v>0</v>
      </c>
      <c r="N15" s="347">
        <v>0</v>
      </c>
      <c r="O15" s="347" t="s">
        <v>4595</v>
      </c>
      <c r="P15" s="347">
        <v>0</v>
      </c>
      <c r="Q15" s="347">
        <v>0</v>
      </c>
      <c r="R15" s="347">
        <v>0</v>
      </c>
      <c r="S15" s="347">
        <v>0</v>
      </c>
      <c r="T15" s="347">
        <v>0</v>
      </c>
      <c r="U15" s="347">
        <v>0</v>
      </c>
      <c r="V15" s="347">
        <v>0</v>
      </c>
      <c r="W15" s="349">
        <f>E29</f>
        <v>-0.97216392260634754</v>
      </c>
      <c r="X15" s="347" t="str">
        <f t="shared" si="1"/>
        <v>ResSpHtFAFZ1</v>
      </c>
    </row>
    <row r="16" spans="2:24" s="359" customFormat="1" ht="27" customHeight="1" thickBot="1">
      <c r="B16" s="360" t="s">
        <v>3948</v>
      </c>
      <c r="C16" s="510" t="s">
        <v>4586</v>
      </c>
      <c r="D16" s="511"/>
      <c r="E16" s="512"/>
      <c r="F16" s="361">
        <f>-F8*'HVAC Interaction'!$C$12*'HVAC Interaction'!$B6</f>
        <v>-0.65635657909178746</v>
      </c>
      <c r="G16" s="9"/>
      <c r="I16" s="9" t="str">
        <f t="shared" si="2"/>
        <v>Standard Size Refrigerator and Refrigerator-freezer - Energy Star</v>
      </c>
      <c r="J16" s="347" t="str">
        <f t="shared" si="0"/>
        <v>Standard Size Refrigerator and Refrigerator-freezer - Energy Star _HVAC</v>
      </c>
      <c r="K16" s="348">
        <f>F13</f>
        <v>-5.5557334999026713</v>
      </c>
      <c r="L16" s="349">
        <f t="shared" si="3"/>
        <v>15.18</v>
      </c>
      <c r="M16" s="350">
        <v>0</v>
      </c>
      <c r="N16" s="347">
        <v>0</v>
      </c>
      <c r="O16" s="347" t="s">
        <v>4595</v>
      </c>
      <c r="P16" s="347">
        <v>0</v>
      </c>
      <c r="Q16" s="347">
        <v>0</v>
      </c>
      <c r="R16" s="347">
        <v>0</v>
      </c>
      <c r="S16" s="347">
        <v>0</v>
      </c>
      <c r="T16" s="347">
        <v>0</v>
      </c>
      <c r="U16" s="347">
        <v>0</v>
      </c>
      <c r="V16" s="347">
        <v>0</v>
      </c>
      <c r="W16" s="349">
        <f>F29</f>
        <v>-0.39068975033541087</v>
      </c>
      <c r="X16" s="347" t="str">
        <f t="shared" si="1"/>
        <v>ResSpHtFAFZ1</v>
      </c>
    </row>
    <row r="17" spans="1:24" s="359" customFormat="1" ht="27" customHeight="1">
      <c r="A17" s="9"/>
      <c r="B17" s="9"/>
      <c r="C17" s="362"/>
      <c r="D17" s="362"/>
      <c r="E17" s="362"/>
      <c r="F17" s="362"/>
      <c r="G17" s="9"/>
      <c r="I17" s="9" t="str">
        <f t="shared" si="2"/>
        <v>Standard Size Freezer - Energy Star</v>
      </c>
      <c r="J17" s="347" t="str">
        <f t="shared" si="0"/>
        <v>Standard Size Freezer - Energy Star _HVAC</v>
      </c>
      <c r="K17" s="348">
        <f>F14</f>
        <v>-1.5894451189684815</v>
      </c>
      <c r="L17" s="349">
        <f t="shared" si="3"/>
        <v>21.73469387755102</v>
      </c>
      <c r="M17" s="350">
        <v>0</v>
      </c>
      <c r="N17" s="347">
        <v>0</v>
      </c>
      <c r="O17" s="347" t="s">
        <v>4595</v>
      </c>
      <c r="P17" s="347">
        <v>0</v>
      </c>
      <c r="Q17" s="347">
        <v>0</v>
      </c>
      <c r="R17" s="347">
        <v>0</v>
      </c>
      <c r="S17" s="347">
        <v>0</v>
      </c>
      <c r="T17" s="347">
        <v>0</v>
      </c>
      <c r="U17" s="347">
        <v>0</v>
      </c>
      <c r="V17" s="347">
        <v>0</v>
      </c>
      <c r="W17" s="349">
        <f>F30</f>
        <v>-0.11177280492531043</v>
      </c>
      <c r="X17" s="347" t="str">
        <f t="shared" si="1"/>
        <v>ResSpHtFAFZ1</v>
      </c>
    </row>
    <row r="18" spans="1:24" s="359" customFormat="1" ht="27" customHeight="1" thickBot="1">
      <c r="A18" s="9"/>
      <c r="B18" s="183" t="s">
        <v>4596</v>
      </c>
      <c r="C18" s="183"/>
      <c r="D18" s="187"/>
      <c r="E18" s="187"/>
      <c r="F18" s="187"/>
      <c r="I18" s="9" t="str">
        <f t="shared" si="2"/>
        <v>Compact Refrigerator and Refrigerator-freezer - CEE Tier 1</v>
      </c>
      <c r="J18" s="347" t="str">
        <f t="shared" si="0"/>
        <v>Compact Refrigerator and Refrigerator-freezer - CEE Tier 1 _HVAC</v>
      </c>
      <c r="K18" s="348">
        <f>C15</f>
        <v>-0.30887581056877816</v>
      </c>
      <c r="L18" s="349">
        <f t="shared" si="3"/>
        <v>4.6742424242424248</v>
      </c>
      <c r="M18" s="350">
        <v>0</v>
      </c>
      <c r="N18" s="347">
        <v>0</v>
      </c>
      <c r="O18" s="347" t="s">
        <v>4595</v>
      </c>
      <c r="P18" s="347">
        <v>0</v>
      </c>
      <c r="Q18" s="347">
        <v>0</v>
      </c>
      <c r="R18" s="347">
        <v>0</v>
      </c>
      <c r="S18" s="347">
        <v>0</v>
      </c>
      <c r="T18" s="347">
        <v>0</v>
      </c>
      <c r="U18" s="347">
        <v>0</v>
      </c>
      <c r="V18" s="347">
        <v>0</v>
      </c>
      <c r="W18" s="349">
        <f>C31</f>
        <v>-2.1720734682086112E-2</v>
      </c>
      <c r="X18" s="347" t="str">
        <f t="shared" si="1"/>
        <v>ResSpHtFAFZ1</v>
      </c>
    </row>
    <row r="19" spans="1:24" s="359" customFormat="1" ht="27" customHeight="1">
      <c r="A19" s="9"/>
      <c r="B19" s="500" t="s">
        <v>4581</v>
      </c>
      <c r="C19" s="502" t="s">
        <v>4093</v>
      </c>
      <c r="D19" s="503"/>
      <c r="E19" s="504"/>
      <c r="F19" s="505" t="s">
        <v>3990</v>
      </c>
      <c r="I19" s="9" t="str">
        <f t="shared" si="2"/>
        <v>Compact Refrigerator and Refrigerator-freezer - CEE Tier 2</v>
      </c>
      <c r="J19" s="347" t="str">
        <f t="shared" si="0"/>
        <v>Compact Refrigerator and Refrigerator-freezer - CEE Tier 2 _HVAC</v>
      </c>
      <c r="K19" s="348">
        <f>D15</f>
        <v>-1.6210853485714285</v>
      </c>
      <c r="L19" s="349">
        <f t="shared" si="3"/>
        <v>4.6742424242424248</v>
      </c>
      <c r="M19" s="350">
        <v>0</v>
      </c>
      <c r="N19" s="347">
        <v>0</v>
      </c>
      <c r="O19" s="347" t="s">
        <v>4595</v>
      </c>
      <c r="P19" s="347">
        <v>0</v>
      </c>
      <c r="Q19" s="347">
        <v>0</v>
      </c>
      <c r="R19" s="347">
        <v>0</v>
      </c>
      <c r="S19" s="347">
        <v>0</v>
      </c>
      <c r="T19" s="347">
        <v>0</v>
      </c>
      <c r="U19" s="347">
        <v>0</v>
      </c>
      <c r="V19" s="347">
        <v>0</v>
      </c>
      <c r="W19" s="349">
        <f>D31</f>
        <v>-0.11399780607130618</v>
      </c>
      <c r="X19" s="347" t="str">
        <f t="shared" si="1"/>
        <v>ResSpHtFAFZ1</v>
      </c>
    </row>
    <row r="20" spans="1:24" ht="38.25">
      <c r="B20" s="501"/>
      <c r="C20" s="351" t="s">
        <v>3987</v>
      </c>
      <c r="D20" s="352" t="s">
        <v>3988</v>
      </c>
      <c r="E20" s="353" t="s">
        <v>3989</v>
      </c>
      <c r="F20" s="506"/>
      <c r="I20" s="9" t="str">
        <f t="shared" si="2"/>
        <v>Compact Refrigerator and Refrigerator-freezer - CEE Tier 3</v>
      </c>
      <c r="J20" s="347" t="str">
        <f t="shared" si="0"/>
        <v>Compact Refrigerator and Refrigerator-freezer - CEE Tier 3 _HVAC</v>
      </c>
      <c r="K20" s="348">
        <f>E15</f>
        <v>-3.8554606497542472</v>
      </c>
      <c r="L20" s="349">
        <f t="shared" si="3"/>
        <v>4.6742424242424248</v>
      </c>
      <c r="M20" s="350">
        <v>0</v>
      </c>
      <c r="N20" s="347">
        <v>0</v>
      </c>
      <c r="O20" s="347" t="s">
        <v>4595</v>
      </c>
      <c r="P20" s="347">
        <v>0</v>
      </c>
      <c r="Q20" s="347">
        <v>0</v>
      </c>
      <c r="R20" s="347">
        <v>0</v>
      </c>
      <c r="S20" s="347">
        <v>0</v>
      </c>
      <c r="T20" s="347">
        <v>0</v>
      </c>
      <c r="U20" s="347">
        <v>0</v>
      </c>
      <c r="V20" s="347">
        <v>0</v>
      </c>
      <c r="W20" s="349">
        <f>E31</f>
        <v>-0.27112332848702619</v>
      </c>
      <c r="X20" s="347" t="str">
        <f t="shared" si="1"/>
        <v>ResSpHtFAFZ1</v>
      </c>
    </row>
    <row r="21" spans="1:24" ht="25.5">
      <c r="B21" s="354" t="s">
        <v>4559</v>
      </c>
      <c r="C21" s="355">
        <f>C5+C13</f>
        <v>9.5095168670222243</v>
      </c>
      <c r="D21" s="356">
        <f t="shared" ref="D21:F21" si="4">D5+D13</f>
        <v>41.981007552763344</v>
      </c>
      <c r="E21" s="357">
        <f t="shared" si="4"/>
        <v>98.601239143763152</v>
      </c>
      <c r="F21" s="358">
        <f t="shared" si="4"/>
        <v>39.625512331872088</v>
      </c>
      <c r="I21" s="9" t="str">
        <f t="shared" si="2"/>
        <v>Compact Refrigerator and Refrigerator-freezer - Energy Star</v>
      </c>
      <c r="J21" s="347" t="str">
        <f t="shared" si="0"/>
        <v>Compact Refrigerator and Refrigerator-freezer - Energy Star _HVAC</v>
      </c>
      <c r="K21" s="348">
        <f>F15</f>
        <v>-1.124586919743918</v>
      </c>
      <c r="L21" s="349">
        <f t="shared" si="3"/>
        <v>4.6742424242424248</v>
      </c>
      <c r="M21" s="350">
        <v>0</v>
      </c>
      <c r="N21" s="347">
        <v>0</v>
      </c>
      <c r="O21" s="347" t="s">
        <v>4595</v>
      </c>
      <c r="P21" s="347">
        <v>0</v>
      </c>
      <c r="Q21" s="347">
        <v>0</v>
      </c>
      <c r="R21" s="347">
        <v>0</v>
      </c>
      <c r="S21" s="347">
        <v>0</v>
      </c>
      <c r="T21" s="347">
        <v>0</v>
      </c>
      <c r="U21" s="347">
        <v>0</v>
      </c>
      <c r="V21" s="347">
        <v>0</v>
      </c>
      <c r="W21" s="349">
        <f>F31</f>
        <v>-7.9083091892891741E-2</v>
      </c>
      <c r="X21" s="347" t="str">
        <f t="shared" si="1"/>
        <v>ResSpHtFAFZ1</v>
      </c>
    </row>
    <row r="22" spans="1:24" ht="14.25">
      <c r="B22" s="354" t="s">
        <v>3946</v>
      </c>
      <c r="C22" s="507" t="s">
        <v>4586</v>
      </c>
      <c r="D22" s="508"/>
      <c r="E22" s="509"/>
      <c r="F22" s="358">
        <f>F6+F14</f>
        <v>23.25230797194061</v>
      </c>
      <c r="I22" s="9" t="str">
        <f t="shared" si="2"/>
        <v>Compact Freezer - Energy Star</v>
      </c>
      <c r="J22" s="347" t="str">
        <f t="shared" si="0"/>
        <v>Compact Freezer - Energy Star _HVAC</v>
      </c>
      <c r="K22" s="348">
        <f>F16</f>
        <v>-0.65635657909178746</v>
      </c>
      <c r="L22" s="349">
        <f t="shared" si="3"/>
        <v>6.5377358490566042</v>
      </c>
      <c r="M22" s="350">
        <v>0</v>
      </c>
      <c r="N22" s="347">
        <v>0</v>
      </c>
      <c r="O22" s="347" t="s">
        <v>4595</v>
      </c>
      <c r="P22" s="347">
        <v>0</v>
      </c>
      <c r="Q22" s="347">
        <v>0</v>
      </c>
      <c r="R22" s="347">
        <v>0</v>
      </c>
      <c r="S22" s="347">
        <v>0</v>
      </c>
      <c r="T22" s="347">
        <v>0</v>
      </c>
      <c r="U22" s="347">
        <v>0</v>
      </c>
      <c r="V22" s="347">
        <v>0</v>
      </c>
      <c r="W22" s="349">
        <f>F32</f>
        <v>-4.615624345927808E-2</v>
      </c>
      <c r="X22" s="347" t="str">
        <f t="shared" si="1"/>
        <v>ResSpHtFAFZ1</v>
      </c>
    </row>
    <row r="23" spans="1:24" ht="12.75" customHeight="1">
      <c r="B23" s="354" t="s">
        <v>4570</v>
      </c>
      <c r="C23" s="355">
        <f>C7+C15</f>
        <v>2.5510853984013897</v>
      </c>
      <c r="D23" s="356">
        <f>D7+D15</f>
        <v>13.388964175238092</v>
      </c>
      <c r="E23" s="357">
        <f>E7+E15</f>
        <v>31.843249070192481</v>
      </c>
      <c r="F23" s="358">
        <f>F7+F15</f>
        <v>9.2882549297368033</v>
      </c>
      <c r="K23" s="363"/>
    </row>
    <row r="24" spans="1:24" ht="15" thickBot="1">
      <c r="B24" s="360" t="s">
        <v>3948</v>
      </c>
      <c r="C24" s="510" t="s">
        <v>4586</v>
      </c>
      <c r="D24" s="511"/>
      <c r="E24" s="512"/>
      <c r="F24" s="361">
        <f>F8+F16</f>
        <v>10.162707911432181</v>
      </c>
      <c r="K24" s="44"/>
    </row>
    <row r="25" spans="1:24" ht="25.5" customHeight="1">
      <c r="B25" s="9"/>
      <c r="C25" s="362"/>
      <c r="D25" s="362"/>
      <c r="E25" s="362"/>
      <c r="F25" s="362"/>
      <c r="I25" s="52" t="s">
        <v>4597</v>
      </c>
    </row>
    <row r="26" spans="1:24" ht="39" thickBot="1">
      <c r="B26" s="183" t="s">
        <v>4598</v>
      </c>
      <c r="C26" s="183"/>
      <c r="D26" s="187"/>
      <c r="E26" s="187"/>
      <c r="F26" s="187"/>
      <c r="I26" s="23" t="s">
        <v>6</v>
      </c>
      <c r="J26" s="23" t="s">
        <v>7</v>
      </c>
      <c r="K26" s="23" t="s">
        <v>8</v>
      </c>
      <c r="L26" s="23" t="s">
        <v>9</v>
      </c>
      <c r="M26" s="23" t="s">
        <v>10</v>
      </c>
      <c r="N26" s="344" t="s">
        <v>11</v>
      </c>
      <c r="O26" s="23" t="s">
        <v>12</v>
      </c>
      <c r="P26" s="345" t="s">
        <v>13</v>
      </c>
      <c r="Q26" s="345" t="s">
        <v>14</v>
      </c>
      <c r="R26" s="345" t="s">
        <v>15</v>
      </c>
      <c r="S26" s="345" t="s">
        <v>16</v>
      </c>
      <c r="T26" s="345" t="s">
        <v>17</v>
      </c>
      <c r="U26" s="345" t="s">
        <v>18</v>
      </c>
      <c r="V26" s="345" t="s">
        <v>19</v>
      </c>
      <c r="W26" s="346" t="s">
        <v>20</v>
      </c>
      <c r="X26" s="345" t="s">
        <v>12</v>
      </c>
    </row>
    <row r="27" spans="1:24" ht="25.5" customHeight="1">
      <c r="B27" s="500" t="s">
        <v>4581</v>
      </c>
      <c r="C27" s="502" t="s">
        <v>4093</v>
      </c>
      <c r="D27" s="503"/>
      <c r="E27" s="504"/>
      <c r="F27" s="505" t="s">
        <v>3990</v>
      </c>
      <c r="I27" s="9" t="str">
        <f>I3</f>
        <v>Standard Size Refrigerator and Refrigerator-freezer - CEE Tier 1</v>
      </c>
      <c r="J27" s="9" t="str">
        <f>J3</f>
        <v>Standard Size Refrigerator and Refrigerator-freezer - CEE Tier 1</v>
      </c>
      <c r="K27" s="348">
        <f>IF(K3&lt;0,0,K3)</f>
        <v>10.842807929192544</v>
      </c>
      <c r="L27" s="349">
        <f>L3</f>
        <v>15.18</v>
      </c>
      <c r="M27" s="350">
        <f>IF(M3&lt;0,0,M3)</f>
        <v>30.245004256070963</v>
      </c>
      <c r="N27" s="347">
        <f>N3</f>
        <v>0</v>
      </c>
      <c r="O27" s="347" t="str">
        <f t="shared" ref="O27:V27" si="5">O3</f>
        <v>ResFRIG</v>
      </c>
      <c r="P27" s="347">
        <f t="shared" si="5"/>
        <v>0</v>
      </c>
      <c r="Q27" s="347">
        <f t="shared" si="5"/>
        <v>0</v>
      </c>
      <c r="R27" s="347">
        <f t="shared" si="5"/>
        <v>0</v>
      </c>
      <c r="S27" s="347">
        <f t="shared" si="5"/>
        <v>0</v>
      </c>
      <c r="T27" s="347">
        <f t="shared" si="5"/>
        <v>0</v>
      </c>
      <c r="U27" s="347">
        <f t="shared" si="5"/>
        <v>0</v>
      </c>
      <c r="V27" s="347">
        <f t="shared" si="5"/>
        <v>0</v>
      </c>
      <c r="W27" s="347"/>
    </row>
    <row r="28" spans="1:24" ht="25.5" customHeight="1">
      <c r="B28" s="501"/>
      <c r="C28" s="351" t="s">
        <v>3987</v>
      </c>
      <c r="D28" s="352" t="s">
        <v>3988</v>
      </c>
      <c r="E28" s="353" t="s">
        <v>3989</v>
      </c>
      <c r="F28" s="506"/>
      <c r="I28" s="9" t="str">
        <f t="shared" ref="I28:J43" si="6">I4</f>
        <v>Standard Size Refrigerator and Refrigerator-freezer - CEE Tier 2</v>
      </c>
      <c r="J28" s="9" t="str">
        <f t="shared" si="6"/>
        <v>Standard Size Refrigerator and Refrigerator-freezer - CEE Tier 2</v>
      </c>
      <c r="K28" s="348">
        <f t="shared" ref="K28:K36" si="7">IF(K4&lt;0,0,K4)</f>
        <v>47.866995551282059</v>
      </c>
      <c r="L28" s="349">
        <f t="shared" ref="L28:V43" si="8">L4</f>
        <v>15.18</v>
      </c>
      <c r="M28" s="350">
        <f t="shared" ref="M28:M36" si="9">IF(M4&lt;0,0,M4)</f>
        <v>134.90182968484507</v>
      </c>
      <c r="N28" s="347">
        <f t="shared" ref="N28:V37" si="10">N4</f>
        <v>0</v>
      </c>
      <c r="O28" s="347" t="str">
        <f t="shared" si="10"/>
        <v>ResFRIG</v>
      </c>
      <c r="P28" s="347">
        <f t="shared" si="10"/>
        <v>0</v>
      </c>
      <c r="Q28" s="347">
        <f t="shared" si="10"/>
        <v>0</v>
      </c>
      <c r="R28" s="347">
        <f t="shared" si="10"/>
        <v>0</v>
      </c>
      <c r="S28" s="347">
        <f t="shared" si="10"/>
        <v>0</v>
      </c>
      <c r="T28" s="347">
        <f t="shared" si="10"/>
        <v>0</v>
      </c>
      <c r="U28" s="347">
        <f t="shared" si="10"/>
        <v>0</v>
      </c>
      <c r="V28" s="347">
        <f t="shared" si="10"/>
        <v>0</v>
      </c>
      <c r="W28" s="347"/>
    </row>
    <row r="29" spans="1:24" ht="25.5" customHeight="1">
      <c r="B29" s="354" t="s">
        <v>4559</v>
      </c>
      <c r="C29" s="364">
        <f>-C5*'HVAC Interaction'!$D$3</f>
        <v>-9.3759564279475016E-2</v>
      </c>
      <c r="D29" s="365">
        <f>-D5*'HVAC Interaction'!$D$3</f>
        <v>-0.41391387503716415</v>
      </c>
      <c r="E29" s="366">
        <f>-E5*'HVAC Interaction'!$D$3</f>
        <v>-0.97216392260634754</v>
      </c>
      <c r="F29" s="367">
        <f>-F5*'HVAC Interaction'!$D$3</f>
        <v>-0.39068975033541087</v>
      </c>
      <c r="I29" s="9" t="str">
        <f t="shared" si="6"/>
        <v>Standard Size Refrigerator and Refrigerator-freezer - CEE Tier 3</v>
      </c>
      <c r="J29" s="9" t="str">
        <f t="shared" si="6"/>
        <v>Standard Size Refrigerator and Refrigerator-freezer - CEE Tier 3</v>
      </c>
      <c r="K29" s="348">
        <f t="shared" si="7"/>
        <v>112.42572178653531</v>
      </c>
      <c r="L29" s="349">
        <f t="shared" si="8"/>
        <v>15.18</v>
      </c>
      <c r="M29" s="350">
        <f t="shared" si="9"/>
        <v>234.03355201819789</v>
      </c>
      <c r="N29" s="347">
        <f t="shared" si="10"/>
        <v>0</v>
      </c>
      <c r="O29" s="347" t="str">
        <f t="shared" si="10"/>
        <v>ResFRIG</v>
      </c>
      <c r="P29" s="347">
        <f t="shared" si="10"/>
        <v>0</v>
      </c>
      <c r="Q29" s="347">
        <f t="shared" si="10"/>
        <v>0</v>
      </c>
      <c r="R29" s="347">
        <f t="shared" si="10"/>
        <v>0</v>
      </c>
      <c r="S29" s="347">
        <f t="shared" si="10"/>
        <v>0</v>
      </c>
      <c r="T29" s="347">
        <f t="shared" si="10"/>
        <v>0</v>
      </c>
      <c r="U29" s="347">
        <f t="shared" si="10"/>
        <v>0</v>
      </c>
      <c r="V29" s="347">
        <f t="shared" si="10"/>
        <v>0</v>
      </c>
      <c r="W29" s="347"/>
    </row>
    <row r="30" spans="1:24" ht="25.5" customHeight="1">
      <c r="B30" s="354" t="s">
        <v>3946</v>
      </c>
      <c r="C30" s="513" t="s">
        <v>4586</v>
      </c>
      <c r="D30" s="514"/>
      <c r="E30" s="515"/>
      <c r="F30" s="367">
        <f>-F6*'HVAC Interaction'!$D$4</f>
        <v>-0.11177280492531043</v>
      </c>
      <c r="I30" s="9" t="str">
        <f t="shared" si="6"/>
        <v>Standard Size Refrigerator and Refrigerator-freezer - Energy Star</v>
      </c>
      <c r="J30" s="9" t="str">
        <f t="shared" si="6"/>
        <v>Standard Size Refrigerator and Refrigerator-freezer - Energy Star</v>
      </c>
      <c r="K30" s="348">
        <f t="shared" si="7"/>
        <v>45.18124583177476</v>
      </c>
      <c r="L30" s="349">
        <f t="shared" si="8"/>
        <v>15.18</v>
      </c>
      <c r="M30" s="350">
        <f t="shared" si="9"/>
        <v>100.22547927755612</v>
      </c>
      <c r="N30" s="347">
        <f t="shared" si="10"/>
        <v>0</v>
      </c>
      <c r="O30" s="347" t="str">
        <f t="shared" si="10"/>
        <v>ResFRIG</v>
      </c>
      <c r="P30" s="347">
        <f t="shared" si="10"/>
        <v>0</v>
      </c>
      <c r="Q30" s="347">
        <f t="shared" si="10"/>
        <v>0</v>
      </c>
      <c r="R30" s="347">
        <f t="shared" si="10"/>
        <v>0</v>
      </c>
      <c r="S30" s="347">
        <f t="shared" si="10"/>
        <v>0</v>
      </c>
      <c r="T30" s="347">
        <f t="shared" si="10"/>
        <v>0</v>
      </c>
      <c r="U30" s="347">
        <f t="shared" si="10"/>
        <v>0</v>
      </c>
      <c r="V30" s="347">
        <f t="shared" si="10"/>
        <v>0</v>
      </c>
      <c r="W30" s="347"/>
    </row>
    <row r="31" spans="1:24" ht="25.5" customHeight="1">
      <c r="B31" s="354" t="s">
        <v>4570</v>
      </c>
      <c r="C31" s="364">
        <f>-C7*'HVAC Interaction'!$D$5</f>
        <v>-2.1720734682086112E-2</v>
      </c>
      <c r="D31" s="365">
        <f>-D7*'HVAC Interaction'!$D$5</f>
        <v>-0.11399780607130618</v>
      </c>
      <c r="E31" s="366">
        <f>-E7*'HVAC Interaction'!$D$5</f>
        <v>-0.27112332848702619</v>
      </c>
      <c r="F31" s="367">
        <f>-F7*'HVAC Interaction'!$D$5</f>
        <v>-7.9083091892891741E-2</v>
      </c>
      <c r="I31" s="9" t="str">
        <f t="shared" si="6"/>
        <v>Standard Size Freezer - Energy Star</v>
      </c>
      <c r="J31" s="9" t="str">
        <f t="shared" si="6"/>
        <v>Standard Size Freezer - Energy Star</v>
      </c>
      <c r="K31" s="348">
        <f t="shared" si="7"/>
        <v>24.841753090909091</v>
      </c>
      <c r="L31" s="349">
        <f t="shared" si="8"/>
        <v>21.73469387755102</v>
      </c>
      <c r="M31" s="350">
        <f t="shared" si="9"/>
        <v>45.204258252026108</v>
      </c>
      <c r="N31" s="347">
        <f t="shared" si="10"/>
        <v>0</v>
      </c>
      <c r="O31" s="347" t="str">
        <f t="shared" si="10"/>
        <v>ResFRIG</v>
      </c>
      <c r="P31" s="347">
        <f t="shared" si="10"/>
        <v>0</v>
      </c>
      <c r="Q31" s="347">
        <f t="shared" si="10"/>
        <v>0</v>
      </c>
      <c r="R31" s="347">
        <f t="shared" si="10"/>
        <v>0</v>
      </c>
      <c r="S31" s="347">
        <f t="shared" si="10"/>
        <v>0</v>
      </c>
      <c r="T31" s="347">
        <f t="shared" si="10"/>
        <v>0</v>
      </c>
      <c r="U31" s="347">
        <f t="shared" si="10"/>
        <v>0</v>
      </c>
      <c r="V31" s="347">
        <f t="shared" si="10"/>
        <v>0</v>
      </c>
      <c r="W31" s="347"/>
    </row>
    <row r="32" spans="1:24" ht="25.5" customHeight="1" thickBot="1">
      <c r="B32" s="360" t="s">
        <v>3948</v>
      </c>
      <c r="C32" s="516" t="s">
        <v>4586</v>
      </c>
      <c r="D32" s="517"/>
      <c r="E32" s="518"/>
      <c r="F32" s="368">
        <f>-F8*'HVAC Interaction'!$D$6</f>
        <v>-4.615624345927808E-2</v>
      </c>
      <c r="I32" s="9" t="str">
        <f t="shared" si="6"/>
        <v>Compact Refrigerator and Refrigerator-freezer - CEE Tier 1</v>
      </c>
      <c r="J32" s="9" t="str">
        <f t="shared" si="6"/>
        <v>Compact Refrigerator and Refrigerator-freezer - CEE Tier 1</v>
      </c>
      <c r="K32" s="348">
        <f t="shared" si="7"/>
        <v>2.859961208970168</v>
      </c>
      <c r="L32" s="349">
        <f t="shared" si="8"/>
        <v>4.6742424242424248</v>
      </c>
      <c r="M32" s="350">
        <f t="shared" si="9"/>
        <v>0</v>
      </c>
      <c r="N32" s="347">
        <f t="shared" si="10"/>
        <v>0</v>
      </c>
      <c r="O32" s="347" t="str">
        <f t="shared" si="10"/>
        <v>ResFRIG</v>
      </c>
      <c r="P32" s="347">
        <f t="shared" si="10"/>
        <v>0</v>
      </c>
      <c r="Q32" s="347">
        <f t="shared" si="10"/>
        <v>0</v>
      </c>
      <c r="R32" s="347">
        <f t="shared" si="10"/>
        <v>0</v>
      </c>
      <c r="S32" s="347">
        <f t="shared" si="10"/>
        <v>0</v>
      </c>
      <c r="T32" s="347">
        <f t="shared" si="10"/>
        <v>0</v>
      </c>
      <c r="U32" s="347">
        <f t="shared" si="10"/>
        <v>0</v>
      </c>
      <c r="V32" s="347">
        <f t="shared" si="10"/>
        <v>0</v>
      </c>
      <c r="W32" s="347"/>
    </row>
    <row r="33" spans="2:24" ht="25.5" customHeight="1">
      <c r="B33" s="9"/>
      <c r="C33" s="362"/>
      <c r="D33" s="362"/>
      <c r="E33" s="362"/>
      <c r="F33" s="362"/>
      <c r="I33" s="9" t="str">
        <f t="shared" si="6"/>
        <v>Compact Refrigerator and Refrigerator-freezer - CEE Tier 2</v>
      </c>
      <c r="J33" s="9" t="str">
        <f t="shared" si="6"/>
        <v>Compact Refrigerator and Refrigerator-freezer - CEE Tier 2</v>
      </c>
      <c r="K33" s="348">
        <f t="shared" si="7"/>
        <v>15.010049523809521</v>
      </c>
      <c r="L33" s="349">
        <f t="shared" si="8"/>
        <v>4.6742424242424248</v>
      </c>
      <c r="M33" s="350">
        <f t="shared" si="9"/>
        <v>16.247446340770196</v>
      </c>
      <c r="N33" s="347">
        <f t="shared" si="10"/>
        <v>0</v>
      </c>
      <c r="O33" s="347" t="str">
        <f t="shared" si="10"/>
        <v>ResFRIG</v>
      </c>
      <c r="P33" s="347">
        <f t="shared" si="10"/>
        <v>0</v>
      </c>
      <c r="Q33" s="347">
        <f t="shared" si="10"/>
        <v>0</v>
      </c>
      <c r="R33" s="347">
        <f t="shared" si="10"/>
        <v>0</v>
      </c>
      <c r="S33" s="347">
        <f t="shared" si="10"/>
        <v>0</v>
      </c>
      <c r="T33" s="347">
        <f t="shared" si="10"/>
        <v>0</v>
      </c>
      <c r="U33" s="347">
        <f t="shared" si="10"/>
        <v>0</v>
      </c>
      <c r="V33" s="347">
        <f t="shared" si="10"/>
        <v>0</v>
      </c>
      <c r="W33" s="347"/>
    </row>
    <row r="34" spans="2:24" ht="25.5" customHeight="1" thickBot="1">
      <c r="B34" s="183" t="s">
        <v>4983</v>
      </c>
      <c r="C34" s="183"/>
      <c r="D34" s="187"/>
      <c r="E34" s="187"/>
      <c r="F34" s="187"/>
      <c r="I34" s="9" t="str">
        <f t="shared" si="6"/>
        <v>Compact Refrigerator and Refrigerator-freezer - CEE Tier 3</v>
      </c>
      <c r="J34" s="9" t="str">
        <f t="shared" si="6"/>
        <v>Compact Refrigerator and Refrigerator-freezer - CEE Tier 3</v>
      </c>
      <c r="K34" s="348">
        <f t="shared" si="7"/>
        <v>35.698709719946727</v>
      </c>
      <c r="L34" s="349">
        <f t="shared" si="8"/>
        <v>4.6742424242424248</v>
      </c>
      <c r="M34" s="350">
        <f t="shared" si="9"/>
        <v>46.849691847074567</v>
      </c>
      <c r="N34" s="347">
        <f t="shared" si="10"/>
        <v>0</v>
      </c>
      <c r="O34" s="347" t="str">
        <f t="shared" si="10"/>
        <v>ResFRIG</v>
      </c>
      <c r="P34" s="347">
        <f t="shared" si="10"/>
        <v>0</v>
      </c>
      <c r="Q34" s="347">
        <f t="shared" si="10"/>
        <v>0</v>
      </c>
      <c r="R34" s="347">
        <f t="shared" si="10"/>
        <v>0</v>
      </c>
      <c r="S34" s="347">
        <f t="shared" si="10"/>
        <v>0</v>
      </c>
      <c r="T34" s="347">
        <f t="shared" si="10"/>
        <v>0</v>
      </c>
      <c r="U34" s="347">
        <f t="shared" si="10"/>
        <v>0</v>
      </c>
      <c r="V34" s="347">
        <f t="shared" si="10"/>
        <v>0</v>
      </c>
      <c r="W34" s="347"/>
    </row>
    <row r="35" spans="2:24" ht="25.5" customHeight="1">
      <c r="B35" s="500" t="s">
        <v>4581</v>
      </c>
      <c r="C35" s="502" t="s">
        <v>4093</v>
      </c>
      <c r="D35" s="503"/>
      <c r="E35" s="504"/>
      <c r="F35" s="505" t="s">
        <v>3990</v>
      </c>
      <c r="I35" s="9" t="str">
        <f t="shared" si="6"/>
        <v>Compact Refrigerator and Refrigerator-freezer - Energy Star</v>
      </c>
      <c r="J35" s="9" t="str">
        <f t="shared" si="6"/>
        <v>Compact Refrigerator and Refrigerator-freezer - Energy Star</v>
      </c>
      <c r="K35" s="348">
        <f t="shared" si="7"/>
        <v>10.412841849480721</v>
      </c>
      <c r="L35" s="349">
        <f t="shared" si="8"/>
        <v>4.6742424242424248</v>
      </c>
      <c r="M35" s="350">
        <f t="shared" si="9"/>
        <v>11.017658409116242</v>
      </c>
      <c r="N35" s="347">
        <f t="shared" si="10"/>
        <v>0</v>
      </c>
      <c r="O35" s="347" t="str">
        <f t="shared" si="10"/>
        <v>ResFRIG</v>
      </c>
      <c r="P35" s="347">
        <f t="shared" si="10"/>
        <v>0</v>
      </c>
      <c r="Q35" s="347">
        <f t="shared" si="10"/>
        <v>0</v>
      </c>
      <c r="R35" s="347">
        <f t="shared" si="10"/>
        <v>0</v>
      </c>
      <c r="S35" s="347">
        <f t="shared" si="10"/>
        <v>0</v>
      </c>
      <c r="T35" s="347">
        <f t="shared" si="10"/>
        <v>0</v>
      </c>
      <c r="U35" s="347">
        <f t="shared" si="10"/>
        <v>0</v>
      </c>
      <c r="V35" s="347">
        <f t="shared" si="10"/>
        <v>0</v>
      </c>
      <c r="W35" s="347"/>
    </row>
    <row r="36" spans="2:24" ht="38.25">
      <c r="B36" s="501"/>
      <c r="C36" s="351" t="s">
        <v>3987</v>
      </c>
      <c r="D36" s="352" t="s">
        <v>3988</v>
      </c>
      <c r="E36" s="353" t="s">
        <v>3989</v>
      </c>
      <c r="F36" s="506"/>
      <c r="I36" s="9" t="str">
        <f t="shared" si="6"/>
        <v>Compact Freezer - Energy Star</v>
      </c>
      <c r="J36" s="9" t="str">
        <f t="shared" si="6"/>
        <v>Compact Freezer - Energy Star</v>
      </c>
      <c r="K36" s="348">
        <f t="shared" si="7"/>
        <v>10.819064490523967</v>
      </c>
      <c r="L36" s="349">
        <f t="shared" si="8"/>
        <v>6.5377358490566042</v>
      </c>
      <c r="M36" s="350">
        <f t="shared" si="9"/>
        <v>12.91926969197284</v>
      </c>
      <c r="N36" s="347">
        <f t="shared" si="10"/>
        <v>0</v>
      </c>
      <c r="O36" s="347" t="str">
        <f t="shared" si="10"/>
        <v>ResFRIG</v>
      </c>
      <c r="P36" s="347">
        <f t="shared" si="10"/>
        <v>0</v>
      </c>
      <c r="Q36" s="347">
        <f t="shared" si="10"/>
        <v>0</v>
      </c>
      <c r="R36" s="347">
        <f t="shared" si="10"/>
        <v>0</v>
      </c>
      <c r="S36" s="347">
        <f t="shared" si="10"/>
        <v>0</v>
      </c>
      <c r="T36" s="347">
        <f t="shared" si="10"/>
        <v>0</v>
      </c>
      <c r="U36" s="347">
        <f t="shared" si="10"/>
        <v>0</v>
      </c>
      <c r="V36" s="347">
        <f t="shared" si="10"/>
        <v>0</v>
      </c>
      <c r="W36" s="347"/>
    </row>
    <row r="37" spans="2:24" ht="25.5">
      <c r="B37" s="354" t="s">
        <v>4559</v>
      </c>
      <c r="C37" s="369">
        <f>'Cost Summary'!C26</f>
        <v>30.245004256070963</v>
      </c>
      <c r="D37" s="370">
        <f>'Cost Summary'!C27</f>
        <v>134.90182968484507</v>
      </c>
      <c r="E37" s="371">
        <f>'Cost Summary'!C28</f>
        <v>234.03355201819789</v>
      </c>
      <c r="F37" s="372">
        <f>'Cost Summary'!C29</f>
        <v>100.22547927755612</v>
      </c>
      <c r="I37" s="9" t="str">
        <f t="shared" si="6"/>
        <v>Standard Size Refrigerator and Refrigerator-freezer - CEE Tier 1</v>
      </c>
      <c r="J37" s="9" t="str">
        <f t="shared" si="6"/>
        <v>Standard Size Refrigerator and Refrigerator-freezer - CEE Tier 1 _HVAC</v>
      </c>
      <c r="K37" s="348">
        <f>IF(K3&lt;0,0,K13)</f>
        <v>-1.3332910621703205</v>
      </c>
      <c r="L37" s="349">
        <f t="shared" si="8"/>
        <v>15.18</v>
      </c>
      <c r="M37" s="350">
        <f>M13</f>
        <v>0</v>
      </c>
      <c r="N37" s="347">
        <f t="shared" si="10"/>
        <v>0</v>
      </c>
      <c r="O37" s="347" t="str">
        <f t="shared" si="10"/>
        <v>ResSpHtFAFZ1</v>
      </c>
      <c r="P37" s="347">
        <f t="shared" si="10"/>
        <v>0</v>
      </c>
      <c r="Q37" s="347">
        <f t="shared" si="10"/>
        <v>0</v>
      </c>
      <c r="R37" s="347">
        <f t="shared" si="10"/>
        <v>0</v>
      </c>
      <c r="S37" s="347">
        <f t="shared" si="10"/>
        <v>0</v>
      </c>
      <c r="T37" s="347">
        <f t="shared" si="10"/>
        <v>0</v>
      </c>
      <c r="U37" s="347">
        <f t="shared" si="10"/>
        <v>0</v>
      </c>
      <c r="V37" s="347">
        <f t="shared" si="10"/>
        <v>0</v>
      </c>
      <c r="W37" s="349">
        <f>IF(K3&lt;0,0,W13)</f>
        <v>-9.3759564279475016E-2</v>
      </c>
      <c r="X37" s="9" t="str">
        <f>X13</f>
        <v>ResSpHtFAFZ1</v>
      </c>
    </row>
    <row r="38" spans="2:24" ht="14.25">
      <c r="B38" s="354" t="s">
        <v>3946</v>
      </c>
      <c r="C38" s="519" t="s">
        <v>4586</v>
      </c>
      <c r="D38" s="520"/>
      <c r="E38" s="521"/>
      <c r="F38" s="372">
        <f>'Cost Summary'!F29</f>
        <v>45.204258252026108</v>
      </c>
      <c r="I38" s="9" t="str">
        <f t="shared" si="6"/>
        <v>Standard Size Refrigerator and Refrigerator-freezer - CEE Tier 2</v>
      </c>
      <c r="J38" s="9" t="str">
        <f t="shared" si="6"/>
        <v>Standard Size Refrigerator and Refrigerator-freezer - CEE Tier 2 _HVAC</v>
      </c>
      <c r="K38" s="348">
        <f t="shared" ref="K38:K46" si="11">IF(K4&lt;0,0,K14)</f>
        <v>-5.8859879985187131</v>
      </c>
      <c r="L38" s="349">
        <f t="shared" si="8"/>
        <v>15.18</v>
      </c>
      <c r="M38" s="350">
        <f t="shared" si="8"/>
        <v>0</v>
      </c>
      <c r="N38" s="347">
        <f t="shared" si="8"/>
        <v>0</v>
      </c>
      <c r="O38" s="347" t="str">
        <f t="shared" si="8"/>
        <v>ResSpHtFAFZ1</v>
      </c>
      <c r="P38" s="347">
        <f t="shared" si="8"/>
        <v>0</v>
      </c>
      <c r="Q38" s="347">
        <f t="shared" si="8"/>
        <v>0</v>
      </c>
      <c r="R38" s="347">
        <f t="shared" si="8"/>
        <v>0</v>
      </c>
      <c r="S38" s="347">
        <f t="shared" si="8"/>
        <v>0</v>
      </c>
      <c r="T38" s="347">
        <f t="shared" si="8"/>
        <v>0</v>
      </c>
      <c r="U38" s="347">
        <f t="shared" si="8"/>
        <v>0</v>
      </c>
      <c r="V38" s="347">
        <f t="shared" si="8"/>
        <v>0</v>
      </c>
      <c r="W38" s="349">
        <f t="shared" ref="W38:W46" si="12">IF(K4&lt;0,0,W14)</f>
        <v>-0.41391387503716415</v>
      </c>
      <c r="X38" s="9" t="str">
        <f t="shared" ref="X38:X46" si="13">X14</f>
        <v>ResSpHtFAFZ1</v>
      </c>
    </row>
    <row r="39" spans="2:24" ht="25.5">
      <c r="B39" s="354" t="s">
        <v>4570</v>
      </c>
      <c r="C39" s="369">
        <f>'Cost Summary'!K26</f>
        <v>-5.9184254239785714</v>
      </c>
      <c r="D39" s="370">
        <f>'Cost Summary'!K27</f>
        <v>16.247446340770196</v>
      </c>
      <c r="E39" s="371">
        <f>'Cost Summary'!K28</f>
        <v>46.849691847074567</v>
      </c>
      <c r="F39" s="372">
        <f>'Cost Summary'!K29</f>
        <v>11.017658409116242</v>
      </c>
      <c r="I39" s="9" t="str">
        <f t="shared" si="6"/>
        <v>Standard Size Refrigerator and Refrigerator-freezer - CEE Tier 3</v>
      </c>
      <c r="J39" s="9" t="str">
        <f t="shared" si="6"/>
        <v>Standard Size Refrigerator and Refrigerator-freezer - CEE Tier 3 _HVAC</v>
      </c>
      <c r="K39" s="348">
        <f t="shared" si="11"/>
        <v>-13.824482642772152</v>
      </c>
      <c r="L39" s="349">
        <f t="shared" si="8"/>
        <v>15.18</v>
      </c>
      <c r="M39" s="350">
        <f t="shared" si="8"/>
        <v>0</v>
      </c>
      <c r="N39" s="347">
        <f t="shared" si="8"/>
        <v>0</v>
      </c>
      <c r="O39" s="347" t="str">
        <f t="shared" si="8"/>
        <v>ResSpHtFAFZ1</v>
      </c>
      <c r="P39" s="347">
        <f t="shared" si="8"/>
        <v>0</v>
      </c>
      <c r="Q39" s="347">
        <f t="shared" si="8"/>
        <v>0</v>
      </c>
      <c r="R39" s="347">
        <f t="shared" si="8"/>
        <v>0</v>
      </c>
      <c r="S39" s="347">
        <f t="shared" si="8"/>
        <v>0</v>
      </c>
      <c r="T39" s="347">
        <f t="shared" si="8"/>
        <v>0</v>
      </c>
      <c r="U39" s="347">
        <f t="shared" si="8"/>
        <v>0</v>
      </c>
      <c r="V39" s="347">
        <f t="shared" si="8"/>
        <v>0</v>
      </c>
      <c r="W39" s="349">
        <f t="shared" si="12"/>
        <v>-0.97216392260634754</v>
      </c>
      <c r="X39" s="9" t="str">
        <f t="shared" si="13"/>
        <v>ResSpHtFAFZ1</v>
      </c>
    </row>
    <row r="40" spans="2:24" ht="15" thickBot="1">
      <c r="B40" s="360" t="s">
        <v>3948</v>
      </c>
      <c r="C40" s="522" t="s">
        <v>4586</v>
      </c>
      <c r="D40" s="523"/>
      <c r="E40" s="524"/>
      <c r="F40" s="373">
        <f>'Cost Summary'!Q29</f>
        <v>12.91926969197284</v>
      </c>
      <c r="I40" s="9" t="str">
        <f t="shared" si="6"/>
        <v>Standard Size Refrigerator and Refrigerator-freezer - Energy Star</v>
      </c>
      <c r="J40" s="9" t="str">
        <f t="shared" si="6"/>
        <v>Standard Size Refrigerator and Refrigerator-freezer - Energy Star _HVAC</v>
      </c>
      <c r="K40" s="348">
        <f t="shared" si="11"/>
        <v>-5.5557334999026713</v>
      </c>
      <c r="L40" s="349">
        <f t="shared" si="8"/>
        <v>15.18</v>
      </c>
      <c r="M40" s="350">
        <f t="shared" si="8"/>
        <v>0</v>
      </c>
      <c r="N40" s="347">
        <f t="shared" si="8"/>
        <v>0</v>
      </c>
      <c r="O40" s="347" t="str">
        <f t="shared" si="8"/>
        <v>ResSpHtFAFZ1</v>
      </c>
      <c r="P40" s="347">
        <f t="shared" si="8"/>
        <v>0</v>
      </c>
      <c r="Q40" s="347">
        <f t="shared" si="8"/>
        <v>0</v>
      </c>
      <c r="R40" s="347">
        <f t="shared" si="8"/>
        <v>0</v>
      </c>
      <c r="S40" s="347">
        <f t="shared" si="8"/>
        <v>0</v>
      </c>
      <c r="T40" s="347">
        <f t="shared" si="8"/>
        <v>0</v>
      </c>
      <c r="U40" s="347">
        <f t="shared" si="8"/>
        <v>0</v>
      </c>
      <c r="V40" s="347">
        <f t="shared" si="8"/>
        <v>0</v>
      </c>
      <c r="W40" s="349">
        <f t="shared" si="12"/>
        <v>-0.39068975033541087</v>
      </c>
      <c r="X40" s="9" t="str">
        <f t="shared" si="13"/>
        <v>ResSpHtFAFZ1</v>
      </c>
    </row>
    <row r="41" spans="2:24">
      <c r="B41" s="9"/>
      <c r="I41" s="9" t="str">
        <f t="shared" si="6"/>
        <v>Standard Size Freezer - Energy Star</v>
      </c>
      <c r="J41" s="9" t="str">
        <f t="shared" si="6"/>
        <v>Standard Size Freezer - Energy Star _HVAC</v>
      </c>
      <c r="K41" s="348">
        <f t="shared" si="11"/>
        <v>-1.5894451189684815</v>
      </c>
      <c r="L41" s="349">
        <f t="shared" si="8"/>
        <v>21.73469387755102</v>
      </c>
      <c r="M41" s="350">
        <f t="shared" si="8"/>
        <v>0</v>
      </c>
      <c r="N41" s="347">
        <f t="shared" si="8"/>
        <v>0</v>
      </c>
      <c r="O41" s="347" t="str">
        <f t="shared" si="8"/>
        <v>ResSpHtFAFZ1</v>
      </c>
      <c r="P41" s="347">
        <f t="shared" si="8"/>
        <v>0</v>
      </c>
      <c r="Q41" s="347">
        <f t="shared" si="8"/>
        <v>0</v>
      </c>
      <c r="R41" s="347">
        <f t="shared" si="8"/>
        <v>0</v>
      </c>
      <c r="S41" s="347">
        <f t="shared" si="8"/>
        <v>0</v>
      </c>
      <c r="T41" s="347">
        <f t="shared" si="8"/>
        <v>0</v>
      </c>
      <c r="U41" s="347">
        <f t="shared" si="8"/>
        <v>0</v>
      </c>
      <c r="V41" s="347">
        <f t="shared" si="8"/>
        <v>0</v>
      </c>
      <c r="W41" s="349">
        <f t="shared" si="12"/>
        <v>-0.11177280492531043</v>
      </c>
      <c r="X41" s="9" t="str">
        <f t="shared" si="13"/>
        <v>ResSpHtFAFZ1</v>
      </c>
    </row>
    <row r="42" spans="2:24">
      <c r="I42" s="9" t="str">
        <f t="shared" si="6"/>
        <v>Compact Refrigerator and Refrigerator-freezer - CEE Tier 1</v>
      </c>
      <c r="J42" s="9" t="str">
        <f t="shared" si="6"/>
        <v>Compact Refrigerator and Refrigerator-freezer - CEE Tier 1 _HVAC</v>
      </c>
      <c r="K42" s="348">
        <f t="shared" si="11"/>
        <v>-0.30887581056877816</v>
      </c>
      <c r="L42" s="349">
        <f t="shared" si="8"/>
        <v>4.6742424242424248</v>
      </c>
      <c r="M42" s="350">
        <f t="shared" si="8"/>
        <v>0</v>
      </c>
      <c r="N42" s="347">
        <f t="shared" si="8"/>
        <v>0</v>
      </c>
      <c r="O42" s="347" t="str">
        <f t="shared" si="8"/>
        <v>ResSpHtFAFZ1</v>
      </c>
      <c r="P42" s="347">
        <f t="shared" si="8"/>
        <v>0</v>
      </c>
      <c r="Q42" s="347">
        <f t="shared" si="8"/>
        <v>0</v>
      </c>
      <c r="R42" s="347">
        <f t="shared" si="8"/>
        <v>0</v>
      </c>
      <c r="S42" s="347">
        <f t="shared" si="8"/>
        <v>0</v>
      </c>
      <c r="T42" s="347">
        <f t="shared" si="8"/>
        <v>0</v>
      </c>
      <c r="U42" s="347">
        <f t="shared" si="8"/>
        <v>0</v>
      </c>
      <c r="V42" s="347">
        <f t="shared" si="8"/>
        <v>0</v>
      </c>
      <c r="W42" s="349">
        <f t="shared" si="12"/>
        <v>-2.1720734682086112E-2</v>
      </c>
      <c r="X42" s="9" t="str">
        <f t="shared" si="13"/>
        <v>ResSpHtFAFZ1</v>
      </c>
    </row>
    <row r="43" spans="2:24">
      <c r="B43" s="183" t="s">
        <v>4599</v>
      </c>
      <c r="C43" s="183"/>
      <c r="I43" s="9" t="str">
        <f t="shared" si="6"/>
        <v>Compact Refrigerator and Refrigerator-freezer - CEE Tier 2</v>
      </c>
      <c r="J43" s="9" t="str">
        <f t="shared" si="6"/>
        <v>Compact Refrigerator and Refrigerator-freezer - CEE Tier 2 _HVAC</v>
      </c>
      <c r="K43" s="348">
        <f t="shared" si="11"/>
        <v>-1.6210853485714285</v>
      </c>
      <c r="L43" s="349">
        <f t="shared" si="8"/>
        <v>4.6742424242424248</v>
      </c>
      <c r="M43" s="350">
        <f t="shared" si="8"/>
        <v>0</v>
      </c>
      <c r="N43" s="347">
        <f t="shared" si="8"/>
        <v>0</v>
      </c>
      <c r="O43" s="347" t="str">
        <f t="shared" si="8"/>
        <v>ResSpHtFAFZ1</v>
      </c>
      <c r="P43" s="347">
        <f t="shared" si="8"/>
        <v>0</v>
      </c>
      <c r="Q43" s="347">
        <f t="shared" si="8"/>
        <v>0</v>
      </c>
      <c r="R43" s="347">
        <f t="shared" si="8"/>
        <v>0</v>
      </c>
      <c r="S43" s="347">
        <f t="shared" si="8"/>
        <v>0</v>
      </c>
      <c r="T43" s="347">
        <f t="shared" si="8"/>
        <v>0</v>
      </c>
      <c r="U43" s="347">
        <f t="shared" si="8"/>
        <v>0</v>
      </c>
      <c r="V43" s="347">
        <f t="shared" si="8"/>
        <v>0</v>
      </c>
      <c r="W43" s="349">
        <f t="shared" si="12"/>
        <v>-0.11399780607130618</v>
      </c>
      <c r="X43" s="9" t="str">
        <f t="shared" si="13"/>
        <v>ResSpHtFAFZ1</v>
      </c>
    </row>
    <row r="44" spans="2:24">
      <c r="B44" s="525" t="s">
        <v>4581</v>
      </c>
      <c r="C44" s="525" t="s">
        <v>4600</v>
      </c>
      <c r="I44" s="9" t="str">
        <f t="shared" ref="I44:J46" si="14">I20</f>
        <v>Compact Refrigerator and Refrigerator-freezer - CEE Tier 3</v>
      </c>
      <c r="J44" s="9" t="str">
        <f t="shared" si="14"/>
        <v>Compact Refrigerator and Refrigerator-freezer - CEE Tier 3 _HVAC</v>
      </c>
      <c r="K44" s="348">
        <f t="shared" si="11"/>
        <v>-3.8554606497542472</v>
      </c>
      <c r="L44" s="349">
        <f t="shared" ref="L44:V46" si="15">L20</f>
        <v>4.6742424242424248</v>
      </c>
      <c r="M44" s="350">
        <f t="shared" si="15"/>
        <v>0</v>
      </c>
      <c r="N44" s="347">
        <f t="shared" si="15"/>
        <v>0</v>
      </c>
      <c r="O44" s="347" t="str">
        <f t="shared" si="15"/>
        <v>ResSpHtFAFZ1</v>
      </c>
      <c r="P44" s="347">
        <f t="shared" si="15"/>
        <v>0</v>
      </c>
      <c r="Q44" s="347">
        <f t="shared" si="15"/>
        <v>0</v>
      </c>
      <c r="R44" s="347">
        <f t="shared" si="15"/>
        <v>0</v>
      </c>
      <c r="S44" s="347">
        <f t="shared" si="15"/>
        <v>0</v>
      </c>
      <c r="T44" s="347">
        <f t="shared" si="15"/>
        <v>0</v>
      </c>
      <c r="U44" s="347">
        <f t="shared" si="15"/>
        <v>0</v>
      </c>
      <c r="V44" s="347">
        <f t="shared" si="15"/>
        <v>0</v>
      </c>
      <c r="W44" s="349">
        <f t="shared" si="12"/>
        <v>-0.27112332848702619</v>
      </c>
      <c r="X44" s="9" t="str">
        <f t="shared" si="13"/>
        <v>ResSpHtFAFZ1</v>
      </c>
    </row>
    <row r="45" spans="2:24">
      <c r="B45" s="525"/>
      <c r="C45" s="525"/>
      <c r="I45" s="9" t="str">
        <f t="shared" si="14"/>
        <v>Compact Refrigerator and Refrigerator-freezer - Energy Star</v>
      </c>
      <c r="J45" s="9" t="str">
        <f t="shared" si="14"/>
        <v>Compact Refrigerator and Refrigerator-freezer - Energy Star _HVAC</v>
      </c>
      <c r="K45" s="348">
        <f t="shared" si="11"/>
        <v>-1.124586919743918</v>
      </c>
      <c r="L45" s="349">
        <f t="shared" si="15"/>
        <v>4.6742424242424248</v>
      </c>
      <c r="M45" s="350">
        <f t="shared" si="15"/>
        <v>0</v>
      </c>
      <c r="N45" s="347">
        <f t="shared" si="15"/>
        <v>0</v>
      </c>
      <c r="O45" s="347" t="str">
        <f t="shared" si="15"/>
        <v>ResSpHtFAFZ1</v>
      </c>
      <c r="P45" s="347">
        <f t="shared" si="15"/>
        <v>0</v>
      </c>
      <c r="Q45" s="347">
        <f t="shared" si="15"/>
        <v>0</v>
      </c>
      <c r="R45" s="347">
        <f t="shared" si="15"/>
        <v>0</v>
      </c>
      <c r="S45" s="347">
        <f t="shared" si="15"/>
        <v>0</v>
      </c>
      <c r="T45" s="347">
        <f t="shared" si="15"/>
        <v>0</v>
      </c>
      <c r="U45" s="347">
        <f t="shared" si="15"/>
        <v>0</v>
      </c>
      <c r="V45" s="347">
        <f t="shared" si="15"/>
        <v>0</v>
      </c>
      <c r="W45" s="349">
        <f t="shared" si="12"/>
        <v>-7.9083091892891741E-2</v>
      </c>
      <c r="X45" s="9" t="str">
        <f t="shared" si="13"/>
        <v>ResSpHtFAFZ1</v>
      </c>
    </row>
    <row r="46" spans="2:24" ht="25.5">
      <c r="B46" s="374" t="s">
        <v>4559</v>
      </c>
      <c r="C46" s="365">
        <f>Lifetime!B7</f>
        <v>15.18</v>
      </c>
      <c r="I46" s="9" t="str">
        <f t="shared" si="14"/>
        <v>Compact Freezer - Energy Star</v>
      </c>
      <c r="J46" s="9" t="str">
        <f t="shared" si="14"/>
        <v>Compact Freezer - Energy Star _HVAC</v>
      </c>
      <c r="K46" s="348">
        <f t="shared" si="11"/>
        <v>-0.65635657909178746</v>
      </c>
      <c r="L46" s="349">
        <f t="shared" si="15"/>
        <v>6.5377358490566042</v>
      </c>
      <c r="M46" s="350">
        <f t="shared" si="15"/>
        <v>0</v>
      </c>
      <c r="N46" s="347">
        <f t="shared" si="15"/>
        <v>0</v>
      </c>
      <c r="O46" s="347" t="str">
        <f t="shared" si="15"/>
        <v>ResSpHtFAFZ1</v>
      </c>
      <c r="P46" s="347">
        <f t="shared" si="15"/>
        <v>0</v>
      </c>
      <c r="Q46" s="347">
        <f t="shared" si="15"/>
        <v>0</v>
      </c>
      <c r="R46" s="347">
        <f t="shared" si="15"/>
        <v>0</v>
      </c>
      <c r="S46" s="347">
        <f t="shared" si="15"/>
        <v>0</v>
      </c>
      <c r="T46" s="347">
        <f t="shared" si="15"/>
        <v>0</v>
      </c>
      <c r="U46" s="347">
        <f t="shared" si="15"/>
        <v>0</v>
      </c>
      <c r="V46" s="347">
        <f t="shared" si="15"/>
        <v>0</v>
      </c>
      <c r="W46" s="349">
        <f t="shared" si="12"/>
        <v>-4.615624345927808E-2</v>
      </c>
      <c r="X46" s="9" t="str">
        <f t="shared" si="13"/>
        <v>ResSpHtFAFZ1</v>
      </c>
    </row>
    <row r="47" spans="2:24" ht="12.75" customHeight="1">
      <c r="B47" s="374" t="s">
        <v>3946</v>
      </c>
      <c r="C47" s="365">
        <f>Lifetime!C7</f>
        <v>21.73469387755102</v>
      </c>
      <c r="D47" s="375"/>
      <c r="E47" s="375"/>
      <c r="F47" s="375"/>
      <c r="K47" s="363"/>
    </row>
    <row r="48" spans="2:24" ht="25.5">
      <c r="B48" s="374" t="s">
        <v>4570</v>
      </c>
      <c r="C48" s="365">
        <f>Lifetime!D7</f>
        <v>4.6742424242424248</v>
      </c>
      <c r="D48" s="376"/>
      <c r="E48" s="376"/>
      <c r="F48" s="376"/>
      <c r="K48" s="363"/>
    </row>
    <row r="49" spans="2:11" ht="14.25">
      <c r="B49" s="374" t="s">
        <v>3948</v>
      </c>
      <c r="C49" s="365">
        <f>Lifetime!E7</f>
        <v>6.5377358490566042</v>
      </c>
      <c r="D49" s="375"/>
      <c r="E49" s="375"/>
      <c r="F49" s="375"/>
      <c r="K49" s="38"/>
    </row>
    <row r="50" spans="2:11">
      <c r="B50" s="377"/>
      <c r="C50" s="375"/>
      <c r="D50" s="375"/>
      <c r="E50" s="375"/>
      <c r="F50" s="375"/>
      <c r="K50" s="38"/>
    </row>
    <row r="51" spans="2:11">
      <c r="K51" s="38"/>
    </row>
    <row r="52" spans="2:11">
      <c r="K52" s="38"/>
    </row>
    <row r="53" spans="2:11">
      <c r="K53" s="38"/>
    </row>
    <row r="54" spans="2:11">
      <c r="K54" s="38"/>
    </row>
    <row r="55" spans="2:11">
      <c r="K55" s="38"/>
    </row>
    <row r="56" spans="2:11">
      <c r="K56" s="38"/>
    </row>
    <row r="57" spans="2:11">
      <c r="K57" s="38"/>
    </row>
    <row r="58" spans="2:11">
      <c r="K58" s="38"/>
    </row>
  </sheetData>
  <mergeCells count="27">
    <mergeCell ref="C38:E38"/>
    <mergeCell ref="C40:E40"/>
    <mergeCell ref="B44:B45"/>
    <mergeCell ref="C44:C45"/>
    <mergeCell ref="B27:B28"/>
    <mergeCell ref="C27:E27"/>
    <mergeCell ref="B35:B36"/>
    <mergeCell ref="C35:E35"/>
    <mergeCell ref="F35:F36"/>
    <mergeCell ref="F27:F28"/>
    <mergeCell ref="C30:E30"/>
    <mergeCell ref="C32:E32"/>
    <mergeCell ref="C14:E14"/>
    <mergeCell ref="C16:E16"/>
    <mergeCell ref="C24:E24"/>
    <mergeCell ref="B19:B20"/>
    <mergeCell ref="C19:E19"/>
    <mergeCell ref="F19:F20"/>
    <mergeCell ref="C22:E22"/>
    <mergeCell ref="B3:B4"/>
    <mergeCell ref="C3:E3"/>
    <mergeCell ref="F3:F4"/>
    <mergeCell ref="C6:E6"/>
    <mergeCell ref="C8:E8"/>
    <mergeCell ref="B11:B12"/>
    <mergeCell ref="C11:E11"/>
    <mergeCell ref="F11:F12"/>
  </mergeCells>
  <pageMargins left="0.7" right="0.7" top="0.75" bottom="0.75" header="0.3" footer="0.3"/>
  <pageSetup orientation="portrait" verticalDpi="0" r:id="rId1"/>
</worksheet>
</file>

<file path=xl/worksheets/sheet12.xml><?xml version="1.0" encoding="utf-8"?>
<worksheet xmlns="http://schemas.openxmlformats.org/spreadsheetml/2006/main" xmlns:r="http://schemas.openxmlformats.org/officeDocument/2006/relationships">
  <sheetPr codeName="Sheet23">
    <tabColor theme="7" tint="0.79998168889431442"/>
  </sheetPr>
  <dimension ref="B1:V29"/>
  <sheetViews>
    <sheetView workbookViewId="0">
      <selection activeCell="A9" sqref="A9"/>
    </sheetView>
  </sheetViews>
  <sheetFormatPr defaultRowHeight="12.75"/>
  <cols>
    <col min="1" max="1" width="9.140625" style="9"/>
    <col min="2" max="2" width="42.28515625" style="9" customWidth="1"/>
    <col min="3" max="16384" width="9.140625" style="9"/>
  </cols>
  <sheetData>
    <row r="1" spans="2:19" s="52" customFormat="1" ht="27" customHeight="1">
      <c r="C1" s="526" t="s">
        <v>4559</v>
      </c>
      <c r="D1" s="526"/>
      <c r="E1" s="526"/>
      <c r="F1" s="527" t="s">
        <v>3946</v>
      </c>
      <c r="G1" s="527"/>
      <c r="H1" s="527"/>
      <c r="I1" s="527"/>
      <c r="J1" s="527"/>
      <c r="K1" s="528" t="s">
        <v>4570</v>
      </c>
      <c r="L1" s="528"/>
      <c r="M1" s="528"/>
      <c r="N1" s="528"/>
      <c r="O1" s="528"/>
      <c r="P1" s="528"/>
      <c r="Q1" s="529" t="s">
        <v>3948</v>
      </c>
      <c r="R1" s="529"/>
      <c r="S1" s="529"/>
    </row>
    <row r="2" spans="2:19" s="52" customFormat="1">
      <c r="B2" s="52" t="s">
        <v>205</v>
      </c>
      <c r="C2" s="390" t="s">
        <v>4562</v>
      </c>
      <c r="D2" s="390" t="s">
        <v>4564</v>
      </c>
      <c r="E2" s="390" t="s">
        <v>4566</v>
      </c>
      <c r="F2" s="389" t="s">
        <v>4567</v>
      </c>
      <c r="G2" s="389" t="s">
        <v>4568</v>
      </c>
      <c r="H2" s="389" t="s">
        <v>4569</v>
      </c>
      <c r="I2" s="389" t="s">
        <v>308</v>
      </c>
      <c r="J2" s="389" t="s">
        <v>297</v>
      </c>
      <c r="K2" s="388" t="s">
        <v>4571</v>
      </c>
      <c r="L2" s="388" t="s">
        <v>4572</v>
      </c>
      <c r="M2" s="388" t="s">
        <v>4573</v>
      </c>
      <c r="N2" s="388" t="s">
        <v>4574</v>
      </c>
      <c r="O2" s="388" t="s">
        <v>4575</v>
      </c>
      <c r="P2" s="387" t="s">
        <v>329</v>
      </c>
      <c r="Q2" s="386" t="s">
        <v>4576</v>
      </c>
      <c r="R2" s="386" t="s">
        <v>4577</v>
      </c>
      <c r="S2" s="386" t="s">
        <v>4578</v>
      </c>
    </row>
    <row r="3" spans="2:19">
      <c r="B3" s="52" t="s">
        <v>4604</v>
      </c>
      <c r="C3" s="385"/>
      <c r="D3" s="385"/>
      <c r="E3" s="385"/>
      <c r="F3" s="384"/>
      <c r="G3" s="384"/>
      <c r="H3" s="384"/>
      <c r="I3" s="384"/>
      <c r="J3" s="384"/>
      <c r="K3" s="383"/>
      <c r="L3" s="383"/>
      <c r="M3" s="383"/>
      <c r="N3" s="383"/>
      <c r="O3" s="383"/>
      <c r="P3" s="326"/>
      <c r="Q3" s="382"/>
      <c r="R3" s="382"/>
      <c r="S3" s="382"/>
    </row>
    <row r="4" spans="2:19">
      <c r="B4" s="9" t="str">
        <f>'Cost - Standard FridgeFreezer'!B30</f>
        <v>Less than 10% better than Standard</v>
      </c>
      <c r="C4" s="381">
        <f>'Cost - Standard FridgeFreezer'!K30</f>
        <v>-40.185486623594215</v>
      </c>
      <c r="D4" s="381">
        <f>'Cost - Standard FridgeFreezer'!K50</f>
        <v>-74.490805757308635</v>
      </c>
      <c r="E4" s="381">
        <f>'Cost - Standard FridgeFreezer'!K70</f>
        <v>-19.489063782883477</v>
      </c>
      <c r="F4" s="380">
        <f>'Cost - Standard Freezer'!K25</f>
        <v>-30.304001590801818</v>
      </c>
      <c r="G4" s="380">
        <f>'Cost - Standard Freezer'!K47</f>
        <v>-46.261207836994345</v>
      </c>
      <c r="H4" s="380">
        <f>'Cost - Standard Freezer'!K69</f>
        <v>-36.914426610704595</v>
      </c>
      <c r="I4" s="380" t="str">
        <f>'Cost - Standard Freezer'!K91</f>
        <v>N/A</v>
      </c>
      <c r="J4" s="380" t="str">
        <f>'Cost - Standard Freezer'!K113</f>
        <v>N/A</v>
      </c>
      <c r="K4" s="379" t="str">
        <f>'Cost - Compact FridgeFreezer'!K36</f>
        <v>N/A</v>
      </c>
      <c r="L4" s="379">
        <f>'Cost - Compact FridgeFreezer'!K62</f>
        <v>-29.926566000235255</v>
      </c>
      <c r="M4" s="379">
        <f>'Cost - Compact FridgeFreezer'!K88</f>
        <v>-80.771113525045422</v>
      </c>
      <c r="N4" s="379" t="str">
        <f>'Cost - Compact FridgeFreezer'!K114</f>
        <v>N/A</v>
      </c>
      <c r="O4" s="379" t="str">
        <f>'Cost - Compact FridgeFreezer'!K140</f>
        <v>N/A</v>
      </c>
      <c r="P4" s="379">
        <f>'Cost - Compact FridgeFreezer'!K166</f>
        <v>-44.620949366726649</v>
      </c>
      <c r="Q4" s="378">
        <f>'Cost - Compact Freezer'!K34</f>
        <v>-42.983637477139069</v>
      </c>
      <c r="R4" s="378">
        <f>'Cost - Compact Freezer'!K60</f>
        <v>-50.015562885997397</v>
      </c>
      <c r="S4" s="378">
        <f>'Cost - Compact Freezer'!K86</f>
        <v>-21.041427126282144</v>
      </c>
    </row>
    <row r="5" spans="2:19">
      <c r="B5" s="9" t="str">
        <f>'Cost - Standard FridgeFreezer'!B31</f>
        <v>Tier 1 - 10% to 15% better than Standard</v>
      </c>
      <c r="C5" s="381">
        <f>'Cost - Standard FridgeFreezer'!K31</f>
        <v>44.01267582584137</v>
      </c>
      <c r="D5" s="381">
        <f>'Cost - Standard FridgeFreezer'!K51</f>
        <v>-4.2139373748179878</v>
      </c>
      <c r="E5" s="381" t="str">
        <f>'Cost - Standard FridgeFreezer'!K71</f>
        <v>[n/a]</v>
      </c>
      <c r="F5" s="380">
        <f>'Cost - Standard Freezer'!K26</f>
        <v>45.456002386202726</v>
      </c>
      <c r="G5" s="380">
        <f>'Cost - Standard Freezer'!K48</f>
        <v>46.261207836994345</v>
      </c>
      <c r="H5" s="380">
        <f>'Cost - Standard Freezer'!K70</f>
        <v>36.914426610704595</v>
      </c>
      <c r="I5" s="380" t="str">
        <f>'Cost - Standard Freezer'!K92</f>
        <v>N/A</v>
      </c>
      <c r="J5" s="380" t="str">
        <f>'Cost - Standard Freezer'!K114</f>
        <v>N/A</v>
      </c>
      <c r="K5" s="379">
        <f>'Cost - Compact FridgeFreezer'!K37</f>
        <v>-13.278005250605702</v>
      </c>
      <c r="L5" s="379">
        <f>'Cost - Compact FridgeFreezer'!K63</f>
        <v>-1.4250770892306832</v>
      </c>
      <c r="M5" s="379">
        <f>'Cost - Compact FridgeFreezer'!K89</f>
        <v>-25.597788629271491</v>
      </c>
      <c r="N5" s="379" t="str">
        <f>'Cost - Compact FridgeFreezer'!K115</f>
        <v>N/A</v>
      </c>
      <c r="O5" s="379" t="str">
        <f>'Cost - Compact FridgeFreezer'!K141</f>
        <v>N/A</v>
      </c>
      <c r="P5" s="379">
        <f>'Cost - Compact FridgeFreezer'!K167</f>
        <v>-4.4322404772538846</v>
      </c>
      <c r="Q5" s="378">
        <f>'Cost - Compact Freezer'!K35</f>
        <v>2.1191477480373067</v>
      </c>
      <c r="R5" s="378">
        <f>'Cost - Compact Freezer'!K61</f>
        <v>-13.147764103035925</v>
      </c>
      <c r="S5" s="378">
        <f>'Cost - Compact Freezer'!K87</f>
        <v>24.047345287179667</v>
      </c>
    </row>
    <row r="6" spans="2:19">
      <c r="B6" s="9" t="str">
        <f>'Cost - Standard FridgeFreezer'!B32</f>
        <v>Tier 2 - 15% to 20% better than Standard</v>
      </c>
      <c r="C6" s="381" t="str">
        <f>'Cost - Standard FridgeFreezer'!K32</f>
        <v>[n/a]</v>
      </c>
      <c r="D6" s="381">
        <f>'Cost - Standard FridgeFreezer'!K52</f>
        <v>90.387817586395386</v>
      </c>
      <c r="E6" s="381">
        <f>'Cost - Standard FridgeFreezer'!K72</f>
        <v>238.74103134032293</v>
      </c>
      <c r="F6" s="380" t="str">
        <f>'Cost - Standard Freezer'!K27</f>
        <v>N/A</v>
      </c>
      <c r="G6" s="380" t="str">
        <f>'Cost - Standard Freezer'!K49</f>
        <v>N/A</v>
      </c>
      <c r="H6" s="380" t="str">
        <f>'Cost - Standard Freezer'!K71</f>
        <v>N/A</v>
      </c>
      <c r="I6" s="380" t="str">
        <f>'Cost - Standard Freezer'!K93</f>
        <v>N/A</v>
      </c>
      <c r="J6" s="380" t="str">
        <f>'Cost - Standard Freezer'!K115</f>
        <v>N/A</v>
      </c>
      <c r="K6" s="379" t="str">
        <f>'Cost - Compact FridgeFreezer'!K38</f>
        <v>N/A</v>
      </c>
      <c r="L6" s="379" t="str">
        <f>'Cost - Compact FridgeFreezer'!K64</f>
        <v>N/A</v>
      </c>
      <c r="M6" s="379">
        <f>'Cost - Compact FridgeFreezer'!K90</f>
        <v>-6.57851070484665</v>
      </c>
      <c r="N6" s="379" t="str">
        <f>'Cost - Compact FridgeFreezer'!K116</f>
        <v>N/A</v>
      </c>
      <c r="O6" s="379">
        <f>'Cost - Compact FridgeFreezer'!K142</f>
        <v>0</v>
      </c>
      <c r="P6" s="379">
        <f>'Cost - Compact FridgeFreezer'!K168</f>
        <v>31.582688487700494</v>
      </c>
      <c r="Q6" s="378">
        <f>'Cost - Compact Freezer'!K36</f>
        <v>23.998934219396546</v>
      </c>
      <c r="R6" s="378">
        <f>'Cost - Compact Freezer'!K62</f>
        <v>26.135873544939031</v>
      </c>
      <c r="S6" s="378" t="str">
        <f>'Cost - Compact Freezer'!K88</f>
        <v>N/A</v>
      </c>
    </row>
    <row r="7" spans="2:19">
      <c r="B7" s="9" t="str">
        <f>'Cost - Standard FridgeFreezer'!B33</f>
        <v>Tier 3 - 20%  or better than Standard</v>
      </c>
      <c r="C7" s="381" t="str">
        <f>'Cost - Standard FridgeFreezer'!K33</f>
        <v>[n/a]</v>
      </c>
      <c r="D7" s="381">
        <f>'Cost - Standard FridgeFreezer'!K53</f>
        <v>221.15111018620405</v>
      </c>
      <c r="E7" s="381" t="str">
        <f>'Cost - Standard FridgeFreezer'!K73</f>
        <v>[n/a]</v>
      </c>
      <c r="F7" s="380" t="str">
        <f>'Cost - Standard Freezer'!K28</f>
        <v>N/A</v>
      </c>
      <c r="G7" s="380" t="str">
        <f>'Cost - Standard Freezer'!K50</f>
        <v>N/A</v>
      </c>
      <c r="H7" s="380" t="str">
        <f>'Cost - Standard Freezer'!K72</f>
        <v>N/A</v>
      </c>
      <c r="I7" s="380" t="str">
        <f>'Cost - Standard Freezer'!K94</f>
        <v>N/A</v>
      </c>
      <c r="J7" s="380" t="str">
        <f>'Cost - Standard Freezer'!K116</f>
        <v>N/A</v>
      </c>
      <c r="K7" s="379">
        <f>'Cost - Compact FridgeFreezer'!K39</f>
        <v>18.247248002736114</v>
      </c>
      <c r="L7" s="379">
        <f>'Cost - Compact FridgeFreezer'!K65</f>
        <v>42.938419271121973</v>
      </c>
      <c r="M7" s="379">
        <f>'Cost - Compact FridgeFreezer'!K91</f>
        <v>90.878306979196822</v>
      </c>
      <c r="N7" s="379" t="str">
        <f>'Cost - Compact FridgeFreezer'!K117</f>
        <v>N/A</v>
      </c>
      <c r="O7" s="379" t="str">
        <f>'Cost - Compact FridgeFreezer'!K143</f>
        <v>N/A</v>
      </c>
      <c r="P7" s="379">
        <f>'Cost - Compact FridgeFreezer'!K169</f>
        <v>48.37030224487026</v>
      </c>
      <c r="Q7" s="378" t="str">
        <f>'Cost - Compact Freezer'!K37</f>
        <v>N/A</v>
      </c>
      <c r="R7" s="378" t="str">
        <f>'Cost - Compact Freezer'!K63</f>
        <v>N/A</v>
      </c>
      <c r="S7" s="378" t="str">
        <f>'Cost - Compact Freezer'!K89</f>
        <v>N/A</v>
      </c>
    </row>
    <row r="8" spans="2:19">
      <c r="B8" s="9" t="str">
        <f>'Cost - Standard FridgeFreezer'!B34</f>
        <v>Energy Star - 10% or better than Standard</v>
      </c>
      <c r="C8" s="381">
        <f>'Cost - Standard FridgeFreezer'!K34</f>
        <v>44.01267582584137</v>
      </c>
      <c r="D8" s="381">
        <f>'Cost - Standard FridgeFreezer'!K54</f>
        <v>123.39677531833581</v>
      </c>
      <c r="E8" s="381">
        <f>'Cost - Standard FridgeFreezer'!K74</f>
        <v>238.74103134032293</v>
      </c>
      <c r="F8" s="380">
        <f>'Cost - Standard Freezer'!K29</f>
        <v>45.456002386202726</v>
      </c>
      <c r="G8" s="380">
        <f>'Cost - Standard Freezer'!K51</f>
        <v>46.261207836994345</v>
      </c>
      <c r="H8" s="380">
        <f>'Cost - Standard Freezer'!K73</f>
        <v>36.914426610704595</v>
      </c>
      <c r="I8" s="380" t="str">
        <f>'Cost - Standard Freezer'!K95</f>
        <v>N/A</v>
      </c>
      <c r="J8" s="380" t="str">
        <f>'Cost - Standard Freezer'!K117</f>
        <v>N/A</v>
      </c>
      <c r="K8" s="379">
        <f>'Cost - Compact FridgeFreezer'!K40</f>
        <v>-0.23281757225504407</v>
      </c>
      <c r="L8" s="379">
        <f>'Cost - Compact FridgeFreezer'!K66</f>
        <v>3.1461477159104447</v>
      </c>
      <c r="M8" s="379">
        <f>'Cost - Compact FridgeFreezer'!K92</f>
        <v>7.0452254579319913</v>
      </c>
      <c r="N8" s="379" t="str">
        <f>'Cost - Compact FridgeFreezer'!K118</f>
        <v>N/A</v>
      </c>
      <c r="O8" s="379">
        <f>'Cost - Compact FridgeFreezer'!K144</f>
        <v>0</v>
      </c>
      <c r="P8" s="379">
        <f>'Cost - Compact FridgeFreezer'!K170</f>
        <v>16.380274409378586</v>
      </c>
      <c r="Q8" s="378">
        <f>'Cost - Compact Freezer'!K38</f>
        <v>6.3999862008325579</v>
      </c>
      <c r="R8" s="378">
        <f>'Cost - Compact Freezer'!K64</f>
        <v>6.0098360005477929</v>
      </c>
      <c r="S8" s="378">
        <f>'Cost - Compact Freezer'!K90</f>
        <v>24.047345287179667</v>
      </c>
    </row>
    <row r="9" spans="2:19">
      <c r="C9" s="306"/>
      <c r="D9" s="306"/>
      <c r="E9" s="306"/>
      <c r="F9" s="317"/>
      <c r="G9" s="317"/>
      <c r="H9" s="317"/>
      <c r="I9" s="317"/>
      <c r="J9" s="317"/>
      <c r="K9" s="326"/>
      <c r="L9" s="326"/>
      <c r="M9" s="326"/>
      <c r="N9" s="326"/>
      <c r="O9" s="326"/>
      <c r="P9" s="326"/>
      <c r="Q9" s="334"/>
      <c r="R9" s="334"/>
      <c r="S9" s="334"/>
    </row>
    <row r="10" spans="2:19">
      <c r="B10" s="52" t="s">
        <v>4603</v>
      </c>
      <c r="C10" s="306"/>
      <c r="D10" s="306"/>
      <c r="E10" s="306"/>
      <c r="F10" s="317"/>
      <c r="G10" s="317"/>
      <c r="H10" s="317"/>
      <c r="I10" s="317"/>
      <c r="J10" s="317"/>
      <c r="K10" s="326"/>
      <c r="L10" s="326"/>
      <c r="M10" s="326"/>
      <c r="N10" s="326"/>
      <c r="O10" s="326"/>
      <c r="P10" s="326"/>
      <c r="Q10" s="334"/>
      <c r="R10" s="334"/>
      <c r="S10" s="334"/>
    </row>
    <row r="11" spans="2:19">
      <c r="B11" s="9" t="str">
        <f>B4</f>
        <v>Less than 10% better than Standard</v>
      </c>
      <c r="C11" s="307">
        <f>VLOOKUP(C$2,'CEC analysis'!$C$6:$I$47,2,FALSE)</f>
        <v>29</v>
      </c>
      <c r="D11" s="307">
        <f>VLOOKUP(D$2,'CEC analysis'!$C$6:$I$47,2,FALSE)</f>
        <v>10</v>
      </c>
      <c r="E11" s="307">
        <f>VLOOKUP(E$2,'CEC analysis'!$C$6:$I$47,2,FALSE)</f>
        <v>37</v>
      </c>
      <c r="F11" s="318">
        <f>VLOOKUP(F$2,'CEC analysis'!$C$6:$I$47,2,FALSE)</f>
        <v>6</v>
      </c>
      <c r="G11" s="318">
        <f>VLOOKUP(G$2,'CEC analysis'!$C$6:$I$47,2,FALSE)</f>
        <v>10</v>
      </c>
      <c r="H11" s="318">
        <f>VLOOKUP(H$2,'CEC analysis'!$C$6:$I$47,2,FALSE)</f>
        <v>8</v>
      </c>
      <c r="I11" s="318">
        <f>VLOOKUP(I$2,'CEC analysis'!$C$6:$I$47,2,FALSE)</f>
        <v>0</v>
      </c>
      <c r="J11" s="318">
        <f>VLOOKUP(J$2,'CEC analysis'!$C$6:$I$47,2,FALSE)</f>
        <v>0</v>
      </c>
      <c r="K11" s="327">
        <f>VLOOKUP(K$2,'CEC analysis'!$C$6:$I$47,2,FALSE)</f>
        <v>0</v>
      </c>
      <c r="L11" s="327">
        <f>VLOOKUP(L$2,'CEC analysis'!$C$6:$I$47,2,FALSE)</f>
        <v>2</v>
      </c>
      <c r="M11" s="327">
        <f>VLOOKUP(M$2,'CEC analysis'!$C$6:$I$47,2,FALSE)</f>
        <v>1</v>
      </c>
      <c r="N11" s="327">
        <f>VLOOKUP(N$2,'CEC analysis'!$C$6:$I$47,2,FALSE)</f>
        <v>0</v>
      </c>
      <c r="O11" s="327">
        <f>VLOOKUP(O$2,'CEC analysis'!$C$6:$I$47,2,FALSE)</f>
        <v>0</v>
      </c>
      <c r="P11" s="327">
        <f>VLOOKUP(P$2,'CEC analysis'!$C$6:$I$47,2,FALSE)</f>
        <v>21</v>
      </c>
      <c r="Q11" s="335">
        <f>VLOOKUP(Q$2,'CEC analysis'!$C$6:$I$47,2,FALSE)</f>
        <v>3</v>
      </c>
      <c r="R11" s="335">
        <f>VLOOKUP(R$2,'CEC analysis'!$C$6:$I$47,2,FALSE)</f>
        <v>1</v>
      </c>
      <c r="S11" s="335">
        <f>VLOOKUP(S$2,'CEC analysis'!$C$6:$I$47,2,FALSE)</f>
        <v>16</v>
      </c>
    </row>
    <row r="12" spans="2:19">
      <c r="B12" s="9" t="str">
        <f>B5</f>
        <v>Tier 1 - 10% to 15% better than Standard</v>
      </c>
      <c r="C12" s="307">
        <f>VLOOKUP(C$2,'CEC analysis'!$C$6:$I$47,3,FALSE)</f>
        <v>17</v>
      </c>
      <c r="D12" s="307">
        <f>VLOOKUP(D$2,'CEC analysis'!$C$6:$I$47,3,FALSE)</f>
        <v>8</v>
      </c>
      <c r="E12" s="307">
        <f>VLOOKUP(E$2,'CEC analysis'!$C$6:$I$47,3,FALSE)</f>
        <v>0</v>
      </c>
      <c r="F12" s="318">
        <f>VLOOKUP(F$2,'CEC analysis'!$C$6:$I$47,3,FALSE)</f>
        <v>2</v>
      </c>
      <c r="G12" s="318">
        <f>VLOOKUP(G$2,'CEC analysis'!$C$6:$I$47,3,FALSE)</f>
        <v>5</v>
      </c>
      <c r="H12" s="318">
        <f>VLOOKUP(H$2,'CEC analysis'!$C$6:$I$47,3,FALSE)</f>
        <v>4</v>
      </c>
      <c r="I12" s="318">
        <f>VLOOKUP(I$2,'CEC analysis'!$C$6:$I$47,3,FALSE)</f>
        <v>0</v>
      </c>
      <c r="J12" s="318">
        <f>VLOOKUP(J$2,'CEC analysis'!$C$6:$I$47,3,FALSE)</f>
        <v>0</v>
      </c>
      <c r="K12" s="327">
        <f>VLOOKUP(K$2,'CEC analysis'!$C$6:$I$47,3,FALSE)</f>
        <v>4</v>
      </c>
      <c r="L12" s="327">
        <f>VLOOKUP(L$2,'CEC analysis'!$C$6:$I$47,3,FALSE)</f>
        <v>8</v>
      </c>
      <c r="M12" s="327">
        <f>VLOOKUP(M$2,'CEC analysis'!$C$6:$I$47,3,FALSE)</f>
        <v>1</v>
      </c>
      <c r="N12" s="327">
        <f>VLOOKUP(N$2,'CEC analysis'!$C$6:$I$47,3,FALSE)</f>
        <v>0</v>
      </c>
      <c r="O12" s="327">
        <f>VLOOKUP(O$2,'CEC analysis'!$C$6:$I$47,3,FALSE)</f>
        <v>0</v>
      </c>
      <c r="P12" s="327">
        <f>VLOOKUP(P$2,'CEC analysis'!$C$6:$I$47,3,FALSE)</f>
        <v>15</v>
      </c>
      <c r="Q12" s="335">
        <f>VLOOKUP(Q$2,'CEC analysis'!$C$6:$I$47,3,FALSE)</f>
        <v>8</v>
      </c>
      <c r="R12" s="335">
        <f>VLOOKUP(R$2,'CEC analysis'!$C$6:$I$47,3,FALSE)</f>
        <v>2</v>
      </c>
      <c r="S12" s="335">
        <f>VLOOKUP(S$2,'CEC analysis'!$C$6:$I$47,3,FALSE)</f>
        <v>7</v>
      </c>
    </row>
    <row r="13" spans="2:19">
      <c r="B13" s="9" t="str">
        <f>B6</f>
        <v>Tier 2 - 15% to 20% better than Standard</v>
      </c>
      <c r="C13" s="307">
        <f>VLOOKUP(C$2,'CEC analysis'!$C$6:$I$47,4,FALSE)</f>
        <v>0</v>
      </c>
      <c r="D13" s="307">
        <f>VLOOKUP(D$2,'CEC analysis'!$C$6:$I$47,4,FALSE)</f>
        <v>6</v>
      </c>
      <c r="E13" s="307">
        <f>VLOOKUP(E$2,'CEC analysis'!$C$6:$I$47,4,FALSE)</f>
        <v>2</v>
      </c>
      <c r="F13" s="318">
        <f>VLOOKUP(F$2,'CEC analysis'!$C$6:$I$47,4,FALSE)</f>
        <v>0</v>
      </c>
      <c r="G13" s="318">
        <f>VLOOKUP(G$2,'CEC analysis'!$C$6:$I$47,4,FALSE)</f>
        <v>0</v>
      </c>
      <c r="H13" s="318">
        <f>VLOOKUP(H$2,'CEC analysis'!$C$6:$I$47,4,FALSE)</f>
        <v>0</v>
      </c>
      <c r="I13" s="318">
        <f>VLOOKUP(I$2,'CEC analysis'!$C$6:$I$47,4,FALSE)</f>
        <v>0</v>
      </c>
      <c r="J13" s="318">
        <f>VLOOKUP(J$2,'CEC analysis'!$C$6:$I$47,4,FALSE)</f>
        <v>0</v>
      </c>
      <c r="K13" s="327">
        <f>VLOOKUP(K$2,'CEC analysis'!$C$6:$I$47,4,FALSE)</f>
        <v>0</v>
      </c>
      <c r="L13" s="327">
        <f>VLOOKUP(L$2,'CEC analysis'!$C$6:$I$47,4,FALSE)</f>
        <v>0</v>
      </c>
      <c r="M13" s="327">
        <f>VLOOKUP(M$2,'CEC analysis'!$C$6:$I$47,4,FALSE)</f>
        <v>3</v>
      </c>
      <c r="N13" s="327">
        <f>VLOOKUP(N$2,'CEC analysis'!$C$6:$I$47,4,FALSE)</f>
        <v>0</v>
      </c>
      <c r="O13" s="327">
        <f>VLOOKUP(O$2,'CEC analysis'!$C$6:$I$47,4,FALSE)</f>
        <v>1</v>
      </c>
      <c r="P13" s="327">
        <f>VLOOKUP(P$2,'CEC analysis'!$C$6:$I$47,4,FALSE)</f>
        <v>5</v>
      </c>
      <c r="Q13" s="335">
        <f>VLOOKUP(Q$2,'CEC analysis'!$C$6:$I$47,4,FALSE)</f>
        <v>2</v>
      </c>
      <c r="R13" s="335">
        <f>VLOOKUP(R$2,'CEC analysis'!$C$6:$I$47,4,FALSE)</f>
        <v>2</v>
      </c>
      <c r="S13" s="335">
        <f>VLOOKUP(S$2,'CEC analysis'!$C$6:$I$47,4,FALSE)</f>
        <v>0</v>
      </c>
    </row>
    <row r="14" spans="2:19">
      <c r="B14" s="9" t="str">
        <f>B7</f>
        <v>Tier 3 - 20%  or better than Standard</v>
      </c>
      <c r="C14" s="307">
        <f>VLOOKUP(C$2,'CEC analysis'!$C$6:$I$47,5,FALSE)</f>
        <v>0</v>
      </c>
      <c r="D14" s="307">
        <f>VLOOKUP(D$2,'CEC analysis'!$C$6:$I$47,5,FALSE)</f>
        <v>6</v>
      </c>
      <c r="E14" s="307">
        <f>VLOOKUP(E$2,'CEC analysis'!$C$6:$I$47,5,FALSE)</f>
        <v>0</v>
      </c>
      <c r="F14" s="318">
        <f>VLOOKUP(F$2,'CEC analysis'!$C$6:$I$47,5,FALSE)</f>
        <v>0</v>
      </c>
      <c r="G14" s="318">
        <f>VLOOKUP(G$2,'CEC analysis'!$C$6:$I$47,5,FALSE)</f>
        <v>0</v>
      </c>
      <c r="H14" s="318">
        <f>VLOOKUP(H$2,'CEC analysis'!$C$6:$I$47,5,FALSE)</f>
        <v>0</v>
      </c>
      <c r="I14" s="318">
        <f>VLOOKUP(I$2,'CEC analysis'!$C$6:$I$47,5,FALSE)</f>
        <v>0</v>
      </c>
      <c r="J14" s="318">
        <f>VLOOKUP(J$2,'CEC analysis'!$C$6:$I$47,5,FALSE)</f>
        <v>0</v>
      </c>
      <c r="K14" s="327">
        <f>VLOOKUP(K$2,'CEC analysis'!$C$6:$I$47,5,FALSE)</f>
        <v>3</v>
      </c>
      <c r="L14" s="327">
        <f>VLOOKUP(L$2,'CEC analysis'!$C$6:$I$47,5,FALSE)</f>
        <v>1</v>
      </c>
      <c r="M14" s="327">
        <f>VLOOKUP(M$2,'CEC analysis'!$C$6:$I$47,5,FALSE)</f>
        <v>1</v>
      </c>
      <c r="N14" s="327">
        <f>VLOOKUP(N$2,'CEC analysis'!$C$6:$I$47,5,FALSE)</f>
        <v>0</v>
      </c>
      <c r="O14" s="327">
        <f>VLOOKUP(O$2,'CEC analysis'!$C$6:$I$47,5,FALSE)</f>
        <v>0</v>
      </c>
      <c r="P14" s="327">
        <f>VLOOKUP(P$2,'CEC analysis'!$C$6:$I$47,5,FALSE)</f>
        <v>8</v>
      </c>
      <c r="Q14" s="335">
        <f>VLOOKUP(Q$2,'CEC analysis'!$C$6:$I$47,5,FALSE)</f>
        <v>0</v>
      </c>
      <c r="R14" s="335">
        <f>VLOOKUP(R$2,'CEC analysis'!$C$6:$I$47,5,FALSE)</f>
        <v>0</v>
      </c>
      <c r="S14" s="335">
        <f>VLOOKUP(S$2,'CEC analysis'!$C$6:$I$47,5,FALSE)</f>
        <v>0</v>
      </c>
    </row>
    <row r="15" spans="2:19">
      <c r="B15" s="9" t="str">
        <f>B8</f>
        <v>Energy Star - 10% or better than Standard</v>
      </c>
      <c r="C15" s="307">
        <f>VLOOKUP(C$2,'CEC analysis'!$C$6:$I$47,6,FALSE)</f>
        <v>17</v>
      </c>
      <c r="D15" s="307">
        <f>VLOOKUP(D$2,'CEC analysis'!$C$6:$I$47,6,FALSE)</f>
        <v>20</v>
      </c>
      <c r="E15" s="307">
        <f>VLOOKUP(E$2,'CEC analysis'!$C$6:$I$47,6,FALSE)</f>
        <v>2</v>
      </c>
      <c r="F15" s="318">
        <f>VLOOKUP(F$2,'CEC analysis'!$C$6:$I$47,6,FALSE)</f>
        <v>2</v>
      </c>
      <c r="G15" s="318">
        <f>VLOOKUP(G$2,'CEC analysis'!$C$6:$I$47,6,FALSE)</f>
        <v>5</v>
      </c>
      <c r="H15" s="318">
        <f>VLOOKUP(H$2,'CEC analysis'!$C$6:$I$47,6,FALSE)</f>
        <v>4</v>
      </c>
      <c r="I15" s="318">
        <f>VLOOKUP(I$2,'CEC analysis'!$C$6:$I$47,6,FALSE)</f>
        <v>0</v>
      </c>
      <c r="J15" s="318">
        <f>VLOOKUP(J$2,'CEC analysis'!$C$6:$I$47,6,FALSE)</f>
        <v>0</v>
      </c>
      <c r="K15" s="327">
        <f>VLOOKUP(K$2,'CEC analysis'!$C$6:$I$47,6,FALSE)</f>
        <v>7</v>
      </c>
      <c r="L15" s="327">
        <f>VLOOKUP(L$2,'CEC analysis'!$C$6:$I$47,6,FALSE)</f>
        <v>9</v>
      </c>
      <c r="M15" s="327">
        <f>VLOOKUP(M$2,'CEC analysis'!$C$6:$I$47,6,FALSE)</f>
        <v>5</v>
      </c>
      <c r="N15" s="327">
        <f>VLOOKUP(N$2,'CEC analysis'!$C$6:$I$47,6,FALSE)</f>
        <v>0</v>
      </c>
      <c r="O15" s="327">
        <f>VLOOKUP(O$2,'CEC analysis'!$C$6:$I$47,6,FALSE)</f>
        <v>1</v>
      </c>
      <c r="P15" s="327">
        <f>VLOOKUP(P$2,'CEC analysis'!$C$6:$I$47,6,FALSE)</f>
        <v>28</v>
      </c>
      <c r="Q15" s="335">
        <f>VLOOKUP(Q$2,'CEC analysis'!$C$6:$I$47,6,FALSE)</f>
        <v>10</v>
      </c>
      <c r="R15" s="335">
        <f>VLOOKUP(R$2,'CEC analysis'!$C$6:$I$47,6,FALSE)</f>
        <v>4</v>
      </c>
      <c r="S15" s="335">
        <f>VLOOKUP(S$2,'CEC analysis'!$C$6:$I$47,6,FALSE)</f>
        <v>7</v>
      </c>
    </row>
    <row r="16" spans="2:19">
      <c r="C16" s="306"/>
      <c r="D16" s="306"/>
      <c r="E16" s="306"/>
      <c r="F16" s="317"/>
      <c r="G16" s="317"/>
      <c r="H16" s="317"/>
      <c r="I16" s="317"/>
      <c r="J16" s="317"/>
      <c r="K16" s="326"/>
      <c r="L16" s="326"/>
      <c r="M16" s="326"/>
      <c r="N16" s="326"/>
      <c r="O16" s="326"/>
      <c r="P16" s="326"/>
      <c r="Q16" s="334"/>
      <c r="R16" s="334"/>
      <c r="S16" s="334"/>
    </row>
    <row r="17" spans="2:22">
      <c r="B17" s="52" t="s">
        <v>4602</v>
      </c>
      <c r="C17" s="306"/>
      <c r="D17" s="306"/>
      <c r="E17" s="306"/>
      <c r="F17" s="317"/>
      <c r="G17" s="317"/>
      <c r="H17" s="317"/>
      <c r="I17" s="317"/>
      <c r="J17" s="317"/>
      <c r="K17" s="326"/>
      <c r="L17" s="326"/>
      <c r="M17" s="326"/>
      <c r="N17" s="326"/>
      <c r="O17" s="326"/>
      <c r="P17" s="326"/>
      <c r="Q17" s="334"/>
      <c r="R17" s="334"/>
      <c r="S17" s="334"/>
    </row>
    <row r="18" spans="2:22">
      <c r="B18" s="9" t="str">
        <f>B4</f>
        <v>Less than 10% better than Standard</v>
      </c>
      <c r="C18" s="530">
        <f>SUMPRODUCT(C4:E4,C11:E11)/SUM(C11:E11)</f>
        <v>-34.623454337157995</v>
      </c>
      <c r="D18" s="530"/>
      <c r="E18" s="530"/>
      <c r="F18" s="532">
        <f>SUMPRODUCT(F4:J4,F11:J11)/SUM(F11:J11)</f>
        <v>-39.156312533349627</v>
      </c>
      <c r="G18" s="532"/>
      <c r="H18" s="532"/>
      <c r="I18" s="532"/>
      <c r="J18" s="532"/>
      <c r="K18" s="531">
        <f>SUMPRODUCT(K4:P4,K11:P11)/SUM(K11:P11)</f>
        <v>-44.902674259448986</v>
      </c>
      <c r="L18" s="531"/>
      <c r="M18" s="531"/>
      <c r="N18" s="531"/>
      <c r="O18" s="531"/>
      <c r="P18" s="531"/>
      <c r="Q18" s="533">
        <f>SUMPRODUCT(Q4:S4,Q11:S11)/SUM(Q11:S11)</f>
        <v>-25.781465466896446</v>
      </c>
      <c r="R18" s="533"/>
      <c r="S18" s="533"/>
    </row>
    <row r="19" spans="2:22">
      <c r="B19" s="9" t="str">
        <f>B5</f>
        <v>Tier 1 - 10% to 15% better than Standard</v>
      </c>
      <c r="C19" s="530">
        <f>SUMPRODUCT(C5:E5,C12:E12)/SUM(C12:E12)</f>
        <v>28.580159601630374</v>
      </c>
      <c r="D19" s="530"/>
      <c r="E19" s="530"/>
      <c r="F19" s="532">
        <f>SUMPRODUCT(F5:J5,F12:J12)/SUM(F12:J12)</f>
        <v>42.715977309108688</v>
      </c>
      <c r="G19" s="532"/>
      <c r="H19" s="532"/>
      <c r="I19" s="532"/>
      <c r="J19" s="532"/>
      <c r="K19" s="531">
        <f>SUMPRODUCT(K5:P5,K12:P12)/SUM(K12:P12)</f>
        <v>-5.5926440537267155</v>
      </c>
      <c r="L19" s="531"/>
      <c r="M19" s="531"/>
      <c r="N19" s="531"/>
      <c r="O19" s="531"/>
      <c r="P19" s="531"/>
      <c r="Q19" s="533">
        <f>SUMPRODUCT(Q5:S5,Q12:S12)/SUM(Q12:S12)</f>
        <v>9.3522982816755444</v>
      </c>
      <c r="R19" s="533"/>
      <c r="S19" s="533"/>
    </row>
    <row r="20" spans="2:22">
      <c r="B20" s="9" t="str">
        <f>B6</f>
        <v>Tier 2 - 15% to 20% better than Standard</v>
      </c>
      <c r="C20" s="530">
        <f>SUMPRODUCT(C6:E6,C13:E13)/SUM(C13:E13)</f>
        <v>127.47612102487727</v>
      </c>
      <c r="D20" s="530"/>
      <c r="E20" s="530"/>
      <c r="F20" s="532" t="e">
        <f>SUMPRODUCT(F6:J6,F13:J13)/SUM(F13:J13)</f>
        <v>#DIV/0!</v>
      </c>
      <c r="G20" s="532"/>
      <c r="H20" s="532"/>
      <c r="I20" s="532"/>
      <c r="J20" s="532"/>
      <c r="K20" s="531">
        <f>SUMPRODUCT(K6:P6,K13:P13)/SUM(K13:P13)</f>
        <v>15.353101147106948</v>
      </c>
      <c r="L20" s="531"/>
      <c r="M20" s="531"/>
      <c r="N20" s="531"/>
      <c r="O20" s="531"/>
      <c r="P20" s="531"/>
      <c r="Q20" s="533">
        <f>SUMPRODUCT(Q6:S6,Q13:S13)/SUM(Q13:S13)</f>
        <v>25.067403882167788</v>
      </c>
      <c r="R20" s="533"/>
      <c r="S20" s="533"/>
    </row>
    <row r="21" spans="2:22">
      <c r="B21" s="9" t="str">
        <f>B7</f>
        <v>Tier 3 - 20%  or better than Standard</v>
      </c>
      <c r="C21" s="530">
        <f>SUMPRODUCT(C7:E7,C14:E14)/SUM(C14:E14)</f>
        <v>221.15111018620405</v>
      </c>
      <c r="D21" s="530"/>
      <c r="E21" s="530"/>
      <c r="F21" s="532" t="e">
        <f>SUMPRODUCT(F7:J7,F14:J14)/SUM(F14:J14)</f>
        <v>#DIV/0!</v>
      </c>
      <c r="G21" s="532"/>
      <c r="H21" s="532"/>
      <c r="I21" s="532"/>
      <c r="J21" s="532"/>
      <c r="K21" s="531">
        <f>SUMPRODUCT(K7:P7,K14:P14)/SUM(K14:P14)</f>
        <v>44.270837555191477</v>
      </c>
      <c r="L21" s="531"/>
      <c r="M21" s="531"/>
      <c r="N21" s="531"/>
      <c r="O21" s="531"/>
      <c r="P21" s="531"/>
      <c r="Q21" s="533" t="e">
        <f>SUMPRODUCT(Q7:S7,Q14:S14)/SUM(Q14:S14)</f>
        <v>#DIV/0!</v>
      </c>
      <c r="R21" s="533"/>
      <c r="S21" s="533"/>
    </row>
    <row r="22" spans="2:22">
      <c r="B22" s="9" t="str">
        <f>B8</f>
        <v>Energy Star - 10% or better than Standard</v>
      </c>
      <c r="C22" s="530">
        <f>SUMPRODUCT(C8:E8,C15:E15)/SUM(C15:E15)</f>
        <v>94.708539950940136</v>
      </c>
      <c r="D22" s="530"/>
      <c r="E22" s="530"/>
      <c r="F22" s="532">
        <f>SUMPRODUCT(F8:J8,F15:J15)/SUM(F15:J15)</f>
        <v>42.715977309108688</v>
      </c>
      <c r="G22" s="532"/>
      <c r="H22" s="532"/>
      <c r="I22" s="532"/>
      <c r="J22" s="532"/>
      <c r="K22" s="531">
        <f>SUMPRODUCT(K8:P8,K15:P15)/SUM(K15:P15)</f>
        <v>10.411188343793381</v>
      </c>
      <c r="L22" s="531"/>
      <c r="M22" s="531"/>
      <c r="N22" s="531"/>
      <c r="O22" s="531"/>
      <c r="P22" s="531"/>
      <c r="Q22" s="533">
        <f>SUMPRODUCT(Q8:S8,Q15:S15)/SUM(Q15:S15)</f>
        <v>12.208124905751163</v>
      </c>
      <c r="R22" s="533"/>
      <c r="S22" s="533"/>
    </row>
    <row r="23" spans="2:22">
      <c r="C23" s="306"/>
      <c r="D23" s="306"/>
      <c r="E23" s="306"/>
      <c r="F23" s="317"/>
      <c r="G23" s="317"/>
      <c r="H23" s="317"/>
      <c r="I23" s="317"/>
      <c r="J23" s="317"/>
      <c r="K23" s="326"/>
      <c r="L23" s="326"/>
      <c r="M23" s="326"/>
      <c r="N23" s="326"/>
      <c r="O23" s="326"/>
      <c r="P23" s="326"/>
      <c r="Q23" s="334"/>
      <c r="R23" s="334"/>
      <c r="S23" s="334"/>
    </row>
    <row r="24" spans="2:22">
      <c r="B24" s="52" t="s">
        <v>4601</v>
      </c>
      <c r="C24" s="306"/>
      <c r="D24" s="306"/>
      <c r="E24" s="306"/>
      <c r="F24" s="317"/>
      <c r="G24" s="317"/>
      <c r="H24" s="317"/>
      <c r="I24" s="317"/>
      <c r="J24" s="317"/>
      <c r="K24" s="326"/>
      <c r="L24" s="326"/>
      <c r="M24" s="326"/>
      <c r="N24" s="326"/>
      <c r="O24" s="326"/>
      <c r="P24" s="326"/>
      <c r="Q24" s="334"/>
      <c r="R24" s="334"/>
      <c r="S24" s="334"/>
      <c r="U24" s="9" t="s">
        <v>4981</v>
      </c>
    </row>
    <row r="25" spans="2:22">
      <c r="B25" s="9" t="str">
        <f>B11</f>
        <v>Less than 10% better than Standard</v>
      </c>
      <c r="C25" s="534">
        <f t="shared" ref="C25:S25" si="0">C18*$U$25</f>
        <v>-36.640331558102453</v>
      </c>
      <c r="D25" s="535">
        <f t="shared" si="0"/>
        <v>0</v>
      </c>
      <c r="E25" s="536">
        <f t="shared" si="0"/>
        <v>0</v>
      </c>
      <c r="F25" s="537">
        <f t="shared" si="0"/>
        <v>-41.43723673102393</v>
      </c>
      <c r="G25" s="538">
        <f t="shared" si="0"/>
        <v>0</v>
      </c>
      <c r="H25" s="538">
        <f t="shared" si="0"/>
        <v>0</v>
      </c>
      <c r="I25" s="538">
        <f t="shared" si="0"/>
        <v>0</v>
      </c>
      <c r="J25" s="539">
        <f t="shared" si="0"/>
        <v>0</v>
      </c>
      <c r="K25" s="540">
        <f t="shared" si="0"/>
        <v>-47.518334152638182</v>
      </c>
      <c r="L25" s="541">
        <f t="shared" si="0"/>
        <v>0</v>
      </c>
      <c r="M25" s="541">
        <f t="shared" si="0"/>
        <v>0</v>
      </c>
      <c r="N25" s="541">
        <f t="shared" si="0"/>
        <v>0</v>
      </c>
      <c r="O25" s="541">
        <f t="shared" si="0"/>
        <v>0</v>
      </c>
      <c r="P25" s="542">
        <f t="shared" si="0"/>
        <v>0</v>
      </c>
      <c r="Q25" s="543">
        <f t="shared" si="0"/>
        <v>-27.283281256748044</v>
      </c>
      <c r="R25" s="544">
        <f t="shared" si="0"/>
        <v>0</v>
      </c>
      <c r="S25" s="545">
        <f t="shared" si="0"/>
        <v>0</v>
      </c>
      <c r="U25" s="9">
        <v>1.0582517619791605</v>
      </c>
      <c r="V25" s="9" t="s">
        <v>4696</v>
      </c>
    </row>
    <row r="26" spans="2:22">
      <c r="B26" s="9" t="str">
        <f>B12</f>
        <v>Tier 1 - 10% to 15% better than Standard</v>
      </c>
      <c r="C26" s="534">
        <f>C19*$U$25</f>
        <v>30.245004256070963</v>
      </c>
      <c r="D26" s="535"/>
      <c r="E26" s="536"/>
      <c r="F26" s="537">
        <f t="shared" ref="F26:S26" si="1">F19*$U$25</f>
        <v>45.204258252026108</v>
      </c>
      <c r="G26" s="538">
        <f t="shared" si="1"/>
        <v>0</v>
      </c>
      <c r="H26" s="538">
        <f t="shared" si="1"/>
        <v>0</v>
      </c>
      <c r="I26" s="538">
        <f t="shared" si="1"/>
        <v>0</v>
      </c>
      <c r="J26" s="539">
        <f t="shared" si="1"/>
        <v>0</v>
      </c>
      <c r="K26" s="540">
        <f t="shared" si="1"/>
        <v>-5.9184254239785714</v>
      </c>
      <c r="L26" s="541">
        <f t="shared" si="1"/>
        <v>0</v>
      </c>
      <c r="M26" s="541">
        <f t="shared" si="1"/>
        <v>0</v>
      </c>
      <c r="N26" s="541">
        <f t="shared" si="1"/>
        <v>0</v>
      </c>
      <c r="O26" s="541">
        <f t="shared" si="1"/>
        <v>0</v>
      </c>
      <c r="P26" s="542">
        <f t="shared" si="1"/>
        <v>0</v>
      </c>
      <c r="Q26" s="543">
        <f t="shared" si="1"/>
        <v>9.8970861351378208</v>
      </c>
      <c r="R26" s="544">
        <f t="shared" si="1"/>
        <v>0</v>
      </c>
      <c r="S26" s="545">
        <f t="shared" si="1"/>
        <v>0</v>
      </c>
    </row>
    <row r="27" spans="2:22">
      <c r="B27" s="9" t="str">
        <f>B13</f>
        <v>Tier 2 - 15% to 20% better than Standard</v>
      </c>
      <c r="C27" s="534">
        <f>C20*$U$25</f>
        <v>134.90182968484507</v>
      </c>
      <c r="D27" s="535"/>
      <c r="E27" s="536"/>
      <c r="F27" s="537" t="e">
        <f t="shared" ref="F27:S27" si="2">F20*$U$25</f>
        <v>#DIV/0!</v>
      </c>
      <c r="G27" s="538">
        <f t="shared" si="2"/>
        <v>0</v>
      </c>
      <c r="H27" s="538">
        <f t="shared" si="2"/>
        <v>0</v>
      </c>
      <c r="I27" s="538">
        <f t="shared" si="2"/>
        <v>0</v>
      </c>
      <c r="J27" s="539">
        <f t="shared" si="2"/>
        <v>0</v>
      </c>
      <c r="K27" s="540">
        <f t="shared" si="2"/>
        <v>16.247446340770196</v>
      </c>
      <c r="L27" s="541">
        <f t="shared" si="2"/>
        <v>0</v>
      </c>
      <c r="M27" s="541">
        <f t="shared" si="2"/>
        <v>0</v>
      </c>
      <c r="N27" s="541">
        <f t="shared" si="2"/>
        <v>0</v>
      </c>
      <c r="O27" s="541">
        <f t="shared" si="2"/>
        <v>0</v>
      </c>
      <c r="P27" s="542">
        <f t="shared" si="2"/>
        <v>0</v>
      </c>
      <c r="Q27" s="543">
        <f t="shared" si="2"/>
        <v>26.527624326547311</v>
      </c>
      <c r="R27" s="544">
        <f t="shared" si="2"/>
        <v>0</v>
      </c>
      <c r="S27" s="545">
        <f t="shared" si="2"/>
        <v>0</v>
      </c>
    </row>
    <row r="28" spans="2:22">
      <c r="B28" s="9" t="str">
        <f>B14</f>
        <v>Tier 3 - 20%  or better than Standard</v>
      </c>
      <c r="C28" s="534">
        <f>C21*$U$25</f>
        <v>234.03355201819789</v>
      </c>
      <c r="D28" s="535"/>
      <c r="E28" s="536"/>
      <c r="F28" s="537" t="e">
        <f t="shared" ref="F28:S28" si="3">F21*$U$25</f>
        <v>#DIV/0!</v>
      </c>
      <c r="G28" s="538">
        <f t="shared" si="3"/>
        <v>0</v>
      </c>
      <c r="H28" s="538">
        <f t="shared" si="3"/>
        <v>0</v>
      </c>
      <c r="I28" s="538">
        <f t="shared" si="3"/>
        <v>0</v>
      </c>
      <c r="J28" s="539">
        <f t="shared" si="3"/>
        <v>0</v>
      </c>
      <c r="K28" s="540">
        <f t="shared" si="3"/>
        <v>46.849691847074567</v>
      </c>
      <c r="L28" s="541">
        <f t="shared" si="3"/>
        <v>0</v>
      </c>
      <c r="M28" s="541">
        <f t="shared" si="3"/>
        <v>0</v>
      </c>
      <c r="N28" s="541">
        <f t="shared" si="3"/>
        <v>0</v>
      </c>
      <c r="O28" s="541">
        <f t="shared" si="3"/>
        <v>0</v>
      </c>
      <c r="P28" s="542">
        <f t="shared" si="3"/>
        <v>0</v>
      </c>
      <c r="Q28" s="543" t="e">
        <f t="shared" si="3"/>
        <v>#DIV/0!</v>
      </c>
      <c r="R28" s="544">
        <f t="shared" si="3"/>
        <v>0</v>
      </c>
      <c r="S28" s="545">
        <f t="shared" si="3"/>
        <v>0</v>
      </c>
    </row>
    <row r="29" spans="2:22">
      <c r="B29" s="9" t="str">
        <f>B15</f>
        <v>Energy Star - 10% or better than Standard</v>
      </c>
      <c r="C29" s="534">
        <f>C22*$U$25</f>
        <v>100.22547927755612</v>
      </c>
      <c r="D29" s="535"/>
      <c r="E29" s="536"/>
      <c r="F29" s="537">
        <f t="shared" ref="F29:S29" si="4">F22*$U$25</f>
        <v>45.204258252026108</v>
      </c>
      <c r="G29" s="538">
        <f t="shared" si="4"/>
        <v>0</v>
      </c>
      <c r="H29" s="538">
        <f t="shared" si="4"/>
        <v>0</v>
      </c>
      <c r="I29" s="538">
        <f t="shared" si="4"/>
        <v>0</v>
      </c>
      <c r="J29" s="539">
        <f t="shared" si="4"/>
        <v>0</v>
      </c>
      <c r="K29" s="540">
        <f t="shared" si="4"/>
        <v>11.017658409116242</v>
      </c>
      <c r="L29" s="541">
        <f t="shared" si="4"/>
        <v>0</v>
      </c>
      <c r="M29" s="541">
        <f t="shared" si="4"/>
        <v>0</v>
      </c>
      <c r="N29" s="541">
        <f t="shared" si="4"/>
        <v>0</v>
      </c>
      <c r="O29" s="541">
        <f t="shared" si="4"/>
        <v>0</v>
      </c>
      <c r="P29" s="542">
        <f t="shared" si="4"/>
        <v>0</v>
      </c>
      <c r="Q29" s="543">
        <f t="shared" si="4"/>
        <v>12.91926969197284</v>
      </c>
      <c r="R29" s="544">
        <f t="shared" si="4"/>
        <v>0</v>
      </c>
      <c r="S29" s="545">
        <f t="shared" si="4"/>
        <v>0</v>
      </c>
    </row>
  </sheetData>
  <mergeCells count="44">
    <mergeCell ref="C29:E29"/>
    <mergeCell ref="F29:J29"/>
    <mergeCell ref="K29:P29"/>
    <mergeCell ref="Q29:S29"/>
    <mergeCell ref="C27:E27"/>
    <mergeCell ref="F27:J27"/>
    <mergeCell ref="K27:P27"/>
    <mergeCell ref="Q27:S27"/>
    <mergeCell ref="C28:E28"/>
    <mergeCell ref="F28:J28"/>
    <mergeCell ref="K28:P28"/>
    <mergeCell ref="Q28:S28"/>
    <mergeCell ref="C25:E25"/>
    <mergeCell ref="F25:J25"/>
    <mergeCell ref="K25:P25"/>
    <mergeCell ref="Q25:S25"/>
    <mergeCell ref="C26:E26"/>
    <mergeCell ref="F26:J26"/>
    <mergeCell ref="K26:P26"/>
    <mergeCell ref="Q26:S26"/>
    <mergeCell ref="K20:P20"/>
    <mergeCell ref="K21:P21"/>
    <mergeCell ref="K22:P22"/>
    <mergeCell ref="Q18:S18"/>
    <mergeCell ref="Q19:S19"/>
    <mergeCell ref="Q20:S20"/>
    <mergeCell ref="Q21:S21"/>
    <mergeCell ref="Q22:S22"/>
    <mergeCell ref="K19:P19"/>
    <mergeCell ref="C20:E20"/>
    <mergeCell ref="C21:E21"/>
    <mergeCell ref="C22:E22"/>
    <mergeCell ref="F18:J18"/>
    <mergeCell ref="F19:J19"/>
    <mergeCell ref="F20:J20"/>
    <mergeCell ref="F21:J21"/>
    <mergeCell ref="F22:J22"/>
    <mergeCell ref="C19:E19"/>
    <mergeCell ref="C1:E1"/>
    <mergeCell ref="F1:J1"/>
    <mergeCell ref="K1:P1"/>
    <mergeCell ref="Q1:S1"/>
    <mergeCell ref="C18:E18"/>
    <mergeCell ref="K18:P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22">
    <tabColor theme="7" tint="0.79998168889431442"/>
  </sheetPr>
  <dimension ref="A1:AZ121"/>
  <sheetViews>
    <sheetView topLeftCell="A55" workbookViewId="0">
      <selection activeCell="C72" sqref="C72"/>
    </sheetView>
  </sheetViews>
  <sheetFormatPr defaultRowHeight="12.75"/>
  <cols>
    <col min="1" max="1" width="9.140625" style="9"/>
    <col min="2" max="2" width="37" style="9" customWidth="1"/>
    <col min="3" max="7" width="12" style="9" customWidth="1"/>
    <col min="8" max="8" width="15" style="9" customWidth="1"/>
    <col min="9" max="9" width="12.28515625" style="9" customWidth="1"/>
    <col min="10" max="11" width="12.85546875" style="9" customWidth="1"/>
    <col min="12" max="16384" width="9.140625" style="9"/>
  </cols>
  <sheetData>
    <row r="1" spans="2:7">
      <c r="G1" s="9" t="s">
        <v>3958</v>
      </c>
    </row>
    <row r="2" spans="2:7">
      <c r="G2" s="195" t="s">
        <v>3959</v>
      </c>
    </row>
    <row r="7" spans="2:7">
      <c r="B7" s="52" t="s">
        <v>183</v>
      </c>
      <c r="C7" s="52">
        <v>3</v>
      </c>
      <c r="D7" s="52">
        <v>5</v>
      </c>
      <c r="E7" s="52">
        <v>7</v>
      </c>
    </row>
    <row r="8" spans="2:7">
      <c r="B8" s="52" t="s">
        <v>3960</v>
      </c>
      <c r="C8" s="9">
        <v>1.2204999999999999</v>
      </c>
      <c r="D8" s="9">
        <v>1.1851</v>
      </c>
      <c r="E8" s="9">
        <v>1.3169999999999999</v>
      </c>
    </row>
    <row r="9" spans="2:7">
      <c r="B9" s="52" t="s">
        <v>3961</v>
      </c>
      <c r="C9" s="9">
        <v>-1.1049</v>
      </c>
      <c r="D9" s="9">
        <v>1.5900000000000001E-2</v>
      </c>
      <c r="E9" s="9">
        <v>-1.9992000000000001</v>
      </c>
    </row>
    <row r="10" spans="2:7">
      <c r="B10" s="52" t="s">
        <v>3962</v>
      </c>
      <c r="C10" s="38">
        <f>N94</f>
        <v>18</v>
      </c>
      <c r="D10" s="38">
        <f>V94</f>
        <v>21.5</v>
      </c>
      <c r="E10" s="38">
        <f>AD94</f>
        <v>23.5</v>
      </c>
    </row>
    <row r="11" spans="2:7">
      <c r="B11" s="52" t="s">
        <v>3963</v>
      </c>
      <c r="C11" s="38">
        <f>C8*C10+C9</f>
        <v>20.864099999999997</v>
      </c>
      <c r="D11" s="38">
        <f t="shared" ref="D11:E11" si="0">D8*D10+D9</f>
        <v>25.495549999999998</v>
      </c>
      <c r="E11" s="38">
        <f t="shared" si="0"/>
        <v>28.950299999999999</v>
      </c>
    </row>
    <row r="12" spans="2:7">
      <c r="B12" s="52" t="s">
        <v>3964</v>
      </c>
      <c r="C12" s="196">
        <f>'Federal Standards'!O12</f>
        <v>8.07</v>
      </c>
      <c r="D12" s="196">
        <f>'Federal Standards'!O22</f>
        <v>8.85</v>
      </c>
      <c r="E12" s="196">
        <f>'Federal Standards'!O29</f>
        <v>8.5399999999999991</v>
      </c>
    </row>
    <row r="13" spans="2:7">
      <c r="B13" s="52" t="s">
        <v>3965</v>
      </c>
      <c r="C13" s="196">
        <f>'Federal Standards'!P12</f>
        <v>233.7</v>
      </c>
      <c r="D13" s="196">
        <f>'Federal Standards'!P22</f>
        <v>317</v>
      </c>
      <c r="E13" s="196">
        <f>'Federal Standards'!P29</f>
        <v>432.8</v>
      </c>
    </row>
    <row r="14" spans="2:7">
      <c r="B14" s="52" t="s">
        <v>3966</v>
      </c>
      <c r="C14" s="44">
        <f>C12*C11+C13</f>
        <v>402.07328699999994</v>
      </c>
      <c r="D14" s="44">
        <f t="shared" ref="D14:E14" si="1">D12*D11+D13</f>
        <v>542.63561749999997</v>
      </c>
      <c r="E14" s="44">
        <f t="shared" si="1"/>
        <v>680.03556200000003</v>
      </c>
    </row>
    <row r="15" spans="2:7">
      <c r="B15" s="52"/>
      <c r="C15" s="44"/>
      <c r="D15" s="44"/>
      <c r="E15" s="44"/>
    </row>
    <row r="17" spans="1:13">
      <c r="A17" s="183" t="s">
        <v>3967</v>
      </c>
      <c r="B17" s="187"/>
      <c r="C17" s="187"/>
      <c r="D17" s="187"/>
      <c r="E17" s="187"/>
      <c r="F17" s="187"/>
      <c r="G17" s="187"/>
      <c r="H17" s="187"/>
      <c r="I17" s="187"/>
      <c r="J17" s="187"/>
      <c r="K17" s="187"/>
    </row>
    <row r="19" spans="1:13" ht="76.5" customHeight="1">
      <c r="E19" s="197" t="s">
        <v>3968</v>
      </c>
      <c r="F19" s="197" t="s">
        <v>3969</v>
      </c>
      <c r="G19" s="197" t="s">
        <v>3970</v>
      </c>
      <c r="H19" s="197" t="s">
        <v>3971</v>
      </c>
      <c r="I19" s="197" t="s">
        <v>3972</v>
      </c>
      <c r="K19" s="197" t="s">
        <v>3973</v>
      </c>
      <c r="L19" s="197" t="s">
        <v>3974</v>
      </c>
      <c r="M19" s="197" t="s">
        <v>3975</v>
      </c>
    </row>
    <row r="20" spans="1:13" ht="13.5" customHeight="1">
      <c r="B20" s="198" t="s">
        <v>3976</v>
      </c>
      <c r="C20" s="198"/>
      <c r="D20" s="198"/>
      <c r="E20" s="199"/>
      <c r="F20" s="199"/>
      <c r="G20" s="199"/>
      <c r="H20" s="199"/>
      <c r="I20" s="199"/>
      <c r="J20" s="199"/>
      <c r="K20" s="199"/>
    </row>
    <row r="21" spans="1:13">
      <c r="B21" s="200"/>
      <c r="E21" s="201">
        <f t="shared" ref="E21:G27" si="2">AVERAGE(N98,N114)</f>
        <v>539.75270847602587</v>
      </c>
      <c r="F21" s="202">
        <f t="shared" si="2"/>
        <v>7.6609230769230763</v>
      </c>
      <c r="G21" s="203">
        <f t="shared" si="2"/>
        <v>507.77009999999996</v>
      </c>
      <c r="H21" s="196">
        <f>LN(E21)</f>
        <v>6.2911110874018279</v>
      </c>
      <c r="I21" s="184">
        <f>E21/$C$14</f>
        <v>1.3424236971903731</v>
      </c>
    </row>
    <row r="22" spans="1:13">
      <c r="B22" s="546" t="s">
        <v>3977</v>
      </c>
      <c r="C22" s="546"/>
      <c r="D22" s="546"/>
      <c r="E22" s="201">
        <f t="shared" si="2"/>
        <v>485.77743762842317</v>
      </c>
      <c r="F22" s="202">
        <f t="shared" si="2"/>
        <v>7.7002389907464162</v>
      </c>
      <c r="G22" s="203">
        <f t="shared" si="2"/>
        <v>522.64054999999996</v>
      </c>
      <c r="H22" s="196">
        <f t="shared" ref="H22:H27" si="3">LN(E22)</f>
        <v>6.1857505717440011</v>
      </c>
      <c r="I22" s="184">
        <f t="shared" ref="I22:I27" si="4">E22/$C$14</f>
        <v>1.2081813274713356</v>
      </c>
      <c r="K22" s="203">
        <f>G22-G21</f>
        <v>14.870450000000005</v>
      </c>
      <c r="L22" s="201">
        <f>E21-E22</f>
        <v>53.975270847602701</v>
      </c>
      <c r="M22" s="202">
        <f>K22/L22</f>
        <v>0.27550487040604582</v>
      </c>
    </row>
    <row r="23" spans="1:13">
      <c r="B23" s="546"/>
      <c r="C23" s="546"/>
      <c r="D23" s="546"/>
      <c r="E23" s="201">
        <f t="shared" si="2"/>
        <v>458.78980220462199</v>
      </c>
      <c r="F23" s="202">
        <f t="shared" si="2"/>
        <v>7.7446575631677161</v>
      </c>
      <c r="G23" s="203">
        <f t="shared" si="2"/>
        <v>555.00434999999993</v>
      </c>
      <c r="H23" s="196">
        <f t="shared" si="3"/>
        <v>6.1285921579040528</v>
      </c>
      <c r="I23" s="184">
        <f t="shared" si="4"/>
        <v>1.141060142611817</v>
      </c>
      <c r="K23" s="203">
        <f t="shared" ref="K23:K27" si="5">G23-G22</f>
        <v>32.363799999999969</v>
      </c>
      <c r="L23" s="201">
        <f t="shared" ref="L23:L27" si="6">E22-E23</f>
        <v>26.98763542380118</v>
      </c>
      <c r="M23" s="202">
        <f t="shared" ref="M23:M27" si="7">K23/L23</f>
        <v>1.1992084334834832</v>
      </c>
    </row>
    <row r="24" spans="1:13">
      <c r="B24" s="204" t="s">
        <v>3978</v>
      </c>
      <c r="C24" s="205">
        <f>SLOPE(G22:G27,H22:H27)</f>
        <v>-1047.885692337004</v>
      </c>
      <c r="E24" s="201">
        <f t="shared" si="2"/>
        <v>431.8021667808207</v>
      </c>
      <c r="F24" s="202">
        <f t="shared" si="2"/>
        <v>8.034812964924706</v>
      </c>
      <c r="G24" s="203">
        <f t="shared" si="2"/>
        <v>607.86695000000009</v>
      </c>
      <c r="H24" s="196">
        <f t="shared" si="3"/>
        <v>6.0679675360876182</v>
      </c>
      <c r="I24" s="184">
        <f t="shared" si="4"/>
        <v>1.0739389577522984</v>
      </c>
      <c r="K24" s="203">
        <f t="shared" si="5"/>
        <v>52.862600000000157</v>
      </c>
      <c r="L24" s="201">
        <f t="shared" si="6"/>
        <v>26.987635423801294</v>
      </c>
      <c r="M24" s="202">
        <f t="shared" si="7"/>
        <v>1.9587710879397338</v>
      </c>
    </row>
    <row r="25" spans="1:13">
      <c r="B25" s="204" t="s">
        <v>3979</v>
      </c>
      <c r="C25" s="205">
        <f>INTERCEPT(G22:G27,H22:H27)</f>
        <v>6981.2165340291649</v>
      </c>
      <c r="E25" s="201">
        <f t="shared" si="2"/>
        <v>404.8145313570194</v>
      </c>
      <c r="F25" s="202">
        <f t="shared" si="2"/>
        <v>8.0637892810627054</v>
      </c>
      <c r="G25" s="203">
        <f t="shared" si="2"/>
        <v>665.09079999999994</v>
      </c>
      <c r="H25" s="196">
        <f t="shared" si="3"/>
        <v>6.0034290149500471</v>
      </c>
      <c r="I25" s="184">
        <f t="shared" si="4"/>
        <v>1.0068177728927798</v>
      </c>
      <c r="K25" s="203">
        <f t="shared" si="5"/>
        <v>57.223849999999857</v>
      </c>
      <c r="L25" s="201">
        <f t="shared" si="6"/>
        <v>26.987635423801294</v>
      </c>
      <c r="M25" s="202">
        <f t="shared" si="7"/>
        <v>2.1203728708122478</v>
      </c>
    </row>
    <row r="26" spans="1:13">
      <c r="B26" s="200"/>
      <c r="E26" s="201">
        <f t="shared" si="2"/>
        <v>377.826895933218</v>
      </c>
      <c r="F26" s="202">
        <f t="shared" si="2"/>
        <v>8.0920588577827068</v>
      </c>
      <c r="G26" s="203">
        <f t="shared" si="2"/>
        <v>760.16419999999994</v>
      </c>
      <c r="H26" s="196">
        <f t="shared" si="3"/>
        <v>5.9344361434630954</v>
      </c>
      <c r="I26" s="184">
        <f t="shared" si="4"/>
        <v>0.93969658803326084</v>
      </c>
      <c r="K26" s="203">
        <f t="shared" si="5"/>
        <v>95.073399999999992</v>
      </c>
      <c r="L26" s="201">
        <f t="shared" si="6"/>
        <v>26.987635423801407</v>
      </c>
      <c r="M26" s="202">
        <f t="shared" si="7"/>
        <v>3.5228503167102665</v>
      </c>
    </row>
    <row r="27" spans="1:13">
      <c r="B27" s="200"/>
      <c r="E27" s="201">
        <f t="shared" si="2"/>
        <v>356.45161358376873</v>
      </c>
      <c r="F27" s="202">
        <f t="shared" si="2"/>
        <v>8.3353185654583068</v>
      </c>
      <c r="G27" s="203">
        <f t="shared" si="2"/>
        <v>846.87</v>
      </c>
      <c r="H27" s="196">
        <f t="shared" si="3"/>
        <v>5.8761985043699685</v>
      </c>
      <c r="I27" s="184">
        <f t="shared" si="4"/>
        <v>0.88653393574930228</v>
      </c>
      <c r="J27" s="184"/>
      <c r="K27" s="203">
        <f t="shared" si="5"/>
        <v>86.705800000000067</v>
      </c>
      <c r="L27" s="201">
        <f t="shared" si="6"/>
        <v>21.375282349449265</v>
      </c>
      <c r="M27" s="202">
        <f t="shared" si="7"/>
        <v>4.0563581141296154</v>
      </c>
    </row>
    <row r="28" spans="1:13">
      <c r="B28" s="198" t="s">
        <v>3980</v>
      </c>
      <c r="C28" s="198"/>
      <c r="D28" s="198"/>
      <c r="E28" s="199"/>
      <c r="F28" s="199"/>
      <c r="G28" s="199"/>
      <c r="H28" s="199"/>
      <c r="I28" s="199"/>
      <c r="J28" s="199"/>
      <c r="K28" s="199"/>
    </row>
    <row r="29" spans="1:13" ht="56.25" customHeight="1">
      <c r="C29" s="197" t="s">
        <v>3981</v>
      </c>
      <c r="D29" s="197" t="s">
        <v>3982</v>
      </c>
      <c r="E29" s="197" t="str">
        <f>E19</f>
        <v>UEC</v>
      </c>
      <c r="F29" s="197" t="str">
        <f t="shared" ref="F29:I29" si="8">F19</f>
        <v>repair cost</v>
      </c>
      <c r="G29" s="197" t="str">
        <f t="shared" si="8"/>
        <v>installed price</v>
      </c>
      <c r="H29" s="197" t="str">
        <f t="shared" si="8"/>
        <v>ln(UEC)</v>
      </c>
      <c r="I29" s="197" t="str">
        <f t="shared" si="8"/>
        <v>UEC as a percent of federal standard</v>
      </c>
      <c r="J29" s="197" t="s">
        <v>3983</v>
      </c>
      <c r="K29" s="197" t="s">
        <v>3984</v>
      </c>
    </row>
    <row r="30" spans="1:13" ht="25.5" customHeight="1">
      <c r="B30" s="206" t="s">
        <v>3985</v>
      </c>
      <c r="C30" s="207">
        <f>SUMPRODUCT('CEC analysis'!D9:D14,'CEC analysis'!K9:K14)/SUM('CEC analysis'!D9:D14)</f>
        <v>2.7812413440609945E-2</v>
      </c>
      <c r="D30" s="9">
        <f>SUM('CEC analysis'!D9:D14)</f>
        <v>46</v>
      </c>
      <c r="E30" s="44">
        <f>IFERROR($C$14*I30,"[n/a]")</f>
        <v>390.89065850853092</v>
      </c>
      <c r="F30" s="547" t="s">
        <v>3986</v>
      </c>
      <c r="G30" s="203">
        <f>IFERROR($C$24*H30+$C$25,"[n/a]")</f>
        <v>726.98635794665279</v>
      </c>
      <c r="H30" s="196">
        <f>LN(E30)</f>
        <v>5.9684278751189668</v>
      </c>
      <c r="I30" s="207">
        <f>1-C30</f>
        <v>0.97218758655939008</v>
      </c>
      <c r="J30" s="548">
        <f>SUMPRODUCT(G30:G34,D30:D34)/SUM(D30:D34)</f>
        <v>767.171844570247</v>
      </c>
      <c r="K30" s="202">
        <f>IFERROR(G30-$J$30,"[n/a]")</f>
        <v>-40.185486623594215</v>
      </c>
      <c r="L30" s="9">
        <f>SUMPRODUCT(E30:E34,D30:D34)/SUM(D30:D34)</f>
        <v>376.48677695407963</v>
      </c>
      <c r="M30" s="9">
        <f>E30-$L$30</f>
        <v>14.403881554451289</v>
      </c>
    </row>
    <row r="31" spans="1:13">
      <c r="B31" s="206" t="s">
        <v>3987</v>
      </c>
      <c r="C31" s="207">
        <f>SUMPRODUCT('CEC analysis'!E9:E14,'CEC analysis'!L9:L14)/SUM('CEC analysis'!E9:E14)</f>
        <v>0.10287226528345018</v>
      </c>
      <c r="D31" s="9">
        <f>SUM('CEC analysis'!E9:E14)</f>
        <v>21</v>
      </c>
      <c r="E31" s="44">
        <f t="shared" ref="E31:E34" si="9">IFERROR($C$14*I31,"[n/a]")</f>
        <v>360.71109715634714</v>
      </c>
      <c r="F31" s="547"/>
      <c r="G31" s="203">
        <f t="shared" ref="G31:G34" si="10">IFERROR($C$24*H31+$C$25,"[n/a]")</f>
        <v>811.18452039608837</v>
      </c>
      <c r="H31" s="196">
        <f t="shared" ref="H31:H34" si="11">LN(E31)</f>
        <v>5.8880773530485149</v>
      </c>
      <c r="I31" s="207">
        <f t="shared" ref="I31:I34" si="12">1-C31</f>
        <v>0.89712773471654983</v>
      </c>
      <c r="J31" s="548"/>
      <c r="K31" s="202">
        <f t="shared" ref="K31:K34" si="13">IFERROR(G31-$J$30,"[n/a]")</f>
        <v>44.01267582584137</v>
      </c>
      <c r="M31" s="9">
        <f t="shared" ref="M31:M34" si="14">E31-$L$30</f>
        <v>-15.775679797732494</v>
      </c>
    </row>
    <row r="32" spans="1:13">
      <c r="B32" s="206" t="s">
        <v>3988</v>
      </c>
      <c r="C32" s="207" t="e">
        <f>SUMPRODUCT('CEC analysis'!F9:F14,'CEC analysis'!M9:M14)/SUM('CEC analysis'!F9:F14)</f>
        <v>#DIV/0!</v>
      </c>
      <c r="D32" s="9">
        <f>SUM('CEC analysis'!F9:F14)</f>
        <v>0</v>
      </c>
      <c r="E32" s="44" t="str">
        <f t="shared" si="9"/>
        <v>[n/a]</v>
      </c>
      <c r="F32" s="547"/>
      <c r="G32" s="203" t="str">
        <f t="shared" si="10"/>
        <v>[n/a]</v>
      </c>
      <c r="H32" s="196" t="s">
        <v>4768</v>
      </c>
      <c r="I32" s="207" t="e">
        <f t="shared" si="12"/>
        <v>#DIV/0!</v>
      </c>
      <c r="J32" s="548"/>
      <c r="K32" s="202" t="str">
        <f t="shared" si="13"/>
        <v>[n/a]</v>
      </c>
      <c r="M32" s="9" t="e">
        <f t="shared" si="14"/>
        <v>#VALUE!</v>
      </c>
    </row>
    <row r="33" spans="1:13">
      <c r="B33" s="206" t="s">
        <v>3989</v>
      </c>
      <c r="C33" s="208" t="e">
        <f>SUMPRODUCT('CEC analysis'!G9:G14,'CEC analysis'!N9:N14)/SUM('CEC analysis'!G9:G14)</f>
        <v>#DIV/0!</v>
      </c>
      <c r="D33" s="9">
        <f>SUM('CEC analysis'!G9:G14)</f>
        <v>0</v>
      </c>
      <c r="E33" s="44" t="str">
        <f t="shared" si="9"/>
        <v>[n/a]</v>
      </c>
      <c r="F33" s="547"/>
      <c r="G33" s="203" t="str">
        <f t="shared" si="10"/>
        <v>[n/a]</v>
      </c>
      <c r="H33" s="196" t="s">
        <v>4768</v>
      </c>
      <c r="I33" s="207" t="e">
        <f t="shared" si="12"/>
        <v>#DIV/0!</v>
      </c>
      <c r="J33" s="548"/>
      <c r="K33" s="202" t="str">
        <f t="shared" si="13"/>
        <v>[n/a]</v>
      </c>
      <c r="M33" s="9" t="e">
        <f t="shared" si="14"/>
        <v>#VALUE!</v>
      </c>
    </row>
    <row r="34" spans="1:13">
      <c r="B34" s="206" t="s">
        <v>3990</v>
      </c>
      <c r="C34" s="207">
        <f>SUMPRODUCT('CEC analysis'!H9:H14,'CEC analysis'!O9:O14)/SUM('CEC analysis'!H9:H14)</f>
        <v>0.10287226528345018</v>
      </c>
      <c r="D34" s="9">
        <f>SUM('CEC analysis'!H9:H14)</f>
        <v>21</v>
      </c>
      <c r="E34" s="44">
        <f t="shared" si="9"/>
        <v>360.71109715634714</v>
      </c>
      <c r="F34" s="547"/>
      <c r="G34" s="203">
        <f t="shared" si="10"/>
        <v>811.18452039608837</v>
      </c>
      <c r="H34" s="196">
        <f t="shared" si="11"/>
        <v>5.8880773530485149</v>
      </c>
      <c r="I34" s="207">
        <f t="shared" si="12"/>
        <v>0.89712773471654983</v>
      </c>
      <c r="J34" s="548"/>
      <c r="K34" s="202">
        <f t="shared" si="13"/>
        <v>44.01267582584137</v>
      </c>
      <c r="M34" s="9">
        <f t="shared" si="14"/>
        <v>-15.775679797732494</v>
      </c>
    </row>
    <row r="35" spans="1:13">
      <c r="B35" s="209" t="s">
        <v>3991</v>
      </c>
      <c r="E35" s="44"/>
      <c r="G35" s="200"/>
      <c r="H35" s="196"/>
      <c r="I35" s="207"/>
      <c r="J35" s="207"/>
    </row>
    <row r="36" spans="1:13">
      <c r="F36" s="200"/>
      <c r="G36" s="196"/>
      <c r="H36" s="207"/>
      <c r="I36" s="207"/>
    </row>
    <row r="37" spans="1:13">
      <c r="A37" s="183" t="s">
        <v>3992</v>
      </c>
      <c r="B37" s="187"/>
      <c r="C37" s="187"/>
      <c r="D37" s="187"/>
      <c r="E37" s="187"/>
      <c r="F37" s="187"/>
      <c r="G37" s="187"/>
      <c r="H37" s="187"/>
      <c r="I37" s="187"/>
      <c r="J37" s="187"/>
      <c r="K37" s="187"/>
    </row>
    <row r="38" spans="1:13">
      <c r="F38" s="200"/>
      <c r="G38" s="196"/>
      <c r="H38" s="207"/>
      <c r="I38" s="207"/>
    </row>
    <row r="39" spans="1:13" ht="51">
      <c r="E39" s="197" t="s">
        <v>3968</v>
      </c>
      <c r="F39" s="197" t="s">
        <v>3969</v>
      </c>
      <c r="G39" s="197" t="s">
        <v>3970</v>
      </c>
      <c r="H39" s="197" t="s">
        <v>3971</v>
      </c>
      <c r="I39" s="197" t="s">
        <v>3972</v>
      </c>
      <c r="K39" s="197" t="s">
        <v>3973</v>
      </c>
      <c r="L39" s="197" t="s">
        <v>3974</v>
      </c>
      <c r="M39" s="197" t="s">
        <v>3975</v>
      </c>
    </row>
    <row r="40" spans="1:13">
      <c r="B40" s="198" t="s">
        <v>3976</v>
      </c>
      <c r="C40" s="198"/>
      <c r="D40" s="198"/>
      <c r="E40" s="199"/>
      <c r="F40" s="199"/>
      <c r="G40" s="199"/>
      <c r="H40" s="199"/>
      <c r="I40" s="199"/>
      <c r="K40" s="199"/>
    </row>
    <row r="41" spans="1:13">
      <c r="B41" s="200"/>
      <c r="E41" s="201">
        <f>AVERAGE(V98,V114)</f>
        <v>667.45727936719481</v>
      </c>
      <c r="F41" s="201">
        <f t="shared" ref="F41:G47" si="15">AVERAGE(W98,W114)</f>
        <v>19.921576923076923</v>
      </c>
      <c r="G41" s="201">
        <f t="shared" si="15"/>
        <v>870.06774999999993</v>
      </c>
      <c r="H41" s="196">
        <f>LN(E41)</f>
        <v>6.5034753872782334</v>
      </c>
      <c r="I41" s="184">
        <f>E41/$D$14</f>
        <v>1.2300285087113634</v>
      </c>
    </row>
    <row r="42" spans="1:13">
      <c r="B42" s="546" t="s">
        <v>3993</v>
      </c>
      <c r="C42" s="546"/>
      <c r="D42" s="546"/>
      <c r="E42" s="201">
        <f t="shared" ref="E42:E47" si="16">AVERAGE(V99,V115)</f>
        <v>600.71155143047531</v>
      </c>
      <c r="F42" s="201">
        <f t="shared" si="15"/>
        <v>20.141888935197123</v>
      </c>
      <c r="G42" s="201">
        <f t="shared" si="15"/>
        <v>886.39589999999998</v>
      </c>
      <c r="H42" s="196">
        <f t="shared" ref="H42:H47" si="17">LN(E42)</f>
        <v>6.3981148716204075</v>
      </c>
      <c r="I42" s="184">
        <f t="shared" ref="I42:I47" si="18">E42/$D$14</f>
        <v>1.1070256578402271</v>
      </c>
      <c r="K42" s="203">
        <f>G42-G41</f>
        <v>16.328150000000051</v>
      </c>
      <c r="L42" s="201">
        <f>E41-E42</f>
        <v>66.745727936719504</v>
      </c>
      <c r="M42" s="202">
        <f>K42/L42</f>
        <v>0.24463213608937628</v>
      </c>
    </row>
    <row r="43" spans="1:13">
      <c r="B43" s="546"/>
      <c r="C43" s="546"/>
      <c r="D43" s="546"/>
      <c r="E43" s="201">
        <f t="shared" si="16"/>
        <v>567.33868746211567</v>
      </c>
      <c r="F43" s="201">
        <f t="shared" si="15"/>
        <v>20.254837895428924</v>
      </c>
      <c r="G43" s="201">
        <f t="shared" si="15"/>
        <v>900.18380000000002</v>
      </c>
      <c r="H43" s="196">
        <f t="shared" si="17"/>
        <v>6.3409564577804591</v>
      </c>
      <c r="I43" s="184">
        <f t="shared" si="18"/>
        <v>1.0455242324046592</v>
      </c>
      <c r="K43" s="203">
        <f t="shared" ref="K43:K47" si="19">G43-G42</f>
        <v>13.787900000000036</v>
      </c>
      <c r="L43" s="201">
        <f t="shared" ref="L43:L47" si="20">E42-E43</f>
        <v>33.372863968359638</v>
      </c>
      <c r="M43" s="202">
        <f t="shared" ref="M43:M47" si="21">K43/L43</f>
        <v>0.41314704105323885</v>
      </c>
    </row>
    <row r="44" spans="1:13">
      <c r="B44" s="204" t="s">
        <v>3978</v>
      </c>
      <c r="C44" s="205">
        <f>SLOPE(G43:G47,H43:H47)</f>
        <v>-1243.9193921817098</v>
      </c>
      <c r="E44" s="201">
        <f t="shared" si="16"/>
        <v>533.96582349375592</v>
      </c>
      <c r="F44" s="201">
        <f t="shared" si="15"/>
        <v>20.345443222287123</v>
      </c>
      <c r="G44" s="201">
        <f t="shared" si="15"/>
        <v>936.01355000000001</v>
      </c>
      <c r="H44" s="196">
        <f t="shared" si="17"/>
        <v>6.2803318359640246</v>
      </c>
      <c r="I44" s="184">
        <f t="shared" si="18"/>
        <v>0.98402280696909095</v>
      </c>
      <c r="K44" s="203">
        <f t="shared" si="19"/>
        <v>35.82974999999999</v>
      </c>
      <c r="L44" s="201">
        <f t="shared" si="20"/>
        <v>33.372863968359752</v>
      </c>
      <c r="M44" s="202">
        <f t="shared" si="21"/>
        <v>1.0736192744491324</v>
      </c>
    </row>
    <row r="45" spans="1:13">
      <c r="B45" s="204" t="s">
        <v>3979</v>
      </c>
      <c r="C45" s="205">
        <f>INTERCEPT(G43:G47,H43:H47)</f>
        <v>8764.2552481665989</v>
      </c>
      <c r="E45" s="201">
        <f t="shared" si="16"/>
        <v>500.59295952539617</v>
      </c>
      <c r="F45" s="201">
        <f t="shared" si="15"/>
        <v>20.680692399303723</v>
      </c>
      <c r="G45" s="201">
        <f t="shared" si="15"/>
        <v>1011.7579499999999</v>
      </c>
      <c r="H45" s="196">
        <f t="shared" si="17"/>
        <v>6.2157933148264526</v>
      </c>
      <c r="I45" s="184">
        <f t="shared" si="18"/>
        <v>0.9225213815335227</v>
      </c>
      <c r="K45" s="203">
        <f t="shared" si="19"/>
        <v>75.744399999999928</v>
      </c>
      <c r="L45" s="201">
        <f t="shared" si="20"/>
        <v>33.372863968359752</v>
      </c>
      <c r="M45" s="202">
        <f t="shared" si="21"/>
        <v>2.2696403902227842</v>
      </c>
    </row>
    <row r="46" spans="1:13">
      <c r="B46" s="200"/>
      <c r="E46" s="201">
        <f t="shared" si="16"/>
        <v>467.22009555703642</v>
      </c>
      <c r="F46" s="201">
        <f t="shared" si="15"/>
        <v>21.238999204405925</v>
      </c>
      <c r="G46" s="201">
        <f t="shared" si="15"/>
        <v>1116.1213</v>
      </c>
      <c r="H46" s="196">
        <f t="shared" si="17"/>
        <v>6.1468004433395018</v>
      </c>
      <c r="I46" s="184">
        <f t="shared" si="18"/>
        <v>0.86101995609795456</v>
      </c>
      <c r="K46" s="203">
        <f t="shared" si="19"/>
        <v>104.36335000000008</v>
      </c>
      <c r="L46" s="201">
        <f t="shared" si="20"/>
        <v>33.372863968359752</v>
      </c>
      <c r="M46" s="202">
        <f t="shared" si="21"/>
        <v>3.1271919035461031</v>
      </c>
    </row>
    <row r="47" spans="1:13">
      <c r="B47" s="200"/>
      <c r="E47" s="201">
        <f t="shared" si="16"/>
        <v>436.54355797664016</v>
      </c>
      <c r="F47" s="201">
        <f t="shared" si="15"/>
        <v>21.684641078514122</v>
      </c>
      <c r="G47" s="201">
        <f t="shared" si="15"/>
        <v>1217.6174000000001</v>
      </c>
      <c r="H47" s="196">
        <f t="shared" si="17"/>
        <v>6.078888159480063</v>
      </c>
      <c r="I47" s="184">
        <f t="shared" si="18"/>
        <v>0.80448747538515597</v>
      </c>
      <c r="K47" s="203">
        <f t="shared" si="19"/>
        <v>101.49610000000007</v>
      </c>
      <c r="L47" s="201">
        <f t="shared" si="20"/>
        <v>30.676537580396257</v>
      </c>
      <c r="M47" s="202">
        <f t="shared" si="21"/>
        <v>3.3085904735500797</v>
      </c>
    </row>
    <row r="48" spans="1:13">
      <c r="B48" s="198" t="s">
        <v>3980</v>
      </c>
      <c r="C48" s="198"/>
      <c r="D48" s="198"/>
      <c r="E48" s="199"/>
      <c r="F48" s="199"/>
      <c r="G48" s="199"/>
      <c r="H48" s="199"/>
      <c r="I48" s="199"/>
      <c r="J48" s="199"/>
      <c r="K48" s="199"/>
    </row>
    <row r="49" spans="1:13" ht="51">
      <c r="C49" s="197" t="s">
        <v>3981</v>
      </c>
      <c r="D49" s="197" t="s">
        <v>3982</v>
      </c>
      <c r="E49" s="197" t="str">
        <f>E39</f>
        <v>UEC</v>
      </c>
      <c r="F49" s="197" t="str">
        <f t="shared" ref="F49:I49" si="22">F39</f>
        <v>repair cost</v>
      </c>
      <c r="G49" s="197" t="str">
        <f t="shared" si="22"/>
        <v>installed price</v>
      </c>
      <c r="H49" s="197" t="str">
        <f t="shared" si="22"/>
        <v>ln(UEC)</v>
      </c>
      <c r="I49" s="197" t="str">
        <f t="shared" si="22"/>
        <v>UEC as a percent of federal standard</v>
      </c>
      <c r="J49" s="197" t="s">
        <v>3983</v>
      </c>
      <c r="K49" s="197" t="s">
        <v>3984</v>
      </c>
      <c r="L49" s="197" t="s">
        <v>4979</v>
      </c>
      <c r="M49" s="197" t="s">
        <v>4980</v>
      </c>
    </row>
    <row r="50" spans="1:13">
      <c r="B50" s="206" t="s">
        <v>3985</v>
      </c>
      <c r="C50" s="207">
        <f>SUMPRODUCT('CEC analysis'!D19:D24,'CEC analysis'!K19:K24)/SUM('CEC analysis'!D19:D24)</f>
        <v>5.8273986510253242E-2</v>
      </c>
      <c r="D50" s="9">
        <f>SUM('CEC analysis'!D19:D24)</f>
        <v>101</v>
      </c>
      <c r="E50" s="44">
        <f>$D$14*I50</f>
        <v>511.01407684582199</v>
      </c>
      <c r="F50" s="547" t="s">
        <v>3986</v>
      </c>
      <c r="G50" s="203">
        <f>$C$44*H50+$C$45</f>
        <v>1006.6799115239446</v>
      </c>
      <c r="H50" s="196">
        <f>LN(E50)</f>
        <v>6.2363971374677627</v>
      </c>
      <c r="I50" s="207">
        <f>1-C50</f>
        <v>0.94172601348974672</v>
      </c>
      <c r="J50" s="548">
        <f>SUMPRODUCT(G50:G54,D50:D54)/SUM(D50:D54)</f>
        <v>1081.1707172812532</v>
      </c>
      <c r="K50" s="202">
        <f>G50-$J$50</f>
        <v>-74.490805757308635</v>
      </c>
      <c r="L50" s="549">
        <f>SUMPRODUCT(E50:E54,D50:D54)/SUM(D50:D54)</f>
        <v>483.0050664097887</v>
      </c>
      <c r="M50" s="488">
        <f>E50-$L$50</f>
        <v>28.009010436033293</v>
      </c>
    </row>
    <row r="51" spans="1:13">
      <c r="B51" s="206" t="s">
        <v>3987</v>
      </c>
      <c r="C51" s="487">
        <f>SUMPRODUCT('CEC analysis'!E19:E24,'CEC analysis'!L19:L24)/SUM('CEC analysis'!E19:E24)</f>
        <v>0.11000303213948986</v>
      </c>
      <c r="D51" s="9">
        <f>SUM('CEC analysis'!E19:E24)</f>
        <v>9</v>
      </c>
      <c r="E51" s="44">
        <f t="shared" ref="E51:E54" si="23">$D$14*I51</f>
        <v>482.94405422811559</v>
      </c>
      <c r="F51" s="547"/>
      <c r="G51" s="203">
        <f>$C$44*H51+$C$45</f>
        <v>1076.9567799064353</v>
      </c>
      <c r="H51" s="196">
        <f t="shared" ref="H51:H54" si="24">LN(E51)</f>
        <v>6.1799008171883338</v>
      </c>
      <c r="I51" s="207">
        <f>1-C51</f>
        <v>0.88999696786051019</v>
      </c>
      <c r="J51" s="548"/>
      <c r="K51" s="202">
        <f t="shared" ref="K51:K54" si="25">G51-$J$50</f>
        <v>-4.2139373748179878</v>
      </c>
      <c r="L51" s="549"/>
      <c r="M51" s="488">
        <f t="shared" ref="M51:M54" si="26">E51-$L$50</f>
        <v>-6.1012181673106625E-2</v>
      </c>
    </row>
    <row r="52" spans="1:13">
      <c r="B52" s="206" t="s">
        <v>3988</v>
      </c>
      <c r="C52" s="487">
        <f>SUMPRODUCT('CEC analysis'!F19:F24,'CEC analysis'!M19:M24)/SUM('CEC analysis'!F19:F24)</f>
        <v>0.17517874596585439</v>
      </c>
      <c r="D52" s="9">
        <f>SUM('CEC analysis'!F19:F24)</f>
        <v>6</v>
      </c>
      <c r="E52" s="44">
        <f t="shared" si="23"/>
        <v>447.57739050994297</v>
      </c>
      <c r="F52" s="547"/>
      <c r="G52" s="203">
        <f t="shared" ref="G52:G54" si="27">$C$44*H52+$C$45</f>
        <v>1171.5585348676486</v>
      </c>
      <c r="H52" s="196">
        <f t="shared" si="24"/>
        <v>6.10384946244959</v>
      </c>
      <c r="I52" s="207">
        <f>1-C52</f>
        <v>0.82482125403414563</v>
      </c>
      <c r="J52" s="548"/>
      <c r="K52" s="202">
        <f t="shared" si="25"/>
        <v>90.387817586395386</v>
      </c>
      <c r="L52" s="549"/>
      <c r="M52" s="488">
        <f t="shared" si="26"/>
        <v>-35.427675899845724</v>
      </c>
    </row>
    <row r="53" spans="1:13">
      <c r="B53" s="206" t="s">
        <v>3989</v>
      </c>
      <c r="C53" s="487">
        <f>SUMPRODUCT('CEC analysis'!G19:G24,'CEC analysis'!N19:N24)/SUM('CEC analysis'!G19:G24)</f>
        <v>0.25748378970457242</v>
      </c>
      <c r="D53" s="9">
        <f>SUM('CEC analysis'!G19:G24)</f>
        <v>15</v>
      </c>
      <c r="E53" s="44">
        <f t="shared" si="23"/>
        <v>402.91574227741916</v>
      </c>
      <c r="F53" s="547"/>
      <c r="G53" s="203">
        <f t="shared" si="27"/>
        <v>1302.3218274674573</v>
      </c>
      <c r="H53" s="196">
        <f t="shared" si="24"/>
        <v>5.9987274638525081</v>
      </c>
      <c r="I53" s="207">
        <f>1-C53</f>
        <v>0.74251621029542758</v>
      </c>
      <c r="J53" s="548"/>
      <c r="K53" s="202">
        <f t="shared" si="25"/>
        <v>221.15111018620405</v>
      </c>
      <c r="L53" s="549"/>
      <c r="M53" s="488">
        <f t="shared" si="26"/>
        <v>-80.089324132369541</v>
      </c>
    </row>
    <row r="54" spans="1:13">
      <c r="B54" s="206" t="s">
        <v>3990</v>
      </c>
      <c r="C54" s="487">
        <f>SUMPRODUCT('CEC analysis'!H19:H24,'CEC analysis'!O19:O24)/SUM('CEC analysis'!H19:H24)</f>
        <v>0.19677855368730407</v>
      </c>
      <c r="D54" s="9">
        <f>SUM('CEC analysis'!H19:H24)</f>
        <v>30</v>
      </c>
      <c r="E54" s="44">
        <f t="shared" si="23"/>
        <v>435.85656550913279</v>
      </c>
      <c r="F54" s="547"/>
      <c r="G54" s="203">
        <f t="shared" si="27"/>
        <v>1204.5674925995891</v>
      </c>
      <c r="H54" s="196">
        <f t="shared" si="24"/>
        <v>6.0773132110337764</v>
      </c>
      <c r="I54" s="207">
        <f>1-C54</f>
        <v>0.80322144631269587</v>
      </c>
      <c r="J54" s="548"/>
      <c r="K54" s="202">
        <f t="shared" si="25"/>
        <v>123.39677531833581</v>
      </c>
      <c r="L54" s="549"/>
      <c r="M54" s="488">
        <f t="shared" si="26"/>
        <v>-47.148500900655904</v>
      </c>
    </row>
    <row r="55" spans="1:13">
      <c r="B55" s="209" t="s">
        <v>3991</v>
      </c>
      <c r="E55" s="44"/>
      <c r="G55" s="200"/>
      <c r="H55" s="196"/>
      <c r="I55" s="207"/>
      <c r="J55" s="207"/>
    </row>
    <row r="56" spans="1:13">
      <c r="F56" s="200"/>
      <c r="G56" s="196"/>
      <c r="H56" s="207"/>
      <c r="I56" s="207"/>
    </row>
    <row r="57" spans="1:13">
      <c r="A57" s="183" t="s">
        <v>3994</v>
      </c>
      <c r="B57" s="187"/>
      <c r="C57" s="187"/>
      <c r="D57" s="187"/>
      <c r="E57" s="187"/>
      <c r="F57" s="187"/>
      <c r="G57" s="187"/>
      <c r="H57" s="187"/>
      <c r="I57" s="187"/>
      <c r="J57" s="187"/>
      <c r="K57" s="187"/>
    </row>
    <row r="58" spans="1:13">
      <c r="F58" s="200"/>
      <c r="G58" s="196"/>
      <c r="H58" s="207"/>
      <c r="I58" s="207"/>
    </row>
    <row r="59" spans="1:13" ht="51">
      <c r="E59" s="197" t="s">
        <v>3968</v>
      </c>
      <c r="F59" s="197" t="s">
        <v>3969</v>
      </c>
      <c r="G59" s="197" t="s">
        <v>3970</v>
      </c>
      <c r="H59" s="197" t="s">
        <v>3971</v>
      </c>
      <c r="I59" s="197" t="s">
        <v>3972</v>
      </c>
      <c r="K59" s="197" t="s">
        <v>3973</v>
      </c>
      <c r="L59" s="197" t="s">
        <v>3974</v>
      </c>
      <c r="M59" s="197" t="s">
        <v>3975</v>
      </c>
    </row>
    <row r="60" spans="1:13">
      <c r="B60" s="198" t="s">
        <v>3976</v>
      </c>
      <c r="C60" s="198"/>
      <c r="D60" s="198"/>
      <c r="E60" s="199"/>
      <c r="F60" s="199"/>
      <c r="G60" s="199"/>
      <c r="H60" s="199"/>
      <c r="I60" s="199"/>
      <c r="J60" s="199"/>
      <c r="K60" s="199"/>
    </row>
    <row r="61" spans="1:13">
      <c r="B61" s="200"/>
      <c r="E61" s="201">
        <f t="shared" ref="E61:G66" si="28">AVERAGE(AD98,AD114)</f>
        <v>818.55388935644658</v>
      </c>
      <c r="F61" s="201">
        <f t="shared" si="28"/>
        <v>21.898076923076928</v>
      </c>
      <c r="G61" s="201">
        <f t="shared" si="28"/>
        <v>1072.8113499999999</v>
      </c>
      <c r="H61" s="196">
        <f>LN(E61)</f>
        <v>6.7075392338087578</v>
      </c>
      <c r="I61" s="184">
        <f>E61/$E$14</f>
        <v>1.2036927700502325</v>
      </c>
    </row>
    <row r="62" spans="1:13">
      <c r="B62" s="546" t="s">
        <v>3993</v>
      </c>
      <c r="C62" s="546"/>
      <c r="D62" s="546"/>
      <c r="E62" s="201">
        <f t="shared" si="28"/>
        <v>736.69850042080191</v>
      </c>
      <c r="F62" s="201">
        <f t="shared" si="28"/>
        <v>21.991434199885877</v>
      </c>
      <c r="G62" s="201">
        <f t="shared" si="28"/>
        <v>1086.6252999999999</v>
      </c>
      <c r="H62" s="196">
        <f t="shared" ref="H62:H66" si="29">LN(E62)</f>
        <v>6.602178718150931</v>
      </c>
      <c r="I62" s="184">
        <f t="shared" ref="I62:I66" si="30">E62/$E$14</f>
        <v>1.0833234930452091</v>
      </c>
      <c r="K62" s="203">
        <f>G62-G61</f>
        <v>13.813949999999977</v>
      </c>
      <c r="L62" s="201">
        <f>E61-E62</f>
        <v>81.855388935644669</v>
      </c>
      <c r="M62" s="202">
        <f>K62/L62</f>
        <v>0.16876042224734417</v>
      </c>
    </row>
    <row r="63" spans="1:13">
      <c r="B63" s="546"/>
      <c r="C63" s="546"/>
      <c r="D63" s="546"/>
      <c r="E63" s="201">
        <f t="shared" si="28"/>
        <v>695.7708059529798</v>
      </c>
      <c r="F63" s="201">
        <f t="shared" si="28"/>
        <v>22.111042178926429</v>
      </c>
      <c r="G63" s="201">
        <f t="shared" si="28"/>
        <v>1104.5553500000001</v>
      </c>
      <c r="H63" s="196">
        <f t="shared" si="29"/>
        <v>6.5450203043109827</v>
      </c>
      <c r="I63" s="184">
        <f t="shared" si="30"/>
        <v>1.0231388545426978</v>
      </c>
      <c r="K63" s="203">
        <f t="shared" ref="K63:K67" si="31">G63-G62</f>
        <v>17.930050000000165</v>
      </c>
      <c r="L63" s="201">
        <f t="shared" ref="L63:L67" si="32">E62-E63</f>
        <v>40.927694467822107</v>
      </c>
      <c r="M63" s="202">
        <f t="shared" ref="M63:M67" si="33">K63/L63</f>
        <v>0.43809088767746268</v>
      </c>
    </row>
    <row r="64" spans="1:13">
      <c r="B64" s="204" t="s">
        <v>3978</v>
      </c>
      <c r="C64" s="205">
        <f>SLOPE(G63:G66,H63:H66)</f>
        <v>-1403.7360069175427</v>
      </c>
      <c r="E64" s="201">
        <f t="shared" si="28"/>
        <v>654.84311148515735</v>
      </c>
      <c r="F64" s="201">
        <f t="shared" si="28"/>
        <v>22.255942194847474</v>
      </c>
      <c r="G64" s="201">
        <f t="shared" si="28"/>
        <v>1145.4753000000001</v>
      </c>
      <c r="H64" s="196">
        <f t="shared" si="29"/>
        <v>6.4843956824945481</v>
      </c>
      <c r="I64" s="184">
        <f t="shared" si="30"/>
        <v>0.96295421604018605</v>
      </c>
      <c r="K64" s="203">
        <f t="shared" si="31"/>
        <v>40.919949999999972</v>
      </c>
      <c r="L64" s="201">
        <f t="shared" si="32"/>
        <v>40.927694467822448</v>
      </c>
      <c r="M64" s="202">
        <f t="shared" si="33"/>
        <v>0.99981077683648745</v>
      </c>
    </row>
    <row r="65" spans="1:13">
      <c r="B65" s="204" t="s">
        <v>3979</v>
      </c>
      <c r="C65" s="205">
        <f>INTERCEPT(G63:G66,H63:H66)</f>
        <v>10269.131062009868</v>
      </c>
      <c r="E65" s="201">
        <f t="shared" si="28"/>
        <v>613.9154170173349</v>
      </c>
      <c r="F65" s="201">
        <f t="shared" si="28"/>
        <v>22.623522800041968</v>
      </c>
      <c r="G65" s="201">
        <f t="shared" si="28"/>
        <v>1233.2516000000001</v>
      </c>
      <c r="H65" s="196">
        <f t="shared" si="29"/>
        <v>6.4198571613569761</v>
      </c>
      <c r="I65" s="184">
        <f t="shared" si="30"/>
        <v>0.90276957753767428</v>
      </c>
      <c r="K65" s="203">
        <f t="shared" si="31"/>
        <v>87.776299999999992</v>
      </c>
      <c r="L65" s="201">
        <f t="shared" si="32"/>
        <v>40.927694467822448</v>
      </c>
      <c r="M65" s="202">
        <f t="shared" si="33"/>
        <v>2.1446675934558237</v>
      </c>
    </row>
    <row r="66" spans="1:13">
      <c r="B66" s="200"/>
      <c r="E66" s="201">
        <f t="shared" si="28"/>
        <v>574.42433805448445</v>
      </c>
      <c r="F66" s="201">
        <f t="shared" si="28"/>
        <v>22.993799249411719</v>
      </c>
      <c r="G66" s="201">
        <f t="shared" si="28"/>
        <v>1373.145</v>
      </c>
      <c r="H66" s="196">
        <f t="shared" si="29"/>
        <v>6.3533683881011491</v>
      </c>
      <c r="I66" s="184">
        <f t="shared" si="30"/>
        <v>0.84469749841477326</v>
      </c>
      <c r="K66" s="203">
        <f t="shared" si="31"/>
        <v>139.89339999999993</v>
      </c>
      <c r="L66" s="201">
        <f t="shared" si="32"/>
        <v>39.491078962850452</v>
      </c>
      <c r="M66" s="202">
        <f t="shared" si="33"/>
        <v>3.5424051120912314</v>
      </c>
    </row>
    <row r="67" spans="1:13">
      <c r="B67" s="200"/>
      <c r="E67" s="201" t="s">
        <v>3995</v>
      </c>
      <c r="F67" s="201"/>
      <c r="G67" s="201"/>
      <c r="H67" s="196"/>
      <c r="I67" s="184"/>
      <c r="J67" s="184"/>
      <c r="K67" s="203">
        <f t="shared" si="31"/>
        <v>-1373.145</v>
      </c>
      <c r="L67" s="201" t="e">
        <f t="shared" si="32"/>
        <v>#VALUE!</v>
      </c>
      <c r="M67" s="202" t="e">
        <f t="shared" si="33"/>
        <v>#VALUE!</v>
      </c>
    </row>
    <row r="68" spans="1:13">
      <c r="B68" s="198" t="s">
        <v>3980</v>
      </c>
      <c r="C68" s="198"/>
      <c r="D68" s="198"/>
      <c r="E68" s="199"/>
      <c r="F68" s="199"/>
      <c r="G68" s="199"/>
      <c r="H68" s="199"/>
      <c r="I68" s="199"/>
      <c r="J68" s="199"/>
      <c r="K68" s="199"/>
    </row>
    <row r="69" spans="1:13" ht="51">
      <c r="C69" s="197" t="s">
        <v>3981</v>
      </c>
      <c r="D69" s="197" t="s">
        <v>3982</v>
      </c>
      <c r="E69" s="197" t="str">
        <f>E59</f>
        <v>UEC</v>
      </c>
      <c r="F69" s="197" t="str">
        <f t="shared" ref="F69:I69" si="34">F59</f>
        <v>repair cost</v>
      </c>
      <c r="G69" s="197" t="str">
        <f t="shared" si="34"/>
        <v>installed price</v>
      </c>
      <c r="H69" s="197" t="str">
        <f t="shared" si="34"/>
        <v>ln(UEC)</v>
      </c>
      <c r="I69" s="197" t="str">
        <f t="shared" si="34"/>
        <v>UEC as a percent of federal standard</v>
      </c>
      <c r="J69" s="197" t="s">
        <v>3983</v>
      </c>
      <c r="K69" s="197" t="s">
        <v>3984</v>
      </c>
      <c r="L69" s="197" t="s">
        <v>4979</v>
      </c>
      <c r="M69" s="197" t="s">
        <v>4980</v>
      </c>
    </row>
    <row r="70" spans="1:13" ht="12.75" customHeight="1">
      <c r="B70" s="206" t="s">
        <v>3985</v>
      </c>
      <c r="C70" s="184">
        <f>SUMPRODUCT('CEC analysis'!D26:D27,'CEC analysis'!K26:K27)/SUM('CEC analysis'!D26:D27)</f>
        <v>2.5427287878962732E-2</v>
      </c>
      <c r="D70" s="9">
        <f>SUM('CEC analysis'!D26:D27)</f>
        <v>49</v>
      </c>
      <c r="E70" s="44">
        <f>IFERROR($E$14*I70,"[n/a]")</f>
        <v>662.74410199709382</v>
      </c>
      <c r="F70" s="547" t="s">
        <v>3986</v>
      </c>
      <c r="G70" s="203">
        <f>IFERROR($C$64*H70+$C$65,"[n/a]")</f>
        <v>1149.9159837905499</v>
      </c>
      <c r="H70" s="196">
        <f>IFERROR(LN(E70),"[n/a]")</f>
        <v>6.4963889458418613</v>
      </c>
      <c r="I70" s="207">
        <f>1-C70</f>
        <v>0.97457271212103724</v>
      </c>
      <c r="J70" s="548">
        <f>SUMPRODUCT(G70:G74,D70:D74)/SUM(D70:D74)</f>
        <v>1169.4050475734334</v>
      </c>
      <c r="K70" s="489">
        <f>IFERROR(G70-$J$70,"[n/a]")</f>
        <v>-19.489063782883477</v>
      </c>
      <c r="L70" s="549">
        <f>SUMPRODUCT(E70:E74,D70:D74)/SUM(D70:D74)</f>
        <v>654.33949549678664</v>
      </c>
      <c r="M70" s="488">
        <f>E70-$L$70</f>
        <v>8.4046065003071817</v>
      </c>
    </row>
    <row r="71" spans="1:13">
      <c r="B71" s="206" t="s">
        <v>3987</v>
      </c>
      <c r="C71" s="184" t="e">
        <f>SUMPRODUCT('CEC analysis'!E26:E27,'CEC analysis'!L26:L27)/SUM('CEC analysis'!E26:E27)</f>
        <v>#DIV/0!</v>
      </c>
      <c r="D71" s="9">
        <f>SUM('CEC analysis'!E26:E27)</f>
        <v>0</v>
      </c>
      <c r="E71" s="44" t="str">
        <f t="shared" ref="E71:E74" si="35">IFERROR($E$14*I71,"[n/a]")</f>
        <v>[n/a]</v>
      </c>
      <c r="F71" s="547"/>
      <c r="G71" s="203" t="str">
        <f t="shared" ref="G71:G74" si="36">IFERROR($C$64*H71+$C$65,"[n/a]")</f>
        <v>[n/a]</v>
      </c>
      <c r="H71" s="196" t="str">
        <f t="shared" ref="H71:H74" si="37">IFERROR(LN(E71),"[n/a]")</f>
        <v>[n/a]</v>
      </c>
      <c r="I71" s="207" t="e">
        <f t="shared" ref="I71:I74" si="38">1-C71</f>
        <v>#DIV/0!</v>
      </c>
      <c r="J71" s="548"/>
      <c r="K71" s="489" t="str">
        <f t="shared" ref="K71:K74" si="39">IFERROR(G71-$J$70,"[n/a]")</f>
        <v>[n/a]</v>
      </c>
      <c r="L71" s="549"/>
      <c r="M71" s="488" t="e">
        <f t="shared" ref="M71:M74" si="40">E71-$L$70</f>
        <v>#VALUE!</v>
      </c>
    </row>
    <row r="72" spans="1:13">
      <c r="B72" s="206" t="s">
        <v>3988</v>
      </c>
      <c r="C72" s="184">
        <f>SUMPRODUCT('CEC analysis'!F26:F27,'CEC analysis'!M26:M27)/SUM('CEC analysis'!F26:F27)</f>
        <v>0.18918495343626734</v>
      </c>
      <c r="D72" s="9">
        <f>SUM('CEC analysis'!F26:F27)</f>
        <v>2</v>
      </c>
      <c r="E72" s="44">
        <f t="shared" si="35"/>
        <v>551.38306586802412</v>
      </c>
      <c r="F72" s="547"/>
      <c r="G72" s="203">
        <f t="shared" si="36"/>
        <v>1408.1460789137564</v>
      </c>
      <c r="H72" s="196">
        <f t="shared" si="37"/>
        <v>6.3124297869610881</v>
      </c>
      <c r="I72" s="207">
        <f t="shared" si="38"/>
        <v>0.81081504656373271</v>
      </c>
      <c r="J72" s="548"/>
      <c r="K72" s="489">
        <f t="shared" si="39"/>
        <v>238.74103134032293</v>
      </c>
      <c r="L72" s="549"/>
      <c r="M72" s="488">
        <f t="shared" si="40"/>
        <v>-102.95642962876252</v>
      </c>
    </row>
    <row r="73" spans="1:13">
      <c r="B73" s="206" t="s">
        <v>3989</v>
      </c>
      <c r="C73" s="184" t="e">
        <f>SUMPRODUCT('CEC analysis'!G26:G27,'CEC analysis'!N26:N27)/SUM('CEC analysis'!G26:G27)</f>
        <v>#DIV/0!</v>
      </c>
      <c r="D73" s="9">
        <f>SUM('CEC analysis'!G26:G27)</f>
        <v>0</v>
      </c>
      <c r="E73" s="44" t="str">
        <f t="shared" si="35"/>
        <v>[n/a]</v>
      </c>
      <c r="F73" s="547"/>
      <c r="G73" s="203" t="str">
        <f t="shared" si="36"/>
        <v>[n/a]</v>
      </c>
      <c r="H73" s="196" t="str">
        <f t="shared" si="37"/>
        <v>[n/a]</v>
      </c>
      <c r="I73" s="207" t="e">
        <f t="shared" si="38"/>
        <v>#DIV/0!</v>
      </c>
      <c r="J73" s="548"/>
      <c r="K73" s="489" t="str">
        <f t="shared" si="39"/>
        <v>[n/a]</v>
      </c>
      <c r="L73" s="549"/>
      <c r="M73" s="488" t="e">
        <f t="shared" si="40"/>
        <v>#VALUE!</v>
      </c>
    </row>
    <row r="74" spans="1:13">
      <c r="B74" s="206" t="s">
        <v>3990</v>
      </c>
      <c r="C74" s="184">
        <f>SUMPRODUCT('CEC analysis'!H26:H27,'CEC analysis'!O26:O27)/SUM('CEC analysis'!H26:H27)</f>
        <v>0.18918495343626734</v>
      </c>
      <c r="D74" s="9">
        <f>SUM('CEC analysis'!H26:H27)</f>
        <v>2</v>
      </c>
      <c r="E74" s="44">
        <f t="shared" si="35"/>
        <v>551.38306586802412</v>
      </c>
      <c r="F74" s="547"/>
      <c r="G74" s="203">
        <f t="shared" si="36"/>
        <v>1408.1460789137564</v>
      </c>
      <c r="H74" s="196">
        <f t="shared" si="37"/>
        <v>6.3124297869610881</v>
      </c>
      <c r="I74" s="207">
        <f t="shared" si="38"/>
        <v>0.81081504656373271</v>
      </c>
      <c r="J74" s="548"/>
      <c r="K74" s="489">
        <f t="shared" si="39"/>
        <v>238.74103134032293</v>
      </c>
      <c r="L74" s="549"/>
      <c r="M74" s="488">
        <f t="shared" si="40"/>
        <v>-102.95642962876252</v>
      </c>
    </row>
    <row r="75" spans="1:13">
      <c r="B75" s="209" t="s">
        <v>3991</v>
      </c>
      <c r="E75" s="44"/>
      <c r="G75" s="200"/>
      <c r="H75" s="196"/>
      <c r="I75" s="207"/>
      <c r="J75" s="207"/>
    </row>
    <row r="76" spans="1:13">
      <c r="F76" s="200"/>
      <c r="G76" s="196"/>
      <c r="H76" s="207"/>
      <c r="I76" s="207"/>
    </row>
    <row r="77" spans="1:13">
      <c r="A77" s="183" t="s">
        <v>3996</v>
      </c>
      <c r="B77" s="187"/>
      <c r="C77" s="187"/>
      <c r="D77" s="187"/>
      <c r="E77" s="187"/>
      <c r="F77" s="187"/>
      <c r="G77" s="187"/>
      <c r="H77" s="187"/>
      <c r="I77" s="187"/>
      <c r="J77" s="187"/>
      <c r="K77" s="187"/>
    </row>
    <row r="78" spans="1:13">
      <c r="C78" s="181" t="s">
        <v>3984</v>
      </c>
      <c r="F78" s="200"/>
      <c r="G78" s="210" t="s">
        <v>3997</v>
      </c>
      <c r="H78" s="207"/>
      <c r="I78" s="207"/>
      <c r="K78" s="52" t="s">
        <v>3998</v>
      </c>
    </row>
    <row r="79" spans="1:13">
      <c r="C79" s="52" t="s">
        <v>183</v>
      </c>
      <c r="F79" s="200"/>
      <c r="G79" s="52" t="s">
        <v>183</v>
      </c>
    </row>
    <row r="80" spans="1:13">
      <c r="C80" s="52">
        <v>3</v>
      </c>
      <c r="D80" s="52">
        <v>5</v>
      </c>
      <c r="E80" s="52">
        <v>7</v>
      </c>
      <c r="F80" s="200"/>
      <c r="G80" s="52">
        <v>3</v>
      </c>
      <c r="H80" s="52">
        <v>5</v>
      </c>
      <c r="I80" s="52">
        <v>7</v>
      </c>
    </row>
    <row r="81" spans="1:52">
      <c r="B81" s="206" t="s">
        <v>3985</v>
      </c>
      <c r="C81" s="202">
        <f>K30</f>
        <v>-40.185486623594215</v>
      </c>
      <c r="D81" s="202">
        <f>K50</f>
        <v>-74.490805757308635</v>
      </c>
      <c r="E81" s="202">
        <f>K70</f>
        <v>-19.489063782883477</v>
      </c>
      <c r="F81" s="200"/>
      <c r="G81" s="44">
        <f>D30</f>
        <v>46</v>
      </c>
      <c r="H81" s="44">
        <f>D50</f>
        <v>101</v>
      </c>
      <c r="I81" s="44">
        <f>D70</f>
        <v>49</v>
      </c>
      <c r="K81" s="202">
        <f>SUMPRODUCT(C81:E81,G81:I81)/SUM(G81:I81)</f>
        <v>-52.689121895585693</v>
      </c>
      <c r="L81" s="9" t="str">
        <f>B81</f>
        <v>Less than 10% better than Standard</v>
      </c>
    </row>
    <row r="82" spans="1:52">
      <c r="B82" s="206" t="s">
        <v>3987</v>
      </c>
      <c r="C82" s="202">
        <f t="shared" ref="C82:C85" si="41">K31</f>
        <v>44.01267582584137</v>
      </c>
      <c r="D82" s="202">
        <f t="shared" ref="D82:D85" si="42">K51</f>
        <v>-4.2139373748179878</v>
      </c>
      <c r="E82" s="202" t="str">
        <f t="shared" ref="E82:E85" si="43">K71</f>
        <v>[n/a]</v>
      </c>
      <c r="F82" s="200"/>
      <c r="G82" s="44">
        <f t="shared" ref="G82:G85" si="44">D31</f>
        <v>21</v>
      </c>
      <c r="H82" s="44">
        <f t="shared" ref="H82:H85" si="45">D51</f>
        <v>9</v>
      </c>
      <c r="I82" s="44">
        <f t="shared" ref="I82:I85" si="46">D71</f>
        <v>0</v>
      </c>
      <c r="K82" s="202">
        <f t="shared" ref="K82:K85" si="47">SUMPRODUCT(C82:E82,G82:I82)/SUM(G82:I82)</f>
        <v>29.544691865643564</v>
      </c>
      <c r="L82" s="9" t="str">
        <f t="shared" ref="L82:L85" si="48">B82</f>
        <v>Tier 1 - 10% to 15% better than Standard</v>
      </c>
    </row>
    <row r="83" spans="1:52">
      <c r="B83" s="206" t="s">
        <v>3988</v>
      </c>
      <c r="C83" s="202" t="str">
        <f t="shared" si="41"/>
        <v>[n/a]</v>
      </c>
      <c r="D83" s="202">
        <f t="shared" si="42"/>
        <v>90.387817586395386</v>
      </c>
      <c r="E83" s="202">
        <f t="shared" si="43"/>
        <v>238.74103134032293</v>
      </c>
      <c r="F83" s="200"/>
      <c r="G83" s="44">
        <f t="shared" si="44"/>
        <v>0</v>
      </c>
      <c r="H83" s="44">
        <f t="shared" si="45"/>
        <v>6</v>
      </c>
      <c r="I83" s="44">
        <f t="shared" si="46"/>
        <v>2</v>
      </c>
      <c r="K83" s="202">
        <f t="shared" si="47"/>
        <v>127.47612102487727</v>
      </c>
      <c r="L83" s="9" t="str">
        <f t="shared" si="48"/>
        <v>Tier 2 - 15% to 20% better than Standard</v>
      </c>
    </row>
    <row r="84" spans="1:52">
      <c r="B84" s="206" t="s">
        <v>3989</v>
      </c>
      <c r="C84" s="202" t="str">
        <f t="shared" si="41"/>
        <v>[n/a]</v>
      </c>
      <c r="D84" s="202">
        <f t="shared" si="42"/>
        <v>221.15111018620405</v>
      </c>
      <c r="E84" s="202" t="str">
        <f t="shared" si="43"/>
        <v>[n/a]</v>
      </c>
      <c r="F84" s="200"/>
      <c r="G84" s="44">
        <f t="shared" si="44"/>
        <v>0</v>
      </c>
      <c r="H84" s="44">
        <f t="shared" si="45"/>
        <v>15</v>
      </c>
      <c r="I84" s="44">
        <f t="shared" si="46"/>
        <v>0</v>
      </c>
      <c r="K84" s="202">
        <f t="shared" si="47"/>
        <v>221.15111018620402</v>
      </c>
      <c r="L84" s="9" t="str">
        <f t="shared" si="48"/>
        <v>Tier 3 - 20%  or better than Standard</v>
      </c>
    </row>
    <row r="85" spans="1:52">
      <c r="B85" s="206" t="s">
        <v>3990</v>
      </c>
      <c r="C85" s="202">
        <f t="shared" si="41"/>
        <v>44.01267582584137</v>
      </c>
      <c r="D85" s="202">
        <f t="shared" si="42"/>
        <v>123.39677531833581</v>
      </c>
      <c r="E85" s="202">
        <f t="shared" si="43"/>
        <v>238.74103134032293</v>
      </c>
      <c r="F85" s="200"/>
      <c r="G85" s="44">
        <f t="shared" si="44"/>
        <v>21</v>
      </c>
      <c r="H85" s="44">
        <f t="shared" si="45"/>
        <v>30</v>
      </c>
      <c r="I85" s="44">
        <f t="shared" si="46"/>
        <v>2</v>
      </c>
      <c r="K85" s="202">
        <f t="shared" si="47"/>
        <v>96.295311595724328</v>
      </c>
      <c r="L85" s="9" t="str">
        <f t="shared" si="48"/>
        <v>Energy Star - 10% or better than Standard</v>
      </c>
    </row>
    <row r="86" spans="1:52">
      <c r="F86" s="200"/>
      <c r="G86" s="196"/>
      <c r="H86" s="207"/>
      <c r="I86" s="207"/>
    </row>
    <row r="87" spans="1:52">
      <c r="B87" s="44"/>
      <c r="D87" s="200"/>
      <c r="E87" s="196"/>
      <c r="F87" s="207"/>
      <c r="G87" s="207"/>
    </row>
    <row r="89" spans="1:52">
      <c r="A89" s="211" t="s">
        <v>3999</v>
      </c>
      <c r="B89" s="211"/>
      <c r="C89" s="212"/>
      <c r="D89" s="212"/>
      <c r="E89" s="212"/>
      <c r="F89" s="212"/>
      <c r="G89" s="212"/>
      <c r="H89" s="212"/>
      <c r="I89" s="212"/>
      <c r="J89" s="212"/>
      <c r="K89" s="212"/>
      <c r="L89" s="212"/>
      <c r="M89" s="212"/>
      <c r="N89" s="212"/>
      <c r="O89" s="212"/>
      <c r="P89" s="212"/>
      <c r="Q89" s="212"/>
      <c r="R89" s="212"/>
      <c r="S89" s="212"/>
      <c r="T89" s="212"/>
      <c r="U89" s="212"/>
      <c r="V89" s="212"/>
      <c r="W89" s="212"/>
      <c r="X89" s="212"/>
      <c r="Y89" s="212"/>
      <c r="Z89" s="212"/>
      <c r="AA89" s="212"/>
      <c r="AB89" s="212"/>
      <c r="AC89" s="212"/>
      <c r="AD89" s="212"/>
      <c r="AE89" s="212"/>
      <c r="AF89" s="212"/>
      <c r="AG89" s="212"/>
      <c r="AH89" s="212"/>
      <c r="AI89" s="212"/>
      <c r="AJ89" s="212"/>
      <c r="AK89" s="212"/>
      <c r="AL89" s="212"/>
      <c r="AM89" s="212"/>
      <c r="AN89" s="212"/>
      <c r="AO89" s="212"/>
      <c r="AP89" s="212"/>
      <c r="AQ89" s="212"/>
      <c r="AR89" s="212"/>
      <c r="AS89" s="212"/>
      <c r="AT89" s="212"/>
      <c r="AU89" s="212"/>
      <c r="AV89" s="212"/>
      <c r="AW89" s="212"/>
      <c r="AX89" s="212"/>
      <c r="AY89" s="212"/>
      <c r="AZ89" s="212"/>
    </row>
    <row r="90" spans="1:52">
      <c r="B90" s="213"/>
      <c r="C90" s="213" t="s">
        <v>4000</v>
      </c>
      <c r="D90" s="213"/>
      <c r="E90" s="213"/>
      <c r="F90" s="213"/>
      <c r="G90" s="213"/>
      <c r="H90" s="213"/>
      <c r="I90" s="213"/>
      <c r="J90" s="213"/>
      <c r="K90" s="213"/>
      <c r="L90" s="213"/>
      <c r="M90" s="213"/>
      <c r="N90" s="213"/>
      <c r="O90" s="213"/>
      <c r="P90" s="213"/>
      <c r="Q90" s="213"/>
      <c r="R90" s="213"/>
      <c r="S90" s="213"/>
      <c r="T90" s="213"/>
      <c r="U90" s="213"/>
      <c r="V90" s="213"/>
      <c r="W90" s="213"/>
      <c r="X90" s="213"/>
      <c r="Y90" s="213"/>
      <c r="Z90" s="213"/>
      <c r="AA90" s="213"/>
      <c r="AB90" s="213"/>
      <c r="AC90" s="213"/>
      <c r="AD90" s="213"/>
      <c r="AE90" s="213"/>
      <c r="AF90" s="213"/>
      <c r="AG90" s="213"/>
      <c r="AH90" s="213"/>
      <c r="AI90" s="213"/>
      <c r="AJ90" s="213"/>
      <c r="AK90" s="213"/>
      <c r="AL90" s="213"/>
      <c r="AM90" s="213"/>
      <c r="AN90" s="213"/>
      <c r="AO90" s="213"/>
      <c r="AP90" s="213"/>
      <c r="AQ90" s="213"/>
      <c r="AR90" s="213"/>
      <c r="AS90" s="213"/>
      <c r="AT90" s="213"/>
      <c r="AU90" s="213"/>
      <c r="AV90" s="213"/>
      <c r="AW90" s="213"/>
      <c r="AX90" s="213"/>
      <c r="AY90" s="213"/>
      <c r="AZ90" s="213"/>
    </row>
    <row r="91" spans="1:52">
      <c r="B91" s="214"/>
      <c r="C91" s="214"/>
      <c r="D91" s="214"/>
      <c r="E91" s="214"/>
      <c r="F91" s="214"/>
      <c r="G91" s="214"/>
      <c r="H91" s="214"/>
      <c r="I91" s="214"/>
      <c r="J91" s="214"/>
      <c r="K91" s="214"/>
      <c r="L91" s="214"/>
      <c r="M91" s="214"/>
      <c r="N91" s="214"/>
      <c r="O91" s="214"/>
      <c r="P91" s="214"/>
      <c r="Q91" s="214"/>
      <c r="R91" s="214"/>
      <c r="S91" s="214"/>
      <c r="T91" s="214"/>
      <c r="U91" s="214"/>
      <c r="V91" s="214"/>
      <c r="W91" s="214"/>
      <c r="X91" s="214"/>
      <c r="Y91" s="214"/>
      <c r="Z91" s="214"/>
      <c r="AA91" s="214"/>
      <c r="AB91" s="214"/>
      <c r="AC91" s="214"/>
      <c r="AD91" s="214"/>
      <c r="AE91" s="214"/>
      <c r="AF91" s="214"/>
      <c r="AG91" s="214"/>
      <c r="AH91" s="214"/>
      <c r="AI91" s="214"/>
      <c r="AJ91" s="214"/>
      <c r="AK91" s="214"/>
      <c r="AL91" s="214"/>
      <c r="AM91" s="214"/>
      <c r="AN91" s="214"/>
      <c r="AO91" s="214"/>
      <c r="AP91" s="214"/>
      <c r="AQ91" s="214"/>
      <c r="AR91" s="214"/>
      <c r="AS91" s="214"/>
      <c r="AT91" s="214"/>
      <c r="AU91" s="214"/>
      <c r="AV91" s="214"/>
      <c r="AW91" s="214"/>
      <c r="AX91" s="214"/>
      <c r="AY91" s="214"/>
      <c r="AZ91" s="214"/>
    </row>
    <row r="92" spans="1:52">
      <c r="B92" s="214"/>
      <c r="C92" s="214" t="s">
        <v>4001</v>
      </c>
      <c r="D92" s="214"/>
      <c r="E92" s="214"/>
      <c r="F92" s="214"/>
      <c r="G92" s="214"/>
      <c r="H92" s="214"/>
      <c r="I92" s="214"/>
      <c r="J92" s="214"/>
      <c r="K92" s="214"/>
      <c r="L92" s="214"/>
      <c r="M92" s="214"/>
      <c r="N92" s="214"/>
      <c r="O92" s="214"/>
      <c r="P92" s="214"/>
      <c r="Q92" s="214"/>
      <c r="R92" s="214"/>
      <c r="S92" s="214"/>
      <c r="T92" s="214"/>
      <c r="U92" s="214"/>
      <c r="V92" s="214"/>
      <c r="W92" s="214"/>
      <c r="X92" s="214"/>
      <c r="Y92" s="214"/>
      <c r="Z92" s="214"/>
      <c r="AA92" s="214"/>
      <c r="AB92" s="214"/>
      <c r="AC92" s="214"/>
      <c r="AD92" s="214"/>
      <c r="AE92" s="214"/>
      <c r="AF92" s="214"/>
      <c r="AG92" s="214"/>
      <c r="AH92" s="214"/>
      <c r="AI92" s="214"/>
      <c r="AJ92" s="214"/>
      <c r="AK92" s="214"/>
      <c r="AL92" s="214"/>
      <c r="AM92" s="214"/>
      <c r="AN92" s="214"/>
      <c r="AO92" s="214"/>
      <c r="AP92" s="214"/>
      <c r="AQ92" s="214"/>
      <c r="AR92" s="214"/>
      <c r="AS92" s="214"/>
      <c r="AT92" s="214"/>
      <c r="AU92" s="214"/>
      <c r="AV92" s="214"/>
      <c r="AW92" s="214"/>
      <c r="AX92" s="214"/>
      <c r="AY92" s="214"/>
      <c r="AZ92" s="214"/>
    </row>
    <row r="93" spans="1:52">
      <c r="B93" s="214"/>
      <c r="C93" s="215"/>
      <c r="D93" s="215"/>
      <c r="E93" s="216" t="s">
        <v>4002</v>
      </c>
      <c r="F93" s="217"/>
      <c r="G93" s="218"/>
      <c r="H93" s="215"/>
      <c r="I93" s="216" t="s">
        <v>4003</v>
      </c>
      <c r="J93" s="217"/>
      <c r="K93" s="218"/>
      <c r="L93" s="215"/>
      <c r="M93" s="216" t="s">
        <v>4004</v>
      </c>
      <c r="N93" s="217"/>
      <c r="O93" s="218"/>
      <c r="P93" s="215"/>
      <c r="Q93" s="216" t="s">
        <v>4005</v>
      </c>
      <c r="R93" s="217"/>
      <c r="S93" s="218"/>
      <c r="T93" s="215"/>
      <c r="U93" s="216" t="s">
        <v>4006</v>
      </c>
      <c r="V93" s="218"/>
      <c r="W93" s="218"/>
      <c r="X93" s="215"/>
      <c r="Y93" s="216"/>
      <c r="Z93" s="218" t="s">
        <v>4007</v>
      </c>
      <c r="AA93" s="218"/>
      <c r="AB93" s="219"/>
      <c r="AC93" s="216" t="s">
        <v>4008</v>
      </c>
      <c r="AD93" s="218"/>
      <c r="AE93" s="218"/>
      <c r="AF93" s="215"/>
      <c r="AG93" s="216" t="s">
        <v>4009</v>
      </c>
      <c r="AH93" s="217"/>
      <c r="AI93" s="218"/>
      <c r="AJ93" s="219"/>
      <c r="AK93" s="220" t="s">
        <v>4010</v>
      </c>
      <c r="AL93" s="217"/>
      <c r="AM93" s="218"/>
      <c r="AN93" s="215"/>
      <c r="AO93" s="216" t="s">
        <v>4011</v>
      </c>
      <c r="AP93" s="217"/>
      <c r="AQ93" s="218"/>
      <c r="AR93" s="215"/>
      <c r="AS93" s="216" t="s">
        <v>4012</v>
      </c>
      <c r="AT93" s="217"/>
      <c r="AU93" s="218"/>
      <c r="AV93" s="215"/>
      <c r="AW93" s="216" t="s">
        <v>4013</v>
      </c>
      <c r="AX93" s="217"/>
      <c r="AY93" s="218"/>
      <c r="AZ93" s="215"/>
    </row>
    <row r="94" spans="1:52">
      <c r="B94" s="214"/>
      <c r="C94" s="215"/>
      <c r="D94" s="215"/>
      <c r="E94" s="221" t="s">
        <v>4014</v>
      </c>
      <c r="F94" s="222">
        <v>18</v>
      </c>
      <c r="G94" s="222"/>
      <c r="H94" s="215"/>
      <c r="I94" s="221" t="s">
        <v>4014</v>
      </c>
      <c r="J94" s="223">
        <v>18</v>
      </c>
      <c r="K94" s="223"/>
      <c r="L94" s="215"/>
      <c r="M94" s="221" t="s">
        <v>4014</v>
      </c>
      <c r="N94" s="223">
        <v>18</v>
      </c>
      <c r="O94" s="223"/>
      <c r="P94" s="215"/>
      <c r="Q94" s="221" t="s">
        <v>4014</v>
      </c>
      <c r="R94" s="223">
        <v>18</v>
      </c>
      <c r="S94" s="223"/>
      <c r="T94" s="215"/>
      <c r="U94" s="221" t="s">
        <v>4014</v>
      </c>
      <c r="V94" s="223">
        <v>21.5</v>
      </c>
      <c r="W94" s="223"/>
      <c r="X94" s="215"/>
      <c r="Y94" s="221" t="s">
        <v>4014</v>
      </c>
      <c r="Z94" s="220">
        <v>21.5</v>
      </c>
      <c r="AA94" s="220"/>
      <c r="AB94" s="219"/>
      <c r="AC94" s="221" t="s">
        <v>4014</v>
      </c>
      <c r="AD94" s="223">
        <v>23.5</v>
      </c>
      <c r="AE94" s="223"/>
      <c r="AF94" s="215"/>
      <c r="AG94" s="221" t="s">
        <v>4014</v>
      </c>
      <c r="AH94" s="220">
        <v>23.5</v>
      </c>
      <c r="AI94" s="220"/>
      <c r="AJ94" s="219"/>
      <c r="AK94" s="221" t="s">
        <v>4014</v>
      </c>
      <c r="AL94" s="223">
        <v>18</v>
      </c>
      <c r="AM94" s="223"/>
      <c r="AN94" s="215"/>
      <c r="AO94" s="221" t="s">
        <v>4014</v>
      </c>
      <c r="AP94" s="223">
        <v>21.5</v>
      </c>
      <c r="AQ94" s="223"/>
      <c r="AR94" s="215"/>
      <c r="AS94" s="221" t="s">
        <v>4014</v>
      </c>
      <c r="AT94" s="223">
        <v>23.5</v>
      </c>
      <c r="AU94" s="223"/>
      <c r="AV94" s="215"/>
      <c r="AW94" s="221" t="s">
        <v>4014</v>
      </c>
      <c r="AX94" s="223">
        <v>23.5</v>
      </c>
      <c r="AY94" s="223"/>
      <c r="AZ94" s="215"/>
    </row>
    <row r="95" spans="1:52">
      <c r="B95" s="214"/>
      <c r="C95" s="224" t="s">
        <v>4015</v>
      </c>
      <c r="D95" s="225"/>
      <c r="E95" s="226" t="s">
        <v>4016</v>
      </c>
      <c r="F95" s="225"/>
      <c r="G95" s="225"/>
      <c r="H95" s="227" t="s">
        <v>4017</v>
      </c>
      <c r="I95" s="226" t="s">
        <v>4018</v>
      </c>
      <c r="J95" s="225"/>
      <c r="K95" s="225"/>
      <c r="L95" s="227" t="s">
        <v>4017</v>
      </c>
      <c r="M95" s="226" t="s">
        <v>4019</v>
      </c>
      <c r="N95" s="225"/>
      <c r="O95" s="225"/>
      <c r="P95" s="227" t="s">
        <v>4017</v>
      </c>
      <c r="Q95" s="226" t="s">
        <v>4020</v>
      </c>
      <c r="R95" s="225"/>
      <c r="S95" s="225"/>
      <c r="T95" s="227" t="s">
        <v>4017</v>
      </c>
      <c r="U95" s="226" t="s">
        <v>4021</v>
      </c>
      <c r="V95" s="225"/>
      <c r="W95" s="225"/>
      <c r="X95" s="227" t="s">
        <v>4017</v>
      </c>
      <c r="Y95" s="226" t="s">
        <v>4022</v>
      </c>
      <c r="Z95" s="225"/>
      <c r="AA95" s="225"/>
      <c r="AB95" s="228" t="s">
        <v>4017</v>
      </c>
      <c r="AC95" s="226" t="s">
        <v>4023</v>
      </c>
      <c r="AD95" s="225"/>
      <c r="AE95" s="225"/>
      <c r="AF95" s="227" t="s">
        <v>4017</v>
      </c>
      <c r="AG95" s="226" t="s">
        <v>4024</v>
      </c>
      <c r="AH95" s="225"/>
      <c r="AI95" s="225"/>
      <c r="AJ95" s="228" t="s">
        <v>4017</v>
      </c>
      <c r="AK95" s="226" t="s">
        <v>4025</v>
      </c>
      <c r="AL95" s="225"/>
      <c r="AM95" s="225"/>
      <c r="AN95" s="227" t="s">
        <v>4017</v>
      </c>
      <c r="AO95" s="226" t="s">
        <v>4026</v>
      </c>
      <c r="AP95" s="225"/>
      <c r="AQ95" s="225"/>
      <c r="AR95" s="227" t="s">
        <v>4017</v>
      </c>
      <c r="AS95" s="226" t="s">
        <v>4027</v>
      </c>
      <c r="AT95" s="225"/>
      <c r="AU95" s="225"/>
      <c r="AV95" s="227" t="s">
        <v>4017</v>
      </c>
      <c r="AW95" s="226" t="s">
        <v>4028</v>
      </c>
      <c r="AX95" s="225"/>
      <c r="AY95" s="225"/>
      <c r="AZ95" s="227" t="s">
        <v>4017</v>
      </c>
    </row>
    <row r="96" spans="1:52" ht="22.5">
      <c r="B96" s="214"/>
      <c r="C96" s="229" t="s">
        <v>4029</v>
      </c>
      <c r="D96" s="230" t="s">
        <v>4030</v>
      </c>
      <c r="E96" s="231" t="s">
        <v>4031</v>
      </c>
      <c r="F96" s="232" t="s">
        <v>3968</v>
      </c>
      <c r="G96" s="232" t="s">
        <v>4032</v>
      </c>
      <c r="H96" s="227" t="s">
        <v>4033</v>
      </c>
      <c r="I96" s="231" t="s">
        <v>4031</v>
      </c>
      <c r="J96" s="232" t="s">
        <v>3968</v>
      </c>
      <c r="K96" s="232" t="s">
        <v>4032</v>
      </c>
      <c r="L96" s="227" t="s">
        <v>4033</v>
      </c>
      <c r="M96" s="231" t="s">
        <v>4031</v>
      </c>
      <c r="N96" s="232" t="s">
        <v>3968</v>
      </c>
      <c r="O96" s="232" t="s">
        <v>4032</v>
      </c>
      <c r="P96" s="227" t="s">
        <v>4033</v>
      </c>
      <c r="Q96" s="231" t="s">
        <v>4031</v>
      </c>
      <c r="R96" s="232" t="s">
        <v>3968</v>
      </c>
      <c r="S96" s="232" t="s">
        <v>4032</v>
      </c>
      <c r="T96" s="227" t="s">
        <v>4033</v>
      </c>
      <c r="U96" s="231" t="s">
        <v>4031</v>
      </c>
      <c r="V96" s="232" t="s">
        <v>3968</v>
      </c>
      <c r="W96" s="232" t="s">
        <v>4032</v>
      </c>
      <c r="X96" s="227" t="s">
        <v>4033</v>
      </c>
      <c r="Y96" s="231" t="s">
        <v>4031</v>
      </c>
      <c r="Z96" s="232" t="s">
        <v>3968</v>
      </c>
      <c r="AA96" s="232" t="s">
        <v>4032</v>
      </c>
      <c r="AB96" s="228" t="s">
        <v>4033</v>
      </c>
      <c r="AC96" s="231" t="s">
        <v>4031</v>
      </c>
      <c r="AD96" s="232" t="s">
        <v>3968</v>
      </c>
      <c r="AE96" s="232" t="s">
        <v>4032</v>
      </c>
      <c r="AF96" s="227" t="s">
        <v>4033</v>
      </c>
      <c r="AG96" s="231" t="s">
        <v>4031</v>
      </c>
      <c r="AH96" s="232" t="s">
        <v>3968</v>
      </c>
      <c r="AI96" s="232" t="s">
        <v>4032</v>
      </c>
      <c r="AJ96" s="228" t="s">
        <v>4033</v>
      </c>
      <c r="AK96" s="231" t="s">
        <v>4031</v>
      </c>
      <c r="AL96" s="232" t="s">
        <v>3968</v>
      </c>
      <c r="AM96" s="232" t="s">
        <v>4032</v>
      </c>
      <c r="AN96" s="227" t="s">
        <v>4033</v>
      </c>
      <c r="AO96" s="231" t="s">
        <v>4031</v>
      </c>
      <c r="AP96" s="232" t="s">
        <v>3968</v>
      </c>
      <c r="AQ96" s="232" t="s">
        <v>4032</v>
      </c>
      <c r="AR96" s="227" t="s">
        <v>4033</v>
      </c>
      <c r="AS96" s="231" t="s">
        <v>4031</v>
      </c>
      <c r="AT96" s="232" t="s">
        <v>3968</v>
      </c>
      <c r="AU96" s="232" t="s">
        <v>4032</v>
      </c>
      <c r="AV96" s="227" t="s">
        <v>4033</v>
      </c>
      <c r="AW96" s="231" t="s">
        <v>4031</v>
      </c>
      <c r="AX96" s="232" t="s">
        <v>3968</v>
      </c>
      <c r="AY96" s="232" t="s">
        <v>4032</v>
      </c>
      <c r="AZ96" s="227" t="s">
        <v>4033</v>
      </c>
    </row>
    <row r="97" spans="2:52">
      <c r="B97" s="214"/>
      <c r="C97" s="233"/>
      <c r="D97" s="233"/>
      <c r="E97" s="234" t="s">
        <v>4034</v>
      </c>
      <c r="F97" s="235" t="s">
        <v>4035</v>
      </c>
      <c r="G97" s="235" t="s">
        <v>4036</v>
      </c>
      <c r="H97" s="236" t="s">
        <v>4036</v>
      </c>
      <c r="I97" s="234" t="s">
        <v>4034</v>
      </c>
      <c r="J97" s="235" t="s">
        <v>4035</v>
      </c>
      <c r="K97" s="235" t="s">
        <v>4036</v>
      </c>
      <c r="L97" s="236" t="s">
        <v>4036</v>
      </c>
      <c r="M97" s="234" t="s">
        <v>4034</v>
      </c>
      <c r="N97" s="235" t="s">
        <v>4035</v>
      </c>
      <c r="O97" s="235" t="s">
        <v>4036</v>
      </c>
      <c r="P97" s="236" t="s">
        <v>4036</v>
      </c>
      <c r="Q97" s="234" t="s">
        <v>4034</v>
      </c>
      <c r="R97" s="235" t="s">
        <v>4035</v>
      </c>
      <c r="S97" s="235" t="s">
        <v>4036</v>
      </c>
      <c r="T97" s="236" t="s">
        <v>4036</v>
      </c>
      <c r="U97" s="234" t="s">
        <v>4034</v>
      </c>
      <c r="V97" s="235" t="s">
        <v>4035</v>
      </c>
      <c r="W97" s="235" t="s">
        <v>4036</v>
      </c>
      <c r="X97" s="236" t="s">
        <v>4036</v>
      </c>
      <c r="Y97" s="234" t="s">
        <v>4034</v>
      </c>
      <c r="Z97" s="235" t="s">
        <v>4035</v>
      </c>
      <c r="AA97" s="235" t="s">
        <v>4036</v>
      </c>
      <c r="AB97" s="237" t="s">
        <v>4036</v>
      </c>
      <c r="AC97" s="234" t="s">
        <v>4034</v>
      </c>
      <c r="AD97" s="235" t="s">
        <v>4035</v>
      </c>
      <c r="AE97" s="235" t="s">
        <v>4036</v>
      </c>
      <c r="AF97" s="236" t="s">
        <v>4036</v>
      </c>
      <c r="AG97" s="234" t="s">
        <v>4034</v>
      </c>
      <c r="AH97" s="235" t="s">
        <v>4035</v>
      </c>
      <c r="AI97" s="235" t="s">
        <v>4036</v>
      </c>
      <c r="AJ97" s="237" t="s">
        <v>4036</v>
      </c>
      <c r="AK97" s="234" t="s">
        <v>4034</v>
      </c>
      <c r="AL97" s="235" t="s">
        <v>4035</v>
      </c>
      <c r="AM97" s="235" t="s">
        <v>4036</v>
      </c>
      <c r="AN97" s="236" t="s">
        <v>4036</v>
      </c>
      <c r="AO97" s="234" t="s">
        <v>4034</v>
      </c>
      <c r="AP97" s="235" t="s">
        <v>4035</v>
      </c>
      <c r="AQ97" s="235" t="s">
        <v>4036</v>
      </c>
      <c r="AR97" s="236" t="s">
        <v>4036</v>
      </c>
      <c r="AS97" s="234" t="s">
        <v>4034</v>
      </c>
      <c r="AT97" s="235" t="s">
        <v>4035</v>
      </c>
      <c r="AU97" s="235" t="s">
        <v>4036</v>
      </c>
      <c r="AV97" s="236" t="s">
        <v>4036</v>
      </c>
      <c r="AW97" s="234" t="s">
        <v>4034</v>
      </c>
      <c r="AX97" s="235" t="s">
        <v>4035</v>
      </c>
      <c r="AY97" s="235" t="s">
        <v>4036</v>
      </c>
      <c r="AZ97" s="236" t="s">
        <v>4036</v>
      </c>
    </row>
    <row r="98" spans="2:52">
      <c r="B98" s="214"/>
      <c r="C98" s="235">
        <v>0</v>
      </c>
      <c r="D98" s="233" t="s">
        <v>4037</v>
      </c>
      <c r="E98" s="238">
        <v>0</v>
      </c>
      <c r="F98" s="239">
        <v>538.58139402107588</v>
      </c>
      <c r="G98" s="240">
        <v>7.6609230769230763</v>
      </c>
      <c r="H98" s="241">
        <v>482.87020000000001</v>
      </c>
      <c r="I98" s="238">
        <v>0</v>
      </c>
      <c r="J98" s="239">
        <v>538.58139402107588</v>
      </c>
      <c r="K98" s="240">
        <v>7.6609230769230763</v>
      </c>
      <c r="L98" s="241">
        <v>482.87020000000001</v>
      </c>
      <c r="M98" s="238">
        <v>0</v>
      </c>
      <c r="N98" s="242">
        <v>538.58139402107588</v>
      </c>
      <c r="O98" s="243">
        <v>7.6609230769230763</v>
      </c>
      <c r="P98" s="244">
        <v>482.87020000000001</v>
      </c>
      <c r="Q98" s="238">
        <v>0</v>
      </c>
      <c r="R98" s="239">
        <v>816.18463301467386</v>
      </c>
      <c r="S98" s="240">
        <v>21.898076923076928</v>
      </c>
      <c r="T98" s="245">
        <v>1020.2030999999999</v>
      </c>
      <c r="U98" s="238">
        <v>0</v>
      </c>
      <c r="V98" s="242">
        <v>665.80119996127257</v>
      </c>
      <c r="W98" s="243">
        <v>19.921576923076923</v>
      </c>
      <c r="X98" s="244">
        <v>827.40160000000003</v>
      </c>
      <c r="Y98" s="238">
        <v>0</v>
      </c>
      <c r="Z98" s="239">
        <v>538.58139402107588</v>
      </c>
      <c r="AA98" s="240">
        <v>7.6609230769230763</v>
      </c>
      <c r="AB98" s="245">
        <v>482.87020000000001</v>
      </c>
      <c r="AC98" s="238">
        <v>0</v>
      </c>
      <c r="AD98" s="242">
        <v>816.18463301467386</v>
      </c>
      <c r="AE98" s="243">
        <v>21.898076923076928</v>
      </c>
      <c r="AF98" s="246">
        <v>1020.2030999999999</v>
      </c>
      <c r="AG98" s="238">
        <v>0</v>
      </c>
      <c r="AH98" s="239">
        <v>665.80119996127257</v>
      </c>
      <c r="AI98" s="240">
        <v>19.921576923076923</v>
      </c>
      <c r="AJ98" s="245">
        <v>827.40160000000003</v>
      </c>
      <c r="AK98" s="238">
        <v>0</v>
      </c>
      <c r="AL98" s="242">
        <v>552.62314138002102</v>
      </c>
      <c r="AM98" s="243">
        <v>7.6609230769230763</v>
      </c>
      <c r="AN98" s="246">
        <v>4316.3392999999996</v>
      </c>
      <c r="AO98" s="238">
        <v>0</v>
      </c>
      <c r="AP98" s="247">
        <v>909.76387472939257</v>
      </c>
      <c r="AQ98" s="248">
        <v>21.898076923076928</v>
      </c>
      <c r="AR98" s="249">
        <v>6996.9557000000004</v>
      </c>
      <c r="AS98" s="238">
        <v>0</v>
      </c>
      <c r="AT98" s="242">
        <v>643.35397446171339</v>
      </c>
      <c r="AU98" s="243">
        <v>19.921576923076923</v>
      </c>
      <c r="AV98" s="246">
        <v>4832.8906999999999</v>
      </c>
      <c r="AW98" s="238">
        <v>0</v>
      </c>
      <c r="AX98" s="250">
        <v>909.76387472939257</v>
      </c>
      <c r="AY98" s="243">
        <v>21.898076923076928</v>
      </c>
      <c r="AZ98" s="246">
        <v>6996.9557000000004</v>
      </c>
    </row>
    <row r="99" spans="2:52">
      <c r="B99" s="214"/>
      <c r="C99" s="235">
        <v>1</v>
      </c>
      <c r="D99" s="233" t="s">
        <v>4038</v>
      </c>
      <c r="E99" s="251">
        <v>0.1</v>
      </c>
      <c r="F99" s="239">
        <v>484.72325461896821</v>
      </c>
      <c r="G99" s="240">
        <v>7.7002389907464162</v>
      </c>
      <c r="H99" s="241">
        <v>496.3159</v>
      </c>
      <c r="I99" s="251">
        <v>0.1</v>
      </c>
      <c r="J99" s="239">
        <v>484.72325461896821</v>
      </c>
      <c r="K99" s="240">
        <v>7.7002389907464162</v>
      </c>
      <c r="L99" s="241">
        <v>496.3159</v>
      </c>
      <c r="M99" s="251">
        <v>0.1</v>
      </c>
      <c r="N99" s="242">
        <v>484.72325461896821</v>
      </c>
      <c r="O99" s="243">
        <v>7.7002389907464162</v>
      </c>
      <c r="P99" s="244">
        <v>496.3159</v>
      </c>
      <c r="Q99" s="251">
        <v>0.1</v>
      </c>
      <c r="R99" s="239">
        <v>734.56616971320636</v>
      </c>
      <c r="S99" s="240">
        <v>21.991434199885877</v>
      </c>
      <c r="T99" s="245">
        <v>1031.4803999999999</v>
      </c>
      <c r="U99" s="251">
        <v>0.1</v>
      </c>
      <c r="V99" s="242">
        <v>599.22107996514524</v>
      </c>
      <c r="W99" s="243">
        <v>20.141888935197123</v>
      </c>
      <c r="X99" s="244">
        <v>842.19439999999997</v>
      </c>
      <c r="Y99" s="251">
        <v>0.1</v>
      </c>
      <c r="Z99" s="239">
        <v>484.72325461896821</v>
      </c>
      <c r="AA99" s="240">
        <v>7.7002389907464162</v>
      </c>
      <c r="AB99" s="245">
        <v>496.3159</v>
      </c>
      <c r="AC99" s="251">
        <v>0.1</v>
      </c>
      <c r="AD99" s="242">
        <v>734.56616971320636</v>
      </c>
      <c r="AE99" s="243">
        <v>21.991434199885877</v>
      </c>
      <c r="AF99" s="246">
        <v>1031.4803999999999</v>
      </c>
      <c r="AG99" s="251">
        <v>0.1</v>
      </c>
      <c r="AH99" s="239">
        <v>599.22107996514524</v>
      </c>
      <c r="AI99" s="240">
        <v>20.141888935197123</v>
      </c>
      <c r="AJ99" s="245">
        <v>842.19439999999997</v>
      </c>
      <c r="AK99" s="252">
        <v>0.1</v>
      </c>
      <c r="AL99" s="242">
        <v>497.3608272420189</v>
      </c>
      <c r="AM99" s="243">
        <v>7.7296848959643762</v>
      </c>
      <c r="AN99" s="246">
        <v>4324.9177</v>
      </c>
      <c r="AO99" s="251">
        <v>0.1</v>
      </c>
      <c r="AP99" s="247">
        <v>828.53143554776932</v>
      </c>
      <c r="AQ99" s="248">
        <v>22.378582373057831</v>
      </c>
      <c r="AR99" s="249">
        <v>7058.7784000000001</v>
      </c>
      <c r="AS99" s="252">
        <v>0.1</v>
      </c>
      <c r="AT99" s="242">
        <v>579.01857701554206</v>
      </c>
      <c r="AU99" s="243">
        <v>20.161519563369662</v>
      </c>
      <c r="AV99" s="246">
        <v>4858.6835000000001</v>
      </c>
      <c r="AW99" s="252">
        <v>0.1</v>
      </c>
      <c r="AX99" s="250">
        <v>828.53143554776932</v>
      </c>
      <c r="AY99" s="243">
        <v>22.378582373057831</v>
      </c>
      <c r="AZ99" s="246">
        <v>7058.7784000000001</v>
      </c>
    </row>
    <row r="100" spans="2:52">
      <c r="B100" s="214"/>
      <c r="C100" s="235">
        <v>2</v>
      </c>
      <c r="D100" s="233" t="s">
        <v>4039</v>
      </c>
      <c r="E100" s="251">
        <v>0.15</v>
      </c>
      <c r="F100" s="239">
        <v>457.79418491791455</v>
      </c>
      <c r="G100" s="240">
        <v>7.7446575631677161</v>
      </c>
      <c r="H100" s="241">
        <v>505.33280000000002</v>
      </c>
      <c r="I100" s="251">
        <v>0.15</v>
      </c>
      <c r="J100" s="239">
        <v>457.79418491791455</v>
      </c>
      <c r="K100" s="240">
        <v>7.7446575631677161</v>
      </c>
      <c r="L100" s="241">
        <v>505.33280000000002</v>
      </c>
      <c r="M100" s="251">
        <v>0.15</v>
      </c>
      <c r="N100" s="242">
        <v>457.79418491791455</v>
      </c>
      <c r="O100" s="243">
        <v>7.7446575631677161</v>
      </c>
      <c r="P100" s="244">
        <v>505.33280000000002</v>
      </c>
      <c r="Q100" s="251">
        <v>0.15</v>
      </c>
      <c r="R100" s="239">
        <v>693.75693806247295</v>
      </c>
      <c r="S100" s="240">
        <v>22.111042178926429</v>
      </c>
      <c r="T100" s="245">
        <v>1041.8806</v>
      </c>
      <c r="U100" s="251">
        <v>0.15</v>
      </c>
      <c r="V100" s="242">
        <v>565.93101996708174</v>
      </c>
      <c r="W100" s="243">
        <v>20.254837895428924</v>
      </c>
      <c r="X100" s="244">
        <v>852.04480000000001</v>
      </c>
      <c r="Y100" s="251">
        <v>0.15</v>
      </c>
      <c r="Z100" s="239">
        <v>457.79418491791455</v>
      </c>
      <c r="AA100" s="240">
        <v>7.7446575631677161</v>
      </c>
      <c r="AB100" s="245">
        <v>505.33280000000002</v>
      </c>
      <c r="AC100" s="251">
        <v>0.15</v>
      </c>
      <c r="AD100" s="242">
        <v>693.75693806247295</v>
      </c>
      <c r="AE100" s="243">
        <v>22.111042178926429</v>
      </c>
      <c r="AF100" s="246">
        <v>1041.8806</v>
      </c>
      <c r="AG100" s="251">
        <v>0.15</v>
      </c>
      <c r="AH100" s="239">
        <v>565.93101996708174</v>
      </c>
      <c r="AI100" s="240">
        <v>20.254837895428924</v>
      </c>
      <c r="AJ100" s="245">
        <v>852.04480000000001</v>
      </c>
      <c r="AK100" s="252">
        <v>0.15</v>
      </c>
      <c r="AL100" s="242">
        <v>469.72967017301789</v>
      </c>
      <c r="AM100" s="243">
        <v>7.8332418523518763</v>
      </c>
      <c r="AN100" s="246">
        <v>4339.0469000000003</v>
      </c>
      <c r="AO100" s="251">
        <v>0.15</v>
      </c>
      <c r="AP100" s="247">
        <v>787.91521595695792</v>
      </c>
      <c r="AQ100" s="248">
        <v>23.324207444767225</v>
      </c>
      <c r="AR100" s="249">
        <v>7145.3211000000001</v>
      </c>
      <c r="AS100" s="252">
        <v>0.15</v>
      </c>
      <c r="AT100" s="242">
        <v>546.85087829245651</v>
      </c>
      <c r="AU100" s="243">
        <v>21.262458967488062</v>
      </c>
      <c r="AV100" s="246">
        <v>4936.0083000000004</v>
      </c>
      <c r="AW100" s="252">
        <v>0.15</v>
      </c>
      <c r="AX100" s="250">
        <v>787.91521595695792</v>
      </c>
      <c r="AY100" s="243">
        <v>23.324207444767225</v>
      </c>
      <c r="AZ100" s="246">
        <v>7145.3211000000001</v>
      </c>
    </row>
    <row r="101" spans="2:52">
      <c r="B101" s="214"/>
      <c r="C101" s="235">
        <v>3</v>
      </c>
      <c r="D101" s="233" t="s">
        <v>4040</v>
      </c>
      <c r="E101" s="251">
        <v>0.2</v>
      </c>
      <c r="F101" s="239">
        <v>430.86511521686072</v>
      </c>
      <c r="G101" s="240">
        <v>8.034812964924706</v>
      </c>
      <c r="H101" s="241">
        <v>566.12670000000003</v>
      </c>
      <c r="I101" s="251">
        <v>0.2</v>
      </c>
      <c r="J101" s="239">
        <v>430.86511521686072</v>
      </c>
      <c r="K101" s="240">
        <v>8.034812964924706</v>
      </c>
      <c r="L101" s="241">
        <v>566.12670000000003</v>
      </c>
      <c r="M101" s="251">
        <v>0.2</v>
      </c>
      <c r="N101" s="242">
        <v>430.86511521686072</v>
      </c>
      <c r="O101" s="243">
        <v>8.034812964924706</v>
      </c>
      <c r="P101" s="244">
        <v>566.12670000000003</v>
      </c>
      <c r="Q101" s="251">
        <v>0.2</v>
      </c>
      <c r="R101" s="239">
        <v>652.9477064117392</v>
      </c>
      <c r="S101" s="240">
        <v>22.255942194847474</v>
      </c>
      <c r="T101" s="245">
        <v>1068.5589</v>
      </c>
      <c r="U101" s="251">
        <v>0.2</v>
      </c>
      <c r="V101" s="242">
        <v>532.64095996901813</v>
      </c>
      <c r="W101" s="243">
        <v>20.345443222287123</v>
      </c>
      <c r="X101" s="244">
        <v>870.15139999999997</v>
      </c>
      <c r="Y101" s="251">
        <v>0.2</v>
      </c>
      <c r="Z101" s="239">
        <v>430.86511521686072</v>
      </c>
      <c r="AA101" s="240">
        <v>8.034812964924706</v>
      </c>
      <c r="AB101" s="245">
        <v>566.12670000000003</v>
      </c>
      <c r="AC101" s="251">
        <v>0.2</v>
      </c>
      <c r="AD101" s="242">
        <v>652.9477064117392</v>
      </c>
      <c r="AE101" s="243">
        <v>22.255942194847474</v>
      </c>
      <c r="AF101" s="246">
        <v>1068.5589</v>
      </c>
      <c r="AG101" s="251">
        <v>0.2</v>
      </c>
      <c r="AH101" s="239">
        <v>532.64095996901813</v>
      </c>
      <c r="AI101" s="240">
        <v>20.345443222287123</v>
      </c>
      <c r="AJ101" s="245">
        <v>870.15139999999997</v>
      </c>
      <c r="AK101" s="252">
        <v>0.2</v>
      </c>
      <c r="AL101" s="242">
        <v>442.09851310401683</v>
      </c>
      <c r="AM101" s="243">
        <v>7.8332418523518763</v>
      </c>
      <c r="AN101" s="246">
        <v>4469.0468000000001</v>
      </c>
      <c r="AO101" s="251">
        <v>0.2</v>
      </c>
      <c r="AP101" s="247">
        <v>747.2989963661463</v>
      </c>
      <c r="AQ101" s="248">
        <v>23.324207444767225</v>
      </c>
      <c r="AR101" s="249">
        <v>7335.2542000000003</v>
      </c>
      <c r="AS101" s="252">
        <v>0.2</v>
      </c>
      <c r="AT101" s="242">
        <v>514.68317956937074</v>
      </c>
      <c r="AU101" s="243">
        <v>21.262458967488062</v>
      </c>
      <c r="AV101" s="246">
        <v>5032.2103999999999</v>
      </c>
      <c r="AW101" s="252">
        <v>0.2</v>
      </c>
      <c r="AX101" s="250">
        <v>747.2989963661463</v>
      </c>
      <c r="AY101" s="243">
        <v>23.324207444767225</v>
      </c>
      <c r="AZ101" s="246">
        <v>7335.2542000000003</v>
      </c>
    </row>
    <row r="102" spans="2:52">
      <c r="B102" s="214"/>
      <c r="C102" s="235">
        <v>4</v>
      </c>
      <c r="D102" s="233" t="s">
        <v>4041</v>
      </c>
      <c r="E102" s="251">
        <v>0.25</v>
      </c>
      <c r="F102" s="239">
        <v>403.93604551580694</v>
      </c>
      <c r="G102" s="240">
        <v>8.0637892810627054</v>
      </c>
      <c r="H102" s="241">
        <v>604.38729999999998</v>
      </c>
      <c r="I102" s="251">
        <v>0.25</v>
      </c>
      <c r="J102" s="239">
        <v>403.93604551580694</v>
      </c>
      <c r="K102" s="240">
        <v>8.0637892810627054</v>
      </c>
      <c r="L102" s="241">
        <v>604.38729999999998</v>
      </c>
      <c r="M102" s="251">
        <v>0.25</v>
      </c>
      <c r="N102" s="242">
        <v>403.93604551580694</v>
      </c>
      <c r="O102" s="243">
        <v>8.0637892810627054</v>
      </c>
      <c r="P102" s="244">
        <v>604.38729999999998</v>
      </c>
      <c r="Q102" s="251">
        <v>0.25</v>
      </c>
      <c r="R102" s="239">
        <v>612.13847476100534</v>
      </c>
      <c r="S102" s="240">
        <v>22.623522800041968</v>
      </c>
      <c r="T102" s="245">
        <v>1127.52</v>
      </c>
      <c r="U102" s="251">
        <v>0.25</v>
      </c>
      <c r="V102" s="242">
        <v>499.35089997095452</v>
      </c>
      <c r="W102" s="243">
        <v>20.680692399303723</v>
      </c>
      <c r="X102" s="244">
        <v>929.34519999999998</v>
      </c>
      <c r="Y102" s="251">
        <v>0.25</v>
      </c>
      <c r="Z102" s="239">
        <v>403.93604551580694</v>
      </c>
      <c r="AA102" s="240">
        <v>8.0637892810627054</v>
      </c>
      <c r="AB102" s="245">
        <v>604.38729999999998</v>
      </c>
      <c r="AC102" s="251">
        <v>0.25</v>
      </c>
      <c r="AD102" s="242">
        <v>612.13847476100534</v>
      </c>
      <c r="AE102" s="243">
        <v>22.623522800041968</v>
      </c>
      <c r="AF102" s="246">
        <v>1127.52</v>
      </c>
      <c r="AG102" s="251">
        <v>0.25</v>
      </c>
      <c r="AH102" s="239">
        <v>499.35089997095452</v>
      </c>
      <c r="AI102" s="240">
        <v>20.680692399303723</v>
      </c>
      <c r="AJ102" s="245">
        <v>929.34519999999998</v>
      </c>
      <c r="AK102" s="252">
        <v>0.25</v>
      </c>
      <c r="AL102" s="242">
        <v>414.46735603501577</v>
      </c>
      <c r="AM102" s="243">
        <v>8.2971770169678756</v>
      </c>
      <c r="AN102" s="246">
        <v>4643.2453999999998</v>
      </c>
      <c r="AO102" s="251">
        <v>0.215</v>
      </c>
      <c r="AP102" s="247">
        <v>735.11413048890279</v>
      </c>
      <c r="AQ102" s="248">
        <v>23.324207444767225</v>
      </c>
      <c r="AR102" s="249">
        <v>7443.0904</v>
      </c>
      <c r="AS102" s="252">
        <v>0.25</v>
      </c>
      <c r="AT102" s="242">
        <v>482.51548084628507</v>
      </c>
      <c r="AU102" s="243">
        <v>22.505455068912063</v>
      </c>
      <c r="AV102" s="246">
        <v>5187.6877000000004</v>
      </c>
      <c r="AW102" s="252">
        <v>0.215</v>
      </c>
      <c r="AX102" s="250">
        <v>735.11413048890279</v>
      </c>
      <c r="AY102" s="243">
        <v>23.324207444767225</v>
      </c>
      <c r="AZ102" s="246">
        <v>7443.0904</v>
      </c>
    </row>
    <row r="103" spans="2:52">
      <c r="B103" s="214"/>
      <c r="C103" s="235">
        <v>5</v>
      </c>
      <c r="D103" s="233" t="s">
        <v>4042</v>
      </c>
      <c r="E103" s="251">
        <v>0.3</v>
      </c>
      <c r="F103" s="239">
        <v>377.00697581475305</v>
      </c>
      <c r="G103" s="240">
        <v>8.0920588577827068</v>
      </c>
      <c r="H103" s="241">
        <v>688.32370000000003</v>
      </c>
      <c r="I103" s="251">
        <v>0.3</v>
      </c>
      <c r="J103" s="239">
        <v>377.00697581475305</v>
      </c>
      <c r="K103" s="240">
        <v>8.0920588577827068</v>
      </c>
      <c r="L103" s="241">
        <v>688.32370000000003</v>
      </c>
      <c r="M103" s="251">
        <v>0.3</v>
      </c>
      <c r="N103" s="242">
        <v>377.00697581475305</v>
      </c>
      <c r="O103" s="243">
        <v>8.0920588577827068</v>
      </c>
      <c r="P103" s="244">
        <v>688.32370000000003</v>
      </c>
      <c r="Q103" s="251">
        <v>0.3</v>
      </c>
      <c r="R103" s="239">
        <v>571.32924311027159</v>
      </c>
      <c r="S103" s="240">
        <v>22.993799249411719</v>
      </c>
      <c r="T103" s="245">
        <v>1255.8309999999999</v>
      </c>
      <c r="U103" s="251">
        <v>0.3</v>
      </c>
      <c r="V103" s="242">
        <v>466.06083997289079</v>
      </c>
      <c r="W103" s="243">
        <v>21.238999204405925</v>
      </c>
      <c r="X103" s="244">
        <v>1026.7452000000001</v>
      </c>
      <c r="Y103" s="251">
        <v>0.3</v>
      </c>
      <c r="Z103" s="239">
        <v>377.00697581475305</v>
      </c>
      <c r="AA103" s="240">
        <v>8.0920588577827068</v>
      </c>
      <c r="AB103" s="245">
        <v>688.32370000000003</v>
      </c>
      <c r="AC103" s="251">
        <v>0.3</v>
      </c>
      <c r="AD103" s="242">
        <v>571.32924311027159</v>
      </c>
      <c r="AE103" s="243">
        <v>22.993799249411719</v>
      </c>
      <c r="AF103" s="246">
        <v>1255.8309999999999</v>
      </c>
      <c r="AG103" s="251">
        <v>0.3</v>
      </c>
      <c r="AH103" s="239">
        <v>466.06083997289079</v>
      </c>
      <c r="AI103" s="240">
        <v>21.238999204405925</v>
      </c>
      <c r="AJ103" s="245">
        <v>1026.7452000000001</v>
      </c>
      <c r="AK103" s="252">
        <v>0.28699999999999998</v>
      </c>
      <c r="AL103" s="242">
        <v>393.81842537439945</v>
      </c>
      <c r="AM103" s="243">
        <v>8.7611121815838757</v>
      </c>
      <c r="AN103" s="246">
        <v>4774.9310999999998</v>
      </c>
      <c r="AO103" s="251"/>
      <c r="AP103" s="247">
        <v>0</v>
      </c>
      <c r="AQ103" s="247">
        <v>0</v>
      </c>
      <c r="AR103" s="247">
        <v>0</v>
      </c>
      <c r="AS103" s="252">
        <v>0.27300000000000002</v>
      </c>
      <c r="AT103" s="242">
        <v>467.71833943366556</v>
      </c>
      <c r="AU103" s="243">
        <v>22.505455068912063</v>
      </c>
      <c r="AV103" s="246">
        <v>5277.7087000000001</v>
      </c>
      <c r="AW103" s="251"/>
      <c r="AX103" s="253">
        <v>0</v>
      </c>
      <c r="AY103" s="253">
        <v>0</v>
      </c>
      <c r="AZ103" s="254">
        <v>0</v>
      </c>
    </row>
    <row r="104" spans="2:52">
      <c r="B104" s="214"/>
      <c r="C104" s="235">
        <v>6</v>
      </c>
      <c r="D104" s="233" t="s">
        <v>4043</v>
      </c>
      <c r="E104" s="251">
        <v>0.36</v>
      </c>
      <c r="F104" s="239">
        <v>346.84641774957288</v>
      </c>
      <c r="G104" s="240">
        <v>8.3353185654583068</v>
      </c>
      <c r="H104" s="241">
        <v>808.69809999999995</v>
      </c>
      <c r="I104" s="251">
        <v>0.36</v>
      </c>
      <c r="J104" s="239">
        <v>346.84641774957288</v>
      </c>
      <c r="K104" s="240">
        <v>8.3353185654583068</v>
      </c>
      <c r="L104" s="241">
        <v>808.69809999999995</v>
      </c>
      <c r="M104" s="251">
        <v>0.36</v>
      </c>
      <c r="N104" s="242">
        <v>346.84641774957288</v>
      </c>
      <c r="O104" s="243">
        <v>8.3353185654583068</v>
      </c>
      <c r="P104" s="244">
        <v>808.69809999999995</v>
      </c>
      <c r="Q104" s="251">
        <v>0.31</v>
      </c>
      <c r="R104" s="239">
        <v>546.84370411983139</v>
      </c>
      <c r="S104" s="240">
        <v>22.993799249411719</v>
      </c>
      <c r="T104" s="245">
        <v>1356.4856</v>
      </c>
      <c r="U104" s="251">
        <v>0.36</v>
      </c>
      <c r="V104" s="242">
        <v>424.78116557529188</v>
      </c>
      <c r="W104" s="243">
        <v>21.684641078514122</v>
      </c>
      <c r="X104" s="244">
        <v>1161.5996</v>
      </c>
      <c r="Y104" s="251">
        <v>0.36</v>
      </c>
      <c r="Z104" s="239">
        <v>346.84641774957288</v>
      </c>
      <c r="AA104" s="240">
        <v>8.3353185654583068</v>
      </c>
      <c r="AB104" s="245">
        <v>808.69809999999995</v>
      </c>
      <c r="AC104" s="251">
        <v>0.33</v>
      </c>
      <c r="AD104" s="242">
        <v>546.84370411983139</v>
      </c>
      <c r="AE104" s="243">
        <v>22.993799249411719</v>
      </c>
      <c r="AF104" s="246">
        <v>1356.4856</v>
      </c>
      <c r="AG104" s="251">
        <v>0.36</v>
      </c>
      <c r="AH104" s="239">
        <v>424.78116557529188</v>
      </c>
      <c r="AI104" s="240">
        <v>21.684641078514122</v>
      </c>
      <c r="AJ104" s="245">
        <v>1161.5996</v>
      </c>
      <c r="AK104" s="251"/>
      <c r="AL104" s="253">
        <v>0</v>
      </c>
      <c r="AM104" s="253">
        <v>0</v>
      </c>
      <c r="AN104" s="254">
        <v>0</v>
      </c>
      <c r="AO104" s="251"/>
      <c r="AP104" s="247">
        <v>0</v>
      </c>
      <c r="AQ104" s="247">
        <v>0</v>
      </c>
      <c r="AR104" s="247">
        <v>0</v>
      </c>
      <c r="AS104" s="251"/>
      <c r="AT104" s="253">
        <v>0</v>
      </c>
      <c r="AU104" s="253">
        <v>0</v>
      </c>
      <c r="AV104" s="246">
        <v>0</v>
      </c>
      <c r="AW104" s="251"/>
      <c r="AX104" s="253">
        <v>0</v>
      </c>
      <c r="AY104" s="253">
        <v>0</v>
      </c>
      <c r="AZ104" s="254">
        <v>0</v>
      </c>
    </row>
    <row r="105" spans="2:52">
      <c r="B105" s="214"/>
      <c r="C105" s="255"/>
      <c r="D105" s="255"/>
      <c r="E105" s="256" t="s">
        <v>4044</v>
      </c>
      <c r="F105" s="257"/>
      <c r="G105" s="257"/>
      <c r="H105" s="258"/>
      <c r="I105" s="256" t="s">
        <v>4044</v>
      </c>
      <c r="J105" s="259"/>
      <c r="K105" s="259"/>
      <c r="L105" s="260"/>
      <c r="M105" s="261"/>
      <c r="N105" s="262"/>
      <c r="O105" s="262"/>
      <c r="P105" s="263"/>
      <c r="Q105" s="255"/>
      <c r="R105" s="255"/>
      <c r="S105" s="255"/>
      <c r="T105" s="255"/>
      <c r="U105" s="256" t="s">
        <v>4044</v>
      </c>
      <c r="V105" s="259"/>
      <c r="W105" s="259"/>
      <c r="X105" s="260"/>
      <c r="Y105" s="256" t="s">
        <v>4045</v>
      </c>
      <c r="Z105" s="259"/>
      <c r="AA105" s="259"/>
      <c r="AB105" s="260"/>
      <c r="AC105" s="256" t="s">
        <v>4046</v>
      </c>
      <c r="AD105" s="259"/>
      <c r="AE105" s="259"/>
      <c r="AF105" s="260"/>
      <c r="AG105" s="255"/>
      <c r="AH105" s="255"/>
      <c r="AI105" s="255"/>
      <c r="AJ105" s="255"/>
      <c r="AK105" s="255"/>
      <c r="AL105" s="255"/>
      <c r="AM105" s="255"/>
      <c r="AN105" s="255"/>
      <c r="AO105" s="255"/>
      <c r="AP105" s="255"/>
      <c r="AQ105" s="255"/>
      <c r="AR105" s="255"/>
      <c r="AS105" s="255"/>
      <c r="AT105" s="255"/>
      <c r="AU105" s="255"/>
      <c r="AV105" s="255"/>
      <c r="AW105" s="214"/>
      <c r="AX105" s="214"/>
      <c r="AY105" s="214"/>
      <c r="AZ105" s="214"/>
    </row>
    <row r="106" spans="2:52">
      <c r="B106" s="214"/>
      <c r="C106" s="214"/>
      <c r="D106" s="214"/>
      <c r="E106" s="214"/>
      <c r="F106" s="214"/>
      <c r="G106" s="214"/>
      <c r="H106" s="214"/>
      <c r="I106" s="214"/>
      <c r="J106" s="214"/>
      <c r="K106" s="214"/>
      <c r="L106" s="214"/>
      <c r="M106" s="214"/>
      <c r="N106" s="214"/>
      <c r="O106" s="214"/>
      <c r="P106" s="214"/>
      <c r="Q106" s="214"/>
      <c r="R106" s="214"/>
      <c r="S106" s="214"/>
      <c r="T106" s="214"/>
      <c r="U106" s="214"/>
      <c r="V106" s="214"/>
      <c r="W106" s="214"/>
      <c r="X106" s="214"/>
      <c r="Y106" s="214"/>
      <c r="Z106" s="214"/>
      <c r="AA106" s="214"/>
      <c r="AB106" s="214"/>
      <c r="AC106" s="214"/>
      <c r="AD106" s="214"/>
      <c r="AE106" s="214"/>
      <c r="AF106" s="214"/>
      <c r="AG106" s="214"/>
      <c r="AH106" s="214"/>
      <c r="AI106" s="214"/>
      <c r="AJ106" s="214"/>
      <c r="AK106" s="214"/>
      <c r="AL106" s="214"/>
      <c r="AM106" s="214"/>
      <c r="AN106" s="214"/>
      <c r="AO106" s="214"/>
      <c r="AP106" s="214"/>
      <c r="AQ106" s="214"/>
      <c r="AR106" s="214"/>
      <c r="AS106" s="214"/>
      <c r="AT106" s="214"/>
      <c r="AU106" s="214"/>
      <c r="AV106" s="214"/>
      <c r="AW106" s="214"/>
      <c r="AX106" s="214"/>
      <c r="AY106" s="214"/>
      <c r="AZ106" s="214"/>
    </row>
    <row r="107" spans="2:52">
      <c r="B107" s="214"/>
      <c r="C107" s="214"/>
      <c r="D107" s="214"/>
      <c r="E107" s="214"/>
      <c r="F107" s="214"/>
      <c r="G107" s="214"/>
      <c r="H107" s="214"/>
      <c r="I107" s="214"/>
      <c r="J107" s="214"/>
      <c r="K107" s="214"/>
      <c r="L107" s="214"/>
      <c r="M107" s="214"/>
      <c r="N107" s="214"/>
      <c r="O107" s="214"/>
      <c r="P107" s="214"/>
      <c r="Q107" s="214"/>
      <c r="R107" s="214"/>
      <c r="S107" s="214"/>
      <c r="T107" s="214"/>
      <c r="U107" s="214"/>
      <c r="V107" s="214"/>
      <c r="W107" s="214"/>
      <c r="X107" s="214"/>
      <c r="Y107" s="214"/>
      <c r="Z107" s="214"/>
      <c r="AA107" s="214"/>
      <c r="AB107" s="214"/>
      <c r="AC107" s="214"/>
      <c r="AD107" s="214"/>
      <c r="AE107" s="214"/>
      <c r="AF107" s="214"/>
      <c r="AG107" s="214"/>
      <c r="AH107" s="214"/>
      <c r="AI107" s="214"/>
      <c r="AJ107" s="214"/>
      <c r="AK107" s="214"/>
      <c r="AL107" s="214"/>
      <c r="AM107" s="214"/>
      <c r="AN107" s="214"/>
      <c r="AO107" s="214"/>
      <c r="AP107" s="214"/>
      <c r="AQ107" s="214"/>
      <c r="AR107" s="214"/>
      <c r="AS107" s="214"/>
      <c r="AT107" s="214"/>
      <c r="AU107" s="214"/>
      <c r="AV107" s="214"/>
      <c r="AW107" s="214"/>
      <c r="AX107" s="214"/>
      <c r="AY107" s="214"/>
      <c r="AZ107" s="214"/>
    </row>
    <row r="108" spans="2:52">
      <c r="B108" s="214"/>
      <c r="C108" s="214" t="s">
        <v>4047</v>
      </c>
      <c r="D108" s="214"/>
      <c r="E108" s="214"/>
      <c r="F108" s="214"/>
      <c r="G108" s="214"/>
      <c r="H108" s="214"/>
      <c r="I108" s="214"/>
      <c r="J108" s="214"/>
      <c r="K108" s="214"/>
      <c r="L108" s="214"/>
      <c r="M108" s="214"/>
      <c r="N108" s="214"/>
      <c r="O108" s="214"/>
      <c r="P108" s="214"/>
      <c r="Q108" s="214"/>
      <c r="R108" s="214"/>
      <c r="S108" s="214"/>
      <c r="T108" s="214"/>
      <c r="U108" s="214"/>
      <c r="V108" s="214"/>
      <c r="W108" s="214"/>
      <c r="X108" s="214"/>
      <c r="Y108" s="214"/>
      <c r="Z108" s="214"/>
      <c r="AA108" s="214"/>
      <c r="AB108" s="214"/>
      <c r="AC108" s="214"/>
      <c r="AD108" s="214"/>
      <c r="AE108" s="214"/>
      <c r="AF108" s="214"/>
      <c r="AG108" s="214"/>
      <c r="AH108" s="214"/>
      <c r="AI108" s="214"/>
      <c r="AJ108" s="214"/>
      <c r="AK108" s="214"/>
      <c r="AL108" s="214"/>
      <c r="AM108" s="214"/>
      <c r="AN108" s="214"/>
      <c r="AO108" s="214"/>
      <c r="AP108" s="214"/>
      <c r="AQ108" s="214"/>
      <c r="AR108" s="214"/>
      <c r="AS108" s="214"/>
      <c r="AT108" s="214"/>
      <c r="AU108" s="214"/>
      <c r="AV108" s="214"/>
      <c r="AW108" s="214"/>
      <c r="AX108" s="214"/>
      <c r="AY108" s="214"/>
      <c r="AZ108" s="214"/>
    </row>
    <row r="109" spans="2:52">
      <c r="B109" s="214"/>
      <c r="C109" s="215"/>
      <c r="D109" s="215"/>
      <c r="E109" s="216" t="s">
        <v>4002</v>
      </c>
      <c r="F109" s="217"/>
      <c r="G109" s="218"/>
      <c r="H109" s="215"/>
      <c r="I109" s="216" t="s">
        <v>4003</v>
      </c>
      <c r="J109" s="217"/>
      <c r="K109" s="218"/>
      <c r="L109" s="215"/>
      <c r="M109" s="216" t="s">
        <v>4004</v>
      </c>
      <c r="N109" s="217"/>
      <c r="O109" s="218"/>
      <c r="P109" s="215"/>
      <c r="Q109" s="216" t="s">
        <v>4005</v>
      </c>
      <c r="R109" s="217"/>
      <c r="S109" s="218"/>
      <c r="T109" s="215"/>
      <c r="U109" s="216" t="s">
        <v>4006</v>
      </c>
      <c r="V109" s="218"/>
      <c r="W109" s="218"/>
      <c r="X109" s="215"/>
      <c r="Y109" s="216"/>
      <c r="Z109" s="218" t="s">
        <v>4007</v>
      </c>
      <c r="AA109" s="218"/>
      <c r="AB109" s="219"/>
      <c r="AC109" s="216" t="s">
        <v>4008</v>
      </c>
      <c r="AD109" s="218"/>
      <c r="AE109" s="218"/>
      <c r="AF109" s="215"/>
      <c r="AG109" s="216" t="s">
        <v>4009</v>
      </c>
      <c r="AH109" s="217"/>
      <c r="AI109" s="218"/>
      <c r="AJ109" s="219"/>
      <c r="AK109" s="220" t="s">
        <v>4010</v>
      </c>
      <c r="AL109" s="217"/>
      <c r="AM109" s="218"/>
      <c r="AN109" s="215"/>
      <c r="AO109" s="216" t="s">
        <v>4011</v>
      </c>
      <c r="AP109" s="217"/>
      <c r="AQ109" s="218"/>
      <c r="AR109" s="215"/>
      <c r="AS109" s="216" t="s">
        <v>4012</v>
      </c>
      <c r="AT109" s="217"/>
      <c r="AU109" s="218"/>
      <c r="AV109" s="215"/>
      <c r="AW109" s="216" t="s">
        <v>4013</v>
      </c>
      <c r="AX109" s="217"/>
      <c r="AY109" s="218"/>
      <c r="AZ109" s="215"/>
    </row>
    <row r="110" spans="2:52">
      <c r="B110" s="214"/>
      <c r="C110" s="215"/>
      <c r="D110" s="215"/>
      <c r="E110" s="221" t="s">
        <v>4014</v>
      </c>
      <c r="F110" s="222">
        <v>18</v>
      </c>
      <c r="G110" s="222"/>
      <c r="H110" s="215"/>
      <c r="I110" s="221" t="s">
        <v>4014</v>
      </c>
      <c r="J110" s="223">
        <v>18</v>
      </c>
      <c r="K110" s="223"/>
      <c r="L110" s="215"/>
      <c r="M110" s="221" t="s">
        <v>4014</v>
      </c>
      <c r="N110" s="223">
        <v>18</v>
      </c>
      <c r="O110" s="223"/>
      <c r="P110" s="215"/>
      <c r="Q110" s="221" t="s">
        <v>4014</v>
      </c>
      <c r="R110" s="223">
        <v>18</v>
      </c>
      <c r="S110" s="223"/>
      <c r="T110" s="215"/>
      <c r="U110" s="221" t="s">
        <v>4014</v>
      </c>
      <c r="V110" s="223">
        <v>21.5</v>
      </c>
      <c r="W110" s="223"/>
      <c r="X110" s="215"/>
      <c r="Y110" s="221" t="s">
        <v>4014</v>
      </c>
      <c r="Z110" s="220">
        <v>21.5</v>
      </c>
      <c r="AA110" s="220"/>
      <c r="AB110" s="219"/>
      <c r="AC110" s="221" t="s">
        <v>4014</v>
      </c>
      <c r="AD110" s="223">
        <v>23.5</v>
      </c>
      <c r="AE110" s="223"/>
      <c r="AF110" s="215"/>
      <c r="AG110" s="221" t="s">
        <v>4014</v>
      </c>
      <c r="AH110" s="220">
        <v>23.5</v>
      </c>
      <c r="AI110" s="220"/>
      <c r="AJ110" s="219"/>
      <c r="AK110" s="221" t="s">
        <v>4014</v>
      </c>
      <c r="AL110" s="223">
        <v>18</v>
      </c>
      <c r="AM110" s="223"/>
      <c r="AN110" s="215"/>
      <c r="AO110" s="221" t="s">
        <v>4014</v>
      </c>
      <c r="AP110" s="223">
        <v>21.5</v>
      </c>
      <c r="AQ110" s="223"/>
      <c r="AR110" s="215"/>
      <c r="AS110" s="221" t="s">
        <v>4014</v>
      </c>
      <c r="AT110" s="223">
        <v>23.5</v>
      </c>
      <c r="AU110" s="223"/>
      <c r="AV110" s="215"/>
      <c r="AW110" s="221" t="s">
        <v>4014</v>
      </c>
      <c r="AX110" s="223">
        <v>23.5</v>
      </c>
      <c r="AY110" s="223"/>
      <c r="AZ110" s="215"/>
    </row>
    <row r="111" spans="2:52">
      <c r="B111" s="214"/>
      <c r="C111" s="224" t="s">
        <v>4015</v>
      </c>
      <c r="D111" s="225"/>
      <c r="E111" s="226" t="s">
        <v>4016</v>
      </c>
      <c r="F111" s="225"/>
      <c r="G111" s="225"/>
      <c r="H111" s="227" t="s">
        <v>4017</v>
      </c>
      <c r="I111" s="226" t="s">
        <v>4018</v>
      </c>
      <c r="J111" s="225"/>
      <c r="K111" s="225"/>
      <c r="L111" s="227" t="s">
        <v>4017</v>
      </c>
      <c r="M111" s="226" t="s">
        <v>4019</v>
      </c>
      <c r="N111" s="225"/>
      <c r="O111" s="225"/>
      <c r="P111" s="227" t="s">
        <v>4017</v>
      </c>
      <c r="Q111" s="226" t="s">
        <v>4020</v>
      </c>
      <c r="R111" s="225"/>
      <c r="S111" s="225"/>
      <c r="T111" s="227" t="s">
        <v>4017</v>
      </c>
      <c r="U111" s="226" t="s">
        <v>4021</v>
      </c>
      <c r="V111" s="225"/>
      <c r="W111" s="225"/>
      <c r="X111" s="227" t="s">
        <v>4017</v>
      </c>
      <c r="Y111" s="226" t="s">
        <v>4022</v>
      </c>
      <c r="Z111" s="225"/>
      <c r="AA111" s="225"/>
      <c r="AB111" s="228" t="s">
        <v>4017</v>
      </c>
      <c r="AC111" s="226" t="s">
        <v>4023</v>
      </c>
      <c r="AD111" s="225"/>
      <c r="AE111" s="225"/>
      <c r="AF111" s="227" t="s">
        <v>4017</v>
      </c>
      <c r="AG111" s="226" t="s">
        <v>4024</v>
      </c>
      <c r="AH111" s="225"/>
      <c r="AI111" s="225"/>
      <c r="AJ111" s="228" t="s">
        <v>4017</v>
      </c>
      <c r="AK111" s="226" t="s">
        <v>4025</v>
      </c>
      <c r="AL111" s="225"/>
      <c r="AM111" s="225"/>
      <c r="AN111" s="227" t="s">
        <v>4017</v>
      </c>
      <c r="AO111" s="226" t="s">
        <v>4026</v>
      </c>
      <c r="AP111" s="225"/>
      <c r="AQ111" s="225"/>
      <c r="AR111" s="227" t="s">
        <v>4017</v>
      </c>
      <c r="AS111" s="226" t="s">
        <v>4027</v>
      </c>
      <c r="AT111" s="225"/>
      <c r="AU111" s="225"/>
      <c r="AV111" s="227" t="s">
        <v>4017</v>
      </c>
      <c r="AW111" s="226" t="s">
        <v>4028</v>
      </c>
      <c r="AX111" s="225"/>
      <c r="AY111" s="225"/>
      <c r="AZ111" s="227" t="s">
        <v>4017</v>
      </c>
    </row>
    <row r="112" spans="2:52" ht="22.5">
      <c r="B112" s="214"/>
      <c r="C112" s="229" t="s">
        <v>4029</v>
      </c>
      <c r="D112" s="230" t="s">
        <v>4030</v>
      </c>
      <c r="E112" s="231" t="s">
        <v>4031</v>
      </c>
      <c r="F112" s="232" t="s">
        <v>3968</v>
      </c>
      <c r="G112" s="232" t="s">
        <v>4032</v>
      </c>
      <c r="H112" s="227" t="s">
        <v>4033</v>
      </c>
      <c r="I112" s="231" t="s">
        <v>4031</v>
      </c>
      <c r="J112" s="232" t="s">
        <v>3968</v>
      </c>
      <c r="K112" s="232" t="s">
        <v>4032</v>
      </c>
      <c r="L112" s="227" t="s">
        <v>4033</v>
      </c>
      <c r="M112" s="231" t="s">
        <v>4031</v>
      </c>
      <c r="N112" s="232" t="s">
        <v>3968</v>
      </c>
      <c r="O112" s="232" t="s">
        <v>4032</v>
      </c>
      <c r="P112" s="227" t="s">
        <v>4033</v>
      </c>
      <c r="Q112" s="231" t="s">
        <v>4031</v>
      </c>
      <c r="R112" s="232" t="s">
        <v>3968</v>
      </c>
      <c r="S112" s="232" t="s">
        <v>4032</v>
      </c>
      <c r="T112" s="227" t="s">
        <v>4033</v>
      </c>
      <c r="U112" s="231" t="s">
        <v>4031</v>
      </c>
      <c r="V112" s="232" t="s">
        <v>3968</v>
      </c>
      <c r="W112" s="232" t="s">
        <v>4032</v>
      </c>
      <c r="X112" s="227" t="s">
        <v>4033</v>
      </c>
      <c r="Y112" s="231" t="s">
        <v>4031</v>
      </c>
      <c r="Z112" s="232" t="s">
        <v>3968</v>
      </c>
      <c r="AA112" s="232" t="s">
        <v>4032</v>
      </c>
      <c r="AB112" s="228" t="s">
        <v>4033</v>
      </c>
      <c r="AC112" s="231" t="s">
        <v>4031</v>
      </c>
      <c r="AD112" s="232" t="s">
        <v>3968</v>
      </c>
      <c r="AE112" s="232" t="s">
        <v>4032</v>
      </c>
      <c r="AF112" s="227" t="s">
        <v>4033</v>
      </c>
      <c r="AG112" s="231" t="s">
        <v>4031</v>
      </c>
      <c r="AH112" s="232" t="s">
        <v>3968</v>
      </c>
      <c r="AI112" s="232" t="s">
        <v>4032</v>
      </c>
      <c r="AJ112" s="228" t="s">
        <v>4033</v>
      </c>
      <c r="AK112" s="231" t="s">
        <v>4031</v>
      </c>
      <c r="AL112" s="232" t="s">
        <v>3968</v>
      </c>
      <c r="AM112" s="232" t="s">
        <v>4032</v>
      </c>
      <c r="AN112" s="227" t="s">
        <v>4033</v>
      </c>
      <c r="AO112" s="231" t="s">
        <v>4031</v>
      </c>
      <c r="AP112" s="232" t="s">
        <v>3968</v>
      </c>
      <c r="AQ112" s="232" t="s">
        <v>4032</v>
      </c>
      <c r="AR112" s="227" t="s">
        <v>4033</v>
      </c>
      <c r="AS112" s="231" t="s">
        <v>4031</v>
      </c>
      <c r="AT112" s="232" t="s">
        <v>3968</v>
      </c>
      <c r="AU112" s="232" t="s">
        <v>4032</v>
      </c>
      <c r="AV112" s="227" t="s">
        <v>4033</v>
      </c>
      <c r="AW112" s="231" t="s">
        <v>4031</v>
      </c>
      <c r="AX112" s="232" t="s">
        <v>3968</v>
      </c>
      <c r="AY112" s="232" t="s">
        <v>4032</v>
      </c>
      <c r="AZ112" s="227" t="s">
        <v>4033</v>
      </c>
    </row>
    <row r="113" spans="2:52">
      <c r="B113" s="214"/>
      <c r="C113" s="233"/>
      <c r="D113" s="233"/>
      <c r="E113" s="234" t="s">
        <v>4034</v>
      </c>
      <c r="F113" s="235" t="s">
        <v>4035</v>
      </c>
      <c r="G113" s="235" t="s">
        <v>4036</v>
      </c>
      <c r="H113" s="236" t="s">
        <v>4036</v>
      </c>
      <c r="I113" s="234" t="s">
        <v>4034</v>
      </c>
      <c r="J113" s="235" t="s">
        <v>4035</v>
      </c>
      <c r="K113" s="235" t="s">
        <v>4036</v>
      </c>
      <c r="L113" s="236" t="s">
        <v>4036</v>
      </c>
      <c r="M113" s="234" t="s">
        <v>4034</v>
      </c>
      <c r="N113" s="235" t="s">
        <v>4035</v>
      </c>
      <c r="O113" s="235" t="s">
        <v>4036</v>
      </c>
      <c r="P113" s="236" t="s">
        <v>4036</v>
      </c>
      <c r="Q113" s="234" t="s">
        <v>4034</v>
      </c>
      <c r="R113" s="235" t="s">
        <v>4035</v>
      </c>
      <c r="S113" s="235" t="s">
        <v>4036</v>
      </c>
      <c r="T113" s="236" t="s">
        <v>4036</v>
      </c>
      <c r="U113" s="234" t="s">
        <v>4034</v>
      </c>
      <c r="V113" s="235" t="s">
        <v>4035</v>
      </c>
      <c r="W113" s="235" t="s">
        <v>4036</v>
      </c>
      <c r="X113" s="236" t="s">
        <v>4036</v>
      </c>
      <c r="Y113" s="234" t="s">
        <v>4034</v>
      </c>
      <c r="Z113" s="235" t="s">
        <v>4035</v>
      </c>
      <c r="AA113" s="235" t="s">
        <v>4036</v>
      </c>
      <c r="AB113" s="237" t="s">
        <v>4036</v>
      </c>
      <c r="AC113" s="234" t="s">
        <v>4034</v>
      </c>
      <c r="AD113" s="235" t="s">
        <v>4035</v>
      </c>
      <c r="AE113" s="235" t="s">
        <v>4036</v>
      </c>
      <c r="AF113" s="236" t="s">
        <v>4036</v>
      </c>
      <c r="AG113" s="234" t="s">
        <v>4034</v>
      </c>
      <c r="AH113" s="235" t="s">
        <v>4035</v>
      </c>
      <c r="AI113" s="235" t="s">
        <v>4036</v>
      </c>
      <c r="AJ113" s="237" t="s">
        <v>4036</v>
      </c>
      <c r="AK113" s="234" t="s">
        <v>4034</v>
      </c>
      <c r="AL113" s="235" t="s">
        <v>4035</v>
      </c>
      <c r="AM113" s="235" t="s">
        <v>4036</v>
      </c>
      <c r="AN113" s="236" t="s">
        <v>4036</v>
      </c>
      <c r="AO113" s="234" t="s">
        <v>4034</v>
      </c>
      <c r="AP113" s="235" t="s">
        <v>4035</v>
      </c>
      <c r="AQ113" s="235" t="s">
        <v>4036</v>
      </c>
      <c r="AR113" s="236" t="s">
        <v>4036</v>
      </c>
      <c r="AS113" s="234" t="s">
        <v>4034</v>
      </c>
      <c r="AT113" s="235" t="s">
        <v>4035</v>
      </c>
      <c r="AU113" s="235" t="s">
        <v>4036</v>
      </c>
      <c r="AV113" s="236" t="s">
        <v>4036</v>
      </c>
      <c r="AW113" s="234" t="s">
        <v>4034</v>
      </c>
      <c r="AX113" s="235" t="s">
        <v>4035</v>
      </c>
      <c r="AY113" s="235" t="s">
        <v>4036</v>
      </c>
      <c r="AZ113" s="236" t="s">
        <v>4036</v>
      </c>
    </row>
    <row r="114" spans="2:52">
      <c r="B114" s="214"/>
      <c r="C114" s="235">
        <v>0</v>
      </c>
      <c r="D114" s="233" t="s">
        <v>4037</v>
      </c>
      <c r="E114" s="238">
        <v>0</v>
      </c>
      <c r="F114" s="239">
        <v>540.92402293097575</v>
      </c>
      <c r="G114" s="240">
        <v>7.6609230769230763</v>
      </c>
      <c r="H114" s="241">
        <v>532.66999999999996</v>
      </c>
      <c r="I114" s="238">
        <v>0</v>
      </c>
      <c r="J114" s="239">
        <v>540.92402293097575</v>
      </c>
      <c r="K114" s="240">
        <v>7.6609230769230763</v>
      </c>
      <c r="L114" s="241">
        <v>532.66999999999996</v>
      </c>
      <c r="M114" s="238">
        <v>0</v>
      </c>
      <c r="N114" s="242">
        <v>540.92402293097575</v>
      </c>
      <c r="O114" s="243">
        <v>7.6609230769230763</v>
      </c>
      <c r="P114" s="244">
        <v>532.66999999999996</v>
      </c>
      <c r="Q114" s="238">
        <v>0</v>
      </c>
      <c r="R114" s="239">
        <v>820.92314569821929</v>
      </c>
      <c r="S114" s="240">
        <v>21.898076923076928</v>
      </c>
      <c r="T114" s="245">
        <v>1125.4195999999999</v>
      </c>
      <c r="U114" s="238">
        <v>0</v>
      </c>
      <c r="V114" s="242">
        <v>669.11335877311717</v>
      </c>
      <c r="W114" s="243">
        <v>19.921576923076923</v>
      </c>
      <c r="X114" s="246">
        <v>912.73389999999995</v>
      </c>
      <c r="Y114" s="238">
        <v>0</v>
      </c>
      <c r="Z114" s="239">
        <v>540.92402293097575</v>
      </c>
      <c r="AA114" s="240">
        <v>7.6609230769230763</v>
      </c>
      <c r="AB114" s="245">
        <v>532.66999999999996</v>
      </c>
      <c r="AC114" s="238">
        <v>0</v>
      </c>
      <c r="AD114" s="250">
        <v>820.92314569821929</v>
      </c>
      <c r="AE114" s="243">
        <v>21.898076923076928</v>
      </c>
      <c r="AF114" s="246">
        <v>1125.4195999999999</v>
      </c>
      <c r="AG114" s="238">
        <v>0</v>
      </c>
      <c r="AH114" s="239">
        <v>669.11335877311717</v>
      </c>
      <c r="AI114" s="240">
        <v>19.921576923076923</v>
      </c>
      <c r="AJ114" s="245">
        <v>912.73389999999995</v>
      </c>
      <c r="AK114" s="238">
        <v>0</v>
      </c>
      <c r="AL114" s="242">
        <v>552.39713763377893</v>
      </c>
      <c r="AM114" s="243">
        <v>7.6609230769230763</v>
      </c>
      <c r="AN114" s="246">
        <v>4761.6405000000004</v>
      </c>
      <c r="AO114" s="238">
        <v>0</v>
      </c>
      <c r="AP114" s="247">
        <v>821.2320723226245</v>
      </c>
      <c r="AQ114" s="248">
        <v>21.898076923076928</v>
      </c>
      <c r="AR114" s="249">
        <v>7718.5716000000002</v>
      </c>
      <c r="AS114" s="238">
        <v>0</v>
      </c>
      <c r="AT114" s="242">
        <v>627.01207480780852</v>
      </c>
      <c r="AU114" s="243">
        <v>19.921576923076923</v>
      </c>
      <c r="AV114" s="246">
        <v>5331.3204999999998</v>
      </c>
      <c r="AW114" s="238">
        <v>0</v>
      </c>
      <c r="AX114" s="250">
        <v>821.2320723226245</v>
      </c>
      <c r="AY114" s="243">
        <v>21.898076923076928</v>
      </c>
      <c r="AZ114" s="246">
        <v>7718.5716000000002</v>
      </c>
    </row>
    <row r="115" spans="2:52">
      <c r="B115" s="214"/>
      <c r="C115" s="235">
        <v>1</v>
      </c>
      <c r="D115" s="233" t="s">
        <v>4038</v>
      </c>
      <c r="E115" s="251">
        <v>0.1</v>
      </c>
      <c r="F115" s="239">
        <v>486.83162063787819</v>
      </c>
      <c r="G115" s="240">
        <v>7.7002389907464162</v>
      </c>
      <c r="H115" s="241">
        <v>548.96519999999998</v>
      </c>
      <c r="I115" s="251">
        <v>0.1</v>
      </c>
      <c r="J115" s="239">
        <v>486.83162063787819</v>
      </c>
      <c r="K115" s="240">
        <v>7.7002389907464162</v>
      </c>
      <c r="L115" s="241">
        <v>548.96519999999998</v>
      </c>
      <c r="M115" s="251">
        <v>0.1</v>
      </c>
      <c r="N115" s="242">
        <v>486.83162063787819</v>
      </c>
      <c r="O115" s="243">
        <v>7.7002389907464162</v>
      </c>
      <c r="P115" s="244">
        <v>548.96519999999998</v>
      </c>
      <c r="Q115" s="251">
        <v>0.1</v>
      </c>
      <c r="R115" s="239">
        <v>738.83083112839745</v>
      </c>
      <c r="S115" s="240">
        <v>21.991434199885877</v>
      </c>
      <c r="T115" s="245">
        <v>1141.7701999999999</v>
      </c>
      <c r="U115" s="251">
        <v>0.1</v>
      </c>
      <c r="V115" s="242">
        <v>602.20202289580527</v>
      </c>
      <c r="W115" s="243">
        <v>20.141888935197123</v>
      </c>
      <c r="X115" s="246">
        <v>930.59739999999999</v>
      </c>
      <c r="Y115" s="251">
        <v>0.1</v>
      </c>
      <c r="Z115" s="239">
        <v>486.83162063787819</v>
      </c>
      <c r="AA115" s="240">
        <v>7.7002389907464162</v>
      </c>
      <c r="AB115" s="245">
        <v>548.96519999999998</v>
      </c>
      <c r="AC115" s="251">
        <v>0.1</v>
      </c>
      <c r="AD115" s="250">
        <v>738.83083112839745</v>
      </c>
      <c r="AE115" s="243">
        <v>21.991434199885877</v>
      </c>
      <c r="AF115" s="246">
        <v>1141.7701999999999</v>
      </c>
      <c r="AG115" s="251">
        <v>0.1</v>
      </c>
      <c r="AH115" s="239">
        <v>602.20202289580527</v>
      </c>
      <c r="AI115" s="240">
        <v>20.141888935197123</v>
      </c>
      <c r="AJ115" s="245">
        <v>930.59739999999999</v>
      </c>
      <c r="AK115" s="252">
        <v>0.1</v>
      </c>
      <c r="AL115" s="242">
        <v>497.15742387040098</v>
      </c>
      <c r="AM115" s="243">
        <v>7.7296848959643762</v>
      </c>
      <c r="AN115" s="246">
        <v>4779.9576999999999</v>
      </c>
      <c r="AO115" s="251">
        <v>0.1</v>
      </c>
      <c r="AP115" s="247">
        <v>739.62765715322678</v>
      </c>
      <c r="AQ115" s="248">
        <v>22.378582373057831</v>
      </c>
      <c r="AR115" s="249">
        <v>7836.1244999999999</v>
      </c>
      <c r="AS115" s="252">
        <v>0.1</v>
      </c>
      <c r="AT115" s="242">
        <v>564.31086732702761</v>
      </c>
      <c r="AU115" s="243">
        <v>20.161519563369662</v>
      </c>
      <c r="AV115" s="246">
        <v>5419.3298000000004</v>
      </c>
      <c r="AW115" s="252">
        <v>0.1</v>
      </c>
      <c r="AX115" s="250">
        <v>739.62765715322678</v>
      </c>
      <c r="AY115" s="243">
        <v>22.378582373057831</v>
      </c>
      <c r="AZ115" s="246">
        <v>7836.1244999999999</v>
      </c>
    </row>
    <row r="116" spans="2:52">
      <c r="B116" s="214"/>
      <c r="C116" s="235">
        <v>2</v>
      </c>
      <c r="D116" s="233" t="s">
        <v>4039</v>
      </c>
      <c r="E116" s="251">
        <v>0.15</v>
      </c>
      <c r="F116" s="239">
        <v>459.78541949132944</v>
      </c>
      <c r="G116" s="240">
        <v>7.7446575631677161</v>
      </c>
      <c r="H116" s="241">
        <v>604.67589999999996</v>
      </c>
      <c r="I116" s="251">
        <v>0.15</v>
      </c>
      <c r="J116" s="239">
        <v>459.78541949132944</v>
      </c>
      <c r="K116" s="240">
        <v>7.7446575631677161</v>
      </c>
      <c r="L116" s="241">
        <v>604.67589999999996</v>
      </c>
      <c r="M116" s="251">
        <v>0.15</v>
      </c>
      <c r="N116" s="242">
        <v>459.78541949132944</v>
      </c>
      <c r="O116" s="243">
        <v>7.7446575631677161</v>
      </c>
      <c r="P116" s="244">
        <v>604.67589999999996</v>
      </c>
      <c r="Q116" s="251">
        <v>0.15</v>
      </c>
      <c r="R116" s="239">
        <v>697.78467384348653</v>
      </c>
      <c r="S116" s="240">
        <v>22.111042178926429</v>
      </c>
      <c r="T116" s="245">
        <v>1167.2301</v>
      </c>
      <c r="U116" s="251">
        <v>0.15</v>
      </c>
      <c r="V116" s="242">
        <v>568.74635495714961</v>
      </c>
      <c r="W116" s="243">
        <v>20.254837895428924</v>
      </c>
      <c r="X116" s="246">
        <v>948.32280000000003</v>
      </c>
      <c r="Y116" s="251">
        <v>0.15</v>
      </c>
      <c r="Z116" s="239">
        <v>459.78541949132944</v>
      </c>
      <c r="AA116" s="240">
        <v>7.7446575631677161</v>
      </c>
      <c r="AB116" s="245">
        <v>604.67589999999996</v>
      </c>
      <c r="AC116" s="251">
        <v>0.15</v>
      </c>
      <c r="AD116" s="250">
        <v>697.78467384348653</v>
      </c>
      <c r="AE116" s="243">
        <v>22.111042178926429</v>
      </c>
      <c r="AF116" s="246">
        <v>1167.2301</v>
      </c>
      <c r="AG116" s="251">
        <v>0.15</v>
      </c>
      <c r="AH116" s="239">
        <v>568.74635495714961</v>
      </c>
      <c r="AI116" s="240">
        <v>20.254837895428924</v>
      </c>
      <c r="AJ116" s="245">
        <v>948.32280000000003</v>
      </c>
      <c r="AK116" s="252">
        <v>0.15</v>
      </c>
      <c r="AL116" s="242">
        <v>469.53756698871217</v>
      </c>
      <c r="AM116" s="243">
        <v>7.8332418523518763</v>
      </c>
      <c r="AN116" s="246">
        <v>4898.2794999999996</v>
      </c>
      <c r="AO116" s="251">
        <v>0.15</v>
      </c>
      <c r="AP116" s="247">
        <v>698.82544956852803</v>
      </c>
      <c r="AQ116" s="248">
        <v>23.324207444767225</v>
      </c>
      <c r="AR116" s="249">
        <v>8019.3753999999999</v>
      </c>
      <c r="AS116" s="252">
        <v>0.15</v>
      </c>
      <c r="AT116" s="242">
        <v>532.96026358663732</v>
      </c>
      <c r="AU116" s="243">
        <v>21.262458967488062</v>
      </c>
      <c r="AV116" s="246">
        <v>5517.4272000000001</v>
      </c>
      <c r="AW116" s="252">
        <v>0.15</v>
      </c>
      <c r="AX116" s="250">
        <v>698.82544956852803</v>
      </c>
      <c r="AY116" s="243">
        <v>23.324207444767225</v>
      </c>
      <c r="AZ116" s="246">
        <v>8019.3753999999999</v>
      </c>
    </row>
    <row r="117" spans="2:52">
      <c r="B117" s="214"/>
      <c r="C117" s="235">
        <v>3</v>
      </c>
      <c r="D117" s="233" t="s">
        <v>4040</v>
      </c>
      <c r="E117" s="251">
        <v>0.2</v>
      </c>
      <c r="F117" s="239">
        <v>432.73921834478068</v>
      </c>
      <c r="G117" s="240">
        <v>8.034812964924706</v>
      </c>
      <c r="H117" s="241">
        <v>649.60720000000003</v>
      </c>
      <c r="I117" s="251">
        <v>0.2</v>
      </c>
      <c r="J117" s="239">
        <v>432.73921834478068</v>
      </c>
      <c r="K117" s="240">
        <v>8.034812964924706</v>
      </c>
      <c r="L117" s="241">
        <v>649.60720000000003</v>
      </c>
      <c r="M117" s="251">
        <v>0.2</v>
      </c>
      <c r="N117" s="242">
        <v>432.73921834478068</v>
      </c>
      <c r="O117" s="243">
        <v>8.034812964924706</v>
      </c>
      <c r="P117" s="244">
        <v>649.60720000000003</v>
      </c>
      <c r="Q117" s="251">
        <v>0.2</v>
      </c>
      <c r="R117" s="239">
        <v>656.73851655857561</v>
      </c>
      <c r="S117" s="240">
        <v>22.255942194847474</v>
      </c>
      <c r="T117" s="245">
        <v>1222.3916999999999</v>
      </c>
      <c r="U117" s="251">
        <v>0.2</v>
      </c>
      <c r="V117" s="242">
        <v>535.29068701849371</v>
      </c>
      <c r="W117" s="243">
        <v>20.345443222287123</v>
      </c>
      <c r="X117" s="246">
        <v>1001.8757000000001</v>
      </c>
      <c r="Y117" s="251">
        <v>0.2</v>
      </c>
      <c r="Z117" s="239">
        <v>432.73921834478068</v>
      </c>
      <c r="AA117" s="240">
        <v>8.034812964924706</v>
      </c>
      <c r="AB117" s="245">
        <v>649.60720000000003</v>
      </c>
      <c r="AC117" s="251">
        <v>0.2</v>
      </c>
      <c r="AD117" s="250">
        <v>656.73851655857561</v>
      </c>
      <c r="AE117" s="243">
        <v>22.255942194847474</v>
      </c>
      <c r="AF117" s="246">
        <v>1222.3916999999999</v>
      </c>
      <c r="AG117" s="251">
        <v>0.2</v>
      </c>
      <c r="AH117" s="239">
        <v>535.29068701849371</v>
      </c>
      <c r="AI117" s="240">
        <v>20.345443222287123</v>
      </c>
      <c r="AJ117" s="245">
        <v>1001.8757000000001</v>
      </c>
      <c r="AK117" s="252">
        <v>0.2</v>
      </c>
      <c r="AL117" s="242">
        <v>441.9177101070232</v>
      </c>
      <c r="AM117" s="243">
        <v>7.8332418523518763</v>
      </c>
      <c r="AN117" s="246">
        <v>5072.0111999999999</v>
      </c>
      <c r="AO117" s="251">
        <v>0.2</v>
      </c>
      <c r="AP117" s="247">
        <v>677.81231266240854</v>
      </c>
      <c r="AQ117" s="248">
        <v>23.324207444767225</v>
      </c>
      <c r="AR117" s="249">
        <v>8178.2419</v>
      </c>
      <c r="AS117" s="252">
        <v>0.2</v>
      </c>
      <c r="AT117" s="242">
        <v>501.60965984624681</v>
      </c>
      <c r="AU117" s="243">
        <v>21.262458967488062</v>
      </c>
      <c r="AV117" s="246">
        <v>5668.3213999999998</v>
      </c>
      <c r="AW117" s="252">
        <v>0.2</v>
      </c>
      <c r="AX117" s="250">
        <v>677.81231266240854</v>
      </c>
      <c r="AY117" s="243">
        <v>23.324207444767225</v>
      </c>
      <c r="AZ117" s="246">
        <v>8178.2419</v>
      </c>
    </row>
    <row r="118" spans="2:52">
      <c r="B118" s="214"/>
      <c r="C118" s="235">
        <v>4</v>
      </c>
      <c r="D118" s="233" t="s">
        <v>4041</v>
      </c>
      <c r="E118" s="251">
        <v>0.25</v>
      </c>
      <c r="F118" s="239">
        <v>405.69301719823187</v>
      </c>
      <c r="G118" s="240">
        <v>8.0637892810627054</v>
      </c>
      <c r="H118" s="241">
        <v>725.79430000000002</v>
      </c>
      <c r="I118" s="251">
        <v>0.25</v>
      </c>
      <c r="J118" s="239">
        <v>405.69301719823187</v>
      </c>
      <c r="K118" s="240">
        <v>8.0637892810627054</v>
      </c>
      <c r="L118" s="241">
        <v>725.79430000000002</v>
      </c>
      <c r="M118" s="251">
        <v>0.25</v>
      </c>
      <c r="N118" s="242">
        <v>405.69301719823187</v>
      </c>
      <c r="O118" s="243">
        <v>8.0637892810627054</v>
      </c>
      <c r="P118" s="244">
        <v>725.79430000000002</v>
      </c>
      <c r="Q118" s="251">
        <v>0.25</v>
      </c>
      <c r="R118" s="239">
        <v>615.69235927366458</v>
      </c>
      <c r="S118" s="240">
        <v>22.623522800041968</v>
      </c>
      <c r="T118" s="245">
        <v>1338.9831999999999</v>
      </c>
      <c r="U118" s="251">
        <v>0.25</v>
      </c>
      <c r="V118" s="242">
        <v>501.83501907983782</v>
      </c>
      <c r="W118" s="243">
        <v>20.680692399303723</v>
      </c>
      <c r="X118" s="246">
        <v>1094.1706999999999</v>
      </c>
      <c r="Y118" s="251">
        <v>0.25</v>
      </c>
      <c r="Z118" s="239">
        <v>405.69301719823187</v>
      </c>
      <c r="AA118" s="240">
        <v>8.0637892810627054</v>
      </c>
      <c r="AB118" s="245">
        <v>725.79430000000002</v>
      </c>
      <c r="AC118" s="251">
        <v>0.25</v>
      </c>
      <c r="AD118" s="250">
        <v>615.69235927366458</v>
      </c>
      <c r="AE118" s="243">
        <v>22.623522800041968</v>
      </c>
      <c r="AF118" s="246">
        <v>1338.9831999999999</v>
      </c>
      <c r="AG118" s="251">
        <v>0.25</v>
      </c>
      <c r="AH118" s="239">
        <v>501.83501907983782</v>
      </c>
      <c r="AI118" s="240">
        <v>20.680692399303723</v>
      </c>
      <c r="AJ118" s="245">
        <v>1094.1706999999999</v>
      </c>
      <c r="AK118" s="252">
        <v>0.25</v>
      </c>
      <c r="AL118" s="242">
        <v>413.34023562613572</v>
      </c>
      <c r="AM118" s="243">
        <v>8.2971770169678756</v>
      </c>
      <c r="AN118" s="246">
        <v>5263.0371999999998</v>
      </c>
      <c r="AO118" s="251">
        <v>0.215</v>
      </c>
      <c r="AP118" s="247">
        <v>0</v>
      </c>
      <c r="AQ118" s="248">
        <v>0</v>
      </c>
      <c r="AR118" s="249">
        <v>0</v>
      </c>
      <c r="AS118" s="252">
        <v>0.25</v>
      </c>
      <c r="AT118" s="242">
        <v>478.62966730454059</v>
      </c>
      <c r="AU118" s="243">
        <v>22.505455068912063</v>
      </c>
      <c r="AV118" s="246">
        <v>5808.4647999999997</v>
      </c>
      <c r="AW118" s="252">
        <v>0.215</v>
      </c>
      <c r="AX118" s="264">
        <v>0</v>
      </c>
      <c r="AY118" s="264">
        <v>0</v>
      </c>
      <c r="AZ118" s="246">
        <v>0</v>
      </c>
    </row>
    <row r="119" spans="2:52">
      <c r="B119" s="214"/>
      <c r="C119" s="235">
        <v>5</v>
      </c>
      <c r="D119" s="233" t="s">
        <v>4042</v>
      </c>
      <c r="E119" s="251">
        <v>0.3</v>
      </c>
      <c r="F119" s="239">
        <v>378.646816051683</v>
      </c>
      <c r="G119" s="240">
        <v>8.0920588577827068</v>
      </c>
      <c r="H119" s="241">
        <v>832.00469999999996</v>
      </c>
      <c r="I119" s="251">
        <v>0.3</v>
      </c>
      <c r="J119" s="239">
        <v>378.646816051683</v>
      </c>
      <c r="K119" s="240">
        <v>8.0920588577827068</v>
      </c>
      <c r="L119" s="241">
        <v>832.00469999999996</v>
      </c>
      <c r="M119" s="251">
        <v>0.3</v>
      </c>
      <c r="N119" s="242">
        <v>378.646816051683</v>
      </c>
      <c r="O119" s="243">
        <v>8.0920588577827068</v>
      </c>
      <c r="P119" s="244">
        <v>832.00469999999996</v>
      </c>
      <c r="Q119" s="251">
        <v>0.3</v>
      </c>
      <c r="R119" s="239">
        <v>577.51943299869731</v>
      </c>
      <c r="S119" s="240">
        <v>22.993799249411719</v>
      </c>
      <c r="T119" s="245">
        <v>1490.4590000000001</v>
      </c>
      <c r="U119" s="251">
        <v>0.3</v>
      </c>
      <c r="V119" s="242">
        <v>468.37935114118198</v>
      </c>
      <c r="W119" s="243">
        <v>21.238999204405925</v>
      </c>
      <c r="X119" s="246">
        <v>1205.4974</v>
      </c>
      <c r="Y119" s="251">
        <v>0.3</v>
      </c>
      <c r="Z119" s="239">
        <v>378.646816051683</v>
      </c>
      <c r="AA119" s="240">
        <v>8.0920588577827068</v>
      </c>
      <c r="AB119" s="245">
        <v>832.00469999999996</v>
      </c>
      <c r="AC119" s="251">
        <v>0.3</v>
      </c>
      <c r="AD119" s="250">
        <v>577.51943299869731</v>
      </c>
      <c r="AE119" s="243">
        <v>22.993799249411719</v>
      </c>
      <c r="AF119" s="246">
        <v>1490.4590000000001</v>
      </c>
      <c r="AG119" s="251">
        <v>0.3</v>
      </c>
      <c r="AH119" s="239">
        <v>468.37935114118198</v>
      </c>
      <c r="AI119" s="240">
        <v>21.238999204405925</v>
      </c>
      <c r="AJ119" s="245">
        <v>1205.4974</v>
      </c>
      <c r="AK119" s="252">
        <v>0.28699999999999998</v>
      </c>
      <c r="AL119" s="253">
        <v>0</v>
      </c>
      <c r="AM119" s="243">
        <v>0</v>
      </c>
      <c r="AN119" s="246">
        <v>0</v>
      </c>
      <c r="AO119" s="251"/>
      <c r="AP119" s="247">
        <v>0</v>
      </c>
      <c r="AQ119" s="247">
        <v>0</v>
      </c>
      <c r="AR119" s="247">
        <v>0</v>
      </c>
      <c r="AS119" s="252">
        <v>0.27300000000000002</v>
      </c>
      <c r="AT119" s="253">
        <v>0</v>
      </c>
      <c r="AU119" s="253">
        <v>0</v>
      </c>
      <c r="AV119" s="246">
        <v>0</v>
      </c>
      <c r="AW119" s="251"/>
      <c r="AX119" s="253">
        <v>0</v>
      </c>
      <c r="AY119" s="253">
        <v>0</v>
      </c>
      <c r="AZ119" s="254">
        <v>0</v>
      </c>
    </row>
    <row r="120" spans="2:52">
      <c r="B120" s="214"/>
      <c r="C120" s="235">
        <v>6</v>
      </c>
      <c r="D120" s="233" t="s">
        <v>4043</v>
      </c>
      <c r="E120" s="251">
        <v>0.32</v>
      </c>
      <c r="F120" s="239">
        <v>366.05680941796459</v>
      </c>
      <c r="G120" s="240">
        <v>8.3353185654583068</v>
      </c>
      <c r="H120" s="241">
        <v>885.04190000000006</v>
      </c>
      <c r="I120" s="251">
        <v>0.32</v>
      </c>
      <c r="J120" s="239">
        <v>366.05680941796459</v>
      </c>
      <c r="K120" s="240">
        <v>8.3353185654583068</v>
      </c>
      <c r="L120" s="241">
        <v>885.04190000000006</v>
      </c>
      <c r="M120" s="251">
        <v>0.32</v>
      </c>
      <c r="N120" s="242">
        <v>366.05680941796459</v>
      </c>
      <c r="O120" s="243">
        <v>8.3353185654583068</v>
      </c>
      <c r="P120" s="244">
        <v>885.04190000000006</v>
      </c>
      <c r="Q120" s="251">
        <v>0.31</v>
      </c>
      <c r="R120" s="239">
        <v>0</v>
      </c>
      <c r="S120" s="240">
        <v>0</v>
      </c>
      <c r="T120" s="245">
        <v>0</v>
      </c>
      <c r="U120" s="251">
        <v>0.33</v>
      </c>
      <c r="V120" s="242">
        <v>448.30595037798844</v>
      </c>
      <c r="W120" s="243">
        <v>21.684641078514122</v>
      </c>
      <c r="X120" s="246">
        <v>1273.6351999999999</v>
      </c>
      <c r="Y120" s="251">
        <v>0.32</v>
      </c>
      <c r="Z120" s="239">
        <v>366.05680941796459</v>
      </c>
      <c r="AA120" s="240">
        <v>8.3353185654583068</v>
      </c>
      <c r="AB120" s="245">
        <v>885.04190000000006</v>
      </c>
      <c r="AC120" s="251">
        <v>0.31</v>
      </c>
      <c r="AD120" s="250">
        <v>0</v>
      </c>
      <c r="AE120" s="264">
        <v>0</v>
      </c>
      <c r="AF120" s="246">
        <v>0</v>
      </c>
      <c r="AG120" s="251">
        <v>0.33</v>
      </c>
      <c r="AH120" s="239">
        <v>448.30595037798844</v>
      </c>
      <c r="AI120" s="240">
        <v>21.684641078514122</v>
      </c>
      <c r="AJ120" s="245">
        <v>1273.6351999999999</v>
      </c>
      <c r="AK120" s="251"/>
      <c r="AL120" s="253">
        <v>0</v>
      </c>
      <c r="AM120" s="253">
        <v>0</v>
      </c>
      <c r="AN120" s="254">
        <v>0</v>
      </c>
      <c r="AO120" s="251"/>
      <c r="AP120" s="247">
        <v>0</v>
      </c>
      <c r="AQ120" s="247">
        <v>0</v>
      </c>
      <c r="AR120" s="247">
        <v>0</v>
      </c>
      <c r="AS120" s="251"/>
      <c r="AT120" s="253">
        <v>0</v>
      </c>
      <c r="AU120" s="253">
        <v>0</v>
      </c>
      <c r="AV120" s="246">
        <v>0</v>
      </c>
      <c r="AW120" s="251"/>
      <c r="AX120" s="253">
        <v>0</v>
      </c>
      <c r="AY120" s="253">
        <v>0</v>
      </c>
      <c r="AZ120" s="254">
        <v>0</v>
      </c>
    </row>
    <row r="121" spans="2:52">
      <c r="B121" s="214"/>
      <c r="C121" s="255"/>
      <c r="D121" s="255"/>
      <c r="E121" s="256" t="s">
        <v>4044</v>
      </c>
      <c r="F121" s="257"/>
      <c r="G121" s="257"/>
      <c r="H121" s="258"/>
      <c r="I121" s="256" t="s">
        <v>4044</v>
      </c>
      <c r="J121" s="259"/>
      <c r="K121" s="259"/>
      <c r="L121" s="260"/>
      <c r="M121" s="261"/>
      <c r="N121" s="262"/>
      <c r="O121" s="262"/>
      <c r="P121" s="263"/>
      <c r="Q121" s="214"/>
      <c r="R121" s="214"/>
      <c r="S121" s="214"/>
      <c r="T121" s="214"/>
      <c r="U121" s="255"/>
      <c r="V121" s="255"/>
      <c r="W121" s="255"/>
      <c r="X121" s="255"/>
      <c r="Y121" s="256" t="s">
        <v>4044</v>
      </c>
      <c r="Z121" s="259"/>
      <c r="AA121" s="259"/>
      <c r="AB121" s="260"/>
      <c r="AC121" s="256" t="s">
        <v>4045</v>
      </c>
      <c r="AD121" s="259"/>
      <c r="AE121" s="259"/>
      <c r="AF121" s="260"/>
      <c r="AG121" s="256" t="s">
        <v>4046</v>
      </c>
      <c r="AH121" s="259"/>
      <c r="AI121" s="259"/>
      <c r="AJ121" s="260"/>
      <c r="AK121" s="255"/>
      <c r="AL121" s="255"/>
      <c r="AM121" s="255"/>
      <c r="AN121" s="255"/>
      <c r="AO121" s="255"/>
      <c r="AP121" s="255"/>
      <c r="AQ121" s="255"/>
      <c r="AR121" s="255"/>
      <c r="AS121" s="255"/>
      <c r="AT121" s="255"/>
      <c r="AU121" s="255"/>
      <c r="AV121" s="255"/>
      <c r="AW121" s="255"/>
      <c r="AX121" s="255"/>
      <c r="AY121" s="255"/>
      <c r="AZ121" s="255"/>
    </row>
  </sheetData>
  <mergeCells count="11">
    <mergeCell ref="L50:L54"/>
    <mergeCell ref="L70:L74"/>
    <mergeCell ref="B62:D63"/>
    <mergeCell ref="F70:F74"/>
    <mergeCell ref="J70:J74"/>
    <mergeCell ref="B22:D23"/>
    <mergeCell ref="F30:F34"/>
    <mergeCell ref="J30:J34"/>
    <mergeCell ref="B42:D43"/>
    <mergeCell ref="F50:F54"/>
    <mergeCell ref="J50:J54"/>
  </mergeCells>
  <hyperlinks>
    <hyperlink ref="G2" r:id="rId1" location="!documentDetail;D=EERE-2008-BT-STD-0012-0128"/>
  </hyperlinks>
  <pageMargins left="0.7" right="0.7" top="0.75" bottom="0.75" header="0.3" footer="0.3"/>
  <drawing r:id="rId2"/>
</worksheet>
</file>

<file path=xl/worksheets/sheet14.xml><?xml version="1.0" encoding="utf-8"?>
<worksheet xmlns="http://schemas.openxmlformats.org/spreadsheetml/2006/main" xmlns:r="http://schemas.openxmlformats.org/officeDocument/2006/relationships">
  <sheetPr codeName="Sheet19">
    <tabColor theme="7" tint="0.79998168889431442"/>
  </sheetPr>
  <dimension ref="A3:W214"/>
  <sheetViews>
    <sheetView topLeftCell="A2" workbookViewId="0">
      <selection activeCell="A3" sqref="A3:XFD4"/>
    </sheetView>
  </sheetViews>
  <sheetFormatPr defaultRowHeight="12.75"/>
  <cols>
    <col min="1" max="1" width="9.140625" style="9"/>
    <col min="2" max="2" width="41.7109375" style="9" customWidth="1"/>
    <col min="3" max="3" width="10.28515625" style="9" bestFit="1" customWidth="1"/>
    <col min="4" max="8" width="9.140625" style="9"/>
    <col min="9" max="9" width="18.42578125" style="9" customWidth="1"/>
    <col min="10" max="16384" width="9.140625" style="9"/>
  </cols>
  <sheetData>
    <row r="3" spans="1:21">
      <c r="B3" s="52" t="s">
        <v>183</v>
      </c>
      <c r="C3" s="391" t="s">
        <v>4567</v>
      </c>
      <c r="D3" s="391" t="s">
        <v>4568</v>
      </c>
      <c r="E3" s="391" t="s">
        <v>4569</v>
      </c>
      <c r="F3" s="392" t="s">
        <v>308</v>
      </c>
      <c r="G3" s="392" t="s">
        <v>297</v>
      </c>
    </row>
    <row r="4" spans="1:21">
      <c r="B4" s="52" t="s">
        <v>3962</v>
      </c>
      <c r="C4" s="38">
        <f>E183</f>
        <v>18.5</v>
      </c>
      <c r="D4" s="38">
        <f>I183</f>
        <v>17</v>
      </c>
      <c r="E4" s="38">
        <f>M183</f>
        <v>18.5</v>
      </c>
      <c r="F4" s="38">
        <f>Q183</f>
        <v>18.5</v>
      </c>
      <c r="G4" s="38">
        <f>U183</f>
        <v>18.5</v>
      </c>
      <c r="H4" s="38"/>
      <c r="I4" s="38"/>
      <c r="J4" s="38"/>
      <c r="L4" s="38"/>
      <c r="M4" s="38"/>
      <c r="N4" s="38"/>
      <c r="P4" s="38"/>
      <c r="Q4" s="38"/>
      <c r="R4" s="38"/>
      <c r="T4" s="38"/>
      <c r="U4" s="38"/>
    </row>
    <row r="5" spans="1:21">
      <c r="B5" s="52" t="s">
        <v>3963</v>
      </c>
      <c r="C5" s="38">
        <f>1.76*C4</f>
        <v>32.56</v>
      </c>
      <c r="D5" s="38">
        <f t="shared" ref="D5:G5" si="0">1.76*D4</f>
        <v>29.92</v>
      </c>
      <c r="E5" s="38">
        <f t="shared" si="0"/>
        <v>32.56</v>
      </c>
      <c r="F5" s="38">
        <f t="shared" si="0"/>
        <v>32.56</v>
      </c>
      <c r="G5" s="38">
        <f t="shared" si="0"/>
        <v>32.56</v>
      </c>
    </row>
    <row r="6" spans="1:21">
      <c r="B6" s="52" t="s">
        <v>3964</v>
      </c>
      <c r="C6" s="196">
        <f>VLOOKUP(C$3,'Federal Standards'!$N$9:$P$50,2,FALSE)</f>
        <v>5.57</v>
      </c>
      <c r="D6" s="196">
        <f>VLOOKUP(D$3,'Federal Standards'!$N$9:$P$50,2,FALSE)</f>
        <v>8.6199999999999992</v>
      </c>
      <c r="E6" s="196">
        <f>VLOOKUP(E$3,'Federal Standards'!$N$9:$P$50,2,FALSE)</f>
        <v>7.29</v>
      </c>
      <c r="F6" s="196">
        <f>VLOOKUP(F$3,'Federal Standards'!$N$9:$P$50,2,FALSE)</f>
        <v>10.24</v>
      </c>
      <c r="G6" s="196">
        <f>VLOOKUP(G$3,'Federal Standards'!$N$9:$P$50,2,FALSE)</f>
        <v>9.86</v>
      </c>
    </row>
    <row r="7" spans="1:21">
      <c r="B7" s="52" t="s">
        <v>3965</v>
      </c>
      <c r="C7" s="196">
        <f>VLOOKUP(C$3,'Federal Standards'!$N$9:$P$50,3,FALSE)</f>
        <v>193.7</v>
      </c>
      <c r="D7" s="196">
        <f>VLOOKUP(D$3,'Federal Standards'!$N$9:$P$50,3,FALSE)</f>
        <v>228.3</v>
      </c>
      <c r="E7" s="196">
        <f>VLOOKUP(E$3,'Federal Standards'!$N$9:$P$50,3,FALSE)</f>
        <v>107.8</v>
      </c>
      <c r="F7" s="196">
        <f>VLOOKUP(F$3,'Federal Standards'!$N$9:$P$50,3,FALSE)</f>
        <v>148.1</v>
      </c>
      <c r="G7" s="196">
        <f>VLOOKUP(G$3,'Federal Standards'!$N$9:$P$50,3,FALSE)</f>
        <v>260.89999999999998</v>
      </c>
    </row>
    <row r="8" spans="1:21">
      <c r="B8" s="52" t="s">
        <v>4605</v>
      </c>
      <c r="C8" s="44">
        <f>C5*C6+C7</f>
        <v>375.05920000000003</v>
      </c>
      <c r="D8" s="44">
        <f t="shared" ref="D8:G8" si="1">D5*D6+D7</f>
        <v>486.21039999999999</v>
      </c>
      <c r="E8" s="44">
        <f t="shared" si="1"/>
        <v>345.16239999999999</v>
      </c>
      <c r="F8" s="44">
        <f t="shared" si="1"/>
        <v>481.51440000000002</v>
      </c>
      <c r="G8" s="44">
        <f t="shared" si="1"/>
        <v>581.94159999999999</v>
      </c>
    </row>
    <row r="10" spans="1:21">
      <c r="A10" s="183" t="s">
        <v>4606</v>
      </c>
      <c r="B10" s="187"/>
      <c r="C10" s="187"/>
      <c r="D10" s="187"/>
      <c r="E10" s="187"/>
      <c r="F10" s="187"/>
      <c r="G10" s="187"/>
      <c r="H10" s="187"/>
      <c r="I10" s="187"/>
      <c r="J10" s="187"/>
      <c r="K10" s="187"/>
    </row>
    <row r="12" spans="1:21" ht="76.5" customHeight="1">
      <c r="E12" s="197" t="s">
        <v>3968</v>
      </c>
      <c r="F12" s="197" t="s">
        <v>3969</v>
      </c>
      <c r="G12" s="197" t="s">
        <v>3970</v>
      </c>
      <c r="H12" s="197" t="s">
        <v>3971</v>
      </c>
      <c r="I12" s="197" t="s">
        <v>3972</v>
      </c>
      <c r="M12" s="393" t="str">
        <f>G12</f>
        <v>installed price</v>
      </c>
      <c r="N12" s="393" t="s">
        <v>4607</v>
      </c>
    </row>
    <row r="13" spans="1:21" ht="13.5" customHeight="1">
      <c r="B13" s="198" t="s">
        <v>3976</v>
      </c>
      <c r="C13" s="198"/>
      <c r="D13" s="198"/>
      <c r="E13" s="199"/>
      <c r="F13" s="199"/>
      <c r="G13" s="199"/>
      <c r="H13" s="199"/>
      <c r="I13" s="199"/>
      <c r="J13" s="199"/>
      <c r="K13" s="199"/>
      <c r="M13" s="393"/>
      <c r="N13" s="393"/>
    </row>
    <row r="14" spans="1:21">
      <c r="B14" s="200"/>
      <c r="E14" s="201">
        <f>AVERAGE(E187,E205)</f>
        <v>400.53570754056233</v>
      </c>
      <c r="F14" s="201">
        <f t="shared" ref="F14:G14" si="2">AVERAGE(F187,F205)</f>
        <v>2.8337420882173832</v>
      </c>
      <c r="G14" s="201">
        <f t="shared" si="2"/>
        <v>386.27935000000002</v>
      </c>
      <c r="H14" s="196">
        <f>LN(E14)</f>
        <v>5.9928029199387787</v>
      </c>
      <c r="I14" s="184">
        <f t="shared" ref="I14:I21" si="3">E14/N14</f>
        <v>1.067926630090829</v>
      </c>
      <c r="M14" s="393">
        <f t="shared" ref="M14:M21" si="4">G14</f>
        <v>386.27935000000002</v>
      </c>
      <c r="N14" s="394">
        <f>C8</f>
        <v>375.05920000000003</v>
      </c>
    </row>
    <row r="15" spans="1:21">
      <c r="B15" s="546" t="s">
        <v>3993</v>
      </c>
      <c r="C15" s="546"/>
      <c r="D15" s="546"/>
      <c r="E15" s="201">
        <f t="shared" ref="E15:G21" si="5">AVERAGE(E188,E206)</f>
        <v>360.48244186847131</v>
      </c>
      <c r="F15" s="201">
        <f t="shared" si="5"/>
        <v>2.8881726912711332</v>
      </c>
      <c r="G15" s="201">
        <f t="shared" si="5"/>
        <v>396.48419999999999</v>
      </c>
      <c r="H15" s="196">
        <f t="shared" ref="H15:H21" si="6">LN(E15)</f>
        <v>5.8874432505970526</v>
      </c>
      <c r="I15" s="184">
        <f t="shared" si="3"/>
        <v>0.96113478050524104</v>
      </c>
      <c r="M15" s="393">
        <f t="shared" si="4"/>
        <v>396.48419999999999</v>
      </c>
      <c r="N15" s="395">
        <f>N14</f>
        <v>375.05920000000003</v>
      </c>
    </row>
    <row r="16" spans="1:21">
      <c r="B16" s="546"/>
      <c r="C16" s="546"/>
      <c r="D16" s="546"/>
      <c r="E16" s="201">
        <f t="shared" si="5"/>
        <v>340.4558090324258</v>
      </c>
      <c r="F16" s="201">
        <f t="shared" si="5"/>
        <v>2.9261766033711329</v>
      </c>
      <c r="G16" s="201">
        <f t="shared" si="5"/>
        <v>406.7337</v>
      </c>
      <c r="H16" s="196">
        <f t="shared" si="6"/>
        <v>5.8302853345897692</v>
      </c>
      <c r="I16" s="184">
        <f t="shared" si="3"/>
        <v>0.90773885571244695</v>
      </c>
      <c r="M16" s="393">
        <f t="shared" si="4"/>
        <v>406.7337</v>
      </c>
      <c r="N16" s="395">
        <f t="shared" ref="N16:N21" si="7">N15</f>
        <v>375.05920000000003</v>
      </c>
    </row>
    <row r="17" spans="1:16">
      <c r="B17" s="204" t="s">
        <v>3978</v>
      </c>
      <c r="C17" s="205">
        <f>SLOPE(G16:G21,H16:H21)</f>
        <v>-677.70412059525643</v>
      </c>
      <c r="E17" s="201">
        <f t="shared" si="5"/>
        <v>320.42917619638035</v>
      </c>
      <c r="F17" s="201">
        <f t="shared" si="5"/>
        <v>2.951116670686758</v>
      </c>
      <c r="G17" s="201">
        <f t="shared" si="5"/>
        <v>431.49755000000005</v>
      </c>
      <c r="H17" s="196">
        <f t="shared" si="6"/>
        <v>5.7696612728347869</v>
      </c>
      <c r="I17" s="184">
        <f t="shared" si="3"/>
        <v>0.85434293091965297</v>
      </c>
      <c r="M17" s="393">
        <f t="shared" si="4"/>
        <v>431.49755000000005</v>
      </c>
      <c r="N17" s="395">
        <f t="shared" si="7"/>
        <v>375.05920000000003</v>
      </c>
    </row>
    <row r="18" spans="1:16">
      <c r="B18" s="204" t="s">
        <v>3979</v>
      </c>
      <c r="C18" s="205">
        <f>INTERCEPT(G16:G21,H16:H21)</f>
        <v>4341.1348187047497</v>
      </c>
      <c r="E18" s="201">
        <f t="shared" si="5"/>
        <v>300.4025433603349</v>
      </c>
      <c r="F18" s="201">
        <f t="shared" si="5"/>
        <v>2.951116670686758</v>
      </c>
      <c r="G18" s="201">
        <f t="shared" si="5"/>
        <v>466.41385000000002</v>
      </c>
      <c r="H18" s="196">
        <f t="shared" si="6"/>
        <v>5.705123386433149</v>
      </c>
      <c r="I18" s="184">
        <f t="shared" si="3"/>
        <v>0.8009470061268591</v>
      </c>
      <c r="M18" s="393">
        <f t="shared" si="4"/>
        <v>466.41385000000002</v>
      </c>
      <c r="N18" s="395">
        <f t="shared" si="7"/>
        <v>375.05920000000003</v>
      </c>
    </row>
    <row r="19" spans="1:16">
      <c r="B19" s="200"/>
      <c r="E19" s="201">
        <f t="shared" si="5"/>
        <v>280.37591052428934</v>
      </c>
      <c r="F19" s="201">
        <f t="shared" si="5"/>
        <v>2.951116670686758</v>
      </c>
      <c r="G19" s="201">
        <f t="shared" si="5"/>
        <v>499.02784999999994</v>
      </c>
      <c r="H19" s="196">
        <f t="shared" si="6"/>
        <v>5.6361312403581998</v>
      </c>
      <c r="I19" s="184">
        <f t="shared" si="3"/>
        <v>0.74755108133406489</v>
      </c>
      <c r="M19" s="393">
        <f t="shared" si="4"/>
        <v>499.02784999999994</v>
      </c>
      <c r="N19" s="395">
        <f t="shared" si="7"/>
        <v>375.05920000000003</v>
      </c>
    </row>
    <row r="20" spans="1:16">
      <c r="B20" s="200"/>
      <c r="E20" s="201">
        <f t="shared" si="5"/>
        <v>260.34927768824389</v>
      </c>
      <c r="F20" s="201">
        <f t="shared" si="5"/>
        <v>3.5365519350430081</v>
      </c>
      <c r="G20" s="201">
        <f t="shared" si="5"/>
        <v>565.99120000000005</v>
      </c>
      <c r="H20" s="196">
        <f t="shared" si="6"/>
        <v>5.5620241052176729</v>
      </c>
      <c r="I20" s="184">
        <f t="shared" si="3"/>
        <v>0.69415515654127102</v>
      </c>
      <c r="K20" s="184"/>
      <c r="M20" s="393">
        <f t="shared" si="4"/>
        <v>565.99120000000005</v>
      </c>
      <c r="N20" s="395">
        <f t="shared" si="7"/>
        <v>375.05920000000003</v>
      </c>
    </row>
    <row r="21" spans="1:16">
      <c r="B21" s="200"/>
      <c r="E21" s="201">
        <f t="shared" si="5"/>
        <v>237.71890671901232</v>
      </c>
      <c r="F21" s="201">
        <f t="shared" si="5"/>
        <v>3.5365519350430081</v>
      </c>
      <c r="G21" s="201">
        <f t="shared" si="5"/>
        <v>652.61200000000008</v>
      </c>
      <c r="H21" s="196">
        <f t="shared" si="6"/>
        <v>5.4710889114596677</v>
      </c>
      <c r="I21" s="184">
        <f t="shared" si="3"/>
        <v>0.63381702600286116</v>
      </c>
      <c r="K21" s="184"/>
      <c r="M21" s="393">
        <f t="shared" si="4"/>
        <v>652.61200000000008</v>
      </c>
      <c r="N21" s="395">
        <f t="shared" si="7"/>
        <v>375.05920000000003</v>
      </c>
    </row>
    <row r="22" spans="1:16">
      <c r="B22" s="200"/>
      <c r="E22" s="201"/>
      <c r="F22" s="201"/>
      <c r="G22" s="201"/>
      <c r="H22" s="196"/>
      <c r="I22" s="184"/>
      <c r="J22" s="184"/>
      <c r="K22" s="184"/>
    </row>
    <row r="23" spans="1:16">
      <c r="B23" s="198" t="s">
        <v>3980</v>
      </c>
      <c r="C23" s="198"/>
      <c r="D23" s="198"/>
      <c r="E23" s="199"/>
      <c r="F23" s="199"/>
      <c r="G23" s="199"/>
      <c r="H23" s="199"/>
      <c r="I23" s="199"/>
      <c r="J23" s="199"/>
      <c r="K23" s="199"/>
    </row>
    <row r="24" spans="1:16" ht="56.25" customHeight="1">
      <c r="C24" s="197" t="s">
        <v>3981</v>
      </c>
      <c r="D24" s="197" t="s">
        <v>3982</v>
      </c>
      <c r="E24" s="197" t="str">
        <f>E12</f>
        <v>UEC</v>
      </c>
      <c r="F24" s="197" t="str">
        <f t="shared" ref="F24:I24" si="8">F12</f>
        <v>repair cost</v>
      </c>
      <c r="G24" s="197" t="str">
        <f t="shared" si="8"/>
        <v>installed price</v>
      </c>
      <c r="H24" s="197" t="str">
        <f t="shared" si="8"/>
        <v>ln(UEC)</v>
      </c>
      <c r="I24" s="197" t="str">
        <f t="shared" si="8"/>
        <v>UEC as a percent of federal standard</v>
      </c>
      <c r="J24" s="197" t="s">
        <v>3983</v>
      </c>
      <c r="K24" s="197" t="s">
        <v>3984</v>
      </c>
      <c r="M24" s="396" t="s">
        <v>4608</v>
      </c>
      <c r="N24" s="396" t="s">
        <v>4609</v>
      </c>
      <c r="O24" s="396" t="s">
        <v>4610</v>
      </c>
      <c r="P24" s="396" t="s">
        <v>3983</v>
      </c>
    </row>
    <row r="25" spans="1:16" ht="25.5" customHeight="1">
      <c r="B25" s="206" t="s">
        <v>3985</v>
      </c>
      <c r="C25" s="207">
        <f>'CEC analysis'!K28</f>
        <v>3.9247671105197375E-3</v>
      </c>
      <c r="D25" s="9">
        <f>'CEC analysis'!D28</f>
        <v>6</v>
      </c>
      <c r="E25" s="44">
        <f>IF(D25=0,"N/A",I25*M25)</f>
        <v>373.58717998734221</v>
      </c>
      <c r="F25" s="547" t="s">
        <v>3986</v>
      </c>
      <c r="G25" s="203">
        <f>IF(D25=0,"N/A",H25*N25+O25)</f>
        <v>326.99071414374748</v>
      </c>
      <c r="H25" s="196">
        <f>IF(D25=0,"N/A",LN(E25))</f>
        <v>5.92315139095688</v>
      </c>
      <c r="I25" s="207">
        <f>IF(D25=0,"N/A",1-C25)</f>
        <v>0.9960752328894803</v>
      </c>
      <c r="J25" s="548">
        <f>SUMPRODUCT(G25:G29,D25:D29)/SUM(D25:D29)</f>
        <v>357.2947157345493</v>
      </c>
      <c r="K25" s="202">
        <f>IF(D25=0,"N/A",G25-P25)</f>
        <v>-30.304001590801818</v>
      </c>
      <c r="M25" s="397">
        <f>N14</f>
        <v>375.05920000000003</v>
      </c>
      <c r="N25" s="398">
        <f>C17</f>
        <v>-677.70412059525643</v>
      </c>
      <c r="O25" s="398">
        <f>C18</f>
        <v>4341.1348187047497</v>
      </c>
      <c r="P25" s="399">
        <f>J25</f>
        <v>357.2947157345493</v>
      </c>
    </row>
    <row r="26" spans="1:16">
      <c r="B26" s="206" t="s">
        <v>3987</v>
      </c>
      <c r="C26" s="207">
        <f>'CEC analysis'!L28</f>
        <v>0.10927691664358542</v>
      </c>
      <c r="D26" s="9">
        <f>'CEC analysis'!E28</f>
        <v>2</v>
      </c>
      <c r="E26" s="44">
        <f>IF(D26=0,"N/A",I26*M26)</f>
        <v>334.07388706519021</v>
      </c>
      <c r="F26" s="547"/>
      <c r="G26" s="203">
        <f>IF(D26=0,"N/A",H26*N26+O26)</f>
        <v>402.75071812075203</v>
      </c>
      <c r="H26" s="196">
        <f t="shared" ref="H26:H29" si="9">IF(D26=0,"N/A",LN(E26))</f>
        <v>5.8113621872694932</v>
      </c>
      <c r="I26" s="207">
        <f t="shared" ref="I26:I29" si="10">IF(D26=0,"N/A",1-C26)</f>
        <v>0.89072308335641459</v>
      </c>
      <c r="J26" s="548"/>
      <c r="K26" s="202">
        <f>IF(D26=0,"N/A",G26-P26)</f>
        <v>45.456002386202726</v>
      </c>
      <c r="M26" s="395">
        <f>M25</f>
        <v>375.05920000000003</v>
      </c>
      <c r="N26" s="395">
        <f t="shared" ref="N26:P29" si="11">N25</f>
        <v>-677.70412059525643</v>
      </c>
      <c r="O26" s="395">
        <f t="shared" si="11"/>
        <v>4341.1348187047497</v>
      </c>
      <c r="P26" s="399">
        <f>P25</f>
        <v>357.2947157345493</v>
      </c>
    </row>
    <row r="27" spans="1:16">
      <c r="B27" s="206" t="s">
        <v>3988</v>
      </c>
      <c r="C27" s="207" t="str">
        <f>'CEC analysis'!M28</f>
        <v/>
      </c>
      <c r="D27" s="9">
        <f>'CEC analysis'!F28</f>
        <v>0</v>
      </c>
      <c r="E27" s="44" t="str">
        <f>IF(D27=0,"N/A",I27*M27)</f>
        <v>N/A</v>
      </c>
      <c r="F27" s="547"/>
      <c r="G27" s="203" t="str">
        <f>IF(D27=0,"N/A",H27*N27+O27)</f>
        <v>N/A</v>
      </c>
      <c r="H27" s="196" t="str">
        <f t="shared" si="9"/>
        <v>N/A</v>
      </c>
      <c r="I27" s="207" t="str">
        <f t="shared" si="10"/>
        <v>N/A</v>
      </c>
      <c r="J27" s="548"/>
      <c r="K27" s="202" t="str">
        <f>IF(D27=0,"N/A",G27-P27)</f>
        <v>N/A</v>
      </c>
      <c r="M27" s="395">
        <f t="shared" ref="M27:M29" si="12">M26</f>
        <v>375.05920000000003</v>
      </c>
      <c r="N27" s="395">
        <f t="shared" si="11"/>
        <v>-677.70412059525643</v>
      </c>
      <c r="O27" s="395">
        <f t="shared" si="11"/>
        <v>4341.1348187047497</v>
      </c>
      <c r="P27" s="399">
        <f t="shared" si="11"/>
        <v>357.2947157345493</v>
      </c>
    </row>
    <row r="28" spans="1:16">
      <c r="B28" s="206" t="s">
        <v>3989</v>
      </c>
      <c r="C28" s="207" t="str">
        <f>'CEC analysis'!N28</f>
        <v/>
      </c>
      <c r="D28" s="9">
        <f>'CEC analysis'!G28</f>
        <v>0</v>
      </c>
      <c r="E28" s="44" t="str">
        <f>IF(D28=0,"N/A",I28*M28)</f>
        <v>N/A</v>
      </c>
      <c r="F28" s="547"/>
      <c r="G28" s="203" t="str">
        <f>IF(D28=0,"N/A",H28*N28+O28)</f>
        <v>N/A</v>
      </c>
      <c r="H28" s="196" t="str">
        <f t="shared" si="9"/>
        <v>N/A</v>
      </c>
      <c r="I28" s="207" t="str">
        <f t="shared" si="10"/>
        <v>N/A</v>
      </c>
      <c r="J28" s="548"/>
      <c r="K28" s="202" t="str">
        <f>IF(D28=0,"N/A",G28-P28)</f>
        <v>N/A</v>
      </c>
      <c r="M28" s="395">
        <f t="shared" si="12"/>
        <v>375.05920000000003</v>
      </c>
      <c r="N28" s="395">
        <f t="shared" si="11"/>
        <v>-677.70412059525643</v>
      </c>
      <c r="O28" s="395">
        <f t="shared" si="11"/>
        <v>4341.1348187047497</v>
      </c>
      <c r="P28" s="399">
        <f t="shared" si="11"/>
        <v>357.2947157345493</v>
      </c>
    </row>
    <row r="29" spans="1:16">
      <c r="B29" s="206" t="s">
        <v>3990</v>
      </c>
      <c r="C29" s="207">
        <f>'CEC analysis'!O28</f>
        <v>0.10927691664358542</v>
      </c>
      <c r="D29" s="9">
        <f>'CEC analysis'!H28</f>
        <v>2</v>
      </c>
      <c r="E29" s="44">
        <f>IF(D29=0,"N/A",I29*M29)</f>
        <v>334.07388706519021</v>
      </c>
      <c r="F29" s="547"/>
      <c r="G29" s="203">
        <f>IF(D29=0,"N/A",H29*N29+O29)</f>
        <v>402.75071812075203</v>
      </c>
      <c r="H29" s="196">
        <f t="shared" si="9"/>
        <v>5.8113621872694932</v>
      </c>
      <c r="I29" s="207">
        <f t="shared" si="10"/>
        <v>0.89072308335641459</v>
      </c>
      <c r="J29" s="548"/>
      <c r="K29" s="202">
        <f>IF(D29=0,"N/A",G29-P29)</f>
        <v>45.456002386202726</v>
      </c>
      <c r="M29" s="395">
        <f t="shared" si="12"/>
        <v>375.05920000000003</v>
      </c>
      <c r="N29" s="395">
        <f t="shared" si="11"/>
        <v>-677.70412059525643</v>
      </c>
      <c r="O29" s="395">
        <f t="shared" si="11"/>
        <v>4341.1348187047497</v>
      </c>
      <c r="P29" s="399">
        <f t="shared" si="11"/>
        <v>357.2947157345493</v>
      </c>
    </row>
    <row r="30" spans="1:16">
      <c r="B30" s="209" t="s">
        <v>3991</v>
      </c>
      <c r="E30" s="44"/>
      <c r="G30" s="200"/>
      <c r="H30" s="196"/>
      <c r="I30" s="207"/>
      <c r="J30" s="207"/>
    </row>
    <row r="32" spans="1:16">
      <c r="A32" s="183" t="s">
        <v>4611</v>
      </c>
      <c r="B32" s="187"/>
      <c r="C32" s="187"/>
      <c r="D32" s="187"/>
      <c r="E32" s="187"/>
      <c r="F32" s="187"/>
      <c r="G32" s="187"/>
      <c r="H32" s="187"/>
      <c r="I32" s="187"/>
      <c r="J32" s="187"/>
      <c r="K32" s="187"/>
    </row>
    <row r="34" spans="2:16" ht="76.5" customHeight="1">
      <c r="E34" s="197" t="s">
        <v>3968</v>
      </c>
      <c r="F34" s="197" t="s">
        <v>3969</v>
      </c>
      <c r="G34" s="197" t="s">
        <v>3970</v>
      </c>
      <c r="H34" s="197" t="s">
        <v>3971</v>
      </c>
      <c r="I34" s="197" t="s">
        <v>3972</v>
      </c>
      <c r="M34" s="393" t="str">
        <f>G34</f>
        <v>installed price</v>
      </c>
      <c r="N34" s="393" t="s">
        <v>4607</v>
      </c>
    </row>
    <row r="35" spans="2:16" ht="13.5" customHeight="1">
      <c r="B35" s="198" t="s">
        <v>3976</v>
      </c>
      <c r="C35" s="198"/>
      <c r="D35" s="198"/>
      <c r="E35" s="199"/>
      <c r="F35" s="199"/>
      <c r="G35" s="199"/>
      <c r="H35" s="199"/>
      <c r="I35" s="199"/>
      <c r="J35" s="199"/>
      <c r="K35" s="199"/>
      <c r="M35" s="393"/>
      <c r="N35" s="393"/>
    </row>
    <row r="36" spans="2:16">
      <c r="B36" s="200"/>
      <c r="E36" s="201">
        <f>AVERAGE(I187,I205)</f>
        <v>684.86497274686064</v>
      </c>
      <c r="F36" s="201">
        <f t="shared" ref="F36:G44" si="13">AVERAGE(J187,J205)</f>
        <v>4.3717928926774761</v>
      </c>
      <c r="G36" s="201">
        <f t="shared" si="13"/>
        <v>529.73484999999994</v>
      </c>
      <c r="H36" s="196">
        <f>LN(E36)</f>
        <v>6.5292216987539335</v>
      </c>
      <c r="I36" s="184">
        <f t="shared" ref="I36:I44" si="14">E36/N36</f>
        <v>1.4085773828508412</v>
      </c>
      <c r="M36" s="393">
        <f t="shared" ref="M36:M44" si="15">G36</f>
        <v>529.73484999999994</v>
      </c>
      <c r="N36" s="394">
        <f>D8</f>
        <v>486.21039999999999</v>
      </c>
    </row>
    <row r="37" spans="2:16">
      <c r="B37" s="546" t="s">
        <v>3993</v>
      </c>
      <c r="C37" s="546"/>
      <c r="D37" s="546"/>
      <c r="E37" s="201">
        <f t="shared" ref="E37:E44" si="16">AVERAGE(I188,I206)</f>
        <v>616.37847547217461</v>
      </c>
      <c r="F37" s="201">
        <f t="shared" si="13"/>
        <v>4.5340595963149761</v>
      </c>
      <c r="G37" s="201">
        <f t="shared" si="13"/>
        <v>549.0766000000001</v>
      </c>
      <c r="H37" s="196">
        <f t="shared" ref="H37:H44" si="17">LN(E37)</f>
        <v>6.4238611830961077</v>
      </c>
      <c r="I37" s="184">
        <f t="shared" si="14"/>
        <v>1.2677196445657573</v>
      </c>
      <c r="M37" s="393">
        <f t="shared" si="15"/>
        <v>549.0766000000001</v>
      </c>
      <c r="N37" s="395">
        <f>N36</f>
        <v>486.21039999999999</v>
      </c>
    </row>
    <row r="38" spans="2:16">
      <c r="B38" s="546"/>
      <c r="C38" s="546"/>
      <c r="D38" s="546"/>
      <c r="E38" s="201">
        <f t="shared" si="16"/>
        <v>582.13522683483166</v>
      </c>
      <c r="F38" s="201">
        <f t="shared" si="13"/>
        <v>4.6569472462962258</v>
      </c>
      <c r="G38" s="201">
        <f t="shared" si="13"/>
        <v>568.23514999999998</v>
      </c>
      <c r="H38" s="196">
        <f t="shared" si="17"/>
        <v>6.3667027692561593</v>
      </c>
      <c r="I38" s="184">
        <f t="shared" si="14"/>
        <v>1.1972907754232152</v>
      </c>
      <c r="M38" s="393">
        <f t="shared" si="15"/>
        <v>568.23514999999998</v>
      </c>
      <c r="N38" s="395">
        <f t="shared" ref="N38:N44" si="18">N37</f>
        <v>486.21039999999999</v>
      </c>
    </row>
    <row r="39" spans="2:16">
      <c r="B39" s="204" t="s">
        <v>3978</v>
      </c>
      <c r="C39" s="205">
        <f>SLOPE(G38:G44,H38:H44)</f>
        <v>-880.53735355436174</v>
      </c>
      <c r="E39" s="201">
        <f t="shared" si="16"/>
        <v>547.89197819748858</v>
      </c>
      <c r="F39" s="201">
        <f t="shared" si="13"/>
        <v>4.7395620006096637</v>
      </c>
      <c r="G39" s="201">
        <f t="shared" si="13"/>
        <v>589.89085</v>
      </c>
      <c r="H39" s="196">
        <f t="shared" si="17"/>
        <v>6.3060781474397238</v>
      </c>
      <c r="I39" s="184">
        <f t="shared" si="14"/>
        <v>1.1268619062806731</v>
      </c>
      <c r="M39" s="393">
        <f t="shared" si="15"/>
        <v>589.89085</v>
      </c>
      <c r="N39" s="395">
        <f t="shared" si="18"/>
        <v>486.21039999999999</v>
      </c>
    </row>
    <row r="40" spans="2:16">
      <c r="B40" s="204" t="s">
        <v>3979</v>
      </c>
      <c r="C40" s="205">
        <f>INTERCEPT(G38:G44,H38:H44)</f>
        <v>6131.2328064957937</v>
      </c>
      <c r="E40" s="201">
        <f t="shared" si="16"/>
        <v>513.64872956014551</v>
      </c>
      <c r="F40" s="201">
        <f t="shared" si="13"/>
        <v>4.7395620006096637</v>
      </c>
      <c r="G40" s="201">
        <f t="shared" si="13"/>
        <v>616.09969999999998</v>
      </c>
      <c r="H40" s="196">
        <f t="shared" si="17"/>
        <v>6.2415396263021528</v>
      </c>
      <c r="I40" s="184">
        <f t="shared" si="14"/>
        <v>1.056433037138131</v>
      </c>
      <c r="M40" s="393">
        <f t="shared" si="15"/>
        <v>616.09969999999998</v>
      </c>
      <c r="N40" s="395">
        <f t="shared" si="18"/>
        <v>486.21039999999999</v>
      </c>
    </row>
    <row r="41" spans="2:16">
      <c r="B41" s="200"/>
      <c r="E41" s="201">
        <f t="shared" si="16"/>
        <v>479.40548092280244</v>
      </c>
      <c r="F41" s="201">
        <f t="shared" si="13"/>
        <v>4.7395620006096637</v>
      </c>
      <c r="G41" s="201">
        <f t="shared" si="13"/>
        <v>651.85509999999999</v>
      </c>
      <c r="H41" s="196">
        <f t="shared" si="17"/>
        <v>6.1725467548152011</v>
      </c>
      <c r="I41" s="184">
        <f t="shared" si="14"/>
        <v>0.98600416799558888</v>
      </c>
      <c r="M41" s="393">
        <f t="shared" si="15"/>
        <v>651.85509999999999</v>
      </c>
      <c r="N41" s="395">
        <f t="shared" si="18"/>
        <v>486.21039999999999</v>
      </c>
    </row>
    <row r="42" spans="2:16">
      <c r="B42" s="200"/>
      <c r="E42" s="201">
        <f t="shared" si="16"/>
        <v>445.16223228545937</v>
      </c>
      <c r="F42" s="201">
        <f t="shared" si="13"/>
        <v>5.1664184409565381</v>
      </c>
      <c r="G42" s="201">
        <f t="shared" si="13"/>
        <v>714.54915000000005</v>
      </c>
      <c r="H42" s="196">
        <f t="shared" si="17"/>
        <v>6.0984387826614794</v>
      </c>
      <c r="I42" s="184">
        <f t="shared" si="14"/>
        <v>0.91557529885304667</v>
      </c>
      <c r="K42" s="184"/>
      <c r="M42" s="393">
        <f t="shared" si="15"/>
        <v>714.54915000000005</v>
      </c>
      <c r="N42" s="395">
        <f t="shared" si="18"/>
        <v>486.21039999999999</v>
      </c>
    </row>
    <row r="43" spans="2:16">
      <c r="B43" s="200"/>
      <c r="E43" s="201">
        <f t="shared" si="16"/>
        <v>410.91898364811641</v>
      </c>
      <c r="F43" s="201">
        <f t="shared" si="13"/>
        <v>5.6539686290815379</v>
      </c>
      <c r="G43" s="201">
        <f t="shared" si="13"/>
        <v>841.16200000000003</v>
      </c>
      <c r="H43" s="196">
        <f t="shared" si="17"/>
        <v>6.018396074987943</v>
      </c>
      <c r="I43" s="184">
        <f t="shared" si="14"/>
        <v>0.8451464297105048</v>
      </c>
      <c r="K43" s="184"/>
      <c r="M43" s="393">
        <f t="shared" si="15"/>
        <v>841.16200000000003</v>
      </c>
      <c r="N43" s="395">
        <f t="shared" si="18"/>
        <v>486.21039999999999</v>
      </c>
    </row>
    <row r="44" spans="2:16">
      <c r="B44" s="200"/>
      <c r="E44" s="201">
        <f t="shared" si="16"/>
        <v>381.46978982000144</v>
      </c>
      <c r="F44" s="201">
        <f t="shared" si="13"/>
        <v>5.6539686290815379</v>
      </c>
      <c r="G44" s="201">
        <f t="shared" si="13"/>
        <v>943.64634999999998</v>
      </c>
      <c r="H44" s="196">
        <f t="shared" si="17"/>
        <v>5.944031659699081</v>
      </c>
      <c r="I44" s="184">
        <f t="shared" si="14"/>
        <v>0.78457760224791873</v>
      </c>
      <c r="J44" s="184"/>
      <c r="K44" s="184"/>
      <c r="M44" s="393">
        <f t="shared" si="15"/>
        <v>943.64634999999998</v>
      </c>
      <c r="N44" s="395">
        <f t="shared" si="18"/>
        <v>486.21039999999999</v>
      </c>
    </row>
    <row r="45" spans="2:16">
      <c r="B45" s="198" t="s">
        <v>3980</v>
      </c>
      <c r="C45" s="198"/>
      <c r="D45" s="198"/>
      <c r="E45" s="199"/>
      <c r="F45" s="199"/>
      <c r="G45" s="199"/>
      <c r="H45" s="199"/>
      <c r="I45" s="199"/>
      <c r="J45" s="199"/>
      <c r="K45" s="199"/>
    </row>
    <row r="46" spans="2:16" ht="56.25" customHeight="1">
      <c r="C46" s="197" t="s">
        <v>3981</v>
      </c>
      <c r="D46" s="197" t="s">
        <v>3982</v>
      </c>
      <c r="E46" s="197" t="str">
        <f>E34</f>
        <v>UEC</v>
      </c>
      <c r="F46" s="197" t="str">
        <f t="shared" ref="F46:I46" si="19">F34</f>
        <v>repair cost</v>
      </c>
      <c r="G46" s="197" t="str">
        <f t="shared" si="19"/>
        <v>installed price</v>
      </c>
      <c r="H46" s="197" t="str">
        <f t="shared" si="19"/>
        <v>ln(UEC)</v>
      </c>
      <c r="I46" s="197" t="str">
        <f t="shared" si="19"/>
        <v>UEC as a percent of federal standard</v>
      </c>
      <c r="J46" s="197" t="s">
        <v>3983</v>
      </c>
      <c r="K46" s="197" t="s">
        <v>3984</v>
      </c>
      <c r="M46" s="396" t="s">
        <v>4608</v>
      </c>
      <c r="N46" s="396" t="s">
        <v>4609</v>
      </c>
      <c r="O46" s="396" t="s">
        <v>4610</v>
      </c>
      <c r="P46" s="396" t="s">
        <v>3983</v>
      </c>
    </row>
    <row r="47" spans="2:16" ht="25.5" customHeight="1">
      <c r="B47" s="206" t="s">
        <v>3985</v>
      </c>
      <c r="C47" s="207">
        <f>'CEC analysis'!K29</f>
        <v>4.4413885725745287E-3</v>
      </c>
      <c r="D47" s="9">
        <f>'CEC analysis'!D29</f>
        <v>10</v>
      </c>
      <c r="E47" s="44">
        <f>IF(D47=0,"N/A",I47*M47)</f>
        <v>484.05095068557313</v>
      </c>
      <c r="F47" s="547" t="s">
        <v>3986</v>
      </c>
      <c r="G47" s="203">
        <f>IF(D47=0,"N/A",H47*N47+O47)</f>
        <v>687.5834339884359</v>
      </c>
      <c r="H47" s="196">
        <f>IF(D47=0,"N/A",LN(E47))</f>
        <v>6.1821901711876475</v>
      </c>
      <c r="I47" s="207">
        <f>IF(D47=0,"N/A",1-C47)</f>
        <v>0.99555861142742552</v>
      </c>
      <c r="J47" s="548">
        <f>SUMPRODUCT(G47:G51,D47:D51)/SUM(D47:D51)</f>
        <v>733.84464182543024</v>
      </c>
      <c r="K47" s="202">
        <f>IF(D47=0,"N/A",G47-P47)</f>
        <v>-46.261207836994345</v>
      </c>
      <c r="M47" s="397">
        <f>N36</f>
        <v>486.21039999999999</v>
      </c>
      <c r="N47" s="398">
        <f>C39</f>
        <v>-880.53735355436174</v>
      </c>
      <c r="O47" s="398">
        <f>C40</f>
        <v>6131.2328064957937</v>
      </c>
      <c r="P47" s="399">
        <f>J47</f>
        <v>733.84464182543024</v>
      </c>
    </row>
    <row r="48" spans="2:16">
      <c r="B48" s="206" t="s">
        <v>3987</v>
      </c>
      <c r="C48" s="207">
        <f>'CEC analysis'!L29</f>
        <v>0.10374134279103793</v>
      </c>
      <c r="D48" s="9">
        <f>'CEC analysis'!E29</f>
        <v>5</v>
      </c>
      <c r="E48" s="44">
        <f>IF(D48=0,"N/A",I48*M48)</f>
        <v>435.77028022503231</v>
      </c>
      <c r="F48" s="547"/>
      <c r="G48" s="203">
        <f>IF(D48=0,"N/A",H48*N48+O48)</f>
        <v>780.10584966242459</v>
      </c>
      <c r="H48" s="196">
        <f t="shared" ref="H48:H51" si="20">IF(D48=0,"N/A",LN(E48))</f>
        <v>6.0771152242810631</v>
      </c>
      <c r="I48" s="207">
        <f t="shared" ref="I48:I51" si="21">IF(D48=0,"N/A",1-C48)</f>
        <v>0.89625865720896203</v>
      </c>
      <c r="J48" s="548"/>
      <c r="K48" s="202">
        <f>IF(D48=0,"N/A",G48-P48)</f>
        <v>46.261207836994345</v>
      </c>
      <c r="M48" s="395">
        <f>M47</f>
        <v>486.21039999999999</v>
      </c>
      <c r="N48" s="395">
        <f t="shared" ref="N48:P51" si="22">N47</f>
        <v>-880.53735355436174</v>
      </c>
      <c r="O48" s="395">
        <f t="shared" si="22"/>
        <v>6131.2328064957937</v>
      </c>
      <c r="P48" s="399">
        <f>P47</f>
        <v>733.84464182543024</v>
      </c>
    </row>
    <row r="49" spans="1:16">
      <c r="B49" s="206" t="s">
        <v>3988</v>
      </c>
      <c r="C49" s="207" t="str">
        <f>'CEC analysis'!M29</f>
        <v/>
      </c>
      <c r="D49" s="9">
        <f>'CEC analysis'!F29</f>
        <v>0</v>
      </c>
      <c r="E49" s="44" t="str">
        <f>IF(D49=0,"N/A",I49*M49)</f>
        <v>N/A</v>
      </c>
      <c r="F49" s="547"/>
      <c r="G49" s="203" t="str">
        <f>IF(D49=0,"N/A",H49*N49+O49)</f>
        <v>N/A</v>
      </c>
      <c r="H49" s="196" t="str">
        <f t="shared" si="20"/>
        <v>N/A</v>
      </c>
      <c r="I49" s="207" t="str">
        <f t="shared" si="21"/>
        <v>N/A</v>
      </c>
      <c r="J49" s="548"/>
      <c r="K49" s="202" t="str">
        <f>IF(D49=0,"N/A",G49-P49)</f>
        <v>N/A</v>
      </c>
      <c r="M49" s="395">
        <f t="shared" ref="M49:M51" si="23">M48</f>
        <v>486.21039999999999</v>
      </c>
      <c r="N49" s="395">
        <f t="shared" si="22"/>
        <v>-880.53735355436174</v>
      </c>
      <c r="O49" s="395">
        <f t="shared" si="22"/>
        <v>6131.2328064957937</v>
      </c>
      <c r="P49" s="399">
        <f t="shared" si="22"/>
        <v>733.84464182543024</v>
      </c>
    </row>
    <row r="50" spans="1:16">
      <c r="B50" s="206" t="s">
        <v>3989</v>
      </c>
      <c r="C50" s="207" t="str">
        <f>'CEC analysis'!N29</f>
        <v/>
      </c>
      <c r="D50" s="9">
        <f>'CEC analysis'!G29</f>
        <v>0</v>
      </c>
      <c r="E50" s="44" t="str">
        <f>IF(D50=0,"N/A",I50*M50)</f>
        <v>N/A</v>
      </c>
      <c r="F50" s="547"/>
      <c r="G50" s="203" t="str">
        <f>IF(D50=0,"N/A",H50*N50+O50)</f>
        <v>N/A</v>
      </c>
      <c r="H50" s="196" t="str">
        <f t="shared" si="20"/>
        <v>N/A</v>
      </c>
      <c r="I50" s="207" t="str">
        <f t="shared" si="21"/>
        <v>N/A</v>
      </c>
      <c r="J50" s="548"/>
      <c r="K50" s="202" t="str">
        <f>IF(D50=0,"N/A",G50-P50)</f>
        <v>N/A</v>
      </c>
      <c r="M50" s="395">
        <f t="shared" si="23"/>
        <v>486.21039999999999</v>
      </c>
      <c r="N50" s="395">
        <f t="shared" si="22"/>
        <v>-880.53735355436174</v>
      </c>
      <c r="O50" s="395">
        <f t="shared" si="22"/>
        <v>6131.2328064957937</v>
      </c>
      <c r="P50" s="399">
        <f t="shared" si="22"/>
        <v>733.84464182543024</v>
      </c>
    </row>
    <row r="51" spans="1:16">
      <c r="B51" s="206" t="s">
        <v>3990</v>
      </c>
      <c r="C51" s="207">
        <f>'CEC analysis'!O29</f>
        <v>0.10374134279103793</v>
      </c>
      <c r="D51" s="9">
        <f>'CEC analysis'!H29</f>
        <v>5</v>
      </c>
      <c r="E51" s="44">
        <f>IF(D51=0,"N/A",I51*M51)</f>
        <v>435.77028022503231</v>
      </c>
      <c r="F51" s="547"/>
      <c r="G51" s="203">
        <f>IF(D51=0,"N/A",H51*N51+O51)</f>
        <v>780.10584966242459</v>
      </c>
      <c r="H51" s="196">
        <f t="shared" si="20"/>
        <v>6.0771152242810631</v>
      </c>
      <c r="I51" s="207">
        <f t="shared" si="21"/>
        <v>0.89625865720896203</v>
      </c>
      <c r="J51" s="548"/>
      <c r="K51" s="202">
        <f>IF(D51=0,"N/A",G51-P51)</f>
        <v>46.261207836994345</v>
      </c>
      <c r="M51" s="395">
        <f t="shared" si="23"/>
        <v>486.21039999999999</v>
      </c>
      <c r="N51" s="395">
        <f t="shared" si="22"/>
        <v>-880.53735355436174</v>
      </c>
      <c r="O51" s="395">
        <f t="shared" si="22"/>
        <v>6131.2328064957937</v>
      </c>
      <c r="P51" s="399">
        <f t="shared" si="22"/>
        <v>733.84464182543024</v>
      </c>
    </row>
    <row r="52" spans="1:16">
      <c r="B52" s="209" t="s">
        <v>3991</v>
      </c>
      <c r="E52" s="44"/>
      <c r="G52" s="200"/>
      <c r="H52" s="196"/>
      <c r="I52" s="207"/>
      <c r="J52" s="207"/>
    </row>
    <row r="54" spans="1:16">
      <c r="A54" s="183" t="s">
        <v>4612</v>
      </c>
      <c r="B54" s="187"/>
      <c r="C54" s="187"/>
      <c r="D54" s="187"/>
      <c r="E54" s="187"/>
      <c r="F54" s="187"/>
      <c r="G54" s="187"/>
      <c r="H54" s="187"/>
      <c r="I54" s="187"/>
      <c r="J54" s="187"/>
      <c r="K54" s="187"/>
    </row>
    <row r="56" spans="1:16" ht="76.5" customHeight="1">
      <c r="E56" s="197" t="s">
        <v>3968</v>
      </c>
      <c r="F56" s="197" t="s">
        <v>3969</v>
      </c>
      <c r="G56" s="197" t="s">
        <v>3970</v>
      </c>
      <c r="H56" s="197" t="s">
        <v>3971</v>
      </c>
      <c r="I56" s="197" t="s">
        <v>3972</v>
      </c>
      <c r="M56" s="393" t="str">
        <f>G56</f>
        <v>installed price</v>
      </c>
      <c r="N56" s="393" t="s">
        <v>4607</v>
      </c>
    </row>
    <row r="57" spans="1:16" ht="13.5" customHeight="1">
      <c r="B57" s="198" t="s">
        <v>3976</v>
      </c>
      <c r="C57" s="198"/>
      <c r="D57" s="198"/>
      <c r="E57" s="199"/>
      <c r="F57" s="199"/>
      <c r="G57" s="199"/>
      <c r="H57" s="199"/>
      <c r="I57" s="199"/>
      <c r="J57" s="199"/>
      <c r="K57" s="199"/>
      <c r="M57" s="393"/>
      <c r="N57" s="393"/>
    </row>
    <row r="58" spans="1:16">
      <c r="B58" s="200"/>
      <c r="E58" s="201">
        <f>AVERAGE(M187,M205)</f>
        <v>400.53570754056233</v>
      </c>
      <c r="F58" s="201">
        <f t="shared" ref="F58:G65" si="24">AVERAGE(N187,N205)</f>
        <v>2.8337420882173832</v>
      </c>
      <c r="G58" s="201">
        <f t="shared" si="24"/>
        <v>386.27935000000002</v>
      </c>
      <c r="H58" s="196">
        <f>LN(E58)</f>
        <v>5.9928029199387787</v>
      </c>
      <c r="I58" s="184">
        <f t="shared" ref="I58:I65" si="25">E58/N58</f>
        <v>1.1604268238387563</v>
      </c>
      <c r="M58" s="393">
        <f t="shared" ref="M58:M66" si="26">G58</f>
        <v>386.27935000000002</v>
      </c>
      <c r="N58" s="394">
        <f>E8</f>
        <v>345.16239999999999</v>
      </c>
    </row>
    <row r="59" spans="1:16">
      <c r="B59" s="546" t="s">
        <v>3993</v>
      </c>
      <c r="C59" s="546"/>
      <c r="D59" s="546"/>
      <c r="E59" s="201">
        <f t="shared" ref="E59:E65" si="27">AVERAGE(M188,M206)</f>
        <v>360.48244186847131</v>
      </c>
      <c r="F59" s="201">
        <f t="shared" si="24"/>
        <v>2.8881726912711332</v>
      </c>
      <c r="G59" s="201">
        <f t="shared" si="24"/>
        <v>396.48419999999999</v>
      </c>
      <c r="H59" s="196">
        <f t="shared" ref="H59:H65" si="28">LN(E59)</f>
        <v>5.8874432505970526</v>
      </c>
      <c r="I59" s="184">
        <f t="shared" si="25"/>
        <v>1.0443850253343683</v>
      </c>
      <c r="M59" s="393">
        <f t="shared" si="26"/>
        <v>396.48419999999999</v>
      </c>
      <c r="N59" s="395">
        <f>N58</f>
        <v>345.16239999999999</v>
      </c>
    </row>
    <row r="60" spans="1:16">
      <c r="B60" s="546"/>
      <c r="C60" s="546"/>
      <c r="D60" s="546"/>
      <c r="E60" s="201">
        <f t="shared" si="27"/>
        <v>340.4558090324258</v>
      </c>
      <c r="F60" s="201">
        <f t="shared" si="24"/>
        <v>2.9261766033711329</v>
      </c>
      <c r="G60" s="201">
        <f t="shared" si="24"/>
        <v>406.7337</v>
      </c>
      <c r="H60" s="196">
        <f t="shared" si="28"/>
        <v>5.8302853345897692</v>
      </c>
      <c r="I60" s="184">
        <f t="shared" si="25"/>
        <v>0.98636412608217416</v>
      </c>
      <c r="M60" s="393">
        <f t="shared" si="26"/>
        <v>406.7337</v>
      </c>
      <c r="N60" s="395">
        <f t="shared" ref="N60:N66" si="29">N59</f>
        <v>345.16239999999999</v>
      </c>
    </row>
    <row r="61" spans="1:16">
      <c r="B61" s="204" t="s">
        <v>3978</v>
      </c>
      <c r="C61" s="205">
        <f>SLOPE(G60:G66,H60:H66)</f>
        <v>-677.70412059525643</v>
      </c>
      <c r="E61" s="201">
        <f t="shared" si="27"/>
        <v>320.42917619638035</v>
      </c>
      <c r="F61" s="201">
        <f t="shared" si="24"/>
        <v>2.951116670686758</v>
      </c>
      <c r="G61" s="201">
        <f t="shared" si="24"/>
        <v>431.49755000000005</v>
      </c>
      <c r="H61" s="196">
        <f t="shared" si="28"/>
        <v>5.7696612728347869</v>
      </c>
      <c r="I61" s="184">
        <f t="shared" si="25"/>
        <v>0.92834322682998016</v>
      </c>
      <c r="M61" s="393">
        <f t="shared" si="26"/>
        <v>431.49755000000005</v>
      </c>
      <c r="N61" s="395">
        <f t="shared" si="29"/>
        <v>345.16239999999999</v>
      </c>
    </row>
    <row r="62" spans="1:16">
      <c r="B62" s="204" t="s">
        <v>3979</v>
      </c>
      <c r="C62" s="205">
        <f>INTERCEPT(G60:G66,H60:H66)</f>
        <v>4341.1348187047497</v>
      </c>
      <c r="E62" s="201">
        <f t="shared" si="27"/>
        <v>300.4025433603349</v>
      </c>
      <c r="F62" s="201">
        <f t="shared" si="24"/>
        <v>2.951116670686758</v>
      </c>
      <c r="G62" s="201">
        <f t="shared" si="24"/>
        <v>466.41385000000002</v>
      </c>
      <c r="H62" s="196">
        <f t="shared" si="28"/>
        <v>5.705123386433149</v>
      </c>
      <c r="I62" s="184">
        <f t="shared" si="25"/>
        <v>0.87032232757778627</v>
      </c>
      <c r="M62" s="393">
        <f t="shared" si="26"/>
        <v>466.41385000000002</v>
      </c>
      <c r="N62" s="395">
        <f t="shared" si="29"/>
        <v>345.16239999999999</v>
      </c>
    </row>
    <row r="63" spans="1:16">
      <c r="B63" s="200"/>
      <c r="E63" s="201">
        <f t="shared" si="27"/>
        <v>280.37591052428934</v>
      </c>
      <c r="F63" s="201">
        <f t="shared" si="24"/>
        <v>2.951116670686758</v>
      </c>
      <c r="G63" s="201">
        <f t="shared" si="24"/>
        <v>499.02784999999994</v>
      </c>
      <c r="H63" s="196">
        <f t="shared" si="28"/>
        <v>5.6361312403581998</v>
      </c>
      <c r="I63" s="184">
        <f t="shared" si="25"/>
        <v>0.81230142832559205</v>
      </c>
      <c r="M63" s="393">
        <f t="shared" si="26"/>
        <v>499.02784999999994</v>
      </c>
      <c r="N63" s="395">
        <f t="shared" si="29"/>
        <v>345.16239999999999</v>
      </c>
    </row>
    <row r="64" spans="1:16">
      <c r="B64" s="200"/>
      <c r="E64" s="201">
        <f t="shared" si="27"/>
        <v>260.34927768824389</v>
      </c>
      <c r="F64" s="201">
        <f t="shared" si="24"/>
        <v>3.5365519350430081</v>
      </c>
      <c r="G64" s="201">
        <f t="shared" si="24"/>
        <v>565.99120000000005</v>
      </c>
      <c r="H64" s="196">
        <f t="shared" si="28"/>
        <v>5.5620241052176729</v>
      </c>
      <c r="I64" s="184">
        <f t="shared" si="25"/>
        <v>0.75428052907339815</v>
      </c>
      <c r="K64" s="184"/>
      <c r="M64" s="393">
        <f t="shared" si="26"/>
        <v>565.99120000000005</v>
      </c>
      <c r="N64" s="395">
        <f t="shared" si="29"/>
        <v>345.16239999999999</v>
      </c>
    </row>
    <row r="65" spans="1:16">
      <c r="B65" s="200"/>
      <c r="E65" s="201">
        <f t="shared" si="27"/>
        <v>237.71890671901232</v>
      </c>
      <c r="F65" s="201">
        <f t="shared" si="24"/>
        <v>3.5365519350430081</v>
      </c>
      <c r="G65" s="201">
        <f t="shared" si="24"/>
        <v>652.61200000000008</v>
      </c>
      <c r="H65" s="196">
        <f t="shared" si="28"/>
        <v>5.4710889114596677</v>
      </c>
      <c r="I65" s="184">
        <f t="shared" si="25"/>
        <v>0.68871611368738983</v>
      </c>
      <c r="K65" s="184"/>
      <c r="M65" s="393">
        <f t="shared" si="26"/>
        <v>652.61200000000008</v>
      </c>
      <c r="N65" s="395">
        <f t="shared" si="29"/>
        <v>345.16239999999999</v>
      </c>
    </row>
    <row r="66" spans="1:16">
      <c r="B66" s="200"/>
      <c r="E66" s="201"/>
      <c r="F66" s="201"/>
      <c r="G66" s="201"/>
      <c r="H66" s="196"/>
      <c r="I66" s="184"/>
      <c r="J66" s="184"/>
      <c r="K66" s="184"/>
      <c r="M66" s="393">
        <f t="shared" si="26"/>
        <v>0</v>
      </c>
      <c r="N66" s="395">
        <f t="shared" si="29"/>
        <v>345.16239999999999</v>
      </c>
    </row>
    <row r="67" spans="1:16">
      <c r="B67" s="198" t="s">
        <v>3980</v>
      </c>
      <c r="C67" s="198"/>
      <c r="D67" s="198"/>
      <c r="E67" s="199"/>
      <c r="F67" s="199"/>
      <c r="G67" s="199"/>
      <c r="H67" s="199"/>
      <c r="I67" s="199"/>
      <c r="J67" s="199"/>
      <c r="K67" s="199"/>
    </row>
    <row r="68" spans="1:16" ht="56.25" customHeight="1">
      <c r="C68" s="197" t="s">
        <v>3981</v>
      </c>
      <c r="D68" s="197" t="s">
        <v>3982</v>
      </c>
      <c r="E68" s="197" t="str">
        <f>E56</f>
        <v>UEC</v>
      </c>
      <c r="F68" s="197" t="str">
        <f t="shared" ref="F68:I68" si="30">F56</f>
        <v>repair cost</v>
      </c>
      <c r="G68" s="197" t="str">
        <f t="shared" si="30"/>
        <v>installed price</v>
      </c>
      <c r="H68" s="197" t="str">
        <f t="shared" si="30"/>
        <v>ln(UEC)</v>
      </c>
      <c r="I68" s="197" t="str">
        <f t="shared" si="30"/>
        <v>UEC as a percent of federal standard</v>
      </c>
      <c r="J68" s="197" t="s">
        <v>3983</v>
      </c>
      <c r="K68" s="197" t="s">
        <v>3984</v>
      </c>
      <c r="M68" s="396" t="s">
        <v>4608</v>
      </c>
      <c r="N68" s="396" t="s">
        <v>4609</v>
      </c>
      <c r="O68" s="396" t="s">
        <v>4610</v>
      </c>
      <c r="P68" s="396" t="s">
        <v>3983</v>
      </c>
    </row>
    <row r="69" spans="1:16" ht="25.5" customHeight="1">
      <c r="B69" s="206" t="s">
        <v>3985</v>
      </c>
      <c r="C69" s="207">
        <f>'CEC analysis'!K33</f>
        <v>4.5345992684421091E-3</v>
      </c>
      <c r="D69" s="9">
        <f>'CEC analysis'!D33</f>
        <v>8</v>
      </c>
      <c r="E69" s="44">
        <f>IF(D69=0,"N/A",I69*M69)</f>
        <v>343.59722683346627</v>
      </c>
      <c r="F69" s="547" t="s">
        <v>3986</v>
      </c>
      <c r="G69" s="203">
        <f>IF(D69=0,"N/A",H69*N69+O69)</f>
        <v>383.70185685570596</v>
      </c>
      <c r="H69" s="196">
        <f>IF(D69=0,"N/A",LN(E69))</f>
        <v>5.8394701191621232</v>
      </c>
      <c r="I69" s="207">
        <f>IF(D69=0,"N/A",1-C69)</f>
        <v>0.99546540073155787</v>
      </c>
      <c r="J69" s="548">
        <f>SUMPRODUCT(G69:G73,D69:D73)/SUM(D69:D73)</f>
        <v>420.61628346641055</v>
      </c>
      <c r="K69" s="202">
        <f>IF(D69=0,"N/A",G69-P69)</f>
        <v>-36.914426610704595</v>
      </c>
      <c r="M69" s="397">
        <f>N58</f>
        <v>345.16239999999999</v>
      </c>
      <c r="N69" s="398">
        <f>C61</f>
        <v>-677.70412059525643</v>
      </c>
      <c r="O69" s="398">
        <f>C62</f>
        <v>4341.1348187047497</v>
      </c>
      <c r="P69" s="399">
        <f>J69</f>
        <v>420.61628346641055</v>
      </c>
    </row>
    <row r="70" spans="1:16">
      <c r="B70" s="206" t="s">
        <v>3987</v>
      </c>
      <c r="C70" s="207">
        <f>'CEC analysis'!L33</f>
        <v>0.1072820263296658</v>
      </c>
      <c r="D70" s="9">
        <f>'CEC analysis'!E33</f>
        <v>4</v>
      </c>
      <c r="E70" s="44">
        <f>IF(D70=0,"N/A",I70*M70)</f>
        <v>308.13267831518937</v>
      </c>
      <c r="F70" s="547"/>
      <c r="G70" s="203">
        <f>IF(D70=0,"N/A",H70*N70+O70)</f>
        <v>457.53071007711515</v>
      </c>
      <c r="H70" s="196">
        <f t="shared" ref="H70:H73" si="31">IF(D70=0,"N/A",LN(E70))</f>
        <v>5.7305304639678143</v>
      </c>
      <c r="I70" s="207">
        <f t="shared" ref="I70:I73" si="32">IF(D70=0,"N/A",1-C70)</f>
        <v>0.89271797367033423</v>
      </c>
      <c r="J70" s="548"/>
      <c r="K70" s="202">
        <f>IF(D70=0,"N/A",G70-P70)</f>
        <v>36.914426610704595</v>
      </c>
      <c r="M70" s="395">
        <f>M69</f>
        <v>345.16239999999999</v>
      </c>
      <c r="N70" s="395">
        <f t="shared" ref="N70:P73" si="33">N69</f>
        <v>-677.70412059525643</v>
      </c>
      <c r="O70" s="395">
        <f t="shared" si="33"/>
        <v>4341.1348187047497</v>
      </c>
      <c r="P70" s="399">
        <f>P69</f>
        <v>420.61628346641055</v>
      </c>
    </row>
    <row r="71" spans="1:16">
      <c r="B71" s="206" t="s">
        <v>3988</v>
      </c>
      <c r="C71" s="207" t="str">
        <f>'CEC analysis'!M33</f>
        <v/>
      </c>
      <c r="D71" s="9">
        <f>'CEC analysis'!F33</f>
        <v>0</v>
      </c>
      <c r="E71" s="44" t="str">
        <f>IF(D71=0,"N/A",I71*M71)</f>
        <v>N/A</v>
      </c>
      <c r="F71" s="547"/>
      <c r="G71" s="203" t="str">
        <f>IF(D71=0,"N/A",H71*N71+O71)</f>
        <v>N/A</v>
      </c>
      <c r="H71" s="196" t="str">
        <f t="shared" si="31"/>
        <v>N/A</v>
      </c>
      <c r="I71" s="207" t="str">
        <f t="shared" si="32"/>
        <v>N/A</v>
      </c>
      <c r="J71" s="548"/>
      <c r="K71" s="202" t="str">
        <f>IF(D71=0,"N/A",G71-P71)</f>
        <v>N/A</v>
      </c>
      <c r="M71" s="395">
        <f t="shared" ref="M71:M73" si="34">M70</f>
        <v>345.16239999999999</v>
      </c>
      <c r="N71" s="395">
        <f t="shared" si="33"/>
        <v>-677.70412059525643</v>
      </c>
      <c r="O71" s="395">
        <f t="shared" si="33"/>
        <v>4341.1348187047497</v>
      </c>
      <c r="P71" s="399">
        <f t="shared" si="33"/>
        <v>420.61628346641055</v>
      </c>
    </row>
    <row r="72" spans="1:16">
      <c r="B72" s="206" t="s">
        <v>3989</v>
      </c>
      <c r="C72" s="207" t="str">
        <f>'CEC analysis'!N33</f>
        <v/>
      </c>
      <c r="D72" s="9">
        <f>'CEC analysis'!G33</f>
        <v>0</v>
      </c>
      <c r="E72" s="44" t="str">
        <f>IF(D72=0,"N/A",I72*M72)</f>
        <v>N/A</v>
      </c>
      <c r="F72" s="547"/>
      <c r="G72" s="203" t="str">
        <f>IF(D72=0,"N/A",H72*N72+O72)</f>
        <v>N/A</v>
      </c>
      <c r="H72" s="196" t="str">
        <f t="shared" si="31"/>
        <v>N/A</v>
      </c>
      <c r="I72" s="207" t="str">
        <f t="shared" si="32"/>
        <v>N/A</v>
      </c>
      <c r="J72" s="548"/>
      <c r="K72" s="202" t="str">
        <f>IF(D72=0,"N/A",G72-P72)</f>
        <v>N/A</v>
      </c>
      <c r="M72" s="395">
        <f t="shared" si="34"/>
        <v>345.16239999999999</v>
      </c>
      <c r="N72" s="395">
        <f t="shared" si="33"/>
        <v>-677.70412059525643</v>
      </c>
      <c r="O72" s="395">
        <f t="shared" si="33"/>
        <v>4341.1348187047497</v>
      </c>
      <c r="P72" s="399">
        <f t="shared" si="33"/>
        <v>420.61628346641055</v>
      </c>
    </row>
    <row r="73" spans="1:16">
      <c r="B73" s="206" t="s">
        <v>3990</v>
      </c>
      <c r="C73" s="207">
        <f>'CEC analysis'!O33</f>
        <v>0.1072820263296658</v>
      </c>
      <c r="D73" s="9">
        <f>'CEC analysis'!H33</f>
        <v>4</v>
      </c>
      <c r="E73" s="44">
        <f>IF(D73=0,"N/A",I73*M73)</f>
        <v>308.13267831518937</v>
      </c>
      <c r="F73" s="547"/>
      <c r="G73" s="203">
        <f>IF(D73=0,"N/A",H73*N73+O73)</f>
        <v>457.53071007711515</v>
      </c>
      <c r="H73" s="196">
        <f t="shared" si="31"/>
        <v>5.7305304639678143</v>
      </c>
      <c r="I73" s="207">
        <f t="shared" si="32"/>
        <v>0.89271797367033423</v>
      </c>
      <c r="J73" s="548"/>
      <c r="K73" s="202">
        <f>IF(D73=0,"N/A",G73-P73)</f>
        <v>36.914426610704595</v>
      </c>
      <c r="M73" s="395">
        <f t="shared" si="34"/>
        <v>345.16239999999999</v>
      </c>
      <c r="N73" s="395">
        <f t="shared" si="33"/>
        <v>-677.70412059525643</v>
      </c>
      <c r="O73" s="395">
        <f t="shared" si="33"/>
        <v>4341.1348187047497</v>
      </c>
      <c r="P73" s="399">
        <f t="shared" si="33"/>
        <v>420.61628346641055</v>
      </c>
    </row>
    <row r="74" spans="1:16">
      <c r="B74" s="209" t="s">
        <v>3991</v>
      </c>
      <c r="E74" s="44"/>
      <c r="G74" s="200"/>
      <c r="H74" s="196"/>
      <c r="I74" s="207"/>
      <c r="J74" s="207"/>
    </row>
    <row r="76" spans="1:16">
      <c r="A76" s="183" t="s">
        <v>4613</v>
      </c>
      <c r="B76" s="187"/>
      <c r="C76" s="187"/>
      <c r="D76" s="187"/>
      <c r="E76" s="187"/>
      <c r="F76" s="187"/>
      <c r="G76" s="187"/>
      <c r="H76" s="187"/>
      <c r="I76" s="187"/>
      <c r="J76" s="187"/>
      <c r="K76" s="187"/>
    </row>
    <row r="78" spans="1:16" ht="76.5" customHeight="1">
      <c r="E78" s="197" t="s">
        <v>3968</v>
      </c>
      <c r="F78" s="197" t="s">
        <v>3969</v>
      </c>
      <c r="G78" s="197" t="s">
        <v>3970</v>
      </c>
      <c r="H78" s="197" t="s">
        <v>3971</v>
      </c>
      <c r="I78" s="197" t="s">
        <v>3972</v>
      </c>
      <c r="M78" s="393" t="str">
        <f>G78</f>
        <v>installed price</v>
      </c>
      <c r="N78" s="393" t="s">
        <v>4607</v>
      </c>
    </row>
    <row r="79" spans="1:16" ht="13.5" customHeight="1">
      <c r="B79" s="198" t="s">
        <v>3976</v>
      </c>
      <c r="C79" s="198"/>
      <c r="D79" s="198"/>
      <c r="E79" s="199"/>
      <c r="F79" s="199"/>
      <c r="G79" s="199"/>
      <c r="H79" s="199"/>
      <c r="I79" s="199"/>
      <c r="J79" s="199"/>
      <c r="K79" s="199"/>
      <c r="M79" s="393"/>
      <c r="N79" s="393"/>
    </row>
    <row r="80" spans="1:16">
      <c r="B80" s="200"/>
      <c r="E80" s="201">
        <f>AVERAGE(Q187, Q205)</f>
        <v>400.53570754056233</v>
      </c>
      <c r="F80" s="201">
        <f t="shared" ref="F80:G88" si="35">AVERAGE(R187, R205)</f>
        <v>2.8337420882173832</v>
      </c>
      <c r="G80" s="201">
        <f t="shared" si="35"/>
        <v>386.27935000000002</v>
      </c>
      <c r="H80" s="196">
        <f>LN(E80)</f>
        <v>5.9928029199387787</v>
      </c>
      <c r="I80" s="184">
        <f t="shared" ref="I80:I87" si="36">E80/N80</f>
        <v>0.8318249828884916</v>
      </c>
      <c r="M80" s="393">
        <f t="shared" ref="M80:M88" si="37">G80</f>
        <v>386.27935000000002</v>
      </c>
      <c r="N80" s="394">
        <f>F8</f>
        <v>481.51440000000002</v>
      </c>
    </row>
    <row r="81" spans="2:16">
      <c r="B81" s="546" t="s">
        <v>3993</v>
      </c>
      <c r="C81" s="546"/>
      <c r="D81" s="546"/>
      <c r="E81" s="201">
        <f t="shared" ref="E81:E88" si="38">AVERAGE(Q188, Q206)</f>
        <v>360.48244186847131</v>
      </c>
      <c r="F81" s="201">
        <f t="shared" si="35"/>
        <v>2.8881726912711332</v>
      </c>
      <c r="G81" s="201">
        <f t="shared" si="35"/>
        <v>396.48419999999999</v>
      </c>
      <c r="H81" s="196">
        <f t="shared" ref="H81:H87" si="39">LN(E81)</f>
        <v>5.8874432505970526</v>
      </c>
      <c r="I81" s="184">
        <f t="shared" si="36"/>
        <v>0.74864311818809837</v>
      </c>
      <c r="M81" s="393">
        <f t="shared" si="37"/>
        <v>396.48419999999999</v>
      </c>
      <c r="N81" s="395">
        <f>N80</f>
        <v>481.51440000000002</v>
      </c>
    </row>
    <row r="82" spans="2:16">
      <c r="B82" s="546"/>
      <c r="C82" s="546"/>
      <c r="D82" s="546"/>
      <c r="E82" s="201">
        <f t="shared" si="38"/>
        <v>340.4558090324258</v>
      </c>
      <c r="F82" s="201">
        <f t="shared" si="35"/>
        <v>2.9261766033711329</v>
      </c>
      <c r="G82" s="201">
        <f t="shared" si="35"/>
        <v>406.7337</v>
      </c>
      <c r="H82" s="196">
        <f t="shared" si="39"/>
        <v>5.8302853345897692</v>
      </c>
      <c r="I82" s="184">
        <f t="shared" si="36"/>
        <v>0.70705218583790186</v>
      </c>
      <c r="M82" s="393">
        <f t="shared" si="37"/>
        <v>406.7337</v>
      </c>
      <c r="N82" s="395">
        <f t="shared" ref="N82:N88" si="40">N81</f>
        <v>481.51440000000002</v>
      </c>
    </row>
    <row r="83" spans="2:16">
      <c r="B83" s="204" t="s">
        <v>3978</v>
      </c>
      <c r="C83" s="205">
        <f>SLOPE(G82:G87,H82:H87)</f>
        <v>-677.70412059525643</v>
      </c>
      <c r="E83" s="201">
        <f t="shared" si="38"/>
        <v>320.42917619638035</v>
      </c>
      <c r="F83" s="201">
        <f t="shared" si="35"/>
        <v>2.951116670686758</v>
      </c>
      <c r="G83" s="201">
        <f t="shared" si="35"/>
        <v>431.49755000000005</v>
      </c>
      <c r="H83" s="196">
        <f t="shared" si="39"/>
        <v>5.7696612728347869</v>
      </c>
      <c r="I83" s="184">
        <f t="shared" si="36"/>
        <v>0.66546125348770535</v>
      </c>
      <c r="M83" s="393">
        <f t="shared" si="37"/>
        <v>431.49755000000005</v>
      </c>
      <c r="N83" s="395">
        <f t="shared" si="40"/>
        <v>481.51440000000002</v>
      </c>
    </row>
    <row r="84" spans="2:16">
      <c r="B84" s="204" t="s">
        <v>3979</v>
      </c>
      <c r="C84" s="205">
        <f>INTERCEPT(G82:G87,H82:H87)</f>
        <v>4341.1348187047497</v>
      </c>
      <c r="E84" s="201">
        <f t="shared" si="38"/>
        <v>300.4025433603349</v>
      </c>
      <c r="F84" s="201">
        <f t="shared" si="35"/>
        <v>2.951116670686758</v>
      </c>
      <c r="G84" s="201">
        <f t="shared" si="35"/>
        <v>466.41385000000002</v>
      </c>
      <c r="H84" s="196">
        <f t="shared" si="39"/>
        <v>5.705123386433149</v>
      </c>
      <c r="I84" s="184">
        <f t="shared" si="36"/>
        <v>0.62387032113750884</v>
      </c>
      <c r="M84" s="393">
        <f t="shared" si="37"/>
        <v>466.41385000000002</v>
      </c>
      <c r="N84" s="395">
        <f t="shared" si="40"/>
        <v>481.51440000000002</v>
      </c>
    </row>
    <row r="85" spans="2:16">
      <c r="B85" s="200"/>
      <c r="E85" s="201">
        <f t="shared" si="38"/>
        <v>280.37591052428934</v>
      </c>
      <c r="F85" s="201">
        <f t="shared" si="35"/>
        <v>2.951116670686758</v>
      </c>
      <c r="G85" s="201">
        <f t="shared" si="35"/>
        <v>499.02784999999994</v>
      </c>
      <c r="H85" s="196">
        <f t="shared" si="39"/>
        <v>5.6361312403581998</v>
      </c>
      <c r="I85" s="184">
        <f t="shared" si="36"/>
        <v>0.58227938878731211</v>
      </c>
      <c r="M85" s="393">
        <f t="shared" si="37"/>
        <v>499.02784999999994</v>
      </c>
      <c r="N85" s="395">
        <f t="shared" si="40"/>
        <v>481.51440000000002</v>
      </c>
    </row>
    <row r="86" spans="2:16">
      <c r="B86" s="200"/>
      <c r="E86" s="201">
        <f t="shared" si="38"/>
        <v>260.34927768824389</v>
      </c>
      <c r="F86" s="201">
        <f t="shared" si="35"/>
        <v>3.5365519350430081</v>
      </c>
      <c r="G86" s="201">
        <f t="shared" si="35"/>
        <v>565.99120000000005</v>
      </c>
      <c r="H86" s="196">
        <f t="shared" si="39"/>
        <v>5.5620241052176729</v>
      </c>
      <c r="I86" s="184">
        <f t="shared" si="36"/>
        <v>0.54068845643711561</v>
      </c>
      <c r="K86" s="184"/>
      <c r="M86" s="393">
        <f t="shared" si="37"/>
        <v>565.99120000000005</v>
      </c>
      <c r="N86" s="395">
        <f t="shared" si="40"/>
        <v>481.51440000000002</v>
      </c>
    </row>
    <row r="87" spans="2:16">
      <c r="B87" s="200"/>
      <c r="E87" s="201">
        <f t="shared" si="38"/>
        <v>237.71890671901232</v>
      </c>
      <c r="F87" s="201">
        <f t="shared" si="35"/>
        <v>3.5365519350430081</v>
      </c>
      <c r="G87" s="201">
        <f t="shared" si="35"/>
        <v>652.61200000000008</v>
      </c>
      <c r="H87" s="196">
        <f t="shared" si="39"/>
        <v>5.4710889114596677</v>
      </c>
      <c r="I87" s="184">
        <f t="shared" si="36"/>
        <v>0.49369012997121647</v>
      </c>
      <c r="K87" s="184"/>
      <c r="M87" s="393">
        <f t="shared" si="37"/>
        <v>652.61200000000008</v>
      </c>
      <c r="N87" s="395">
        <f t="shared" si="40"/>
        <v>481.51440000000002</v>
      </c>
    </row>
    <row r="88" spans="2:16">
      <c r="B88" s="200"/>
      <c r="E88" s="201">
        <f t="shared" si="38"/>
        <v>0</v>
      </c>
      <c r="F88" s="201">
        <f t="shared" si="35"/>
        <v>0</v>
      </c>
      <c r="G88" s="201">
        <f t="shared" si="35"/>
        <v>0</v>
      </c>
      <c r="H88" s="196"/>
      <c r="I88" s="184"/>
      <c r="J88" s="184"/>
      <c r="K88" s="184"/>
      <c r="M88" s="393">
        <f t="shared" si="37"/>
        <v>0</v>
      </c>
      <c r="N88" s="395">
        <f t="shared" si="40"/>
        <v>481.51440000000002</v>
      </c>
    </row>
    <row r="89" spans="2:16">
      <c r="B89" s="198" t="s">
        <v>3980</v>
      </c>
      <c r="C89" s="198"/>
      <c r="D89" s="198"/>
      <c r="E89" s="199"/>
      <c r="F89" s="199"/>
      <c r="G89" s="199"/>
      <c r="H89" s="199"/>
      <c r="I89" s="199"/>
      <c r="J89" s="199"/>
      <c r="K89" s="199"/>
    </row>
    <row r="90" spans="2:16" ht="56.25" customHeight="1">
      <c r="C90" s="197" t="s">
        <v>3981</v>
      </c>
      <c r="D90" s="197" t="s">
        <v>3982</v>
      </c>
      <c r="E90" s="197" t="str">
        <f>E78</f>
        <v>UEC</v>
      </c>
      <c r="F90" s="197" t="str">
        <f t="shared" ref="F90:I90" si="41">F78</f>
        <v>repair cost</v>
      </c>
      <c r="G90" s="197" t="str">
        <f t="shared" si="41"/>
        <v>installed price</v>
      </c>
      <c r="H90" s="197" t="str">
        <f t="shared" si="41"/>
        <v>ln(UEC)</v>
      </c>
      <c r="I90" s="197" t="str">
        <f t="shared" si="41"/>
        <v>UEC as a percent of federal standard</v>
      </c>
      <c r="J90" s="197" t="s">
        <v>3983</v>
      </c>
      <c r="K90" s="197" t="s">
        <v>3984</v>
      </c>
      <c r="M90" s="396" t="s">
        <v>4608</v>
      </c>
      <c r="N90" s="396" t="s">
        <v>4609</v>
      </c>
      <c r="O90" s="396" t="s">
        <v>4610</v>
      </c>
      <c r="P90" s="396" t="s">
        <v>3983</v>
      </c>
    </row>
    <row r="91" spans="2:16" ht="25.5" customHeight="1">
      <c r="B91" s="206" t="s">
        <v>3985</v>
      </c>
      <c r="C91" s="207" t="str">
        <f>'CEC analysis'!K34</f>
        <v/>
      </c>
      <c r="D91" s="9">
        <f>'CEC analysis'!D34</f>
        <v>0</v>
      </c>
      <c r="E91" s="44" t="str">
        <f>IF(D91=0,"N/A",I91*M91)</f>
        <v>N/A</v>
      </c>
      <c r="F91" s="547" t="s">
        <v>3986</v>
      </c>
      <c r="G91" s="203" t="str">
        <f>IF(D91=0,"N/A",H91*N91+O91)</f>
        <v>N/A</v>
      </c>
      <c r="H91" s="196" t="str">
        <f>IF(D91=0,"N/A",LN(E91))</f>
        <v>N/A</v>
      </c>
      <c r="I91" s="207" t="str">
        <f>IF(D91=0,"N/A",1-C91)</f>
        <v>N/A</v>
      </c>
      <c r="J91" s="548" t="e">
        <f>SUMPRODUCT(G91:G95,D91:D95)/SUM(D91:D95)</f>
        <v>#DIV/0!</v>
      </c>
      <c r="K91" s="202" t="str">
        <f>IF(D91=0,"N/A",G91-P91)</f>
        <v>N/A</v>
      </c>
      <c r="M91" s="397">
        <f>N80</f>
        <v>481.51440000000002</v>
      </c>
      <c r="N91" s="398">
        <f>C83</f>
        <v>-677.70412059525643</v>
      </c>
      <c r="O91" s="398">
        <f>C84</f>
        <v>4341.1348187047497</v>
      </c>
      <c r="P91" s="399" t="e">
        <f>J91</f>
        <v>#DIV/0!</v>
      </c>
    </row>
    <row r="92" spans="2:16">
      <c r="B92" s="206" t="s">
        <v>3987</v>
      </c>
      <c r="C92" s="207" t="str">
        <f>'CEC analysis'!L34</f>
        <v/>
      </c>
      <c r="D92" s="9">
        <f>'CEC analysis'!E34</f>
        <v>0</v>
      </c>
      <c r="E92" s="44" t="str">
        <f>IF(D92=0,"N/A",I92*M92)</f>
        <v>N/A</v>
      </c>
      <c r="F92" s="547"/>
      <c r="G92" s="203" t="str">
        <f>IF(D92=0,"N/A",H92*N92+O92)</f>
        <v>N/A</v>
      </c>
      <c r="H92" s="196" t="str">
        <f t="shared" ref="H92:H95" si="42">IF(D92=0,"N/A",LN(E92))</f>
        <v>N/A</v>
      </c>
      <c r="I92" s="207" t="str">
        <f t="shared" ref="I92:I95" si="43">IF(D92=0,"N/A",1-C92)</f>
        <v>N/A</v>
      </c>
      <c r="J92" s="548"/>
      <c r="K92" s="202" t="str">
        <f>IF(D92=0,"N/A",G92-P92)</f>
        <v>N/A</v>
      </c>
      <c r="M92" s="395">
        <f>M91</f>
        <v>481.51440000000002</v>
      </c>
      <c r="N92" s="395">
        <f t="shared" ref="N92:P95" si="44">N91</f>
        <v>-677.70412059525643</v>
      </c>
      <c r="O92" s="395">
        <f t="shared" si="44"/>
        <v>4341.1348187047497</v>
      </c>
      <c r="P92" s="399" t="e">
        <f>P91</f>
        <v>#DIV/0!</v>
      </c>
    </row>
    <row r="93" spans="2:16">
      <c r="B93" s="206" t="s">
        <v>3988</v>
      </c>
      <c r="C93" s="207" t="str">
        <f>'CEC analysis'!M34</f>
        <v/>
      </c>
      <c r="D93" s="9">
        <f>'CEC analysis'!F34</f>
        <v>0</v>
      </c>
      <c r="E93" s="44" t="str">
        <f>IF(D93=0,"N/A",I93*M93)</f>
        <v>N/A</v>
      </c>
      <c r="F93" s="547"/>
      <c r="G93" s="203" t="str">
        <f>IF(D93=0,"N/A",H93*N93+O93)</f>
        <v>N/A</v>
      </c>
      <c r="H93" s="196" t="str">
        <f t="shared" si="42"/>
        <v>N/A</v>
      </c>
      <c r="I93" s="207" t="str">
        <f t="shared" si="43"/>
        <v>N/A</v>
      </c>
      <c r="J93" s="548"/>
      <c r="K93" s="202" t="str">
        <f>IF(D93=0,"N/A",G93-P93)</f>
        <v>N/A</v>
      </c>
      <c r="M93" s="395">
        <f t="shared" ref="M93:M95" si="45">M92</f>
        <v>481.51440000000002</v>
      </c>
      <c r="N93" s="395">
        <f t="shared" si="44"/>
        <v>-677.70412059525643</v>
      </c>
      <c r="O93" s="395">
        <f t="shared" si="44"/>
        <v>4341.1348187047497</v>
      </c>
      <c r="P93" s="399" t="e">
        <f t="shared" si="44"/>
        <v>#DIV/0!</v>
      </c>
    </row>
    <row r="94" spans="2:16">
      <c r="B94" s="206" t="s">
        <v>3989</v>
      </c>
      <c r="C94" s="207" t="str">
        <f>'CEC analysis'!N34</f>
        <v/>
      </c>
      <c r="D94" s="9">
        <f>'CEC analysis'!G34</f>
        <v>0</v>
      </c>
      <c r="E94" s="44" t="str">
        <f>IF(D94=0,"N/A",I94*M94)</f>
        <v>N/A</v>
      </c>
      <c r="F94" s="547"/>
      <c r="G94" s="203" t="str">
        <f>IF(D94=0,"N/A",H94*N94+O94)</f>
        <v>N/A</v>
      </c>
      <c r="H94" s="196" t="str">
        <f t="shared" si="42"/>
        <v>N/A</v>
      </c>
      <c r="I94" s="207" t="str">
        <f t="shared" si="43"/>
        <v>N/A</v>
      </c>
      <c r="J94" s="548"/>
      <c r="K94" s="202" t="str">
        <f>IF(D94=0,"N/A",G94-P94)</f>
        <v>N/A</v>
      </c>
      <c r="M94" s="395">
        <f t="shared" si="45"/>
        <v>481.51440000000002</v>
      </c>
      <c r="N94" s="395">
        <f t="shared" si="44"/>
        <v>-677.70412059525643</v>
      </c>
      <c r="O94" s="395">
        <f t="shared" si="44"/>
        <v>4341.1348187047497</v>
      </c>
      <c r="P94" s="399" t="e">
        <f t="shared" si="44"/>
        <v>#DIV/0!</v>
      </c>
    </row>
    <row r="95" spans="2:16">
      <c r="B95" s="206" t="s">
        <v>3990</v>
      </c>
      <c r="C95" s="207" t="str">
        <f>'CEC analysis'!O34</f>
        <v/>
      </c>
      <c r="D95" s="9">
        <f>'CEC analysis'!H34</f>
        <v>0</v>
      </c>
      <c r="E95" s="44" t="str">
        <f>IF(D95=0,"N/A",I95*M95)</f>
        <v>N/A</v>
      </c>
      <c r="F95" s="547"/>
      <c r="G95" s="203" t="str">
        <f>IF(D95=0,"N/A",H95*N95+O95)</f>
        <v>N/A</v>
      </c>
      <c r="H95" s="196" t="str">
        <f t="shared" si="42"/>
        <v>N/A</v>
      </c>
      <c r="I95" s="207" t="str">
        <f t="shared" si="43"/>
        <v>N/A</v>
      </c>
      <c r="J95" s="548"/>
      <c r="K95" s="202" t="str">
        <f>IF(D95=0,"N/A",G95-P95)</f>
        <v>N/A</v>
      </c>
      <c r="M95" s="395">
        <f t="shared" si="45"/>
        <v>481.51440000000002</v>
      </c>
      <c r="N95" s="395">
        <f t="shared" si="44"/>
        <v>-677.70412059525643</v>
      </c>
      <c r="O95" s="395">
        <f t="shared" si="44"/>
        <v>4341.1348187047497</v>
      </c>
      <c r="P95" s="399" t="e">
        <f t="shared" si="44"/>
        <v>#DIV/0!</v>
      </c>
    </row>
    <row r="96" spans="2:16">
      <c r="B96" s="209" t="s">
        <v>3991</v>
      </c>
      <c r="E96" s="44"/>
      <c r="G96" s="200"/>
      <c r="H96" s="196"/>
      <c r="I96" s="207"/>
      <c r="J96" s="207"/>
    </row>
    <row r="98" spans="1:16">
      <c r="A98" s="183" t="s">
        <v>4614</v>
      </c>
      <c r="B98" s="187"/>
      <c r="C98" s="187"/>
      <c r="D98" s="187"/>
      <c r="E98" s="187"/>
      <c r="F98" s="187"/>
      <c r="G98" s="187"/>
      <c r="H98" s="187"/>
      <c r="I98" s="187"/>
      <c r="J98" s="187"/>
      <c r="K98" s="187"/>
    </row>
    <row r="100" spans="1:16" ht="76.5" customHeight="1">
      <c r="E100" s="197" t="s">
        <v>3968</v>
      </c>
      <c r="F100" s="197" t="s">
        <v>3969</v>
      </c>
      <c r="G100" s="197" t="s">
        <v>3970</v>
      </c>
      <c r="H100" s="197" t="s">
        <v>3971</v>
      </c>
      <c r="I100" s="197" t="s">
        <v>3972</v>
      </c>
      <c r="M100" s="393" t="str">
        <f>G100</f>
        <v>installed price</v>
      </c>
      <c r="N100" s="393" t="s">
        <v>4607</v>
      </c>
    </row>
    <row r="101" spans="1:16" ht="13.5" customHeight="1">
      <c r="B101" s="198" t="s">
        <v>3976</v>
      </c>
      <c r="C101" s="198"/>
      <c r="D101" s="198"/>
      <c r="E101" s="199"/>
      <c r="F101" s="199"/>
      <c r="G101" s="199"/>
      <c r="H101" s="199"/>
      <c r="I101" s="199"/>
      <c r="J101" s="199"/>
      <c r="K101" s="199"/>
      <c r="M101" s="393"/>
      <c r="N101" s="393"/>
    </row>
    <row r="102" spans="1:16">
      <c r="B102" s="200"/>
      <c r="E102" s="201">
        <f>AVERAGE(U187, U205)</f>
        <v>660.09126396246143</v>
      </c>
      <c r="F102" s="201">
        <f t="shared" ref="F102:G110" si="46">AVERAGE(V187, V205)</f>
        <v>4.3717928926774761</v>
      </c>
      <c r="G102" s="201">
        <f t="shared" si="46"/>
        <v>4140.5581500000008</v>
      </c>
      <c r="H102" s="196">
        <f>LN(E102)</f>
        <v>6.4923781041918511</v>
      </c>
      <c r="I102" s="184">
        <f>E102/N102</f>
        <v>1.1342912484044128</v>
      </c>
      <c r="M102" s="393">
        <f t="shared" ref="M102:M110" si="47">G102</f>
        <v>4140.5581500000008</v>
      </c>
      <c r="N102" s="394">
        <f>G8</f>
        <v>581.94159999999999</v>
      </c>
    </row>
    <row r="103" spans="1:16">
      <c r="B103" s="546" t="s">
        <v>3993</v>
      </c>
      <c r="C103" s="546"/>
      <c r="D103" s="546"/>
      <c r="E103" s="201">
        <f t="shared" ref="E103:E110" si="48">AVERAGE(U188, U206)</f>
        <v>594.08727936260107</v>
      </c>
      <c r="F103" s="201">
        <f t="shared" si="46"/>
        <v>4.5359208990274764</v>
      </c>
      <c r="G103" s="201">
        <f t="shared" si="46"/>
        <v>4162.0781999999999</v>
      </c>
      <c r="H103" s="196">
        <f t="shared" ref="H103:H106" si="49">LN(E103)</f>
        <v>6.3870262435226355</v>
      </c>
      <c r="I103" s="184">
        <f>E103/N103</f>
        <v>1.0208709591522604</v>
      </c>
      <c r="M103" s="393">
        <f t="shared" si="47"/>
        <v>4162.0781999999999</v>
      </c>
      <c r="N103" s="395">
        <f>N102</f>
        <v>581.94159999999999</v>
      </c>
    </row>
    <row r="104" spans="1:16">
      <c r="B104" s="546"/>
      <c r="C104" s="546"/>
      <c r="D104" s="546"/>
      <c r="E104" s="201">
        <f t="shared" si="48"/>
        <v>561.08528706267089</v>
      </c>
      <c r="F104" s="201">
        <f t="shared" si="46"/>
        <v>4.719099477543101</v>
      </c>
      <c r="G104" s="201">
        <f t="shared" si="46"/>
        <v>4208.6442499999994</v>
      </c>
      <c r="H104" s="196">
        <f t="shared" si="49"/>
        <v>6.3298729208174667</v>
      </c>
      <c r="I104" s="184">
        <f>E104/N104</f>
        <v>0.96416081452618418</v>
      </c>
      <c r="M104" s="393">
        <f t="shared" si="47"/>
        <v>4208.6442499999994</v>
      </c>
      <c r="N104" s="395">
        <f t="shared" ref="N104:N110" si="50">N103</f>
        <v>581.94159999999999</v>
      </c>
    </row>
    <row r="105" spans="1:16">
      <c r="B105" s="204" t="s">
        <v>3978</v>
      </c>
      <c r="C105" s="205">
        <f>SLOPE(G102:G106,H102:H106)</f>
        <v>-1094.5887946266541</v>
      </c>
      <c r="E105" s="201">
        <f t="shared" si="48"/>
        <v>528.08329476274071</v>
      </c>
      <c r="F105" s="201">
        <f t="shared" si="46"/>
        <v>5.3770769315712261</v>
      </c>
      <c r="G105" s="201">
        <f t="shared" si="46"/>
        <v>4317.5077500000007</v>
      </c>
      <c r="H105" s="196">
        <f t="shared" si="49"/>
        <v>6.269254026496677</v>
      </c>
      <c r="I105" s="184">
        <f>E105/N105</f>
        <v>0.90745066990010803</v>
      </c>
      <c r="M105" s="393">
        <f t="shared" si="47"/>
        <v>4317.5077500000007</v>
      </c>
      <c r="N105" s="395">
        <f t="shared" si="50"/>
        <v>581.94159999999999</v>
      </c>
    </row>
    <row r="106" spans="1:16">
      <c r="B106" s="204" t="s">
        <v>3979</v>
      </c>
      <c r="C106" s="205">
        <f>INTERCEPT(G102:G106,H102:H106)</f>
        <v>11193.707827248303</v>
      </c>
      <c r="E106" s="201">
        <f t="shared" si="48"/>
        <v>495.07931508210402</v>
      </c>
      <c r="F106" s="201">
        <f t="shared" si="46"/>
        <v>5.3770769315712261</v>
      </c>
      <c r="G106" s="201">
        <f t="shared" si="46"/>
        <v>4459.6211499999999</v>
      </c>
      <c r="H106" s="196">
        <f t="shared" si="49"/>
        <v>6.2047179822219354</v>
      </c>
      <c r="I106" s="184">
        <f>E106/N106</f>
        <v>0.85073711018786768</v>
      </c>
      <c r="M106" s="393">
        <f t="shared" si="47"/>
        <v>4459.6211499999999</v>
      </c>
      <c r="N106" s="395">
        <f t="shared" si="50"/>
        <v>581.94159999999999</v>
      </c>
    </row>
    <row r="107" spans="1:16">
      <c r="B107" s="200"/>
      <c r="E107" s="201"/>
      <c r="F107" s="201"/>
      <c r="G107" s="201"/>
      <c r="H107" s="196"/>
      <c r="I107" s="184"/>
      <c r="M107" s="393">
        <f t="shared" si="47"/>
        <v>0</v>
      </c>
      <c r="N107" s="395">
        <f t="shared" si="50"/>
        <v>581.94159999999999</v>
      </c>
    </row>
    <row r="108" spans="1:16">
      <c r="B108" s="200"/>
      <c r="E108" s="201">
        <f t="shared" si="48"/>
        <v>0</v>
      </c>
      <c r="F108" s="201">
        <f t="shared" si="46"/>
        <v>0</v>
      </c>
      <c r="G108" s="201">
        <f t="shared" si="46"/>
        <v>0</v>
      </c>
      <c r="H108" s="196"/>
      <c r="I108" s="184"/>
      <c r="K108" s="184"/>
      <c r="M108" s="393">
        <f t="shared" si="47"/>
        <v>0</v>
      </c>
      <c r="N108" s="395">
        <f t="shared" si="50"/>
        <v>581.94159999999999</v>
      </c>
    </row>
    <row r="109" spans="1:16">
      <c r="B109" s="200"/>
      <c r="E109" s="201">
        <f t="shared" si="48"/>
        <v>0</v>
      </c>
      <c r="F109" s="201">
        <f t="shared" si="46"/>
        <v>0</v>
      </c>
      <c r="G109" s="201">
        <f t="shared" si="46"/>
        <v>0</v>
      </c>
      <c r="H109" s="196"/>
      <c r="I109" s="184"/>
      <c r="K109" s="184"/>
      <c r="M109" s="393">
        <f t="shared" si="47"/>
        <v>0</v>
      </c>
      <c r="N109" s="395">
        <f t="shared" si="50"/>
        <v>581.94159999999999</v>
      </c>
    </row>
    <row r="110" spans="1:16">
      <c r="B110" s="200"/>
      <c r="E110" s="201">
        <f t="shared" si="48"/>
        <v>0</v>
      </c>
      <c r="F110" s="201">
        <f t="shared" si="46"/>
        <v>0</v>
      </c>
      <c r="G110" s="201">
        <f t="shared" si="46"/>
        <v>0</v>
      </c>
      <c r="H110" s="196"/>
      <c r="I110" s="184"/>
      <c r="J110" s="184"/>
      <c r="K110" s="184"/>
      <c r="M110" s="393">
        <f t="shared" si="47"/>
        <v>0</v>
      </c>
      <c r="N110" s="395">
        <f t="shared" si="50"/>
        <v>581.94159999999999</v>
      </c>
    </row>
    <row r="111" spans="1:16">
      <c r="B111" s="198" t="s">
        <v>3980</v>
      </c>
      <c r="C111" s="198"/>
      <c r="D111" s="198"/>
      <c r="E111" s="199"/>
      <c r="F111" s="199"/>
      <c r="G111" s="199"/>
      <c r="H111" s="199"/>
      <c r="I111" s="199"/>
      <c r="J111" s="199"/>
      <c r="K111" s="199"/>
    </row>
    <row r="112" spans="1:16" ht="56.25" customHeight="1">
      <c r="C112" s="197" t="s">
        <v>3981</v>
      </c>
      <c r="D112" s="197" t="s">
        <v>3982</v>
      </c>
      <c r="E112" s="197" t="str">
        <f>E100</f>
        <v>UEC</v>
      </c>
      <c r="F112" s="197" t="str">
        <f t="shared" ref="F112:I112" si="51">F100</f>
        <v>repair cost</v>
      </c>
      <c r="G112" s="197" t="str">
        <f t="shared" si="51"/>
        <v>installed price</v>
      </c>
      <c r="H112" s="197" t="str">
        <f t="shared" si="51"/>
        <v>ln(UEC)</v>
      </c>
      <c r="I112" s="197" t="str">
        <f t="shared" si="51"/>
        <v>UEC as a percent of federal standard</v>
      </c>
      <c r="J112" s="197" t="s">
        <v>3983</v>
      </c>
      <c r="K112" s="197" t="s">
        <v>3984</v>
      </c>
      <c r="M112" s="396" t="s">
        <v>4608</v>
      </c>
      <c r="N112" s="396" t="s">
        <v>4609</v>
      </c>
      <c r="O112" s="396" t="s">
        <v>4610</v>
      </c>
      <c r="P112" s="396" t="s">
        <v>3983</v>
      </c>
    </row>
    <row r="113" spans="2:16" ht="25.5" customHeight="1">
      <c r="B113" s="206" t="s">
        <v>3985</v>
      </c>
      <c r="C113" s="207">
        <f>'CEC analysis'!K56</f>
        <v>0</v>
      </c>
      <c r="D113" s="9">
        <f>'CEC analysis'!D56</f>
        <v>0</v>
      </c>
      <c r="E113" s="44" t="str">
        <f>IF(D113=0,"N/A",I113*M113)</f>
        <v>N/A</v>
      </c>
      <c r="F113" s="547" t="s">
        <v>3986</v>
      </c>
      <c r="G113" s="203" t="str">
        <f>IF(D113=0,"N/A",H113*N113+O113)</f>
        <v>N/A</v>
      </c>
      <c r="H113" s="196" t="str">
        <f>IF(D113=0,"N/A",LN(E113))</f>
        <v>N/A</v>
      </c>
      <c r="I113" s="207" t="str">
        <f>IF(D113=0,"N/A",1-C113)</f>
        <v>N/A</v>
      </c>
      <c r="J113" s="548" t="e">
        <f>SUMPRODUCT(G113:G117,D113:D117)/SUM(D113:D117)</f>
        <v>#DIV/0!</v>
      </c>
      <c r="K113" s="202" t="str">
        <f>IF(D113=0,"N/A",G113-P113)</f>
        <v>N/A</v>
      </c>
      <c r="M113" s="397">
        <f>N102</f>
        <v>581.94159999999999</v>
      </c>
      <c r="N113" s="398">
        <f>C105</f>
        <v>-1094.5887946266541</v>
      </c>
      <c r="O113" s="398">
        <f>C106</f>
        <v>11193.707827248303</v>
      </c>
      <c r="P113" s="399" t="e">
        <f>J113</f>
        <v>#DIV/0!</v>
      </c>
    </row>
    <row r="114" spans="2:16">
      <c r="B114" s="206" t="s">
        <v>3987</v>
      </c>
      <c r="C114" s="207">
        <f>'CEC analysis'!L56</f>
        <v>0</v>
      </c>
      <c r="D114" s="9">
        <f>'CEC analysis'!E56</f>
        <v>0</v>
      </c>
      <c r="E114" s="44" t="str">
        <f>IF(D114=0,"N/A",I114*M114)</f>
        <v>N/A</v>
      </c>
      <c r="F114" s="547"/>
      <c r="G114" s="203" t="str">
        <f>IF(D114=0,"N/A",H114*N114+O114)</f>
        <v>N/A</v>
      </c>
      <c r="H114" s="196" t="str">
        <f t="shared" ref="H114:H117" si="52">IF(D114=0,"N/A",LN(E114))</f>
        <v>N/A</v>
      </c>
      <c r="I114" s="207" t="str">
        <f t="shared" ref="I114:I117" si="53">IF(D114=0,"N/A",1-C114)</f>
        <v>N/A</v>
      </c>
      <c r="J114" s="548"/>
      <c r="K114" s="202" t="str">
        <f>IF(D114=0,"N/A",G114-P114)</f>
        <v>N/A</v>
      </c>
      <c r="M114" s="395">
        <f>M113</f>
        <v>581.94159999999999</v>
      </c>
      <c r="N114" s="395">
        <f t="shared" ref="N114:P117" si="54">N113</f>
        <v>-1094.5887946266541</v>
      </c>
      <c r="O114" s="395">
        <f t="shared" si="54"/>
        <v>11193.707827248303</v>
      </c>
      <c r="P114" s="399" t="e">
        <f>P113</f>
        <v>#DIV/0!</v>
      </c>
    </row>
    <row r="115" spans="2:16">
      <c r="B115" s="206" t="s">
        <v>3988</v>
      </c>
      <c r="C115" s="207">
        <f>'CEC analysis'!M56</f>
        <v>0</v>
      </c>
      <c r="D115" s="9">
        <f>'CEC analysis'!F56</f>
        <v>0</v>
      </c>
      <c r="E115" s="44" t="str">
        <f>IF(D115=0,"N/A",I115*M115)</f>
        <v>N/A</v>
      </c>
      <c r="F115" s="547"/>
      <c r="G115" s="203" t="str">
        <f>IF(D115=0,"N/A",H115*N115+O115)</f>
        <v>N/A</v>
      </c>
      <c r="H115" s="196" t="str">
        <f t="shared" si="52"/>
        <v>N/A</v>
      </c>
      <c r="I115" s="207" t="str">
        <f t="shared" si="53"/>
        <v>N/A</v>
      </c>
      <c r="J115" s="548"/>
      <c r="K115" s="202" t="str">
        <f>IF(D115=0,"N/A",G115-P115)</f>
        <v>N/A</v>
      </c>
      <c r="M115" s="395">
        <f t="shared" ref="M115:M117" si="55">M114</f>
        <v>581.94159999999999</v>
      </c>
      <c r="N115" s="395">
        <f t="shared" si="54"/>
        <v>-1094.5887946266541</v>
      </c>
      <c r="O115" s="395">
        <f t="shared" si="54"/>
        <v>11193.707827248303</v>
      </c>
      <c r="P115" s="399" t="e">
        <f t="shared" si="54"/>
        <v>#DIV/0!</v>
      </c>
    </row>
    <row r="116" spans="2:16">
      <c r="B116" s="206" t="s">
        <v>3989</v>
      </c>
      <c r="C116" s="207">
        <f>'CEC analysis'!N56</f>
        <v>0</v>
      </c>
      <c r="D116" s="9">
        <f>'CEC analysis'!G56</f>
        <v>0</v>
      </c>
      <c r="E116" s="44" t="str">
        <f>IF(D116=0,"N/A",I116*M116)</f>
        <v>N/A</v>
      </c>
      <c r="F116" s="547"/>
      <c r="G116" s="203" t="str">
        <f>IF(D116=0,"N/A",H116*N116+O116)</f>
        <v>N/A</v>
      </c>
      <c r="H116" s="196" t="str">
        <f t="shared" si="52"/>
        <v>N/A</v>
      </c>
      <c r="I116" s="207" t="str">
        <f t="shared" si="53"/>
        <v>N/A</v>
      </c>
      <c r="J116" s="548"/>
      <c r="K116" s="202" t="str">
        <f>IF(D116=0,"N/A",G116-P116)</f>
        <v>N/A</v>
      </c>
      <c r="M116" s="395">
        <f t="shared" si="55"/>
        <v>581.94159999999999</v>
      </c>
      <c r="N116" s="395">
        <f t="shared" si="54"/>
        <v>-1094.5887946266541</v>
      </c>
      <c r="O116" s="395">
        <f t="shared" si="54"/>
        <v>11193.707827248303</v>
      </c>
      <c r="P116" s="399" t="e">
        <f t="shared" si="54"/>
        <v>#DIV/0!</v>
      </c>
    </row>
    <row r="117" spans="2:16">
      <c r="B117" s="206" t="s">
        <v>3990</v>
      </c>
      <c r="C117" s="207">
        <f>'CEC analysis'!O56</f>
        <v>0</v>
      </c>
      <c r="D117" s="9">
        <f>'CEC analysis'!H56</f>
        <v>0</v>
      </c>
      <c r="E117" s="44" t="str">
        <f>IF(D117=0,"N/A",I117*M117)</f>
        <v>N/A</v>
      </c>
      <c r="F117" s="547"/>
      <c r="G117" s="203" t="str">
        <f>IF(D117=0,"N/A",H117*N117+O117)</f>
        <v>N/A</v>
      </c>
      <c r="H117" s="196" t="str">
        <f t="shared" si="52"/>
        <v>N/A</v>
      </c>
      <c r="I117" s="207" t="str">
        <f t="shared" si="53"/>
        <v>N/A</v>
      </c>
      <c r="J117" s="548"/>
      <c r="K117" s="202" t="str">
        <f>IF(D117=0,"N/A",G117-P117)</f>
        <v>N/A</v>
      </c>
      <c r="M117" s="395">
        <f t="shared" si="55"/>
        <v>581.94159999999999</v>
      </c>
      <c r="N117" s="395">
        <f t="shared" si="54"/>
        <v>-1094.5887946266541</v>
      </c>
      <c r="O117" s="395">
        <f t="shared" si="54"/>
        <v>11193.707827248303</v>
      </c>
      <c r="P117" s="399" t="e">
        <f t="shared" si="54"/>
        <v>#DIV/0!</v>
      </c>
    </row>
    <row r="118" spans="2:16">
      <c r="B118" s="209" t="s">
        <v>3991</v>
      </c>
      <c r="E118" s="44"/>
      <c r="G118" s="200"/>
      <c r="H118" s="196"/>
      <c r="I118" s="207"/>
      <c r="J118" s="207"/>
    </row>
    <row r="179" spans="1:23">
      <c r="A179" s="213"/>
      <c r="B179" s="213" t="s">
        <v>4000</v>
      </c>
      <c r="C179" s="213"/>
      <c r="D179" s="213"/>
      <c r="E179" s="213"/>
      <c r="F179" s="213"/>
      <c r="G179" s="213"/>
      <c r="H179" s="213"/>
      <c r="I179" s="213"/>
      <c r="J179" s="213"/>
      <c r="K179" s="213"/>
      <c r="L179" s="213"/>
      <c r="M179" s="213"/>
      <c r="N179" s="213"/>
      <c r="O179" s="213"/>
      <c r="P179" s="213"/>
      <c r="Q179" s="213"/>
      <c r="R179" s="213"/>
      <c r="S179" s="213"/>
      <c r="T179" s="213"/>
      <c r="U179" s="213"/>
      <c r="V179" s="213"/>
      <c r="W179" s="213"/>
    </row>
    <row r="180" spans="1:23">
      <c r="A180" s="214"/>
      <c r="B180" s="214"/>
      <c r="C180" s="214"/>
      <c r="D180" s="214"/>
      <c r="E180" s="214"/>
      <c r="F180" s="214"/>
      <c r="G180" s="214"/>
      <c r="H180" s="214"/>
      <c r="I180" s="214"/>
      <c r="J180" s="214"/>
      <c r="K180" s="214"/>
      <c r="L180" s="214"/>
      <c r="M180" s="214"/>
      <c r="N180" s="214"/>
      <c r="O180" s="214"/>
      <c r="P180" s="214"/>
      <c r="Q180" s="214"/>
      <c r="R180" s="214"/>
      <c r="S180" s="214"/>
      <c r="T180" s="214"/>
      <c r="U180" s="214"/>
      <c r="V180" s="214"/>
      <c r="W180" s="214"/>
    </row>
    <row r="181" spans="1:23">
      <c r="A181" s="214"/>
      <c r="B181" s="214" t="s">
        <v>4001</v>
      </c>
      <c r="C181" s="214"/>
      <c r="D181" s="214"/>
      <c r="E181" s="214"/>
      <c r="F181" s="214"/>
      <c r="G181" s="214"/>
      <c r="H181" s="214"/>
      <c r="I181" s="214"/>
      <c r="J181" s="214"/>
      <c r="K181" s="214"/>
      <c r="L181" s="214"/>
      <c r="M181" s="214"/>
      <c r="N181" s="214"/>
      <c r="O181" s="214"/>
      <c r="P181" s="214"/>
      <c r="Q181" s="214"/>
      <c r="R181" s="214"/>
      <c r="S181" s="214"/>
      <c r="T181" s="214"/>
      <c r="U181" s="214"/>
      <c r="V181" s="214"/>
      <c r="W181" s="214"/>
    </row>
    <row r="182" spans="1:23">
      <c r="A182" s="214"/>
      <c r="B182" s="400"/>
      <c r="C182" s="400"/>
      <c r="D182" s="216" t="s">
        <v>4615</v>
      </c>
      <c r="E182" s="217"/>
      <c r="F182" s="218"/>
      <c r="G182" s="215"/>
      <c r="H182" s="216" t="s">
        <v>4616</v>
      </c>
      <c r="I182" s="217"/>
      <c r="J182" s="218"/>
      <c r="K182" s="215"/>
      <c r="L182" s="216" t="s">
        <v>4617</v>
      </c>
      <c r="M182" s="217"/>
      <c r="N182" s="218"/>
      <c r="O182" s="215"/>
      <c r="P182" s="216" t="s">
        <v>4618</v>
      </c>
      <c r="Q182" s="217"/>
      <c r="R182" s="218"/>
      <c r="S182" s="215"/>
      <c r="T182" s="216" t="s">
        <v>4619</v>
      </c>
      <c r="U182" s="217"/>
      <c r="V182" s="218"/>
      <c r="W182" s="215"/>
    </row>
    <row r="183" spans="1:23">
      <c r="A183" s="214"/>
      <c r="B183" s="215"/>
      <c r="C183" s="215"/>
      <c r="D183" s="221" t="s">
        <v>4014</v>
      </c>
      <c r="E183" s="223">
        <v>18.5</v>
      </c>
      <c r="F183" s="223"/>
      <c r="G183" s="215"/>
      <c r="H183" s="221" t="s">
        <v>4014</v>
      </c>
      <c r="I183" s="223">
        <v>17</v>
      </c>
      <c r="J183" s="223"/>
      <c r="K183" s="215"/>
      <c r="L183" s="221" t="s">
        <v>4014</v>
      </c>
      <c r="M183" s="223">
        <v>18.5</v>
      </c>
      <c r="N183" s="223"/>
      <c r="O183" s="215"/>
      <c r="P183" s="221" t="s">
        <v>4014</v>
      </c>
      <c r="Q183" s="223">
        <v>18.5</v>
      </c>
      <c r="R183" s="223"/>
      <c r="S183" s="215"/>
      <c r="T183" s="221" t="s">
        <v>4014</v>
      </c>
      <c r="U183" s="223">
        <v>18.5</v>
      </c>
      <c r="V183" s="223"/>
      <c r="W183" s="215"/>
    </row>
    <row r="184" spans="1:23">
      <c r="A184" s="214"/>
      <c r="B184" s="224" t="s">
        <v>4015</v>
      </c>
      <c r="C184" s="225"/>
      <c r="D184" s="226" t="s">
        <v>4620</v>
      </c>
      <c r="E184" s="225"/>
      <c r="F184" s="225"/>
      <c r="G184" s="227" t="s">
        <v>4017</v>
      </c>
      <c r="H184" s="226" t="s">
        <v>4621</v>
      </c>
      <c r="I184" s="225"/>
      <c r="J184" s="225"/>
      <c r="K184" s="227" t="s">
        <v>4017</v>
      </c>
      <c r="L184" s="226" t="s">
        <v>4622</v>
      </c>
      <c r="M184" s="225"/>
      <c r="N184" s="225"/>
      <c r="O184" s="227" t="s">
        <v>4017</v>
      </c>
      <c r="P184" s="226" t="s">
        <v>4623</v>
      </c>
      <c r="Q184" s="225"/>
      <c r="R184" s="225"/>
      <c r="S184" s="227" t="s">
        <v>4017</v>
      </c>
      <c r="T184" s="226" t="s">
        <v>4624</v>
      </c>
      <c r="U184" s="225"/>
      <c r="V184" s="225"/>
      <c r="W184" s="227" t="s">
        <v>4017</v>
      </c>
    </row>
    <row r="185" spans="1:23" ht="22.5">
      <c r="A185" s="214"/>
      <c r="B185" s="229" t="s">
        <v>4029</v>
      </c>
      <c r="C185" s="230" t="s">
        <v>4030</v>
      </c>
      <c r="D185" s="231" t="s">
        <v>4031</v>
      </c>
      <c r="E185" s="232" t="s">
        <v>3968</v>
      </c>
      <c r="F185" s="232" t="s">
        <v>4032</v>
      </c>
      <c r="G185" s="227" t="s">
        <v>4033</v>
      </c>
      <c r="H185" s="231" t="s">
        <v>4031</v>
      </c>
      <c r="I185" s="232" t="s">
        <v>3968</v>
      </c>
      <c r="J185" s="232" t="s">
        <v>4032</v>
      </c>
      <c r="K185" s="227" t="s">
        <v>4033</v>
      </c>
      <c r="L185" s="231" t="s">
        <v>4031</v>
      </c>
      <c r="M185" s="232" t="s">
        <v>3968</v>
      </c>
      <c r="N185" s="232" t="s">
        <v>4032</v>
      </c>
      <c r="O185" s="227" t="s">
        <v>4033</v>
      </c>
      <c r="P185" s="231" t="s">
        <v>4031</v>
      </c>
      <c r="Q185" s="232" t="s">
        <v>3968</v>
      </c>
      <c r="R185" s="232" t="s">
        <v>4032</v>
      </c>
      <c r="S185" s="227" t="s">
        <v>4033</v>
      </c>
      <c r="T185" s="231" t="s">
        <v>4031</v>
      </c>
      <c r="U185" s="232" t="s">
        <v>3968</v>
      </c>
      <c r="V185" s="232" t="s">
        <v>4032</v>
      </c>
      <c r="W185" s="227" t="s">
        <v>4033</v>
      </c>
    </row>
    <row r="186" spans="1:23">
      <c r="A186" s="214"/>
      <c r="B186" s="233"/>
      <c r="C186" s="233"/>
      <c r="D186" s="234" t="s">
        <v>4625</v>
      </c>
      <c r="E186" s="235" t="s">
        <v>4035</v>
      </c>
      <c r="F186" s="235" t="s">
        <v>4036</v>
      </c>
      <c r="G186" s="236" t="s">
        <v>4036</v>
      </c>
      <c r="H186" s="234" t="s">
        <v>4625</v>
      </c>
      <c r="I186" s="235" t="s">
        <v>4035</v>
      </c>
      <c r="J186" s="235" t="s">
        <v>4036</v>
      </c>
      <c r="K186" s="236" t="s">
        <v>4036</v>
      </c>
      <c r="L186" s="234" t="s">
        <v>4625</v>
      </c>
      <c r="M186" s="235" t="s">
        <v>4035</v>
      </c>
      <c r="N186" s="235" t="s">
        <v>4036</v>
      </c>
      <c r="O186" s="236" t="s">
        <v>4036</v>
      </c>
      <c r="P186" s="234" t="s">
        <v>4625</v>
      </c>
      <c r="Q186" s="235" t="s">
        <v>4035</v>
      </c>
      <c r="R186" s="235" t="s">
        <v>4036</v>
      </c>
      <c r="S186" s="236" t="s">
        <v>4036</v>
      </c>
      <c r="T186" s="234" t="s">
        <v>4625</v>
      </c>
      <c r="U186" s="235" t="s">
        <v>4035</v>
      </c>
      <c r="V186" s="235" t="s">
        <v>4036</v>
      </c>
      <c r="W186" s="236" t="s">
        <v>4036</v>
      </c>
    </row>
    <row r="187" spans="1:23">
      <c r="A187" s="214"/>
      <c r="B187" s="235">
        <v>0</v>
      </c>
      <c r="C187" s="233" t="s">
        <v>4037</v>
      </c>
      <c r="D187" s="238">
        <v>0</v>
      </c>
      <c r="E187" s="239">
        <v>400.53570754056233</v>
      </c>
      <c r="F187" s="240">
        <v>2.8337420882173832</v>
      </c>
      <c r="G187" s="241">
        <v>367.40269999999998</v>
      </c>
      <c r="H187" s="238">
        <v>0</v>
      </c>
      <c r="I187" s="242">
        <v>684.86497274686064</v>
      </c>
      <c r="J187" s="243">
        <v>4.3717928926774761</v>
      </c>
      <c r="K187" s="246">
        <v>504.24079999999998</v>
      </c>
      <c r="L187" s="238">
        <v>0</v>
      </c>
      <c r="M187" s="242">
        <v>400.53570754056233</v>
      </c>
      <c r="N187" s="243">
        <v>2.8337420882173832</v>
      </c>
      <c r="O187" s="246">
        <v>367.40269999999998</v>
      </c>
      <c r="P187" s="238">
        <v>0</v>
      </c>
      <c r="Q187" s="239">
        <v>400.53570754056233</v>
      </c>
      <c r="R187" s="240">
        <v>2.8337420882173832</v>
      </c>
      <c r="S187" s="241">
        <v>367.40269999999998</v>
      </c>
      <c r="T187" s="238">
        <v>0</v>
      </c>
      <c r="U187" s="242">
        <v>660.09126396246143</v>
      </c>
      <c r="V187" s="401">
        <v>4.3717928926774761</v>
      </c>
      <c r="W187" s="402">
        <v>3937.5394999999999</v>
      </c>
    </row>
    <row r="188" spans="1:23">
      <c r="A188" s="214"/>
      <c r="B188" s="235">
        <v>1</v>
      </c>
      <c r="C188" s="233" t="s">
        <v>4038</v>
      </c>
      <c r="D188" s="251">
        <v>0.1</v>
      </c>
      <c r="E188" s="239">
        <v>360.48274695043654</v>
      </c>
      <c r="F188" s="240">
        <v>2.8881726912711332</v>
      </c>
      <c r="G188" s="241">
        <v>374.72370000000001</v>
      </c>
      <c r="H188" s="251">
        <v>0.1</v>
      </c>
      <c r="I188" s="242">
        <v>616.37847547217461</v>
      </c>
      <c r="J188" s="243">
        <v>4.5340595963149761</v>
      </c>
      <c r="K188" s="246">
        <v>516.97770000000003</v>
      </c>
      <c r="L188" s="251">
        <v>0.1</v>
      </c>
      <c r="M188" s="242">
        <v>360.48274695043654</v>
      </c>
      <c r="N188" s="243">
        <v>2.8881726912711332</v>
      </c>
      <c r="O188" s="246">
        <v>374.72370000000001</v>
      </c>
      <c r="P188" s="251">
        <v>0.1</v>
      </c>
      <c r="Q188" s="239">
        <v>360.48274695043654</v>
      </c>
      <c r="R188" s="240">
        <v>2.8881726912711332</v>
      </c>
      <c r="S188" s="241">
        <v>374.72370000000001</v>
      </c>
      <c r="T188" s="251">
        <v>0.1</v>
      </c>
      <c r="U188" s="242">
        <v>594.09242115898678</v>
      </c>
      <c r="V188" s="401">
        <v>4.5359208990274764</v>
      </c>
      <c r="W188" s="402">
        <v>3956.3607999999999</v>
      </c>
    </row>
    <row r="189" spans="1:23">
      <c r="A189" s="214"/>
      <c r="B189" s="235">
        <v>2</v>
      </c>
      <c r="C189" s="233" t="s">
        <v>4039</v>
      </c>
      <c r="D189" s="251">
        <v>0.15</v>
      </c>
      <c r="E189" s="239">
        <v>340.45626665537372</v>
      </c>
      <c r="F189" s="240">
        <v>2.9261766033711329</v>
      </c>
      <c r="G189" s="241">
        <v>384.09100000000001</v>
      </c>
      <c r="H189" s="251">
        <v>0.15</v>
      </c>
      <c r="I189" s="242">
        <v>582.13522683483166</v>
      </c>
      <c r="J189" s="243">
        <v>4.6569472462962258</v>
      </c>
      <c r="K189" s="246">
        <v>536.63499999999999</v>
      </c>
      <c r="L189" s="251">
        <v>0.15</v>
      </c>
      <c r="M189" s="242">
        <v>340.45626665537372</v>
      </c>
      <c r="N189" s="243">
        <v>2.9261766033711329</v>
      </c>
      <c r="O189" s="246">
        <v>384.09100000000001</v>
      </c>
      <c r="P189" s="251">
        <v>0.15</v>
      </c>
      <c r="Q189" s="239">
        <v>340.45626665537372</v>
      </c>
      <c r="R189" s="240">
        <v>2.9261766033711329</v>
      </c>
      <c r="S189" s="241">
        <v>384.09100000000001</v>
      </c>
      <c r="T189" s="251">
        <v>0.15</v>
      </c>
      <c r="U189" s="242">
        <v>561.09299975724946</v>
      </c>
      <c r="V189" s="401">
        <v>4.719099477543101</v>
      </c>
      <c r="W189" s="402">
        <v>3970.4785999999999</v>
      </c>
    </row>
    <row r="190" spans="1:23">
      <c r="A190" s="214"/>
      <c r="B190" s="235">
        <v>3</v>
      </c>
      <c r="C190" s="233" t="s">
        <v>4040</v>
      </c>
      <c r="D190" s="251">
        <v>0.2</v>
      </c>
      <c r="E190" s="239">
        <v>320.42978636031086</v>
      </c>
      <c r="F190" s="240">
        <v>2.951116670686758</v>
      </c>
      <c r="G190" s="241">
        <v>394.90190000000001</v>
      </c>
      <c r="H190" s="251">
        <v>0.2</v>
      </c>
      <c r="I190" s="242">
        <v>547.89197819748858</v>
      </c>
      <c r="J190" s="243">
        <v>4.7395620006096637</v>
      </c>
      <c r="K190" s="246">
        <v>554.06140000000005</v>
      </c>
      <c r="L190" s="251">
        <v>0.2</v>
      </c>
      <c r="M190" s="242">
        <v>320.42978636031086</v>
      </c>
      <c r="N190" s="243">
        <v>2.951116670686758</v>
      </c>
      <c r="O190" s="246">
        <v>394.90190000000001</v>
      </c>
      <c r="P190" s="251">
        <v>0.2</v>
      </c>
      <c r="Q190" s="239">
        <v>320.42978636031086</v>
      </c>
      <c r="R190" s="240">
        <v>2.951116670686758</v>
      </c>
      <c r="S190" s="241">
        <v>394.90190000000001</v>
      </c>
      <c r="T190" s="251">
        <v>0.2</v>
      </c>
      <c r="U190" s="242">
        <v>528.09357835551214</v>
      </c>
      <c r="V190" s="401">
        <v>5.3770769315712261</v>
      </c>
      <c r="W190" s="402">
        <v>4056.6689999999999</v>
      </c>
    </row>
    <row r="191" spans="1:23">
      <c r="A191" s="214"/>
      <c r="B191" s="235">
        <v>4</v>
      </c>
      <c r="C191" s="233" t="s">
        <v>4041</v>
      </c>
      <c r="D191" s="251">
        <v>0.25</v>
      </c>
      <c r="E191" s="239">
        <v>300.40330606524799</v>
      </c>
      <c r="F191" s="240">
        <v>2.951116670686758</v>
      </c>
      <c r="G191" s="241">
        <v>438.2595</v>
      </c>
      <c r="H191" s="251">
        <v>0.25</v>
      </c>
      <c r="I191" s="242">
        <v>513.64872956014551</v>
      </c>
      <c r="J191" s="243">
        <v>4.7395620006096637</v>
      </c>
      <c r="K191" s="246">
        <v>580.50260000000003</v>
      </c>
      <c r="L191" s="251">
        <v>0.25</v>
      </c>
      <c r="M191" s="242">
        <v>300.40330606524799</v>
      </c>
      <c r="N191" s="243">
        <v>2.951116670686758</v>
      </c>
      <c r="O191" s="246">
        <v>438.2595</v>
      </c>
      <c r="P191" s="251">
        <v>0.25</v>
      </c>
      <c r="Q191" s="239">
        <v>300.40330606524799</v>
      </c>
      <c r="R191" s="240">
        <v>2.951116670686758</v>
      </c>
      <c r="S191" s="241">
        <v>438.2595</v>
      </c>
      <c r="T191" s="251">
        <v>0.25</v>
      </c>
      <c r="U191" s="242">
        <v>495.09018219236191</v>
      </c>
      <c r="V191" s="401">
        <v>5.3770769315712261</v>
      </c>
      <c r="W191" s="402">
        <v>4191.7385999999997</v>
      </c>
    </row>
    <row r="192" spans="1:23">
      <c r="A192" s="214"/>
      <c r="B192" s="235">
        <v>5</v>
      </c>
      <c r="C192" s="233" t="s">
        <v>4042</v>
      </c>
      <c r="D192" s="251">
        <v>0.3</v>
      </c>
      <c r="E192" s="239">
        <v>280.37682577018506</v>
      </c>
      <c r="F192" s="240">
        <v>2.951116670686758</v>
      </c>
      <c r="G192" s="241">
        <v>457.4033</v>
      </c>
      <c r="H192" s="251">
        <v>0.3</v>
      </c>
      <c r="I192" s="242">
        <v>479.40548092280244</v>
      </c>
      <c r="J192" s="243">
        <v>4.7395620006096637</v>
      </c>
      <c r="K192" s="246">
        <v>604.65599999999995</v>
      </c>
      <c r="L192" s="251">
        <v>0.3</v>
      </c>
      <c r="M192" s="242">
        <v>280.37682577018506</v>
      </c>
      <c r="N192" s="243">
        <v>2.951116670686758</v>
      </c>
      <c r="O192" s="246">
        <v>457.4033</v>
      </c>
      <c r="P192" s="251">
        <v>0.3</v>
      </c>
      <c r="Q192" s="239">
        <v>280.37682577018506</v>
      </c>
      <c r="R192" s="240">
        <v>2.951116670686758</v>
      </c>
      <c r="S192" s="241">
        <v>457.4033</v>
      </c>
      <c r="T192" s="251">
        <v>0.27</v>
      </c>
      <c r="U192" s="242">
        <v>479.24855203404979</v>
      </c>
      <c r="V192" s="401">
        <v>5.3770769315712261</v>
      </c>
      <c r="W192" s="402">
        <v>4294.7782999999999</v>
      </c>
    </row>
    <row r="193" spans="1:23">
      <c r="A193" s="214"/>
      <c r="B193" s="235">
        <v>6</v>
      </c>
      <c r="C193" s="233" t="s">
        <v>4043</v>
      </c>
      <c r="D193" s="251">
        <v>0.35</v>
      </c>
      <c r="E193" s="239">
        <v>260.3503454751222</v>
      </c>
      <c r="F193" s="240">
        <v>3.5365519350430081</v>
      </c>
      <c r="G193" s="241">
        <v>511.85610000000003</v>
      </c>
      <c r="H193" s="251">
        <v>0.35</v>
      </c>
      <c r="I193" s="242">
        <v>445.16223228545937</v>
      </c>
      <c r="J193" s="243">
        <v>5.1664184409565381</v>
      </c>
      <c r="K193" s="246">
        <v>658.69939999999997</v>
      </c>
      <c r="L193" s="251">
        <v>0.35</v>
      </c>
      <c r="M193" s="242">
        <v>260.3503454751222</v>
      </c>
      <c r="N193" s="243">
        <v>3.5365519350430081</v>
      </c>
      <c r="O193" s="246">
        <v>511.85610000000003</v>
      </c>
      <c r="P193" s="251">
        <v>0.35</v>
      </c>
      <c r="Q193" s="239">
        <v>260.3503454751222</v>
      </c>
      <c r="R193" s="240">
        <v>3.5365519350430081</v>
      </c>
      <c r="S193" s="241">
        <v>511.85610000000003</v>
      </c>
      <c r="T193" s="251"/>
      <c r="U193" s="253">
        <v>0</v>
      </c>
      <c r="V193" s="253">
        <v>0</v>
      </c>
      <c r="W193" s="253">
        <v>0</v>
      </c>
    </row>
    <row r="194" spans="1:23">
      <c r="A194" s="214"/>
      <c r="B194" s="235">
        <v>7</v>
      </c>
      <c r="C194" s="233" t="s">
        <v>4626</v>
      </c>
      <c r="D194" s="251">
        <v>0.41</v>
      </c>
      <c r="E194" s="239">
        <v>235.11638891368727</v>
      </c>
      <c r="F194" s="240">
        <v>3.5365519350430081</v>
      </c>
      <c r="G194" s="241">
        <v>622.54510000000005</v>
      </c>
      <c r="H194" s="251">
        <v>0.4</v>
      </c>
      <c r="I194" s="242">
        <v>410.91898364811647</v>
      </c>
      <c r="J194" s="243">
        <v>5.6539686290815379</v>
      </c>
      <c r="K194" s="246">
        <v>734.07339999999999</v>
      </c>
      <c r="L194" s="251">
        <v>0.41</v>
      </c>
      <c r="M194" s="242">
        <v>235.11638891368727</v>
      </c>
      <c r="N194" s="243">
        <v>3.5365519350430081</v>
      </c>
      <c r="O194" s="246">
        <v>622.54510000000005</v>
      </c>
      <c r="P194" s="251">
        <v>0.41</v>
      </c>
      <c r="Q194" s="239">
        <v>235.11638891368727</v>
      </c>
      <c r="R194" s="240">
        <v>3.5365519350430081</v>
      </c>
      <c r="S194" s="241">
        <v>622.54510000000005</v>
      </c>
      <c r="T194" s="251"/>
      <c r="U194" s="253">
        <v>0</v>
      </c>
      <c r="V194" s="253">
        <v>0</v>
      </c>
      <c r="W194" s="253">
        <v>0</v>
      </c>
    </row>
    <row r="195" spans="1:23">
      <c r="A195" s="214"/>
      <c r="B195" s="235">
        <v>8</v>
      </c>
      <c r="C195" s="233" t="s">
        <v>4627</v>
      </c>
      <c r="D195" s="251">
        <v>0</v>
      </c>
      <c r="E195" s="239">
        <v>0</v>
      </c>
      <c r="F195" s="240">
        <v>0</v>
      </c>
      <c r="G195" s="241">
        <v>0</v>
      </c>
      <c r="H195" s="251">
        <v>0.44</v>
      </c>
      <c r="I195" s="242">
        <v>386.26384462922948</v>
      </c>
      <c r="J195" s="243">
        <v>5.6539686290815379</v>
      </c>
      <c r="K195" s="246">
        <v>901.03629999999998</v>
      </c>
      <c r="L195" s="251"/>
      <c r="M195" s="253">
        <v>0</v>
      </c>
      <c r="N195" s="253">
        <v>0</v>
      </c>
      <c r="O195" s="254">
        <v>0</v>
      </c>
      <c r="P195" s="251">
        <v>0</v>
      </c>
      <c r="Q195" s="239">
        <v>0</v>
      </c>
      <c r="R195" s="240">
        <v>0</v>
      </c>
      <c r="S195" s="241">
        <v>0</v>
      </c>
      <c r="T195" s="251"/>
      <c r="U195" s="253">
        <v>0</v>
      </c>
      <c r="V195" s="253">
        <v>0</v>
      </c>
      <c r="W195" s="253">
        <v>0</v>
      </c>
    </row>
    <row r="196" spans="1:23">
      <c r="A196" s="214"/>
      <c r="B196" s="214"/>
      <c r="C196" s="214"/>
      <c r="D196" s="403" t="s">
        <v>4628</v>
      </c>
      <c r="E196" s="257"/>
      <c r="F196" s="257"/>
      <c r="G196" s="257"/>
      <c r="H196" s="214" t="s">
        <v>4629</v>
      </c>
      <c r="I196" s="214"/>
      <c r="J196" s="214"/>
      <c r="K196" s="214"/>
      <c r="L196" s="214" t="s">
        <v>4630</v>
      </c>
      <c r="M196" s="214"/>
      <c r="N196" s="214"/>
      <c r="O196" s="214"/>
      <c r="P196" s="403" t="s">
        <v>4631</v>
      </c>
      <c r="Q196" s="257"/>
      <c r="R196" s="257"/>
      <c r="S196" s="257"/>
      <c r="T196" s="214" t="s">
        <v>4632</v>
      </c>
      <c r="U196" s="214"/>
      <c r="V196" s="214"/>
      <c r="W196" s="214"/>
    </row>
    <row r="197" spans="1:23">
      <c r="A197" s="214"/>
      <c r="B197" s="214"/>
      <c r="C197" s="214"/>
      <c r="D197" s="214"/>
      <c r="E197" s="214"/>
      <c r="F197" s="214"/>
      <c r="G197" s="214"/>
      <c r="H197" s="214"/>
      <c r="I197" s="214"/>
      <c r="J197" s="214"/>
      <c r="K197" s="214"/>
      <c r="L197" s="214"/>
      <c r="M197" s="214"/>
      <c r="N197" s="214"/>
      <c r="O197" s="214"/>
      <c r="P197" s="214"/>
      <c r="Q197" s="214"/>
      <c r="R197" s="214"/>
      <c r="S197" s="214"/>
      <c r="T197" s="214"/>
      <c r="U197" s="214"/>
      <c r="V197" s="214"/>
      <c r="W197" s="214"/>
    </row>
    <row r="198" spans="1:23">
      <c r="A198" s="214"/>
      <c r="B198" s="214"/>
      <c r="C198" s="214"/>
      <c r="D198" s="214"/>
      <c r="E198" s="214"/>
      <c r="F198" s="214"/>
      <c r="G198" s="214"/>
      <c r="H198" s="214"/>
      <c r="I198" s="214"/>
      <c r="J198" s="214"/>
      <c r="K198" s="214"/>
      <c r="L198" s="214"/>
      <c r="M198" s="214"/>
      <c r="N198" s="214"/>
      <c r="O198" s="214"/>
      <c r="P198" s="214"/>
      <c r="Q198" s="214"/>
      <c r="R198" s="214"/>
      <c r="S198" s="214"/>
      <c r="T198" s="214"/>
      <c r="U198" s="214"/>
      <c r="V198" s="214"/>
      <c r="W198" s="214"/>
    </row>
    <row r="199" spans="1:23">
      <c r="A199" s="214"/>
      <c r="B199" s="214" t="s">
        <v>4047</v>
      </c>
      <c r="C199" s="214"/>
      <c r="D199" s="214"/>
      <c r="E199" s="214"/>
      <c r="F199" s="214"/>
      <c r="G199" s="214"/>
      <c r="H199" s="214"/>
      <c r="I199" s="214"/>
      <c r="J199" s="214"/>
      <c r="K199" s="214"/>
      <c r="L199" s="214"/>
      <c r="M199" s="214"/>
      <c r="N199" s="214"/>
      <c r="O199" s="214"/>
      <c r="P199" s="214"/>
      <c r="Q199" s="214"/>
      <c r="R199" s="214"/>
      <c r="S199" s="214"/>
      <c r="T199" s="214"/>
      <c r="U199" s="214"/>
      <c r="V199" s="214"/>
      <c r="W199" s="214"/>
    </row>
    <row r="200" spans="1:23">
      <c r="A200" s="214"/>
      <c r="B200" s="400"/>
      <c r="C200" s="400"/>
      <c r="D200" s="216" t="s">
        <v>4615</v>
      </c>
      <c r="E200" s="217"/>
      <c r="F200" s="218"/>
      <c r="G200" s="215"/>
      <c r="H200" s="216" t="s">
        <v>4616</v>
      </c>
      <c r="I200" s="217"/>
      <c r="J200" s="218"/>
      <c r="K200" s="215"/>
      <c r="L200" s="216" t="s">
        <v>4617</v>
      </c>
      <c r="M200" s="217"/>
      <c r="N200" s="218"/>
      <c r="O200" s="215"/>
      <c r="P200" s="216" t="s">
        <v>4618</v>
      </c>
      <c r="Q200" s="217"/>
      <c r="R200" s="218"/>
      <c r="S200" s="215"/>
      <c r="T200" s="216" t="s">
        <v>4619</v>
      </c>
      <c r="U200" s="217"/>
      <c r="V200" s="218"/>
      <c r="W200" s="215"/>
    </row>
    <row r="201" spans="1:23">
      <c r="A201" s="214"/>
      <c r="B201" s="215"/>
      <c r="C201" s="215"/>
      <c r="D201" s="221" t="s">
        <v>4014</v>
      </c>
      <c r="E201" s="223">
        <v>18.5</v>
      </c>
      <c r="F201" s="223"/>
      <c r="G201" s="215"/>
      <c r="H201" s="221" t="s">
        <v>4014</v>
      </c>
      <c r="I201" s="223">
        <v>17</v>
      </c>
      <c r="J201" s="223"/>
      <c r="K201" s="215"/>
      <c r="L201" s="221" t="s">
        <v>4014</v>
      </c>
      <c r="M201" s="223">
        <v>18.5</v>
      </c>
      <c r="N201" s="223"/>
      <c r="O201" s="215"/>
      <c r="P201" s="221" t="s">
        <v>4014</v>
      </c>
      <c r="Q201" s="223">
        <v>18.5</v>
      </c>
      <c r="R201" s="223"/>
      <c r="S201" s="215"/>
      <c r="T201" s="221" t="s">
        <v>4014</v>
      </c>
      <c r="U201" s="223">
        <v>18.5</v>
      </c>
      <c r="V201" s="223"/>
      <c r="W201" s="215"/>
    </row>
    <row r="202" spans="1:23">
      <c r="A202" s="214"/>
      <c r="B202" s="224" t="s">
        <v>4015</v>
      </c>
      <c r="C202" s="225"/>
      <c r="D202" s="226" t="s">
        <v>4620</v>
      </c>
      <c r="E202" s="225"/>
      <c r="F202" s="225"/>
      <c r="G202" s="227" t="s">
        <v>4017</v>
      </c>
      <c r="H202" s="226" t="s">
        <v>4621</v>
      </c>
      <c r="I202" s="225"/>
      <c r="J202" s="225"/>
      <c r="K202" s="227" t="s">
        <v>4017</v>
      </c>
      <c r="L202" s="226" t="s">
        <v>4622</v>
      </c>
      <c r="M202" s="225"/>
      <c r="N202" s="225"/>
      <c r="O202" s="227" t="s">
        <v>4017</v>
      </c>
      <c r="P202" s="226" t="s">
        <v>4623</v>
      </c>
      <c r="Q202" s="225"/>
      <c r="R202" s="225"/>
      <c r="S202" s="227" t="s">
        <v>4017</v>
      </c>
      <c r="T202" s="226" t="s">
        <v>4624</v>
      </c>
      <c r="U202" s="225"/>
      <c r="V202" s="225"/>
      <c r="W202" s="227" t="s">
        <v>4017</v>
      </c>
    </row>
    <row r="203" spans="1:23" ht="22.5">
      <c r="A203" s="214"/>
      <c r="B203" s="229" t="s">
        <v>4029</v>
      </c>
      <c r="C203" s="230" t="s">
        <v>4030</v>
      </c>
      <c r="D203" s="231" t="s">
        <v>4031</v>
      </c>
      <c r="E203" s="232" t="s">
        <v>3968</v>
      </c>
      <c r="F203" s="232" t="s">
        <v>4032</v>
      </c>
      <c r="G203" s="227" t="s">
        <v>4033</v>
      </c>
      <c r="H203" s="231" t="s">
        <v>4031</v>
      </c>
      <c r="I203" s="232" t="s">
        <v>3968</v>
      </c>
      <c r="J203" s="232" t="s">
        <v>4032</v>
      </c>
      <c r="K203" s="227" t="s">
        <v>4033</v>
      </c>
      <c r="L203" s="231" t="s">
        <v>4031</v>
      </c>
      <c r="M203" s="232" t="s">
        <v>3968</v>
      </c>
      <c r="N203" s="232" t="s">
        <v>4032</v>
      </c>
      <c r="O203" s="227" t="s">
        <v>4033</v>
      </c>
      <c r="P203" s="231" t="s">
        <v>4031</v>
      </c>
      <c r="Q203" s="232" t="s">
        <v>3968</v>
      </c>
      <c r="R203" s="232" t="s">
        <v>4032</v>
      </c>
      <c r="S203" s="227" t="s">
        <v>4033</v>
      </c>
      <c r="T203" s="231" t="s">
        <v>4031</v>
      </c>
      <c r="U203" s="232" t="s">
        <v>3968</v>
      </c>
      <c r="V203" s="232" t="s">
        <v>4032</v>
      </c>
      <c r="W203" s="227" t="s">
        <v>4033</v>
      </c>
    </row>
    <row r="204" spans="1:23">
      <c r="A204" s="214"/>
      <c r="B204" s="233"/>
      <c r="C204" s="233"/>
      <c r="D204" s="234" t="s">
        <v>4625</v>
      </c>
      <c r="E204" s="235" t="s">
        <v>4035</v>
      </c>
      <c r="F204" s="235" t="s">
        <v>4036</v>
      </c>
      <c r="G204" s="236" t="s">
        <v>4036</v>
      </c>
      <c r="H204" s="234" t="s">
        <v>4625</v>
      </c>
      <c r="I204" s="235" t="s">
        <v>4035</v>
      </c>
      <c r="J204" s="235" t="s">
        <v>4036</v>
      </c>
      <c r="K204" s="236" t="s">
        <v>4036</v>
      </c>
      <c r="L204" s="234" t="s">
        <v>4625</v>
      </c>
      <c r="M204" s="235" t="s">
        <v>4035</v>
      </c>
      <c r="N204" s="235" t="s">
        <v>4036</v>
      </c>
      <c r="O204" s="236" t="s">
        <v>4036</v>
      </c>
      <c r="P204" s="234" t="s">
        <v>4625</v>
      </c>
      <c r="Q204" s="235" t="s">
        <v>4035</v>
      </c>
      <c r="R204" s="235" t="s">
        <v>4036</v>
      </c>
      <c r="S204" s="236" t="s">
        <v>4036</v>
      </c>
      <c r="T204" s="234" t="s">
        <v>4625</v>
      </c>
      <c r="U204" s="235" t="s">
        <v>4035</v>
      </c>
      <c r="V204" s="235" t="s">
        <v>4036</v>
      </c>
      <c r="W204" s="236" t="s">
        <v>4036</v>
      </c>
    </row>
    <row r="205" spans="1:23">
      <c r="A205" s="214"/>
      <c r="B205" s="235">
        <v>0</v>
      </c>
      <c r="C205" s="233" t="s">
        <v>4037</v>
      </c>
      <c r="D205" s="238">
        <v>0</v>
      </c>
      <c r="E205" s="239">
        <v>400.53570754056233</v>
      </c>
      <c r="F205" s="240">
        <v>2.8337420882173832</v>
      </c>
      <c r="G205" s="241">
        <v>405.15600000000001</v>
      </c>
      <c r="H205" s="238">
        <v>0</v>
      </c>
      <c r="I205" s="242">
        <v>684.86497274686064</v>
      </c>
      <c r="J205" s="243">
        <v>4.3717928926774761</v>
      </c>
      <c r="K205" s="246">
        <v>555.22889999999995</v>
      </c>
      <c r="L205" s="238">
        <v>0</v>
      </c>
      <c r="M205" s="242">
        <v>400.53570754056233</v>
      </c>
      <c r="N205" s="243">
        <v>2.8337420882173832</v>
      </c>
      <c r="O205" s="246">
        <v>405.15600000000001</v>
      </c>
      <c r="P205" s="238">
        <v>0</v>
      </c>
      <c r="Q205" s="239">
        <v>400.53570754056233</v>
      </c>
      <c r="R205" s="240">
        <v>2.8337420882173832</v>
      </c>
      <c r="S205" s="241">
        <v>405.15600000000001</v>
      </c>
      <c r="T205" s="238">
        <v>0</v>
      </c>
      <c r="U205" s="242">
        <v>660.09126396246143</v>
      </c>
      <c r="V205" s="401">
        <v>4.3717928926774761</v>
      </c>
      <c r="W205" s="402">
        <v>4343.5768000000007</v>
      </c>
    </row>
    <row r="206" spans="1:23">
      <c r="A206" s="214"/>
      <c r="B206" s="235">
        <v>1</v>
      </c>
      <c r="C206" s="233" t="s">
        <v>4038</v>
      </c>
      <c r="D206" s="251">
        <v>0.1</v>
      </c>
      <c r="E206" s="239">
        <v>360.48213678650609</v>
      </c>
      <c r="F206" s="240">
        <v>2.8881726912711332</v>
      </c>
      <c r="G206" s="241">
        <v>418.24470000000002</v>
      </c>
      <c r="H206" s="251">
        <v>0.1</v>
      </c>
      <c r="I206" s="242">
        <v>616.37847547217461</v>
      </c>
      <c r="J206" s="243">
        <v>4.5340595963149761</v>
      </c>
      <c r="K206" s="246">
        <v>581.17550000000006</v>
      </c>
      <c r="L206" s="251">
        <v>0.1</v>
      </c>
      <c r="M206" s="242">
        <v>360.48213678650609</v>
      </c>
      <c r="N206" s="243">
        <v>2.8881726912711332</v>
      </c>
      <c r="O206" s="246">
        <v>418.24470000000002</v>
      </c>
      <c r="P206" s="251">
        <v>0.1</v>
      </c>
      <c r="Q206" s="239">
        <v>360.48213678650609</v>
      </c>
      <c r="R206" s="240">
        <v>2.8881726912711332</v>
      </c>
      <c r="S206" s="241">
        <v>418.24470000000002</v>
      </c>
      <c r="T206" s="251">
        <v>0.1</v>
      </c>
      <c r="U206" s="242">
        <v>594.08213756621535</v>
      </c>
      <c r="V206" s="401">
        <v>4.5359208990274764</v>
      </c>
      <c r="W206" s="402">
        <v>4367.7956000000004</v>
      </c>
    </row>
    <row r="207" spans="1:23">
      <c r="A207" s="214"/>
      <c r="B207" s="235">
        <v>2</v>
      </c>
      <c r="C207" s="233" t="s">
        <v>4039</v>
      </c>
      <c r="D207" s="251">
        <v>0.15</v>
      </c>
      <c r="E207" s="239">
        <v>340.45535140947794</v>
      </c>
      <c r="F207" s="240">
        <v>2.9261766033711329</v>
      </c>
      <c r="G207" s="241">
        <v>429.37639999999999</v>
      </c>
      <c r="H207" s="251">
        <v>0.15</v>
      </c>
      <c r="I207" s="242">
        <v>582.13522683483154</v>
      </c>
      <c r="J207" s="243">
        <v>4.6569472462962258</v>
      </c>
      <c r="K207" s="246">
        <v>599.83529999999996</v>
      </c>
      <c r="L207" s="251">
        <v>0.15</v>
      </c>
      <c r="M207" s="242">
        <v>340.45535140947794</v>
      </c>
      <c r="N207" s="243">
        <v>2.9261766033711329</v>
      </c>
      <c r="O207" s="246">
        <v>429.37639999999999</v>
      </c>
      <c r="P207" s="251">
        <v>0.15</v>
      </c>
      <c r="Q207" s="239">
        <v>340.45535140947794</v>
      </c>
      <c r="R207" s="240">
        <v>2.9261766033711329</v>
      </c>
      <c r="S207" s="241">
        <v>429.37639999999999</v>
      </c>
      <c r="T207" s="251">
        <v>0.15</v>
      </c>
      <c r="U207" s="242">
        <v>561.0775743680922</v>
      </c>
      <c r="V207" s="401">
        <v>4.719099477543101</v>
      </c>
      <c r="W207" s="402">
        <v>4446.8098999999984</v>
      </c>
    </row>
    <row r="208" spans="1:23">
      <c r="A208" s="214"/>
      <c r="B208" s="235">
        <v>3</v>
      </c>
      <c r="C208" s="233" t="s">
        <v>4040</v>
      </c>
      <c r="D208" s="251">
        <v>0.2</v>
      </c>
      <c r="E208" s="239">
        <v>320.42856603244991</v>
      </c>
      <c r="F208" s="240">
        <v>2.951116670686758</v>
      </c>
      <c r="G208" s="241">
        <v>468.09320000000002</v>
      </c>
      <c r="H208" s="251">
        <v>0.2</v>
      </c>
      <c r="I208" s="242">
        <v>547.89197819748858</v>
      </c>
      <c r="J208" s="243">
        <v>4.7395620006096637</v>
      </c>
      <c r="K208" s="246">
        <v>625.72029999999995</v>
      </c>
      <c r="L208" s="251">
        <v>0.2</v>
      </c>
      <c r="M208" s="242">
        <v>320.42856603244991</v>
      </c>
      <c r="N208" s="243">
        <v>2.951116670686758</v>
      </c>
      <c r="O208" s="246">
        <v>468.09320000000002</v>
      </c>
      <c r="P208" s="251">
        <v>0.2</v>
      </c>
      <c r="Q208" s="239">
        <v>320.42856603244991</v>
      </c>
      <c r="R208" s="240">
        <v>2.951116670686758</v>
      </c>
      <c r="S208" s="241">
        <v>468.09320000000002</v>
      </c>
      <c r="T208" s="251">
        <v>0.2</v>
      </c>
      <c r="U208" s="242">
        <v>528.07301116996916</v>
      </c>
      <c r="V208" s="401">
        <v>5.3770769315712261</v>
      </c>
      <c r="W208" s="402">
        <v>4578.3465000000006</v>
      </c>
    </row>
    <row r="209" spans="1:23">
      <c r="A209" s="214"/>
      <c r="B209" s="235">
        <v>4</v>
      </c>
      <c r="C209" s="233" t="s">
        <v>4041</v>
      </c>
      <c r="D209" s="251">
        <v>0.25</v>
      </c>
      <c r="E209" s="239">
        <v>300.40178065542176</v>
      </c>
      <c r="F209" s="240">
        <v>2.951116670686758</v>
      </c>
      <c r="G209" s="241">
        <v>494.56819999999999</v>
      </c>
      <c r="H209" s="251">
        <v>0.25</v>
      </c>
      <c r="I209" s="242">
        <v>513.64872956014551</v>
      </c>
      <c r="J209" s="243">
        <v>4.7395620006096637</v>
      </c>
      <c r="K209" s="246">
        <v>651.69680000000005</v>
      </c>
      <c r="L209" s="251">
        <v>0.25</v>
      </c>
      <c r="M209" s="242">
        <v>300.40178065542176</v>
      </c>
      <c r="N209" s="243">
        <v>2.951116670686758</v>
      </c>
      <c r="O209" s="246">
        <v>494.56819999999999</v>
      </c>
      <c r="P209" s="251">
        <v>0.25</v>
      </c>
      <c r="Q209" s="239">
        <v>300.40178065542176</v>
      </c>
      <c r="R209" s="240">
        <v>2.951116670686758</v>
      </c>
      <c r="S209" s="241">
        <v>494.56819999999999</v>
      </c>
      <c r="T209" s="251">
        <v>0.25</v>
      </c>
      <c r="U209" s="242">
        <v>495.06844797184607</v>
      </c>
      <c r="V209" s="401">
        <v>5.3770769315712261</v>
      </c>
      <c r="W209" s="402">
        <v>4727.5037000000002</v>
      </c>
    </row>
    <row r="210" spans="1:23">
      <c r="A210" s="214"/>
      <c r="B210" s="235">
        <v>5</v>
      </c>
      <c r="C210" s="233" t="s">
        <v>4042</v>
      </c>
      <c r="D210" s="251">
        <v>0.3</v>
      </c>
      <c r="E210" s="239">
        <v>280.37499527839361</v>
      </c>
      <c r="F210" s="240">
        <v>2.951116670686758</v>
      </c>
      <c r="G210" s="241">
        <v>540.65239999999994</v>
      </c>
      <c r="H210" s="251">
        <v>0.3</v>
      </c>
      <c r="I210" s="242">
        <v>479.40548092280244</v>
      </c>
      <c r="J210" s="243">
        <v>4.7395620006096637</v>
      </c>
      <c r="K210" s="246">
        <v>699.05420000000004</v>
      </c>
      <c r="L210" s="251">
        <v>0.3</v>
      </c>
      <c r="M210" s="242">
        <v>280.37499527839361</v>
      </c>
      <c r="N210" s="243">
        <v>2.951116670686758</v>
      </c>
      <c r="O210" s="246">
        <v>540.65239999999994</v>
      </c>
      <c r="P210" s="251">
        <v>0.3</v>
      </c>
      <c r="Q210" s="239">
        <v>280.37499527839361</v>
      </c>
      <c r="R210" s="240">
        <v>2.951116670686758</v>
      </c>
      <c r="S210" s="241">
        <v>540.65239999999994</v>
      </c>
      <c r="T210" s="251">
        <v>0.27</v>
      </c>
      <c r="U210" s="253">
        <v>0</v>
      </c>
      <c r="V210" s="253">
        <v>0</v>
      </c>
      <c r="W210" s="253">
        <v>0</v>
      </c>
    </row>
    <row r="211" spans="1:23">
      <c r="A211" s="214"/>
      <c r="B211" s="235">
        <v>6</v>
      </c>
      <c r="C211" s="233" t="s">
        <v>4043</v>
      </c>
      <c r="D211" s="251">
        <v>0.35</v>
      </c>
      <c r="E211" s="239">
        <v>260.34820990136552</v>
      </c>
      <c r="F211" s="240">
        <v>3.5365519350430081</v>
      </c>
      <c r="G211" s="241">
        <v>620.12630000000001</v>
      </c>
      <c r="H211" s="251">
        <v>0.35</v>
      </c>
      <c r="I211" s="242">
        <v>445.16223228545942</v>
      </c>
      <c r="J211" s="243">
        <v>5.1664184409565381</v>
      </c>
      <c r="K211" s="246">
        <v>770.39890000000003</v>
      </c>
      <c r="L211" s="251">
        <v>0.35</v>
      </c>
      <c r="M211" s="242">
        <v>260.34820990136552</v>
      </c>
      <c r="N211" s="243">
        <v>3.5365519350430081</v>
      </c>
      <c r="O211" s="246">
        <v>620.12630000000001</v>
      </c>
      <c r="P211" s="251">
        <v>0.35</v>
      </c>
      <c r="Q211" s="239">
        <v>260.34820990136552</v>
      </c>
      <c r="R211" s="240">
        <v>3.5365519350430081</v>
      </c>
      <c r="S211" s="241">
        <v>620.12630000000001</v>
      </c>
      <c r="T211" s="251"/>
      <c r="U211" s="253">
        <v>0</v>
      </c>
      <c r="V211" s="253">
        <v>0</v>
      </c>
      <c r="W211" s="253">
        <v>0</v>
      </c>
    </row>
    <row r="212" spans="1:23">
      <c r="A212" s="214"/>
      <c r="B212" s="235">
        <v>7</v>
      </c>
      <c r="C212" s="233" t="s">
        <v>4626</v>
      </c>
      <c r="D212" s="251">
        <v>0.4</v>
      </c>
      <c r="E212" s="239">
        <v>240.32142452433737</v>
      </c>
      <c r="F212" s="240">
        <v>3.5365519350430081</v>
      </c>
      <c r="G212" s="241">
        <v>682.6789</v>
      </c>
      <c r="H212" s="251">
        <v>0.4</v>
      </c>
      <c r="I212" s="242">
        <v>410.91898364811635</v>
      </c>
      <c r="J212" s="243">
        <v>5.6539686290815379</v>
      </c>
      <c r="K212" s="246">
        <v>948.25059999999996</v>
      </c>
      <c r="L212" s="251">
        <v>0.4</v>
      </c>
      <c r="M212" s="242">
        <v>240.32142452433737</v>
      </c>
      <c r="N212" s="243">
        <v>3.5365519350430081</v>
      </c>
      <c r="O212" s="246">
        <v>682.6789</v>
      </c>
      <c r="P212" s="251">
        <v>0.4</v>
      </c>
      <c r="Q212" s="239">
        <v>240.32142452433737</v>
      </c>
      <c r="R212" s="240">
        <v>3.5365519350430081</v>
      </c>
      <c r="S212" s="241">
        <v>682.6789</v>
      </c>
      <c r="T212" s="251"/>
      <c r="U212" s="253">
        <v>0</v>
      </c>
      <c r="V212" s="253">
        <v>0</v>
      </c>
      <c r="W212" s="253">
        <v>0</v>
      </c>
    </row>
    <row r="213" spans="1:23">
      <c r="A213" s="214"/>
      <c r="B213" s="235">
        <v>8</v>
      </c>
      <c r="C213" s="233" t="s">
        <v>4627</v>
      </c>
      <c r="D213" s="251">
        <v>0</v>
      </c>
      <c r="E213" s="239">
        <v>0</v>
      </c>
      <c r="F213" s="240">
        <v>0</v>
      </c>
      <c r="G213" s="241">
        <v>0</v>
      </c>
      <c r="H213" s="251">
        <v>0.45</v>
      </c>
      <c r="I213" s="242">
        <v>376.67573501077339</v>
      </c>
      <c r="J213" s="243">
        <v>5.6539686290815379</v>
      </c>
      <c r="K213" s="246">
        <v>986.25639999999999</v>
      </c>
      <c r="L213" s="251"/>
      <c r="M213" s="253">
        <v>0</v>
      </c>
      <c r="N213" s="253">
        <v>0</v>
      </c>
      <c r="O213" s="254">
        <v>0</v>
      </c>
      <c r="P213" s="251">
        <v>0</v>
      </c>
      <c r="Q213" s="239">
        <v>0</v>
      </c>
      <c r="R213" s="240">
        <v>0</v>
      </c>
      <c r="S213" s="241">
        <v>0</v>
      </c>
      <c r="T213" s="251"/>
      <c r="U213" s="253">
        <v>0</v>
      </c>
      <c r="V213" s="253">
        <v>0</v>
      </c>
      <c r="W213" s="253">
        <v>0</v>
      </c>
    </row>
    <row r="214" spans="1:23">
      <c r="A214" s="214"/>
      <c r="B214" s="214"/>
      <c r="C214" s="214"/>
      <c r="D214" s="403" t="s">
        <v>4628</v>
      </c>
      <c r="E214" s="257"/>
      <c r="F214" s="257"/>
      <c r="G214" s="257"/>
      <c r="H214" s="214"/>
      <c r="I214" s="214"/>
      <c r="J214" s="214"/>
      <c r="K214" s="214"/>
      <c r="L214" s="214"/>
      <c r="M214" s="214"/>
      <c r="N214" s="214"/>
      <c r="O214" s="214"/>
      <c r="P214" s="403" t="s">
        <v>4631</v>
      </c>
      <c r="Q214" s="257"/>
      <c r="R214" s="257"/>
      <c r="S214" s="257"/>
      <c r="T214" s="214"/>
      <c r="U214" s="214"/>
      <c r="V214" s="214"/>
      <c r="W214" s="214"/>
    </row>
  </sheetData>
  <mergeCells count="15">
    <mergeCell ref="B103:D104"/>
    <mergeCell ref="F113:F117"/>
    <mergeCell ref="J113:J117"/>
    <mergeCell ref="B59:D60"/>
    <mergeCell ref="F69:F73"/>
    <mergeCell ref="J69:J73"/>
    <mergeCell ref="B81:D82"/>
    <mergeCell ref="F91:F95"/>
    <mergeCell ref="J91:J95"/>
    <mergeCell ref="B15:D16"/>
    <mergeCell ref="F25:F29"/>
    <mergeCell ref="J25:J29"/>
    <mergeCell ref="B37:D38"/>
    <mergeCell ref="F47:F51"/>
    <mergeCell ref="J47:J51"/>
  </mergeCells>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Sheet21">
    <tabColor theme="7" tint="0.79998168889431442"/>
  </sheetPr>
  <dimension ref="A1:AA215"/>
  <sheetViews>
    <sheetView topLeftCell="A141" workbookViewId="0">
      <selection activeCell="K51" sqref="K51"/>
    </sheetView>
  </sheetViews>
  <sheetFormatPr defaultRowHeight="12.75"/>
  <cols>
    <col min="1" max="1" width="9.140625" style="9"/>
    <col min="2" max="2" width="44.7109375" style="9" customWidth="1"/>
    <col min="3" max="8" width="9.140625" style="9"/>
    <col min="9" max="9" width="13.140625" style="9" customWidth="1"/>
    <col min="10" max="16384" width="9.140625" style="9"/>
  </cols>
  <sheetData>
    <row r="1" spans="1:11">
      <c r="K1" s="9" t="s">
        <v>3958</v>
      </c>
    </row>
    <row r="2" spans="1:11">
      <c r="K2" s="195" t="s">
        <v>3959</v>
      </c>
    </row>
    <row r="3" spans="1:11">
      <c r="B3" s="52" t="s">
        <v>183</v>
      </c>
      <c r="C3" s="404" t="s">
        <v>4571</v>
      </c>
      <c r="D3" s="404" t="s">
        <v>4572</v>
      </c>
      <c r="E3" s="404" t="s">
        <v>4573</v>
      </c>
      <c r="F3" s="404" t="s">
        <v>4574</v>
      </c>
      <c r="G3" s="404" t="s">
        <v>4575</v>
      </c>
      <c r="H3" s="404" t="s">
        <v>329</v>
      </c>
    </row>
    <row r="4" spans="1:11">
      <c r="B4" s="52" t="s">
        <v>3960</v>
      </c>
      <c r="C4" s="9">
        <v>1.0458000000000001</v>
      </c>
      <c r="D4" s="9">
        <v>1.0458000000000001</v>
      </c>
      <c r="E4" s="9">
        <v>1.0458000000000001</v>
      </c>
      <c r="F4" s="9">
        <v>1.0458000000000001</v>
      </c>
      <c r="G4" s="9">
        <v>1.0458000000000001</v>
      </c>
      <c r="H4" s="9">
        <v>1.0458000000000001</v>
      </c>
    </row>
    <row r="5" spans="1:11">
      <c r="B5" s="52" t="s">
        <v>3961</v>
      </c>
      <c r="C5" s="9">
        <v>-9.0499999999999997E-2</v>
      </c>
      <c r="D5" s="9">
        <v>-9.0499999999999997E-2</v>
      </c>
      <c r="E5" s="9">
        <v>-9.0499999999999997E-2</v>
      </c>
      <c r="F5" s="9">
        <v>-9.0499999999999997E-2</v>
      </c>
      <c r="G5" s="9">
        <v>-9.0499999999999997E-2</v>
      </c>
      <c r="H5" s="9">
        <v>-9.0499999999999997E-2</v>
      </c>
    </row>
    <row r="6" spans="1:11">
      <c r="B6" s="52" t="s">
        <v>4633</v>
      </c>
      <c r="C6" s="38"/>
      <c r="D6" s="38"/>
      <c r="E6" s="38"/>
    </row>
    <row r="7" spans="1:11">
      <c r="B7" s="52" t="s">
        <v>4634</v>
      </c>
      <c r="C7" s="38">
        <f>A15</f>
        <v>4.0385284313725487</v>
      </c>
      <c r="D7" s="38">
        <f>C7</f>
        <v>4.0385284313725487</v>
      </c>
      <c r="E7" s="38">
        <f t="shared" ref="E7:H7" si="0">D7</f>
        <v>4.0385284313725487</v>
      </c>
      <c r="F7" s="38">
        <f t="shared" si="0"/>
        <v>4.0385284313725487</v>
      </c>
      <c r="G7" s="38">
        <f t="shared" si="0"/>
        <v>4.0385284313725487</v>
      </c>
      <c r="H7" s="38">
        <f t="shared" si="0"/>
        <v>4.0385284313725487</v>
      </c>
    </row>
    <row r="8" spans="1:11">
      <c r="B8" s="52" t="s">
        <v>3964</v>
      </c>
      <c r="C8" s="196">
        <f>VLOOKUP(C$3,'Federal Standards'!$N$9:$P$50,2,FALSE)</f>
        <v>9.0299999999999994</v>
      </c>
      <c r="D8" s="196">
        <f>VLOOKUP(D$3,'Federal Standards'!$N$9:$P$50,2,FALSE)</f>
        <v>5.91</v>
      </c>
      <c r="E8" s="196">
        <f>VLOOKUP(E$3,'Federal Standards'!$N$9:$P$50,2,FALSE)</f>
        <v>11.8</v>
      </c>
      <c r="F8" s="196">
        <f>VLOOKUP(F$3,'Federal Standards'!$N$9:$P$50,2,FALSE)</f>
        <v>6.82</v>
      </c>
      <c r="G8" s="196">
        <f>VLOOKUP(G$3,'Federal Standards'!$N$9:$P$50,2,FALSE)</f>
        <v>11.8</v>
      </c>
      <c r="H8" s="196">
        <f>VLOOKUP(H$3,'Federal Standards'!$N$9:$P$50,2,FALSE)</f>
        <v>9.17</v>
      </c>
    </row>
    <row r="9" spans="1:11">
      <c r="B9" s="52" t="s">
        <v>3965</v>
      </c>
      <c r="C9" s="196">
        <f>VLOOKUP(C$3,'Federal Standards'!$N$9:$P$50,3,FALSE)</f>
        <v>252.3</v>
      </c>
      <c r="D9" s="196">
        <f>VLOOKUP(D$3,'Federal Standards'!$N$9:$P$50,3,FALSE)</f>
        <v>335.8</v>
      </c>
      <c r="E9" s="196">
        <f>VLOOKUP(E$3,'Federal Standards'!$N$9:$P$50,3,FALSE)</f>
        <v>339.2</v>
      </c>
      <c r="F9" s="196">
        <f>VLOOKUP(F$3,'Federal Standards'!$N$9:$P$50,3,FALSE)</f>
        <v>456.9</v>
      </c>
      <c r="G9" s="196">
        <f>VLOOKUP(G$3,'Federal Standards'!$N$9:$P$50,3,FALSE)</f>
        <v>339.2</v>
      </c>
      <c r="H9" s="196">
        <f>VLOOKUP(H$3,'Federal Standards'!$N$9:$P$50,3,FALSE)</f>
        <v>259.3</v>
      </c>
    </row>
    <row r="10" spans="1:11">
      <c r="B10" s="52" t="s">
        <v>4605</v>
      </c>
      <c r="C10" s="44">
        <f>C8*C7+C9</f>
        <v>288.76791173529409</v>
      </c>
      <c r="D10" s="44">
        <f t="shared" ref="D10:H10" si="1">D8*D7+D9</f>
        <v>359.66770302941177</v>
      </c>
      <c r="E10" s="44">
        <f t="shared" si="1"/>
        <v>386.85463549019607</v>
      </c>
      <c r="F10" s="44">
        <f t="shared" si="1"/>
        <v>484.44276390196075</v>
      </c>
      <c r="G10" s="44">
        <f t="shared" si="1"/>
        <v>386.85463549019607</v>
      </c>
      <c r="H10" s="44">
        <f t="shared" si="1"/>
        <v>296.33330571568627</v>
      </c>
    </row>
    <row r="12" spans="1:11">
      <c r="A12" s="9" t="s">
        <v>4635</v>
      </c>
    </row>
    <row r="13" spans="1:11">
      <c r="A13" s="9" t="s">
        <v>4636</v>
      </c>
    </row>
    <row r="14" spans="1:11">
      <c r="A14" s="9" t="s">
        <v>4637</v>
      </c>
    </row>
    <row r="15" spans="1:11">
      <c r="A15" s="38">
        <f>SUMPRODUCT('CEC analysis'!AY35:AY44,'CEC analysis'!I35:I44)/SUM('CEC analysis'!I35:I44)</f>
        <v>4.0385284313725487</v>
      </c>
    </row>
    <row r="17" spans="1:14">
      <c r="A17" s="183" t="s">
        <v>4638</v>
      </c>
      <c r="B17" s="187"/>
      <c r="C17" s="187"/>
      <c r="D17" s="187"/>
      <c r="E17" s="187"/>
      <c r="F17" s="187"/>
      <c r="G17" s="187"/>
      <c r="H17" s="187"/>
      <c r="I17" s="187"/>
      <c r="J17" s="187"/>
      <c r="K17" s="187"/>
    </row>
    <row r="19" spans="1:14" ht="76.5" customHeight="1">
      <c r="E19" s="197" t="s">
        <v>3968</v>
      </c>
      <c r="F19" s="197" t="s">
        <v>3969</v>
      </c>
      <c r="G19" s="197" t="s">
        <v>3970</v>
      </c>
      <c r="H19" s="197" t="s">
        <v>3971</v>
      </c>
      <c r="I19" s="197" t="s">
        <v>3972</v>
      </c>
      <c r="M19" s="393" t="str">
        <f>G19</f>
        <v>installed price</v>
      </c>
      <c r="N19" s="393" t="s">
        <v>4607</v>
      </c>
    </row>
    <row r="20" spans="1:14" ht="13.5" customHeight="1">
      <c r="B20" s="198" t="s">
        <v>3976</v>
      </c>
      <c r="C20" s="198"/>
      <c r="D20" s="198"/>
      <c r="E20" s="199"/>
      <c r="F20" s="199"/>
      <c r="G20" s="199"/>
      <c r="H20" s="199"/>
      <c r="I20" s="199"/>
      <c r="J20" s="199"/>
      <c r="K20" s="199"/>
      <c r="M20" s="393"/>
      <c r="N20" s="393"/>
    </row>
    <row r="21" spans="1:14">
      <c r="B21" s="200"/>
      <c r="E21" s="201">
        <f>AVERAGE(E185,E205)</f>
        <v>326.23536733934793</v>
      </c>
      <c r="F21" s="201">
        <f t="shared" ref="F21:G21" si="2">AVERAGE(F185,F205)</f>
        <v>1.4261925641357225</v>
      </c>
      <c r="G21" s="201">
        <f t="shared" si="2"/>
        <v>138.30914999999999</v>
      </c>
      <c r="H21" s="196">
        <f>LN(E21)</f>
        <v>5.7876191065639313</v>
      </c>
      <c r="I21" s="184">
        <f t="shared" ref="I21:I31" si="3">E21/N21</f>
        <v>1.1297493733943655</v>
      </c>
      <c r="M21" s="393">
        <f t="shared" ref="M21:M31" si="4">G21</f>
        <v>138.30914999999999</v>
      </c>
      <c r="N21" s="394">
        <f>C10</f>
        <v>288.76791173529409</v>
      </c>
    </row>
    <row r="22" spans="1:14">
      <c r="B22" s="546" t="s">
        <v>4639</v>
      </c>
      <c r="C22" s="546"/>
      <c r="D22" s="546"/>
      <c r="E22" s="201">
        <f t="shared" ref="E22:G31" si="5">AVERAGE(E186,E206)</f>
        <v>293.61183060541305</v>
      </c>
      <c r="F22" s="201">
        <f t="shared" si="5"/>
        <v>1.4707408999147851</v>
      </c>
      <c r="G22" s="201">
        <f t="shared" si="5"/>
        <v>144.37739999999999</v>
      </c>
      <c r="H22" s="196">
        <f t="shared" ref="H22:H31" si="6">LN(E22)</f>
        <v>5.6822585909061045</v>
      </c>
      <c r="I22" s="184">
        <f t="shared" si="3"/>
        <v>1.0167744360549287</v>
      </c>
      <c r="M22" s="393">
        <f t="shared" si="4"/>
        <v>144.37739999999999</v>
      </c>
      <c r="N22" s="395">
        <f>N21</f>
        <v>288.76791173529409</v>
      </c>
    </row>
    <row r="23" spans="1:14">
      <c r="B23" s="546"/>
      <c r="C23" s="546"/>
      <c r="D23" s="546"/>
      <c r="E23" s="201">
        <f t="shared" si="5"/>
        <v>277.30006223844578</v>
      </c>
      <c r="F23" s="201">
        <f t="shared" si="5"/>
        <v>1.5023629050650975</v>
      </c>
      <c r="G23" s="201">
        <f t="shared" si="5"/>
        <v>149.25605000000002</v>
      </c>
      <c r="H23" s="196">
        <f t="shared" si="6"/>
        <v>5.6251001770661562</v>
      </c>
      <c r="I23" s="184">
        <f t="shared" si="3"/>
        <v>0.9602869673852108</v>
      </c>
      <c r="M23" s="393">
        <f t="shared" si="4"/>
        <v>149.25605000000002</v>
      </c>
      <c r="N23" s="395">
        <f t="shared" ref="N23:N31" si="7">N22</f>
        <v>288.76791173529409</v>
      </c>
    </row>
    <row r="24" spans="1:14">
      <c r="B24" s="204" t="s">
        <v>3978</v>
      </c>
      <c r="C24" s="205">
        <f>SLOPE(G24:G31,H24:H31)</f>
        <v>-259.69330081246272</v>
      </c>
      <c r="E24" s="201">
        <f t="shared" si="5"/>
        <v>260.98829387147833</v>
      </c>
      <c r="F24" s="201">
        <f t="shared" si="5"/>
        <v>1.50260668015916</v>
      </c>
      <c r="G24" s="201">
        <f t="shared" si="5"/>
        <v>157.51390000000001</v>
      </c>
      <c r="H24" s="196">
        <f t="shared" si="6"/>
        <v>5.5644755552497216</v>
      </c>
      <c r="I24" s="184">
        <f t="shared" si="3"/>
        <v>0.90379949871549237</v>
      </c>
      <c r="M24" s="393">
        <f t="shared" si="4"/>
        <v>157.51390000000001</v>
      </c>
      <c r="N24" s="395">
        <f t="shared" si="7"/>
        <v>288.76791173529409</v>
      </c>
    </row>
    <row r="25" spans="1:14">
      <c r="B25" s="204" t="s">
        <v>3979</v>
      </c>
      <c r="C25" s="205">
        <f>INTERCEPT(G24:G31,H24:H31)</f>
        <v>1595.8094314847699</v>
      </c>
      <c r="E25" s="201">
        <f t="shared" si="5"/>
        <v>244.67652550451095</v>
      </c>
      <c r="F25" s="201">
        <f t="shared" si="5"/>
        <v>1.50260668015916</v>
      </c>
      <c r="G25" s="201">
        <f t="shared" si="5"/>
        <v>168.30375000000001</v>
      </c>
      <c r="H25" s="196">
        <f t="shared" si="6"/>
        <v>5.4999370341121505</v>
      </c>
      <c r="I25" s="184">
        <f t="shared" si="3"/>
        <v>0.84731203004577405</v>
      </c>
      <c r="M25" s="393">
        <f t="shared" si="4"/>
        <v>168.30375000000001</v>
      </c>
      <c r="N25" s="395">
        <f t="shared" si="7"/>
        <v>288.76791173529409</v>
      </c>
    </row>
    <row r="26" spans="1:14">
      <c r="B26" s="200"/>
      <c r="E26" s="201">
        <f t="shared" si="5"/>
        <v>228.36475713754353</v>
      </c>
      <c r="F26" s="201">
        <f t="shared" si="5"/>
        <v>1.50260668015916</v>
      </c>
      <c r="G26" s="201">
        <f t="shared" si="5"/>
        <v>183.66165000000001</v>
      </c>
      <c r="H26" s="196">
        <f t="shared" si="6"/>
        <v>5.4309441626251989</v>
      </c>
      <c r="I26" s="184">
        <f t="shared" si="3"/>
        <v>0.79082456137605572</v>
      </c>
      <c r="M26" s="393">
        <f t="shared" si="4"/>
        <v>183.66165000000001</v>
      </c>
      <c r="N26" s="395">
        <f t="shared" si="7"/>
        <v>288.76791173529409</v>
      </c>
    </row>
    <row r="27" spans="1:14">
      <c r="B27" s="200"/>
      <c r="E27" s="201">
        <f t="shared" si="5"/>
        <v>212.05298877057612</v>
      </c>
      <c r="F27" s="201">
        <f t="shared" si="5"/>
        <v>1.8241022747235349</v>
      </c>
      <c r="G27" s="201">
        <f t="shared" si="5"/>
        <v>203.65019999999998</v>
      </c>
      <c r="H27" s="196">
        <f t="shared" si="6"/>
        <v>5.3568361904714772</v>
      </c>
      <c r="I27" s="184">
        <f t="shared" si="3"/>
        <v>0.7343370927063374</v>
      </c>
      <c r="K27" s="184"/>
      <c r="M27" s="393">
        <f t="shared" si="4"/>
        <v>203.65019999999998</v>
      </c>
      <c r="N27" s="395">
        <f t="shared" si="7"/>
        <v>288.76791173529409</v>
      </c>
    </row>
    <row r="28" spans="1:14">
      <c r="B28" s="200"/>
      <c r="E28" s="201">
        <f t="shared" si="5"/>
        <v>195.74122040360879</v>
      </c>
      <c r="F28" s="201">
        <f t="shared" si="5"/>
        <v>1.8241022747235349</v>
      </c>
      <c r="G28" s="201">
        <f t="shared" si="5"/>
        <v>218.73824999999999</v>
      </c>
      <c r="H28" s="196">
        <f t="shared" si="6"/>
        <v>5.2767934827979408</v>
      </c>
      <c r="I28" s="184">
        <f t="shared" si="3"/>
        <v>0.67784962403661941</v>
      </c>
      <c r="K28" s="184"/>
      <c r="M28" s="393">
        <f t="shared" si="4"/>
        <v>218.73824999999999</v>
      </c>
      <c r="N28" s="395">
        <f t="shared" si="7"/>
        <v>288.76791173529409</v>
      </c>
    </row>
    <row r="29" spans="1:14">
      <c r="B29" s="200"/>
      <c r="E29" s="201">
        <f t="shared" si="5"/>
        <v>179.42945203664135</v>
      </c>
      <c r="F29" s="201">
        <f t="shared" si="5"/>
        <v>2.1520485333154098</v>
      </c>
      <c r="G29" s="201">
        <f t="shared" si="5"/>
        <v>246.54884999999999</v>
      </c>
      <c r="H29" s="196">
        <f t="shared" si="6"/>
        <v>5.1897821058083107</v>
      </c>
      <c r="I29" s="184">
        <f t="shared" si="3"/>
        <v>0.62136215536690098</v>
      </c>
      <c r="K29" s="184"/>
      <c r="M29" s="393">
        <f t="shared" si="4"/>
        <v>246.54884999999999</v>
      </c>
      <c r="N29" s="395">
        <f t="shared" si="7"/>
        <v>288.76791173529409</v>
      </c>
    </row>
    <row r="30" spans="1:14">
      <c r="B30" s="200"/>
      <c r="E30" s="201">
        <f t="shared" si="5"/>
        <v>163.11768366967397</v>
      </c>
      <c r="F30" s="201">
        <f t="shared" si="5"/>
        <v>2.1520485333154098</v>
      </c>
      <c r="G30" s="201">
        <f t="shared" si="5"/>
        <v>268.68489999999997</v>
      </c>
      <c r="H30" s="196">
        <f t="shared" si="6"/>
        <v>5.0944719260039859</v>
      </c>
      <c r="I30" s="184">
        <f t="shared" si="3"/>
        <v>0.56487468669718277</v>
      </c>
      <c r="K30" s="184"/>
      <c r="M30" s="393">
        <f t="shared" si="4"/>
        <v>268.68489999999997</v>
      </c>
      <c r="N30" s="395">
        <f t="shared" si="7"/>
        <v>288.76791173529409</v>
      </c>
    </row>
    <row r="31" spans="1:14">
      <c r="B31" s="200"/>
      <c r="E31" s="201">
        <f t="shared" si="5"/>
        <v>138.08973947844527</v>
      </c>
      <c r="F31" s="201">
        <f t="shared" si="5"/>
        <v>2.1520485333154098</v>
      </c>
      <c r="G31" s="201">
        <f t="shared" si="5"/>
        <v>323.66245000000004</v>
      </c>
      <c r="H31" s="196">
        <f t="shared" si="6"/>
        <v>4.9279037598885225</v>
      </c>
      <c r="I31" s="184">
        <f t="shared" si="3"/>
        <v>0.47820320010150047</v>
      </c>
      <c r="K31" s="184"/>
      <c r="M31" s="393">
        <f t="shared" si="4"/>
        <v>323.66245000000004</v>
      </c>
      <c r="N31" s="395">
        <f t="shared" si="7"/>
        <v>288.76791173529409</v>
      </c>
    </row>
    <row r="32" spans="1:14">
      <c r="B32" s="200"/>
      <c r="E32" s="201"/>
      <c r="F32" s="201"/>
      <c r="G32" s="201"/>
      <c r="H32" s="196"/>
      <c r="I32" s="184"/>
      <c r="K32" s="184"/>
      <c r="M32" s="393"/>
      <c r="N32" s="395"/>
    </row>
    <row r="33" spans="1:16">
      <c r="B33" s="200"/>
      <c r="E33" s="201"/>
      <c r="F33" s="201"/>
      <c r="G33" s="201"/>
      <c r="H33" s="196"/>
      <c r="I33" s="184"/>
      <c r="J33" s="184"/>
      <c r="K33" s="184"/>
    </row>
    <row r="34" spans="1:16">
      <c r="B34" s="198" t="s">
        <v>3980</v>
      </c>
      <c r="C34" s="198"/>
      <c r="D34" s="198"/>
      <c r="E34" s="199"/>
      <c r="F34" s="199"/>
      <c r="G34" s="199"/>
      <c r="H34" s="199"/>
      <c r="I34" s="199"/>
      <c r="J34" s="199"/>
      <c r="K34" s="199"/>
    </row>
    <row r="35" spans="1:16" ht="56.25" customHeight="1">
      <c r="C35" s="197" t="s">
        <v>3981</v>
      </c>
      <c r="D35" s="197" t="s">
        <v>3982</v>
      </c>
      <c r="E35" s="197" t="str">
        <f>E19</f>
        <v>UEC</v>
      </c>
      <c r="F35" s="197" t="str">
        <f t="shared" ref="F35:I35" si="8">F19</f>
        <v>repair cost</v>
      </c>
      <c r="G35" s="197" t="str">
        <f t="shared" si="8"/>
        <v>installed price</v>
      </c>
      <c r="H35" s="197" t="str">
        <f t="shared" si="8"/>
        <v>ln(UEC)</v>
      </c>
      <c r="I35" s="197" t="str">
        <f t="shared" si="8"/>
        <v>UEC as a percent of federal standard</v>
      </c>
      <c r="J35" s="197" t="s">
        <v>3983</v>
      </c>
      <c r="K35" s="197" t="s">
        <v>3984</v>
      </c>
      <c r="M35" s="396" t="s">
        <v>4608</v>
      </c>
      <c r="N35" s="396" t="s">
        <v>4609</v>
      </c>
      <c r="O35" s="396" t="s">
        <v>4610</v>
      </c>
      <c r="P35" s="396" t="s">
        <v>3983</v>
      </c>
    </row>
    <row r="36" spans="1:16" ht="25.5" customHeight="1">
      <c r="B36" s="206" t="s">
        <v>3985</v>
      </c>
      <c r="C36" s="207" t="str">
        <f>'CEC analysis'!K35</f>
        <v/>
      </c>
      <c r="D36" s="9">
        <f>'CEC analysis'!D35</f>
        <v>0</v>
      </c>
      <c r="E36" s="44" t="str">
        <f>IF(D36=0,"N/A",I36*M36)</f>
        <v>N/A</v>
      </c>
      <c r="F36" s="547" t="s">
        <v>3986</v>
      </c>
      <c r="G36" s="203" t="str">
        <f>IF(D36=0,"N/A",H36*N36+O36)</f>
        <v>N/A</v>
      </c>
      <c r="H36" s="196" t="str">
        <f>IF(D36=0,"N/A",LN(E36))</f>
        <v>N/A</v>
      </c>
      <c r="I36" s="207" t="str">
        <f>IF(D36=0,"N/A",1-C36)</f>
        <v>N/A</v>
      </c>
      <c r="J36" s="548">
        <f>SUMPRODUCT(G36:G40,D36:D40)/SUM(D36:D40)</f>
        <v>177.14762548964018</v>
      </c>
      <c r="K36" s="202" t="str">
        <f>IF(D36=0,"N/A",G36-P36)</f>
        <v>N/A</v>
      </c>
      <c r="M36" s="397">
        <f>N21</f>
        <v>288.76791173529409</v>
      </c>
      <c r="N36" s="398">
        <f>C24</f>
        <v>-259.69330081246272</v>
      </c>
      <c r="O36" s="398">
        <f>C25</f>
        <v>1595.8094314847699</v>
      </c>
      <c r="P36" s="399">
        <f>J36</f>
        <v>177.14762548964018</v>
      </c>
    </row>
    <row r="37" spans="1:16">
      <c r="B37" s="206" t="s">
        <v>3987</v>
      </c>
      <c r="C37" s="207">
        <f>'CEC analysis'!L35</f>
        <v>0.14071801405129475</v>
      </c>
      <c r="D37" s="9">
        <f>'CEC analysis'!E35</f>
        <v>4</v>
      </c>
      <c r="E37" s="44">
        <f>IF(D37=0,"N/A",I37*M37)</f>
        <v>248.13306467416396</v>
      </c>
      <c r="F37" s="547"/>
      <c r="G37" s="203">
        <f>IF(D37=0,"N/A",H37*N37+O37)</f>
        <v>163.86962023903448</v>
      </c>
      <c r="H37" s="196">
        <f t="shared" ref="H37:H40" si="9">IF(D37=0,"N/A",LN(E37))</f>
        <v>5.5139651533784058</v>
      </c>
      <c r="I37" s="207">
        <f t="shared" ref="I37:I40" si="10">IF(D37=0,"N/A",1-C37)</f>
        <v>0.85928198594870531</v>
      </c>
      <c r="J37" s="548"/>
      <c r="K37" s="202">
        <f>IF(D37=0,"N/A",G37-P37)</f>
        <v>-13.278005250605702</v>
      </c>
      <c r="M37" s="395">
        <f>M36</f>
        <v>288.76791173529409</v>
      </c>
      <c r="N37" s="395">
        <f t="shared" ref="N37:P40" si="11">N36</f>
        <v>-259.69330081246272</v>
      </c>
      <c r="O37" s="395">
        <f t="shared" si="11"/>
        <v>1595.8094314847699</v>
      </c>
      <c r="P37" s="399">
        <f>P36</f>
        <v>177.14762548964018</v>
      </c>
    </row>
    <row r="38" spans="1:16">
      <c r="B38" s="206" t="s">
        <v>3988</v>
      </c>
      <c r="C38" s="207" t="str">
        <f>'CEC analysis'!M35</f>
        <v/>
      </c>
      <c r="D38" s="9">
        <f>'CEC analysis'!F35</f>
        <v>0</v>
      </c>
      <c r="E38" s="44" t="str">
        <f>IF(D38=0,"N/A",I38*M38)</f>
        <v>N/A</v>
      </c>
      <c r="F38" s="547"/>
      <c r="G38" s="203" t="str">
        <f>IF(D38=0,"N/A",H38*N38+O38)</f>
        <v>N/A</v>
      </c>
      <c r="H38" s="196" t="str">
        <f t="shared" si="9"/>
        <v>N/A</v>
      </c>
      <c r="I38" s="207" t="str">
        <f t="shared" si="10"/>
        <v>N/A</v>
      </c>
      <c r="J38" s="548"/>
      <c r="K38" s="202" t="str">
        <f>IF(D38=0,"N/A",G38-P38)</f>
        <v>N/A</v>
      </c>
      <c r="M38" s="395">
        <f t="shared" ref="M38:M40" si="12">M37</f>
        <v>288.76791173529409</v>
      </c>
      <c r="N38" s="395">
        <f t="shared" si="11"/>
        <v>-259.69330081246272</v>
      </c>
      <c r="O38" s="395">
        <f t="shared" si="11"/>
        <v>1595.8094314847699</v>
      </c>
      <c r="P38" s="399">
        <f t="shared" si="11"/>
        <v>177.14762548964018</v>
      </c>
    </row>
    <row r="39" spans="1:16">
      <c r="B39" s="206" t="s">
        <v>3989</v>
      </c>
      <c r="C39" s="207">
        <f>'CEC analysis'!N35</f>
        <v>0.23894702456717307</v>
      </c>
      <c r="D39" s="9">
        <f>'CEC analysis'!G35</f>
        <v>3</v>
      </c>
      <c r="E39" s="44">
        <f>IF(D39=0,"N/A",I39*M39)</f>
        <v>219.7676784356695</v>
      </c>
      <c r="F39" s="547"/>
      <c r="G39" s="203">
        <f>IF(D39=0,"N/A",H39*N39+O39)</f>
        <v>195.39487349237629</v>
      </c>
      <c r="H39" s="196">
        <f t="shared" si="9"/>
        <v>5.3925709812734128</v>
      </c>
      <c r="I39" s="207">
        <f t="shared" si="10"/>
        <v>0.76105297543282691</v>
      </c>
      <c r="J39" s="548"/>
      <c r="K39" s="202">
        <f>IF(D39=0,"N/A",G39-P39)</f>
        <v>18.247248002736114</v>
      </c>
      <c r="M39" s="395">
        <f t="shared" si="12"/>
        <v>288.76791173529409</v>
      </c>
      <c r="N39" s="395">
        <f t="shared" si="11"/>
        <v>-259.69330081246272</v>
      </c>
      <c r="O39" s="395">
        <f t="shared" si="11"/>
        <v>1595.8094314847699</v>
      </c>
      <c r="P39" s="399">
        <f t="shared" si="11"/>
        <v>177.14762548964018</v>
      </c>
    </row>
    <row r="40" spans="1:16">
      <c r="B40" s="206" t="s">
        <v>3990</v>
      </c>
      <c r="C40" s="207">
        <f>'CEC analysis'!O35</f>
        <v>0.1828161614152426</v>
      </c>
      <c r="D40" s="9">
        <f>'CEC analysis'!H35</f>
        <v>7</v>
      </c>
      <c r="E40" s="44">
        <f>IF(D40=0,"N/A",I40*M40)</f>
        <v>235.97647057195204</v>
      </c>
      <c r="F40" s="547"/>
      <c r="G40" s="203">
        <f>IF(D40=0,"N/A",H40*N40+O40)</f>
        <v>176.91480791738513</v>
      </c>
      <c r="H40" s="196">
        <f t="shared" si="9"/>
        <v>5.4637320990888334</v>
      </c>
      <c r="I40" s="207">
        <f t="shared" si="10"/>
        <v>0.8171838385847574</v>
      </c>
      <c r="J40" s="548"/>
      <c r="K40" s="202">
        <f>IF(D40=0,"N/A",G40-P40)</f>
        <v>-0.23281757225504407</v>
      </c>
      <c r="M40" s="395">
        <f t="shared" si="12"/>
        <v>288.76791173529409</v>
      </c>
      <c r="N40" s="395">
        <f t="shared" si="11"/>
        <v>-259.69330081246272</v>
      </c>
      <c r="O40" s="395">
        <f t="shared" si="11"/>
        <v>1595.8094314847699</v>
      </c>
      <c r="P40" s="399">
        <f t="shared" si="11"/>
        <v>177.14762548964018</v>
      </c>
    </row>
    <row r="41" spans="1:16">
      <c r="B41" s="209" t="s">
        <v>3991</v>
      </c>
      <c r="E41" s="44"/>
      <c r="G41" s="200"/>
      <c r="H41" s="196"/>
      <c r="I41" s="207"/>
      <c r="J41" s="207"/>
    </row>
    <row r="43" spans="1:16">
      <c r="A43" s="183" t="s">
        <v>4640</v>
      </c>
      <c r="B43" s="187"/>
      <c r="C43" s="187"/>
      <c r="D43" s="187"/>
      <c r="E43" s="187"/>
      <c r="F43" s="187"/>
      <c r="G43" s="187"/>
      <c r="H43" s="187"/>
      <c r="I43" s="187"/>
      <c r="J43" s="187"/>
      <c r="K43" s="187"/>
    </row>
    <row r="45" spans="1:16" ht="76.5" customHeight="1">
      <c r="E45" s="197" t="s">
        <v>3968</v>
      </c>
      <c r="F45" s="197" t="s">
        <v>3969</v>
      </c>
      <c r="G45" s="197" t="s">
        <v>3970</v>
      </c>
      <c r="H45" s="197" t="s">
        <v>3971</v>
      </c>
      <c r="I45" s="197" t="s">
        <v>3972</v>
      </c>
      <c r="M45" s="393" t="str">
        <f>G45</f>
        <v>installed price</v>
      </c>
      <c r="N45" s="393" t="s">
        <v>4607</v>
      </c>
    </row>
    <row r="46" spans="1:16" ht="13.5" customHeight="1">
      <c r="B46" s="198" t="s">
        <v>3976</v>
      </c>
      <c r="C46" s="198"/>
      <c r="D46" s="198"/>
      <c r="E46" s="199"/>
      <c r="F46" s="199"/>
      <c r="G46" s="199"/>
      <c r="H46" s="199"/>
      <c r="I46" s="199"/>
      <c r="J46" s="199"/>
      <c r="K46" s="199"/>
      <c r="M46" s="393"/>
      <c r="N46" s="393"/>
    </row>
    <row r="47" spans="1:16">
      <c r="B47" s="200"/>
      <c r="E47" s="201">
        <f>AVERAGE(I185,I205)</f>
        <v>326.23536733934793</v>
      </c>
      <c r="F47" s="201">
        <f t="shared" ref="F47:G57" si="13">AVERAGE(J185,J205)</f>
        <v>1.4261925641357225</v>
      </c>
      <c r="G47" s="201">
        <f t="shared" si="13"/>
        <v>138.30914999999999</v>
      </c>
      <c r="H47" s="196">
        <f>LN(E47)</f>
        <v>5.7876191065639313</v>
      </c>
      <c r="I47" s="184">
        <f t="shared" ref="I47:I57" si="14">E47/N47</f>
        <v>0.90704660049131547</v>
      </c>
      <c r="M47" s="393">
        <f t="shared" ref="M47:M57" si="15">G47</f>
        <v>138.30914999999999</v>
      </c>
      <c r="N47" s="394">
        <f>D10</f>
        <v>359.66770302941177</v>
      </c>
    </row>
    <row r="48" spans="1:16">
      <c r="B48" s="546" t="s">
        <v>4639</v>
      </c>
      <c r="C48" s="546"/>
      <c r="D48" s="546"/>
      <c r="E48" s="201">
        <f t="shared" ref="E48:E57" si="16">AVERAGE(I186,I206)</f>
        <v>293.61183060541305</v>
      </c>
      <c r="F48" s="201">
        <f t="shared" si="13"/>
        <v>1.4707408999147851</v>
      </c>
      <c r="G48" s="201">
        <f t="shared" si="13"/>
        <v>144.37739999999999</v>
      </c>
      <c r="H48" s="196">
        <f t="shared" ref="H48:H57" si="17">LN(E48)</f>
        <v>5.6822585909061045</v>
      </c>
      <c r="I48" s="184">
        <f t="shared" si="14"/>
        <v>0.81634194044218367</v>
      </c>
      <c r="M48" s="393">
        <f t="shared" si="15"/>
        <v>144.37739999999999</v>
      </c>
      <c r="N48" s="395">
        <f>N47</f>
        <v>359.66770302941177</v>
      </c>
    </row>
    <row r="49" spans="2:16">
      <c r="B49" s="546"/>
      <c r="C49" s="546"/>
      <c r="D49" s="546"/>
      <c r="E49" s="201">
        <f t="shared" si="16"/>
        <v>277.30006223844578</v>
      </c>
      <c r="F49" s="201">
        <f t="shared" si="13"/>
        <v>1.5023629050650975</v>
      </c>
      <c r="G49" s="201">
        <f t="shared" si="13"/>
        <v>149.25605000000002</v>
      </c>
      <c r="H49" s="196">
        <f t="shared" si="17"/>
        <v>5.6251001770661562</v>
      </c>
      <c r="I49" s="184">
        <f t="shared" si="14"/>
        <v>0.77098961041761815</v>
      </c>
      <c r="M49" s="393">
        <f t="shared" si="15"/>
        <v>149.25605000000002</v>
      </c>
      <c r="N49" s="395">
        <f t="shared" ref="N49:N57" si="18">N48</f>
        <v>359.66770302941177</v>
      </c>
    </row>
    <row r="50" spans="2:16">
      <c r="B50" s="204" t="s">
        <v>3978</v>
      </c>
      <c r="C50" s="205">
        <f>SLOPE(G50:G57,H50:H57)</f>
        <v>-259.69330081246272</v>
      </c>
      <c r="E50" s="201">
        <f t="shared" si="16"/>
        <v>260.98829387147833</v>
      </c>
      <c r="F50" s="201">
        <f t="shared" si="13"/>
        <v>1.50260668015916</v>
      </c>
      <c r="G50" s="201">
        <f t="shared" si="13"/>
        <v>157.51390000000001</v>
      </c>
      <c r="H50" s="196">
        <f t="shared" si="17"/>
        <v>5.5644755552497216</v>
      </c>
      <c r="I50" s="184">
        <f t="shared" si="14"/>
        <v>0.72563728039305231</v>
      </c>
      <c r="M50" s="393">
        <f t="shared" si="15"/>
        <v>157.51390000000001</v>
      </c>
      <c r="N50" s="395">
        <f t="shared" si="18"/>
        <v>359.66770302941177</v>
      </c>
    </row>
    <row r="51" spans="2:16">
      <c r="B51" s="204" t="s">
        <v>3979</v>
      </c>
      <c r="C51" s="205">
        <f>INTERCEPT(G50:G57,H50:H57)</f>
        <v>1595.8094314847699</v>
      </c>
      <c r="E51" s="201">
        <f t="shared" si="16"/>
        <v>244.67652550451095</v>
      </c>
      <c r="F51" s="201">
        <f t="shared" si="13"/>
        <v>1.50260668015916</v>
      </c>
      <c r="G51" s="201">
        <f t="shared" si="13"/>
        <v>168.30375000000001</v>
      </c>
      <c r="H51" s="196">
        <f t="shared" si="17"/>
        <v>5.4999370341121505</v>
      </c>
      <c r="I51" s="184">
        <f t="shared" si="14"/>
        <v>0.68028495036848657</v>
      </c>
      <c r="M51" s="393">
        <f t="shared" si="15"/>
        <v>168.30375000000001</v>
      </c>
      <c r="N51" s="395">
        <f t="shared" si="18"/>
        <v>359.66770302941177</v>
      </c>
    </row>
    <row r="52" spans="2:16">
      <c r="B52" s="200"/>
      <c r="E52" s="201">
        <f t="shared" si="16"/>
        <v>228.36475713754353</v>
      </c>
      <c r="F52" s="201">
        <f t="shared" si="13"/>
        <v>1.50260668015916</v>
      </c>
      <c r="G52" s="201">
        <f t="shared" si="13"/>
        <v>183.66165000000001</v>
      </c>
      <c r="H52" s="196">
        <f t="shared" si="17"/>
        <v>5.4309441626251989</v>
      </c>
      <c r="I52" s="184">
        <f t="shared" si="14"/>
        <v>0.63493262034392073</v>
      </c>
      <c r="M52" s="393">
        <f t="shared" si="15"/>
        <v>183.66165000000001</v>
      </c>
      <c r="N52" s="395">
        <f t="shared" si="18"/>
        <v>359.66770302941177</v>
      </c>
    </row>
    <row r="53" spans="2:16">
      <c r="B53" s="200"/>
      <c r="E53" s="201">
        <f t="shared" si="16"/>
        <v>212.05298877057612</v>
      </c>
      <c r="F53" s="201">
        <f t="shared" si="13"/>
        <v>1.8241022747235349</v>
      </c>
      <c r="G53" s="201">
        <f t="shared" si="13"/>
        <v>203.65019999999998</v>
      </c>
      <c r="H53" s="196">
        <f t="shared" si="17"/>
        <v>5.3568361904714772</v>
      </c>
      <c r="I53" s="184">
        <f t="shared" si="14"/>
        <v>0.58958029031935488</v>
      </c>
      <c r="K53" s="184"/>
      <c r="M53" s="393">
        <f t="shared" si="15"/>
        <v>203.65019999999998</v>
      </c>
      <c r="N53" s="395">
        <f t="shared" si="18"/>
        <v>359.66770302941177</v>
      </c>
    </row>
    <row r="54" spans="2:16">
      <c r="B54" s="200"/>
      <c r="E54" s="201">
        <f t="shared" si="16"/>
        <v>195.74122040360879</v>
      </c>
      <c r="F54" s="201">
        <f t="shared" si="13"/>
        <v>1.8241022747235349</v>
      </c>
      <c r="G54" s="201">
        <f t="shared" si="13"/>
        <v>218.73824999999999</v>
      </c>
      <c r="H54" s="196">
        <f t="shared" si="17"/>
        <v>5.2767934827979408</v>
      </c>
      <c r="I54" s="184">
        <f t="shared" si="14"/>
        <v>0.54422796029478937</v>
      </c>
      <c r="K54" s="184"/>
      <c r="M54" s="393">
        <f t="shared" si="15"/>
        <v>218.73824999999999</v>
      </c>
      <c r="N54" s="395">
        <f t="shared" si="18"/>
        <v>359.66770302941177</v>
      </c>
    </row>
    <row r="55" spans="2:16">
      <c r="B55" s="200"/>
      <c r="E55" s="201">
        <f t="shared" si="16"/>
        <v>179.42945203664135</v>
      </c>
      <c r="F55" s="201">
        <f t="shared" si="13"/>
        <v>2.1520485333154098</v>
      </c>
      <c r="G55" s="201">
        <f t="shared" si="13"/>
        <v>246.54884999999999</v>
      </c>
      <c r="H55" s="196">
        <f t="shared" si="17"/>
        <v>5.1897821058083107</v>
      </c>
      <c r="I55" s="184">
        <f t="shared" si="14"/>
        <v>0.49887563027022347</v>
      </c>
      <c r="K55" s="184"/>
      <c r="M55" s="393">
        <f t="shared" si="15"/>
        <v>246.54884999999999</v>
      </c>
      <c r="N55" s="395">
        <f t="shared" si="18"/>
        <v>359.66770302941177</v>
      </c>
    </row>
    <row r="56" spans="2:16">
      <c r="B56" s="200"/>
      <c r="E56" s="201">
        <f t="shared" si="16"/>
        <v>163.11768366967397</v>
      </c>
      <c r="F56" s="201">
        <f t="shared" si="13"/>
        <v>2.1520485333154098</v>
      </c>
      <c r="G56" s="201">
        <f t="shared" si="13"/>
        <v>268.68489999999997</v>
      </c>
      <c r="H56" s="196">
        <f t="shared" si="17"/>
        <v>5.0944719260039859</v>
      </c>
      <c r="I56" s="184">
        <f t="shared" si="14"/>
        <v>0.45352330024565773</v>
      </c>
      <c r="K56" s="184"/>
      <c r="M56" s="393">
        <f t="shared" si="15"/>
        <v>268.68489999999997</v>
      </c>
      <c r="N56" s="395">
        <f t="shared" si="18"/>
        <v>359.66770302941177</v>
      </c>
    </row>
    <row r="57" spans="2:16">
      <c r="B57" s="200"/>
      <c r="E57" s="201">
        <f t="shared" si="16"/>
        <v>138.08973947844527</v>
      </c>
      <c r="F57" s="201">
        <f t="shared" si="13"/>
        <v>2.1520485333154098</v>
      </c>
      <c r="G57" s="201">
        <f t="shared" si="13"/>
        <v>323.66245000000004</v>
      </c>
      <c r="H57" s="196">
        <f t="shared" si="17"/>
        <v>4.9279037598885225</v>
      </c>
      <c r="I57" s="184">
        <f t="shared" si="14"/>
        <v>0.38393700161382854</v>
      </c>
      <c r="K57" s="184"/>
      <c r="M57" s="393">
        <f t="shared" si="15"/>
        <v>323.66245000000004</v>
      </c>
      <c r="N57" s="395">
        <f t="shared" si="18"/>
        <v>359.66770302941177</v>
      </c>
    </row>
    <row r="58" spans="2:16">
      <c r="B58" s="200"/>
      <c r="E58" s="201"/>
      <c r="F58" s="201"/>
      <c r="G58" s="201"/>
      <c r="H58" s="196"/>
      <c r="I58" s="184"/>
      <c r="K58" s="184"/>
      <c r="M58" s="393"/>
      <c r="N58" s="395"/>
    </row>
    <row r="59" spans="2:16">
      <c r="B59" s="200"/>
      <c r="E59" s="201"/>
      <c r="F59" s="201"/>
      <c r="G59" s="201"/>
      <c r="H59" s="196"/>
      <c r="I59" s="184"/>
      <c r="J59" s="184"/>
      <c r="K59" s="184"/>
    </row>
    <row r="60" spans="2:16">
      <c r="B60" s="198" t="s">
        <v>3980</v>
      </c>
      <c r="C60" s="198"/>
      <c r="D60" s="198"/>
      <c r="E60" s="199"/>
      <c r="F60" s="199"/>
      <c r="G60" s="199"/>
      <c r="H60" s="199"/>
      <c r="I60" s="199"/>
      <c r="J60" s="199"/>
      <c r="K60" s="199"/>
    </row>
    <row r="61" spans="2:16" ht="66" customHeight="1">
      <c r="C61" s="197" t="s">
        <v>3981</v>
      </c>
      <c r="D61" s="197" t="s">
        <v>3982</v>
      </c>
      <c r="E61" s="197" t="str">
        <f>E45</f>
        <v>UEC</v>
      </c>
      <c r="F61" s="197" t="str">
        <f t="shared" ref="F61:I61" si="19">F45</f>
        <v>repair cost</v>
      </c>
      <c r="G61" s="197" t="str">
        <f t="shared" si="19"/>
        <v>installed price</v>
      </c>
      <c r="H61" s="197" t="str">
        <f t="shared" si="19"/>
        <v>ln(UEC)</v>
      </c>
      <c r="I61" s="197" t="str">
        <f t="shared" si="19"/>
        <v>UEC as a percent of federal standard</v>
      </c>
      <c r="J61" s="197" t="s">
        <v>3983</v>
      </c>
      <c r="K61" s="197" t="s">
        <v>3984</v>
      </c>
      <c r="M61" s="396" t="s">
        <v>4608</v>
      </c>
      <c r="N61" s="396" t="s">
        <v>4609</v>
      </c>
      <c r="O61" s="396" t="s">
        <v>4610</v>
      </c>
      <c r="P61" s="396" t="s">
        <v>3983</v>
      </c>
    </row>
    <row r="62" spans="2:16" ht="25.5" customHeight="1">
      <c r="B62" s="206" t="s">
        <v>3985</v>
      </c>
      <c r="C62" s="207">
        <f>'CEC analysis'!K37</f>
        <v>1.9845676260386099E-3</v>
      </c>
      <c r="D62" s="9">
        <f>'CEC analysis'!D37</f>
        <v>2</v>
      </c>
      <c r="E62" s="44">
        <f>IF(D62=0,"N/A",I62*M62)</f>
        <v>358.95391814984794</v>
      </c>
      <c r="F62" s="547" t="s">
        <v>3986</v>
      </c>
      <c r="G62" s="203">
        <f>IF(D62=0,"N/A",H62*N62+O62)</f>
        <v>67.983357487481271</v>
      </c>
      <c r="H62" s="196">
        <f>IF(D62=0,"N/A",LN(E62))</f>
        <v>5.8831940185496228</v>
      </c>
      <c r="I62" s="207">
        <f>IF(D62=0,"N/A",1-C62)</f>
        <v>0.9980154323739614</v>
      </c>
      <c r="J62" s="548">
        <f>SUMPRODUCT(G62:G66,D62:D66)/SUM(D62:D66)</f>
        <v>97.909923487716526</v>
      </c>
      <c r="K62" s="202">
        <f>IF(D62=0,"N/A",G62-P62)</f>
        <v>-29.926566000235255</v>
      </c>
      <c r="M62" s="397">
        <f>N47</f>
        <v>359.66770302941177</v>
      </c>
      <c r="N62" s="398">
        <f>C50</f>
        <v>-259.69330081246272</v>
      </c>
      <c r="O62" s="398">
        <f>C51</f>
        <v>1595.8094314847699</v>
      </c>
      <c r="P62" s="399">
        <f>J62</f>
        <v>97.909923487716526</v>
      </c>
    </row>
    <row r="63" spans="2:16">
      <c r="B63" s="206" t="s">
        <v>3987</v>
      </c>
      <c r="C63" s="207">
        <f>'CEC analysis'!L37</f>
        <v>0.10572067971401616</v>
      </c>
      <c r="D63" s="9">
        <f>'CEC analysis'!E37</f>
        <v>8</v>
      </c>
      <c r="E63" s="44">
        <f>IF(D63=0,"N/A",I63*M63)</f>
        <v>321.64338899396341</v>
      </c>
      <c r="F63" s="547"/>
      <c r="G63" s="203">
        <f>IF(D63=0,"N/A",H63*N63+O63)</f>
        <v>96.484846398485843</v>
      </c>
      <c r="H63" s="196">
        <f t="shared" ref="H63:H66" si="20">IF(D63=0,"N/A",LN(E63))</f>
        <v>5.7734434442304687</v>
      </c>
      <c r="I63" s="207">
        <f t="shared" ref="I63:I66" si="21">IF(D63=0,"N/A",1-C63)</f>
        <v>0.89427932028598378</v>
      </c>
      <c r="J63" s="548"/>
      <c r="K63" s="202">
        <f>IF(D63=0,"N/A",G63-P63)</f>
        <v>-1.4250770892306832</v>
      </c>
      <c r="M63" s="395">
        <f>M62</f>
        <v>359.66770302941177</v>
      </c>
      <c r="N63" s="395">
        <f t="shared" ref="N63:P66" si="22">N62</f>
        <v>-259.69330081246272</v>
      </c>
      <c r="O63" s="395">
        <f t="shared" si="22"/>
        <v>1595.8094314847699</v>
      </c>
      <c r="P63" s="399">
        <f>P62</f>
        <v>97.909923487716526</v>
      </c>
    </row>
    <row r="64" spans="2:16">
      <c r="B64" s="206" t="s">
        <v>3988</v>
      </c>
      <c r="C64" s="207" t="str">
        <f>'CEC analysis'!M37</f>
        <v/>
      </c>
      <c r="D64" s="9">
        <f>'CEC analysis'!F37</f>
        <v>0</v>
      </c>
      <c r="E64" s="44" t="str">
        <f>IF(D64=0,"N/A",I64*M64)</f>
        <v>N/A</v>
      </c>
      <c r="F64" s="547"/>
      <c r="G64" s="203" t="str">
        <f>IF(D64=0,"N/A",H64*N64+O64)</f>
        <v>N/A</v>
      </c>
      <c r="H64" s="196" t="str">
        <f t="shared" si="20"/>
        <v>N/A</v>
      </c>
      <c r="I64" s="207" t="str">
        <f t="shared" si="21"/>
        <v>N/A</v>
      </c>
      <c r="J64" s="548"/>
      <c r="K64" s="202" t="str">
        <f>IF(D64=0,"N/A",G64-P64)</f>
        <v>N/A</v>
      </c>
      <c r="M64" s="395">
        <f t="shared" ref="M64:M66" si="23">M63</f>
        <v>359.66770302941177</v>
      </c>
      <c r="N64" s="395">
        <f t="shared" si="22"/>
        <v>-259.69330081246272</v>
      </c>
      <c r="O64" s="395">
        <f t="shared" si="22"/>
        <v>1595.8094314847699</v>
      </c>
      <c r="P64" s="399">
        <f t="shared" si="22"/>
        <v>97.909923487716526</v>
      </c>
    </row>
    <row r="65" spans="1:16">
      <c r="B65" s="206" t="s">
        <v>3989</v>
      </c>
      <c r="C65" s="207">
        <f>'CEC analysis'!N37</f>
        <v>0.2461542138415915</v>
      </c>
      <c r="D65" s="9">
        <f>'CEC analysis'!G37</f>
        <v>1</v>
      </c>
      <c r="E65" s="44">
        <f>IF(D65=0,"N/A",I65*M65)</f>
        <v>271.13398234599589</v>
      </c>
      <c r="F65" s="547"/>
      <c r="G65" s="203">
        <f>IF(D65=0,"N/A",H65*N65+O65)</f>
        <v>140.8483427588385</v>
      </c>
      <c r="H65" s="196">
        <f t="shared" si="20"/>
        <v>5.6026130985051097</v>
      </c>
      <c r="I65" s="207">
        <f t="shared" si="21"/>
        <v>0.75384578615840847</v>
      </c>
      <c r="J65" s="548"/>
      <c r="K65" s="202">
        <f>IF(D65=0,"N/A",G65-P65)</f>
        <v>42.938419271121973</v>
      </c>
      <c r="M65" s="395">
        <f t="shared" si="23"/>
        <v>359.66770302941177</v>
      </c>
      <c r="N65" s="395">
        <f t="shared" si="22"/>
        <v>-259.69330081246272</v>
      </c>
      <c r="O65" s="395">
        <f t="shared" si="22"/>
        <v>1595.8094314847699</v>
      </c>
      <c r="P65" s="399">
        <f t="shared" si="22"/>
        <v>97.909923487716526</v>
      </c>
    </row>
    <row r="66" spans="1:16">
      <c r="B66" s="206" t="s">
        <v>3990</v>
      </c>
      <c r="C66" s="207">
        <f>'CEC analysis'!O37</f>
        <v>0.1213244057281912</v>
      </c>
      <c r="D66" s="9">
        <f>'CEC analysis'!H37</f>
        <v>9</v>
      </c>
      <c r="E66" s="44">
        <f>IF(D66=0,"N/A",I66*M66)</f>
        <v>316.03123269974481</v>
      </c>
      <c r="F66" s="547"/>
      <c r="G66" s="203">
        <f>IF(D66=0,"N/A",H66*N66+O66)</f>
        <v>101.05607120362697</v>
      </c>
      <c r="H66" s="196">
        <f t="shared" si="20"/>
        <v>5.7558410463602128</v>
      </c>
      <c r="I66" s="207">
        <f t="shared" si="21"/>
        <v>0.87867559427180875</v>
      </c>
      <c r="J66" s="548"/>
      <c r="K66" s="202">
        <f>IF(D66=0,"N/A",G66-P66)</f>
        <v>3.1461477159104447</v>
      </c>
      <c r="M66" s="395">
        <f t="shared" si="23"/>
        <v>359.66770302941177</v>
      </c>
      <c r="N66" s="395">
        <f t="shared" si="22"/>
        <v>-259.69330081246272</v>
      </c>
      <c r="O66" s="395">
        <f t="shared" si="22"/>
        <v>1595.8094314847699</v>
      </c>
      <c r="P66" s="399">
        <f t="shared" si="22"/>
        <v>97.909923487716526</v>
      </c>
    </row>
    <row r="67" spans="1:16">
      <c r="B67" s="209" t="s">
        <v>3991</v>
      </c>
      <c r="E67" s="44"/>
      <c r="G67" s="200"/>
      <c r="H67" s="196"/>
      <c r="I67" s="207"/>
      <c r="J67" s="207"/>
    </row>
    <row r="69" spans="1:16">
      <c r="A69" s="183" t="s">
        <v>4641</v>
      </c>
      <c r="B69" s="187"/>
      <c r="C69" s="187"/>
      <c r="D69" s="187"/>
      <c r="E69" s="187"/>
      <c r="F69" s="187"/>
      <c r="G69" s="187"/>
      <c r="H69" s="187"/>
      <c r="I69" s="187"/>
      <c r="J69" s="187"/>
      <c r="K69" s="187"/>
    </row>
    <row r="71" spans="1:16" ht="76.5" customHeight="1">
      <c r="E71" s="197" t="s">
        <v>3968</v>
      </c>
      <c r="F71" s="197" t="s">
        <v>3969</v>
      </c>
      <c r="G71" s="197" t="s">
        <v>3970</v>
      </c>
      <c r="H71" s="197" t="s">
        <v>3971</v>
      </c>
      <c r="I71" s="197" t="s">
        <v>3972</v>
      </c>
      <c r="M71" s="393" t="str">
        <f>G71</f>
        <v>installed price</v>
      </c>
      <c r="N71" s="393" t="s">
        <v>4607</v>
      </c>
    </row>
    <row r="72" spans="1:16" ht="13.5" customHeight="1">
      <c r="B72" s="198" t="s">
        <v>3976</v>
      </c>
      <c r="C72" s="198"/>
      <c r="D72" s="198"/>
      <c r="E72" s="199"/>
      <c r="F72" s="199"/>
      <c r="G72" s="199"/>
      <c r="H72" s="199"/>
      <c r="I72" s="199"/>
      <c r="J72" s="199"/>
      <c r="K72" s="199"/>
      <c r="M72" s="393"/>
      <c r="N72" s="393"/>
    </row>
    <row r="73" spans="1:16">
      <c r="B73" s="200"/>
      <c r="E73" s="201">
        <f>AVERAGE(M185,M205)</f>
        <v>312.67447659999999</v>
      </c>
      <c r="F73" s="201">
        <f t="shared" ref="F73:G83" si="24">AVERAGE(N185,N205)</f>
        <v>1.7990533652169569</v>
      </c>
      <c r="G73" s="201">
        <f t="shared" si="24"/>
        <v>192.0949</v>
      </c>
      <c r="H73" s="196">
        <f>LN(E73)</f>
        <v>5.7451626384909771</v>
      </c>
      <c r="I73" s="184">
        <f t="shared" ref="I73:I80" si="25">E73/N73</f>
        <v>0.80824797718605601</v>
      </c>
      <c r="M73" s="393">
        <f t="shared" ref="M73:M83" si="26">G73</f>
        <v>192.0949</v>
      </c>
      <c r="N73" s="394">
        <f>E10</f>
        <v>386.85463549019607</v>
      </c>
    </row>
    <row r="74" spans="1:16">
      <c r="B74" s="546" t="s">
        <v>3977</v>
      </c>
      <c r="C74" s="546"/>
      <c r="D74" s="546"/>
      <c r="E74" s="201">
        <f t="shared" ref="E74:E83" si="27">AVERAGE(M186,M206)</f>
        <v>281.40702893999998</v>
      </c>
      <c r="F74" s="201">
        <f t="shared" si="24"/>
        <v>1.8584344778732069</v>
      </c>
      <c r="G74" s="201">
        <f t="shared" si="24"/>
        <v>203.24214999999998</v>
      </c>
      <c r="H74" s="196">
        <f t="shared" ref="H74:H80" si="28">LN(E74)</f>
        <v>5.6398021228331503</v>
      </c>
      <c r="I74" s="184">
        <f t="shared" si="25"/>
        <v>0.72742317946745028</v>
      </c>
      <c r="M74" s="393">
        <f t="shared" si="26"/>
        <v>203.24214999999998</v>
      </c>
      <c r="N74" s="395">
        <f>N73</f>
        <v>386.85463549019607</v>
      </c>
    </row>
    <row r="75" spans="1:16">
      <c r="B75" s="546"/>
      <c r="C75" s="546"/>
      <c r="D75" s="546"/>
      <c r="E75" s="201">
        <f t="shared" si="27"/>
        <v>265.77330511000002</v>
      </c>
      <c r="F75" s="201">
        <f t="shared" si="24"/>
        <v>1.8815618585919569</v>
      </c>
      <c r="G75" s="201">
        <f t="shared" si="24"/>
        <v>228.61320000000001</v>
      </c>
      <c r="H75" s="196">
        <f t="shared" si="28"/>
        <v>5.5826437089932019</v>
      </c>
      <c r="I75" s="184">
        <f t="shared" si="25"/>
        <v>0.68701078060814769</v>
      </c>
      <c r="M75" s="393">
        <f t="shared" si="26"/>
        <v>228.61320000000001</v>
      </c>
      <c r="N75" s="395">
        <f t="shared" ref="N75:N83" si="29">N74</f>
        <v>386.85463549019607</v>
      </c>
    </row>
    <row r="76" spans="1:16">
      <c r="B76" s="204" t="s">
        <v>3978</v>
      </c>
      <c r="C76" s="205">
        <f>SLOPE(G74:G80,H74:H80)</f>
        <v>-398.21334169630495</v>
      </c>
      <c r="E76" s="201">
        <f t="shared" si="27"/>
        <v>250.13958127999996</v>
      </c>
      <c r="F76" s="201">
        <f t="shared" si="24"/>
        <v>1.8815618585919569</v>
      </c>
      <c r="G76" s="201">
        <f t="shared" si="24"/>
        <v>257.65325000000007</v>
      </c>
      <c r="H76" s="196">
        <f t="shared" si="28"/>
        <v>5.5220190871767674</v>
      </c>
      <c r="I76" s="184">
        <f t="shared" si="25"/>
        <v>0.64659838174884465</v>
      </c>
      <c r="M76" s="393">
        <f t="shared" si="26"/>
        <v>257.65325000000007</v>
      </c>
      <c r="N76" s="395">
        <f t="shared" si="29"/>
        <v>386.85463549019607</v>
      </c>
    </row>
    <row r="77" spans="1:16">
      <c r="B77" s="204" t="s">
        <v>3979</v>
      </c>
      <c r="C77" s="205">
        <f>INTERCEPT(G74:G80,H74:H80)</f>
        <v>2449.9858722145755</v>
      </c>
      <c r="E77" s="201">
        <f t="shared" si="27"/>
        <v>234.50585744999998</v>
      </c>
      <c r="F77" s="201">
        <f t="shared" si="24"/>
        <v>1.8815618585919569</v>
      </c>
      <c r="G77" s="201">
        <f t="shared" si="24"/>
        <v>275.78179999999998</v>
      </c>
      <c r="H77" s="196">
        <f t="shared" si="28"/>
        <v>5.4574805660391963</v>
      </c>
      <c r="I77" s="184">
        <f t="shared" si="25"/>
        <v>0.60618598288954195</v>
      </c>
      <c r="M77" s="393">
        <f t="shared" si="26"/>
        <v>275.78179999999998</v>
      </c>
      <c r="N77" s="395">
        <f t="shared" si="29"/>
        <v>386.85463549019607</v>
      </c>
    </row>
    <row r="78" spans="1:16">
      <c r="B78" s="200"/>
      <c r="E78" s="201">
        <f t="shared" si="27"/>
        <v>218.87213361999997</v>
      </c>
      <c r="F78" s="201">
        <f t="shared" si="24"/>
        <v>2.4991254302169565</v>
      </c>
      <c r="G78" s="201">
        <f t="shared" si="24"/>
        <v>298.2527</v>
      </c>
      <c r="H78" s="196">
        <f t="shared" si="28"/>
        <v>5.3884876945522446</v>
      </c>
      <c r="I78" s="184">
        <f t="shared" si="25"/>
        <v>0.56577358403023914</v>
      </c>
      <c r="M78" s="393">
        <f t="shared" si="26"/>
        <v>298.2527</v>
      </c>
      <c r="N78" s="395">
        <f t="shared" si="29"/>
        <v>386.85463549019607</v>
      </c>
    </row>
    <row r="79" spans="1:16">
      <c r="B79" s="200"/>
      <c r="E79" s="201">
        <f t="shared" si="27"/>
        <v>203.23840978999996</v>
      </c>
      <c r="F79" s="201">
        <f t="shared" si="24"/>
        <v>2.4991254302169565</v>
      </c>
      <c r="G79" s="201">
        <f t="shared" si="24"/>
        <v>321.71859999999998</v>
      </c>
      <c r="H79" s="196">
        <f t="shared" si="28"/>
        <v>5.314379722398523</v>
      </c>
      <c r="I79" s="184">
        <f t="shared" si="25"/>
        <v>0.52536118517093633</v>
      </c>
      <c r="K79" s="184"/>
      <c r="M79" s="393">
        <f t="shared" si="26"/>
        <v>321.71859999999998</v>
      </c>
      <c r="N79" s="395">
        <f t="shared" si="29"/>
        <v>386.85463549019607</v>
      </c>
    </row>
    <row r="80" spans="1:16">
      <c r="B80" s="200"/>
      <c r="E80" s="201">
        <f t="shared" si="27"/>
        <v>187.00669602350251</v>
      </c>
      <c r="F80" s="201">
        <f t="shared" si="24"/>
        <v>2.4991254302169565</v>
      </c>
      <c r="G80" s="201">
        <f t="shared" si="24"/>
        <v>378.39240000000001</v>
      </c>
      <c r="H80" s="196">
        <f t="shared" si="28"/>
        <v>5.231144423825822</v>
      </c>
      <c r="I80" s="184">
        <f t="shared" si="25"/>
        <v>0.48340301205526531</v>
      </c>
      <c r="K80" s="184"/>
      <c r="M80" s="393">
        <f t="shared" si="26"/>
        <v>378.39240000000001</v>
      </c>
      <c r="N80" s="395">
        <f t="shared" si="29"/>
        <v>386.85463549019607</v>
      </c>
    </row>
    <row r="81" spans="1:16">
      <c r="B81" s="200"/>
      <c r="E81" s="201">
        <f t="shared" si="27"/>
        <v>0</v>
      </c>
      <c r="F81" s="201">
        <f t="shared" si="24"/>
        <v>0</v>
      </c>
      <c r="G81" s="201">
        <f t="shared" si="24"/>
        <v>0</v>
      </c>
      <c r="H81" s="196"/>
      <c r="I81" s="184"/>
      <c r="K81" s="184"/>
      <c r="M81" s="393">
        <f t="shared" si="26"/>
        <v>0</v>
      </c>
      <c r="N81" s="395">
        <f t="shared" si="29"/>
        <v>386.85463549019607</v>
      </c>
    </row>
    <row r="82" spans="1:16">
      <c r="B82" s="200"/>
      <c r="E82" s="201">
        <f t="shared" si="27"/>
        <v>0</v>
      </c>
      <c r="F82" s="201">
        <f t="shared" si="24"/>
        <v>0</v>
      </c>
      <c r="G82" s="201">
        <f t="shared" si="24"/>
        <v>0</v>
      </c>
      <c r="H82" s="196"/>
      <c r="I82" s="184"/>
      <c r="K82" s="184"/>
      <c r="M82" s="393">
        <f t="shared" si="26"/>
        <v>0</v>
      </c>
      <c r="N82" s="395">
        <f t="shared" si="29"/>
        <v>386.85463549019607</v>
      </c>
    </row>
    <row r="83" spans="1:16">
      <c r="B83" s="200"/>
      <c r="E83" s="201">
        <f t="shared" si="27"/>
        <v>0</v>
      </c>
      <c r="F83" s="201">
        <f t="shared" si="24"/>
        <v>0</v>
      </c>
      <c r="G83" s="201">
        <f t="shared" si="24"/>
        <v>0</v>
      </c>
      <c r="H83" s="196"/>
      <c r="I83" s="184"/>
      <c r="K83" s="184"/>
      <c r="M83" s="393">
        <f t="shared" si="26"/>
        <v>0</v>
      </c>
      <c r="N83" s="395">
        <f t="shared" si="29"/>
        <v>386.85463549019607</v>
      </c>
    </row>
    <row r="84" spans="1:16">
      <c r="B84" s="200"/>
      <c r="E84" s="201"/>
      <c r="F84" s="201"/>
      <c r="G84" s="201"/>
      <c r="H84" s="196"/>
      <c r="I84" s="184"/>
      <c r="K84" s="184"/>
      <c r="M84" s="393"/>
      <c r="N84" s="395"/>
    </row>
    <row r="85" spans="1:16">
      <c r="B85" s="200"/>
      <c r="E85" s="201"/>
      <c r="F85" s="201"/>
      <c r="G85" s="201"/>
      <c r="H85" s="196"/>
      <c r="I85" s="184"/>
      <c r="J85" s="184"/>
      <c r="K85" s="184"/>
    </row>
    <row r="86" spans="1:16">
      <c r="B86" s="198" t="s">
        <v>3980</v>
      </c>
      <c r="C86" s="198"/>
      <c r="D86" s="198"/>
      <c r="E86" s="199"/>
      <c r="F86" s="199"/>
      <c r="G86" s="199"/>
      <c r="H86" s="199"/>
      <c r="I86" s="199"/>
      <c r="J86" s="199"/>
      <c r="K86" s="199"/>
    </row>
    <row r="87" spans="1:16" ht="66" customHeight="1">
      <c r="C87" s="197" t="s">
        <v>3981</v>
      </c>
      <c r="D87" s="197" t="s">
        <v>3982</v>
      </c>
      <c r="E87" s="197" t="str">
        <f>E71</f>
        <v>UEC</v>
      </c>
      <c r="F87" s="197" t="str">
        <f t="shared" ref="F87:I87" si="30">F71</f>
        <v>repair cost</v>
      </c>
      <c r="G87" s="197" t="str">
        <f t="shared" si="30"/>
        <v>installed price</v>
      </c>
      <c r="H87" s="197" t="str">
        <f t="shared" si="30"/>
        <v>ln(UEC)</v>
      </c>
      <c r="I87" s="197" t="str">
        <f t="shared" si="30"/>
        <v>UEC as a percent of federal standard</v>
      </c>
      <c r="J87" s="197" t="s">
        <v>3983</v>
      </c>
      <c r="K87" s="197" t="s">
        <v>3984</v>
      </c>
      <c r="M87" s="396" t="s">
        <v>4608</v>
      </c>
      <c r="N87" s="396" t="s">
        <v>4609</v>
      </c>
      <c r="O87" s="396" t="s">
        <v>4610</v>
      </c>
      <c r="P87" s="396" t="s">
        <v>3983</v>
      </c>
    </row>
    <row r="88" spans="1:16" ht="25.5" customHeight="1">
      <c r="B88" s="206" t="s">
        <v>3985</v>
      </c>
      <c r="C88" s="207">
        <f>'CEC analysis'!K38</f>
        <v>1.1740040291724544E-2</v>
      </c>
      <c r="D88" s="9">
        <f>'CEC analysis'!D38</f>
        <v>1</v>
      </c>
      <c r="E88" s="44">
        <f>IF(D88=0,"N/A",I88*M88)</f>
        <v>382.31294648250076</v>
      </c>
      <c r="F88" s="547" t="s">
        <v>3986</v>
      </c>
      <c r="G88" s="203">
        <f>IF(D88=0,"N/A",H88*N88+O88)</f>
        <v>82.113968462038883</v>
      </c>
      <c r="H88" s="196">
        <f>IF(D88=0,"N/A",LN(E88))</f>
        <v>5.9462395048490873</v>
      </c>
      <c r="I88" s="207">
        <f>IF(D88=0,"N/A",1-C88)</f>
        <v>0.9882599597082754</v>
      </c>
      <c r="J88" s="548">
        <f>SUMPRODUCT(G88:G92,D88:D92)/SUM(D88:D92)</f>
        <v>162.88508198708431</v>
      </c>
      <c r="K88" s="202">
        <f>IF(D88=0,"N/A",G88-P88)</f>
        <v>-80.771113525045422</v>
      </c>
      <c r="M88" s="397">
        <f>N73</f>
        <v>386.85463549019607</v>
      </c>
      <c r="N88" s="398">
        <f>C76</f>
        <v>-398.21334169630495</v>
      </c>
      <c r="O88" s="398">
        <f>C77</f>
        <v>2449.9858722145755</v>
      </c>
      <c r="P88" s="399">
        <f>J88</f>
        <v>162.88508198708431</v>
      </c>
    </row>
    <row r="89" spans="1:16">
      <c r="B89" s="206" t="s">
        <v>3987</v>
      </c>
      <c r="C89" s="207">
        <f>'CEC analysis'!L38</f>
        <v>0.13960326337820225</v>
      </c>
      <c r="D89" s="9">
        <f>'CEC analysis'!E38</f>
        <v>1</v>
      </c>
      <c r="E89" s="44">
        <f>IF(D89=0,"N/A",I89*M89)</f>
        <v>332.84846592277978</v>
      </c>
      <c r="F89" s="547"/>
      <c r="G89" s="203">
        <f>IF(D89=0,"N/A",H89*N89+O89)</f>
        <v>137.28729335781281</v>
      </c>
      <c r="H89" s="196">
        <f t="shared" ref="H89:H92" si="31">IF(D89=0,"N/A",LN(E89))</f>
        <v>5.8076873291215048</v>
      </c>
      <c r="I89" s="207">
        <f t="shared" ref="I89:I92" si="32">IF(D89=0,"N/A",1-C89)</f>
        <v>0.86039673662179772</v>
      </c>
      <c r="J89" s="548"/>
      <c r="K89" s="202">
        <f>IF(D89=0,"N/A",G89-P89)</f>
        <v>-25.597788629271491</v>
      </c>
      <c r="M89" s="395">
        <f>M88</f>
        <v>386.85463549019607</v>
      </c>
      <c r="N89" s="395">
        <f t="shared" ref="N89:P92" si="33">N88</f>
        <v>-398.21334169630495</v>
      </c>
      <c r="O89" s="395">
        <f t="shared" si="33"/>
        <v>2449.9858722145755</v>
      </c>
      <c r="P89" s="399">
        <f>P88</f>
        <v>162.88508198708431</v>
      </c>
    </row>
    <row r="90" spans="1:16">
      <c r="B90" s="206" t="s">
        <v>3988</v>
      </c>
      <c r="C90" s="207">
        <f>'CEC analysis'!M38</f>
        <v>0.17973121274352999</v>
      </c>
      <c r="D90" s="9">
        <f>'CEC analysis'!F38</f>
        <v>3</v>
      </c>
      <c r="E90" s="44">
        <f>IF(D90=0,"N/A",I90*M90)</f>
        <v>317.32478269808689</v>
      </c>
      <c r="F90" s="547"/>
      <c r="G90" s="203">
        <f>IF(D90=0,"N/A",H90*N90+O90)</f>
        <v>156.30657128223766</v>
      </c>
      <c r="H90" s="196">
        <f t="shared" si="31"/>
        <v>5.7599258004810867</v>
      </c>
      <c r="I90" s="207">
        <f t="shared" si="32"/>
        <v>0.82026878725647001</v>
      </c>
      <c r="J90" s="548"/>
      <c r="K90" s="202">
        <f>IF(D90=0,"N/A",G90-P90)</f>
        <v>-6.57851070484665</v>
      </c>
      <c r="M90" s="395">
        <f t="shared" ref="M90:M92" si="34">M89</f>
        <v>386.85463549019607</v>
      </c>
      <c r="N90" s="395">
        <f t="shared" si="33"/>
        <v>-398.21334169630495</v>
      </c>
      <c r="O90" s="395">
        <f t="shared" si="33"/>
        <v>2449.9858722145755</v>
      </c>
      <c r="P90" s="399">
        <f t="shared" si="33"/>
        <v>162.88508198708431</v>
      </c>
    </row>
    <row r="91" spans="1:16">
      <c r="B91" s="206" t="s">
        <v>3989</v>
      </c>
      <c r="C91" s="207">
        <f>'CEC analysis'!N38</f>
        <v>0.35780185940909043</v>
      </c>
      <c r="D91" s="9">
        <f>'CEC analysis'!G38</f>
        <v>1</v>
      </c>
      <c r="E91" s="44">
        <f>IF(D91=0,"N/A",I91*M91)</f>
        <v>248.43732759077804</v>
      </c>
      <c r="F91" s="547"/>
      <c r="G91" s="203">
        <f>IF(D91=0,"N/A",H91*N91+O91)</f>
        <v>253.76338896628113</v>
      </c>
      <c r="H91" s="196">
        <f t="shared" si="31"/>
        <v>5.5151906108741837</v>
      </c>
      <c r="I91" s="207">
        <f t="shared" si="32"/>
        <v>0.64219814059090963</v>
      </c>
      <c r="J91" s="548"/>
      <c r="K91" s="202">
        <f>IF(D91=0,"N/A",G91-P91)</f>
        <v>90.878306979196822</v>
      </c>
      <c r="M91" s="395">
        <f t="shared" si="34"/>
        <v>386.85463549019607</v>
      </c>
      <c r="N91" s="395">
        <f t="shared" si="33"/>
        <v>-398.21334169630495</v>
      </c>
      <c r="O91" s="395">
        <f t="shared" si="33"/>
        <v>2449.9858722145755</v>
      </c>
      <c r="P91" s="399">
        <f t="shared" si="33"/>
        <v>162.88508198708431</v>
      </c>
    </row>
    <row r="92" spans="1:16">
      <c r="B92" s="206" t="s">
        <v>3990</v>
      </c>
      <c r="C92" s="207">
        <f>'CEC analysis'!O38</f>
        <v>0.20731975220357651</v>
      </c>
      <c r="D92" s="9">
        <f>'CEC analysis'!H38</f>
        <v>5</v>
      </c>
      <c r="E92" s="44">
        <f>IF(D92=0,"N/A",I92*M92)</f>
        <v>306.65202832156371</v>
      </c>
      <c r="F92" s="547"/>
      <c r="G92" s="203">
        <f>IF(D92=0,"N/A",H92*N92+O92)</f>
        <v>169.9303074450163</v>
      </c>
      <c r="H92" s="196">
        <f t="shared" si="31"/>
        <v>5.7257136465016538</v>
      </c>
      <c r="I92" s="207">
        <f t="shared" si="32"/>
        <v>0.79268024779642343</v>
      </c>
      <c r="J92" s="548"/>
      <c r="K92" s="202">
        <f>IF(D92=0,"N/A",G92-P92)</f>
        <v>7.0452254579319913</v>
      </c>
      <c r="M92" s="395">
        <f t="shared" si="34"/>
        <v>386.85463549019607</v>
      </c>
      <c r="N92" s="395">
        <f t="shared" si="33"/>
        <v>-398.21334169630495</v>
      </c>
      <c r="O92" s="395">
        <f t="shared" si="33"/>
        <v>2449.9858722145755</v>
      </c>
      <c r="P92" s="399">
        <f t="shared" si="33"/>
        <v>162.88508198708431</v>
      </c>
    </row>
    <row r="93" spans="1:16">
      <c r="B93" s="209" t="s">
        <v>3991</v>
      </c>
      <c r="E93" s="44"/>
      <c r="G93" s="200"/>
      <c r="H93" s="196"/>
      <c r="I93" s="207"/>
      <c r="J93" s="207"/>
    </row>
    <row r="95" spans="1:16">
      <c r="A95" s="183" t="s">
        <v>4642</v>
      </c>
      <c r="B95" s="187"/>
      <c r="C95" s="187"/>
      <c r="D95" s="187"/>
      <c r="E95" s="187"/>
      <c r="F95" s="187"/>
      <c r="G95" s="187"/>
      <c r="H95" s="187"/>
      <c r="I95" s="187"/>
      <c r="J95" s="187"/>
      <c r="K95" s="187"/>
    </row>
    <row r="97" spans="2:14" ht="76.5" customHeight="1">
      <c r="E97" s="197" t="s">
        <v>3968</v>
      </c>
      <c r="F97" s="197" t="s">
        <v>3969</v>
      </c>
      <c r="G97" s="197" t="s">
        <v>3970</v>
      </c>
      <c r="H97" s="197" t="s">
        <v>3971</v>
      </c>
      <c r="I97" s="197" t="s">
        <v>3972</v>
      </c>
      <c r="M97" s="393" t="str">
        <f>G97</f>
        <v>installed price</v>
      </c>
      <c r="N97" s="393" t="s">
        <v>4607</v>
      </c>
    </row>
    <row r="98" spans="2:14" ht="13.5" customHeight="1">
      <c r="B98" s="198" t="s">
        <v>3976</v>
      </c>
      <c r="C98" s="198"/>
      <c r="D98" s="198"/>
      <c r="E98" s="199"/>
      <c r="F98" s="199"/>
      <c r="G98" s="199"/>
      <c r="H98" s="199"/>
      <c r="I98" s="199"/>
      <c r="J98" s="199"/>
      <c r="K98" s="199"/>
      <c r="M98" s="393"/>
      <c r="N98" s="393"/>
    </row>
    <row r="99" spans="2:14">
      <c r="B99" s="200"/>
      <c r="E99" s="201">
        <f>AVERAGE(Q185,Q205)</f>
        <v>312.67447659999999</v>
      </c>
      <c r="F99" s="201">
        <f t="shared" ref="F99:G109" si="35">AVERAGE(R185,R205)</f>
        <v>1.7990533652169569</v>
      </c>
      <c r="G99" s="201">
        <f t="shared" si="35"/>
        <v>192.0949</v>
      </c>
      <c r="H99" s="196">
        <f>LN(E99)</f>
        <v>5.7451626384909771</v>
      </c>
      <c r="I99" s="184">
        <f t="shared" ref="I99:I106" si="36">E99/N99</f>
        <v>0.64543120446583357</v>
      </c>
      <c r="M99" s="393">
        <f t="shared" ref="M99:M109" si="37">G99</f>
        <v>192.0949</v>
      </c>
      <c r="N99" s="394">
        <f>F10</f>
        <v>484.44276390196075</v>
      </c>
    </row>
    <row r="100" spans="2:14">
      <c r="B100" s="546" t="s">
        <v>3977</v>
      </c>
      <c r="C100" s="546"/>
      <c r="D100" s="546"/>
      <c r="E100" s="201">
        <f t="shared" ref="E100:E109" si="38">AVERAGE(Q186,Q206)</f>
        <v>281.40702893999998</v>
      </c>
      <c r="F100" s="201">
        <f t="shared" si="35"/>
        <v>1.8584344778732069</v>
      </c>
      <c r="G100" s="201">
        <f t="shared" si="35"/>
        <v>203.24214999999998</v>
      </c>
      <c r="H100" s="196">
        <f t="shared" ref="H100:H106" si="39">LN(E100)</f>
        <v>5.6398021228331503</v>
      </c>
      <c r="I100" s="184">
        <f t="shared" si="36"/>
        <v>0.58088808401925018</v>
      </c>
      <c r="M100" s="393">
        <f t="shared" si="37"/>
        <v>203.24214999999998</v>
      </c>
      <c r="N100" s="395">
        <f>N99</f>
        <v>484.44276390196075</v>
      </c>
    </row>
    <row r="101" spans="2:14">
      <c r="B101" s="546"/>
      <c r="C101" s="546"/>
      <c r="D101" s="546"/>
      <c r="E101" s="201">
        <f t="shared" si="38"/>
        <v>265.77330511000002</v>
      </c>
      <c r="F101" s="201">
        <f t="shared" si="35"/>
        <v>1.8815618585919569</v>
      </c>
      <c r="G101" s="201">
        <f t="shared" si="35"/>
        <v>228.61320000000001</v>
      </c>
      <c r="H101" s="196">
        <f t="shared" si="39"/>
        <v>5.5826437089932019</v>
      </c>
      <c r="I101" s="184">
        <f t="shared" si="36"/>
        <v>0.5486165237959586</v>
      </c>
      <c r="M101" s="393">
        <f t="shared" si="37"/>
        <v>228.61320000000001</v>
      </c>
      <c r="N101" s="395">
        <f t="shared" ref="N101:N109" si="40">N100</f>
        <v>484.44276390196075</v>
      </c>
    </row>
    <row r="102" spans="2:14">
      <c r="B102" s="204" t="s">
        <v>3978</v>
      </c>
      <c r="C102" s="205">
        <f>SLOPE(G100:G106,H100:H106)</f>
        <v>-398.21334169630495</v>
      </c>
      <c r="E102" s="201">
        <f t="shared" si="38"/>
        <v>250.13958127999996</v>
      </c>
      <c r="F102" s="201">
        <f t="shared" si="35"/>
        <v>1.8815618585919569</v>
      </c>
      <c r="G102" s="201">
        <f t="shared" si="35"/>
        <v>257.65325000000007</v>
      </c>
      <c r="H102" s="196">
        <f t="shared" si="39"/>
        <v>5.5220190871767674</v>
      </c>
      <c r="I102" s="184">
        <f t="shared" si="36"/>
        <v>0.51634496357266679</v>
      </c>
      <c r="M102" s="393">
        <f t="shared" si="37"/>
        <v>257.65325000000007</v>
      </c>
      <c r="N102" s="395">
        <f t="shared" si="40"/>
        <v>484.44276390196075</v>
      </c>
    </row>
    <row r="103" spans="2:14">
      <c r="B103" s="204" t="s">
        <v>3979</v>
      </c>
      <c r="C103" s="205">
        <f>INTERCEPT(G100:G106,H100:H106)</f>
        <v>2449.9858722145755</v>
      </c>
      <c r="E103" s="201">
        <f t="shared" si="38"/>
        <v>234.50585744999998</v>
      </c>
      <c r="F103" s="201">
        <f t="shared" si="35"/>
        <v>1.8815618585919569</v>
      </c>
      <c r="G103" s="201">
        <f t="shared" si="35"/>
        <v>275.78179999999998</v>
      </c>
      <c r="H103" s="196">
        <f t="shared" si="39"/>
        <v>5.4574805660391963</v>
      </c>
      <c r="I103" s="184">
        <f t="shared" si="36"/>
        <v>0.48407340334937521</v>
      </c>
      <c r="M103" s="393">
        <f t="shared" si="37"/>
        <v>275.78179999999998</v>
      </c>
      <c r="N103" s="395">
        <f t="shared" si="40"/>
        <v>484.44276390196075</v>
      </c>
    </row>
    <row r="104" spans="2:14">
      <c r="B104" s="200"/>
      <c r="E104" s="201">
        <f t="shared" si="38"/>
        <v>218.87213361999997</v>
      </c>
      <c r="F104" s="201">
        <f t="shared" si="35"/>
        <v>2.4991254302169565</v>
      </c>
      <c r="G104" s="201">
        <f t="shared" si="35"/>
        <v>298.2527</v>
      </c>
      <c r="H104" s="196">
        <f t="shared" si="39"/>
        <v>5.3884876945522446</v>
      </c>
      <c r="I104" s="184">
        <f t="shared" si="36"/>
        <v>0.45180184312608351</v>
      </c>
      <c r="M104" s="393">
        <f t="shared" si="37"/>
        <v>298.2527</v>
      </c>
      <c r="N104" s="395">
        <f t="shared" si="40"/>
        <v>484.44276390196075</v>
      </c>
    </row>
    <row r="105" spans="2:14">
      <c r="B105" s="200"/>
      <c r="E105" s="201">
        <f t="shared" si="38"/>
        <v>203.23840978999996</v>
      </c>
      <c r="F105" s="201">
        <f t="shared" si="35"/>
        <v>2.4991254302169565</v>
      </c>
      <c r="G105" s="201">
        <f t="shared" si="35"/>
        <v>321.71859999999998</v>
      </c>
      <c r="H105" s="196">
        <f t="shared" si="39"/>
        <v>5.314379722398523</v>
      </c>
      <c r="I105" s="184">
        <f t="shared" si="36"/>
        <v>0.41953028290279182</v>
      </c>
      <c r="K105" s="184"/>
      <c r="M105" s="393">
        <f t="shared" si="37"/>
        <v>321.71859999999998</v>
      </c>
      <c r="N105" s="395">
        <f t="shared" si="40"/>
        <v>484.44276390196075</v>
      </c>
    </row>
    <row r="106" spans="2:14">
      <c r="B106" s="200"/>
      <c r="E106" s="201">
        <f t="shared" si="38"/>
        <v>187.00669602350251</v>
      </c>
      <c r="F106" s="201">
        <f t="shared" si="35"/>
        <v>2.4991254302169565</v>
      </c>
      <c r="G106" s="201">
        <f t="shared" si="35"/>
        <v>378.39240000000001</v>
      </c>
      <c r="H106" s="196">
        <f t="shared" si="39"/>
        <v>5.231144423825822</v>
      </c>
      <c r="I106" s="184">
        <f t="shared" si="36"/>
        <v>0.38602433550095933</v>
      </c>
      <c r="K106" s="184"/>
      <c r="M106" s="393">
        <f t="shared" si="37"/>
        <v>378.39240000000001</v>
      </c>
      <c r="N106" s="395">
        <f t="shared" si="40"/>
        <v>484.44276390196075</v>
      </c>
    </row>
    <row r="107" spans="2:14">
      <c r="B107" s="200"/>
      <c r="E107" s="201">
        <f t="shared" si="38"/>
        <v>0</v>
      </c>
      <c r="F107" s="201">
        <f t="shared" si="35"/>
        <v>0</v>
      </c>
      <c r="G107" s="201">
        <f t="shared" si="35"/>
        <v>0</v>
      </c>
      <c r="H107" s="196"/>
      <c r="I107" s="184"/>
      <c r="K107" s="184"/>
      <c r="M107" s="393">
        <f t="shared" si="37"/>
        <v>0</v>
      </c>
      <c r="N107" s="395">
        <f t="shared" si="40"/>
        <v>484.44276390196075</v>
      </c>
    </row>
    <row r="108" spans="2:14">
      <c r="B108" s="200"/>
      <c r="E108" s="201">
        <f t="shared" si="38"/>
        <v>0</v>
      </c>
      <c r="F108" s="201">
        <f t="shared" si="35"/>
        <v>0</v>
      </c>
      <c r="G108" s="201">
        <f t="shared" si="35"/>
        <v>0</v>
      </c>
      <c r="H108" s="196"/>
      <c r="I108" s="184"/>
      <c r="K108" s="184"/>
      <c r="M108" s="393">
        <f t="shared" si="37"/>
        <v>0</v>
      </c>
      <c r="N108" s="395">
        <f t="shared" si="40"/>
        <v>484.44276390196075</v>
      </c>
    </row>
    <row r="109" spans="2:14">
      <c r="B109" s="200"/>
      <c r="E109" s="201">
        <f t="shared" si="38"/>
        <v>0</v>
      </c>
      <c r="F109" s="201">
        <f t="shared" si="35"/>
        <v>0</v>
      </c>
      <c r="G109" s="201">
        <f t="shared" si="35"/>
        <v>0</v>
      </c>
      <c r="H109" s="196"/>
      <c r="I109" s="184"/>
      <c r="K109" s="184"/>
      <c r="M109" s="393">
        <f t="shared" si="37"/>
        <v>0</v>
      </c>
      <c r="N109" s="395">
        <f t="shared" si="40"/>
        <v>484.44276390196075</v>
      </c>
    </row>
    <row r="110" spans="2:14">
      <c r="B110" s="200"/>
      <c r="E110" s="201"/>
      <c r="F110" s="201"/>
      <c r="G110" s="201"/>
      <c r="H110" s="196"/>
      <c r="I110" s="184"/>
      <c r="K110" s="184"/>
      <c r="M110" s="393"/>
      <c r="N110" s="395"/>
    </row>
    <row r="111" spans="2:14">
      <c r="B111" s="200"/>
      <c r="E111" s="201"/>
      <c r="F111" s="201"/>
      <c r="G111" s="201"/>
      <c r="H111" s="196"/>
      <c r="I111" s="184"/>
      <c r="J111" s="184"/>
      <c r="K111" s="184"/>
    </row>
    <row r="112" spans="2:14">
      <c r="B112" s="198" t="s">
        <v>3980</v>
      </c>
      <c r="C112" s="198"/>
      <c r="D112" s="198"/>
      <c r="E112" s="199"/>
      <c r="F112" s="199"/>
      <c r="G112" s="199"/>
      <c r="H112" s="199"/>
      <c r="I112" s="199"/>
      <c r="J112" s="199"/>
      <c r="K112" s="199"/>
    </row>
    <row r="113" spans="1:16" ht="66" customHeight="1">
      <c r="C113" s="197" t="s">
        <v>3981</v>
      </c>
      <c r="D113" s="197" t="s">
        <v>3982</v>
      </c>
      <c r="E113" s="197" t="str">
        <f>E97</f>
        <v>UEC</v>
      </c>
      <c r="F113" s="197" t="str">
        <f t="shared" ref="F113:I113" si="41">F97</f>
        <v>repair cost</v>
      </c>
      <c r="G113" s="197" t="str">
        <f t="shared" si="41"/>
        <v>installed price</v>
      </c>
      <c r="H113" s="197" t="str">
        <f t="shared" si="41"/>
        <v>ln(UEC)</v>
      </c>
      <c r="I113" s="197" t="str">
        <f t="shared" si="41"/>
        <v>UEC as a percent of federal standard</v>
      </c>
      <c r="J113" s="197" t="s">
        <v>3983</v>
      </c>
      <c r="K113" s="197" t="s">
        <v>3984</v>
      </c>
      <c r="M113" s="396" t="s">
        <v>4608</v>
      </c>
      <c r="N113" s="396" t="s">
        <v>4609</v>
      </c>
      <c r="O113" s="396" t="s">
        <v>4610</v>
      </c>
      <c r="P113" s="396" t="s">
        <v>3983</v>
      </c>
    </row>
    <row r="114" spans="1:16" ht="25.5" customHeight="1">
      <c r="B114" s="206" t="s">
        <v>3985</v>
      </c>
      <c r="C114" s="207" t="str">
        <f>'CEC analysis'!K41</f>
        <v/>
      </c>
      <c r="D114" s="9">
        <f>'CEC analysis'!D41</f>
        <v>0</v>
      </c>
      <c r="E114" s="44" t="str">
        <f>IF(D114=0,"N/A",I114*M114)</f>
        <v>N/A</v>
      </c>
      <c r="F114" s="547" t="s">
        <v>3986</v>
      </c>
      <c r="G114" s="203" t="str">
        <f>IF(D114=0,"N/A",H114*N114+O114)</f>
        <v>N/A</v>
      </c>
      <c r="H114" s="196" t="str">
        <f>IF(D114=0,"N/A",LN(E114))</f>
        <v>N/A</v>
      </c>
      <c r="I114" s="207" t="str">
        <f>IF(D114=0,"N/A",1-C114)</f>
        <v>N/A</v>
      </c>
      <c r="J114" s="548" t="e">
        <f>SUMPRODUCT(G114:G118,D114:D118)/SUM(D114:D118)</f>
        <v>#DIV/0!</v>
      </c>
      <c r="K114" s="202" t="str">
        <f>IF(D114=0,"N/A",G114-P114)</f>
        <v>N/A</v>
      </c>
      <c r="M114" s="397">
        <f>N99</f>
        <v>484.44276390196075</v>
      </c>
      <c r="N114" s="398">
        <f>C102</f>
        <v>-398.21334169630495</v>
      </c>
      <c r="O114" s="398">
        <f>C103</f>
        <v>2449.9858722145755</v>
      </c>
      <c r="P114" s="399" t="e">
        <f>J114</f>
        <v>#DIV/0!</v>
      </c>
    </row>
    <row r="115" spans="1:16">
      <c r="B115" s="206" t="s">
        <v>3987</v>
      </c>
      <c r="C115" s="207" t="str">
        <f>'CEC analysis'!L41</f>
        <v/>
      </c>
      <c r="D115" s="9">
        <f>'CEC analysis'!E41</f>
        <v>0</v>
      </c>
      <c r="E115" s="44" t="str">
        <f>IF(D115=0,"N/A",I115*M115)</f>
        <v>N/A</v>
      </c>
      <c r="F115" s="547"/>
      <c r="G115" s="203" t="str">
        <f>IF(D115=0,"N/A",H115*N115+O115)</f>
        <v>N/A</v>
      </c>
      <c r="H115" s="196" t="str">
        <f t="shared" ref="H115:H118" si="42">IF(D115=0,"N/A",LN(E115))</f>
        <v>N/A</v>
      </c>
      <c r="I115" s="207" t="str">
        <f t="shared" ref="I115:I118" si="43">IF(D115=0,"N/A",1-C115)</f>
        <v>N/A</v>
      </c>
      <c r="J115" s="548"/>
      <c r="K115" s="202" t="str">
        <f>IF(D115=0,"N/A",G115-P115)</f>
        <v>N/A</v>
      </c>
      <c r="M115" s="395">
        <f>M114</f>
        <v>484.44276390196075</v>
      </c>
      <c r="N115" s="395">
        <f t="shared" ref="N115:P118" si="44">N114</f>
        <v>-398.21334169630495</v>
      </c>
      <c r="O115" s="395">
        <f t="shared" si="44"/>
        <v>2449.9858722145755</v>
      </c>
      <c r="P115" s="399" t="e">
        <f>P114</f>
        <v>#DIV/0!</v>
      </c>
    </row>
    <row r="116" spans="1:16">
      <c r="B116" s="206" t="s">
        <v>3988</v>
      </c>
      <c r="C116" s="207" t="str">
        <f>'CEC analysis'!M41</f>
        <v/>
      </c>
      <c r="D116" s="9">
        <f>'CEC analysis'!F41</f>
        <v>0</v>
      </c>
      <c r="E116" s="44" t="str">
        <f>IF(D116=0,"N/A",I116*M116)</f>
        <v>N/A</v>
      </c>
      <c r="F116" s="547"/>
      <c r="G116" s="203" t="str">
        <f>IF(D116=0,"N/A",H116*N116+O116)</f>
        <v>N/A</v>
      </c>
      <c r="H116" s="196" t="str">
        <f t="shared" si="42"/>
        <v>N/A</v>
      </c>
      <c r="I116" s="207" t="str">
        <f t="shared" si="43"/>
        <v>N/A</v>
      </c>
      <c r="J116" s="548"/>
      <c r="K116" s="202" t="str">
        <f>IF(D116=0,"N/A",G116-P116)</f>
        <v>N/A</v>
      </c>
      <c r="M116" s="395">
        <f t="shared" ref="M116:M118" si="45">M115</f>
        <v>484.44276390196075</v>
      </c>
      <c r="N116" s="395">
        <f t="shared" si="44"/>
        <v>-398.21334169630495</v>
      </c>
      <c r="O116" s="395">
        <f t="shared" si="44"/>
        <v>2449.9858722145755</v>
      </c>
      <c r="P116" s="399" t="e">
        <f t="shared" si="44"/>
        <v>#DIV/0!</v>
      </c>
    </row>
    <row r="117" spans="1:16">
      <c r="B117" s="206" t="s">
        <v>3989</v>
      </c>
      <c r="C117" s="207" t="str">
        <f>'CEC analysis'!N41</f>
        <v/>
      </c>
      <c r="D117" s="9">
        <f>'CEC analysis'!G41</f>
        <v>0</v>
      </c>
      <c r="E117" s="44" t="str">
        <f>IF(D117=0,"N/A",I117*M117)</f>
        <v>N/A</v>
      </c>
      <c r="F117" s="547"/>
      <c r="G117" s="203" t="str">
        <f>IF(D117=0,"N/A",H117*N117+O117)</f>
        <v>N/A</v>
      </c>
      <c r="H117" s="196" t="str">
        <f t="shared" si="42"/>
        <v>N/A</v>
      </c>
      <c r="I117" s="207" t="str">
        <f t="shared" si="43"/>
        <v>N/A</v>
      </c>
      <c r="J117" s="548"/>
      <c r="K117" s="202" t="str">
        <f>IF(D117=0,"N/A",G117-P117)</f>
        <v>N/A</v>
      </c>
      <c r="M117" s="395">
        <f t="shared" si="45"/>
        <v>484.44276390196075</v>
      </c>
      <c r="N117" s="395">
        <f t="shared" si="44"/>
        <v>-398.21334169630495</v>
      </c>
      <c r="O117" s="395">
        <f t="shared" si="44"/>
        <v>2449.9858722145755</v>
      </c>
      <c r="P117" s="399" t="e">
        <f t="shared" si="44"/>
        <v>#DIV/0!</v>
      </c>
    </row>
    <row r="118" spans="1:16">
      <c r="B118" s="206" t="s">
        <v>3990</v>
      </c>
      <c r="C118" s="207" t="str">
        <f>'CEC analysis'!O41</f>
        <v/>
      </c>
      <c r="D118" s="9">
        <f>'CEC analysis'!H41</f>
        <v>0</v>
      </c>
      <c r="E118" s="44" t="str">
        <f>IF(D118=0,"N/A",I118*M118)</f>
        <v>N/A</v>
      </c>
      <c r="F118" s="547"/>
      <c r="G118" s="203" t="str">
        <f>IF(D118=0,"N/A",H118*N118+O118)</f>
        <v>N/A</v>
      </c>
      <c r="H118" s="196" t="str">
        <f t="shared" si="42"/>
        <v>N/A</v>
      </c>
      <c r="I118" s="207" t="str">
        <f t="shared" si="43"/>
        <v>N/A</v>
      </c>
      <c r="J118" s="548"/>
      <c r="K118" s="202" t="str">
        <f>IF(D118=0,"N/A",G118-P118)</f>
        <v>N/A</v>
      </c>
      <c r="M118" s="395">
        <f t="shared" si="45"/>
        <v>484.44276390196075</v>
      </c>
      <c r="N118" s="395">
        <f t="shared" si="44"/>
        <v>-398.21334169630495</v>
      </c>
      <c r="O118" s="395">
        <f t="shared" si="44"/>
        <v>2449.9858722145755</v>
      </c>
      <c r="P118" s="399" t="e">
        <f t="shared" si="44"/>
        <v>#DIV/0!</v>
      </c>
    </row>
    <row r="119" spans="1:16">
      <c r="B119" s="209" t="s">
        <v>3991</v>
      </c>
      <c r="E119" s="44"/>
      <c r="G119" s="200"/>
      <c r="H119" s="196"/>
      <c r="I119" s="207"/>
      <c r="J119" s="207"/>
    </row>
    <row r="121" spans="1:16">
      <c r="A121" s="183" t="s">
        <v>4643</v>
      </c>
      <c r="B121" s="187"/>
      <c r="C121" s="187"/>
      <c r="D121" s="187"/>
      <c r="E121" s="187"/>
      <c r="F121" s="187"/>
      <c r="G121" s="187"/>
      <c r="H121" s="187"/>
      <c r="I121" s="187"/>
      <c r="J121" s="187"/>
      <c r="K121" s="187"/>
    </row>
    <row r="123" spans="1:16" ht="76.5" customHeight="1">
      <c r="E123" s="197" t="s">
        <v>3968</v>
      </c>
      <c r="F123" s="197" t="s">
        <v>3969</v>
      </c>
      <c r="G123" s="197" t="s">
        <v>3970</v>
      </c>
      <c r="H123" s="197" t="s">
        <v>3971</v>
      </c>
      <c r="I123" s="197" t="s">
        <v>3972</v>
      </c>
      <c r="M123" s="393" t="str">
        <f>G123</f>
        <v>installed price</v>
      </c>
      <c r="N123" s="393" t="s">
        <v>4607</v>
      </c>
    </row>
    <row r="124" spans="1:16" ht="13.5" customHeight="1">
      <c r="B124" s="198" t="s">
        <v>3976</v>
      </c>
      <c r="C124" s="198"/>
      <c r="D124" s="198"/>
      <c r="E124" s="199"/>
      <c r="F124" s="199"/>
      <c r="G124" s="199"/>
      <c r="H124" s="199"/>
      <c r="I124" s="199"/>
      <c r="J124" s="199"/>
      <c r="K124" s="199"/>
      <c r="M124" s="393"/>
      <c r="N124" s="393"/>
    </row>
    <row r="125" spans="1:16">
      <c r="B125" s="200"/>
      <c r="E125" s="201">
        <f>AVERAGE(U185,U205)</f>
        <v>312.67447659999999</v>
      </c>
      <c r="F125" s="201">
        <f t="shared" ref="F125:G135" si="46">AVERAGE(V185,V205)</f>
        <v>1.7990533652169569</v>
      </c>
      <c r="G125" s="201">
        <f t="shared" si="46"/>
        <v>192.0949</v>
      </c>
      <c r="H125" s="196">
        <f>LN(E125)</f>
        <v>5.7451626384909771</v>
      </c>
      <c r="I125" s="184">
        <f t="shared" ref="I125:I132" si="47">E125/N125</f>
        <v>0.80824797718605601</v>
      </c>
      <c r="M125" s="393">
        <f t="shared" ref="M125:M135" si="48">G125</f>
        <v>192.0949</v>
      </c>
      <c r="N125" s="394">
        <f>G10</f>
        <v>386.85463549019607</v>
      </c>
    </row>
    <row r="126" spans="1:16">
      <c r="B126" s="546" t="s">
        <v>3977</v>
      </c>
      <c r="C126" s="546"/>
      <c r="D126" s="546"/>
      <c r="E126" s="201">
        <f t="shared" ref="E126:E135" si="49">AVERAGE(U186,U206)</f>
        <v>281.40702893999998</v>
      </c>
      <c r="F126" s="201">
        <f t="shared" si="46"/>
        <v>1.8584344778732069</v>
      </c>
      <c r="G126" s="201">
        <f t="shared" si="46"/>
        <v>203.24214999999998</v>
      </c>
      <c r="H126" s="196">
        <f t="shared" ref="H126:H132" si="50">LN(E126)</f>
        <v>5.6398021228331503</v>
      </c>
      <c r="I126" s="184">
        <f t="shared" si="47"/>
        <v>0.72742317946745028</v>
      </c>
      <c r="M126" s="393">
        <f t="shared" si="48"/>
        <v>203.24214999999998</v>
      </c>
      <c r="N126" s="395">
        <f>N125</f>
        <v>386.85463549019607</v>
      </c>
    </row>
    <row r="127" spans="1:16">
      <c r="B127" s="546"/>
      <c r="C127" s="546"/>
      <c r="D127" s="546"/>
      <c r="E127" s="201">
        <f t="shared" si="49"/>
        <v>265.77330511000002</v>
      </c>
      <c r="F127" s="201">
        <f t="shared" si="46"/>
        <v>1.8815618585919569</v>
      </c>
      <c r="G127" s="201">
        <f t="shared" si="46"/>
        <v>228.61320000000001</v>
      </c>
      <c r="H127" s="196">
        <f t="shared" si="50"/>
        <v>5.5826437089932019</v>
      </c>
      <c r="I127" s="184">
        <f t="shared" si="47"/>
        <v>0.68701078060814769</v>
      </c>
      <c r="M127" s="393">
        <f t="shared" si="48"/>
        <v>228.61320000000001</v>
      </c>
      <c r="N127" s="395">
        <f t="shared" ref="N127:N135" si="51">N126</f>
        <v>386.85463549019607</v>
      </c>
    </row>
    <row r="128" spans="1:16">
      <c r="B128" s="204" t="s">
        <v>3978</v>
      </c>
      <c r="C128" s="205">
        <f>SLOPE(G126:G132,H126:H132)</f>
        <v>-398.21334169630495</v>
      </c>
      <c r="E128" s="201">
        <f t="shared" si="49"/>
        <v>250.13958127999996</v>
      </c>
      <c r="F128" s="201">
        <f t="shared" si="46"/>
        <v>1.8815618585919569</v>
      </c>
      <c r="G128" s="201">
        <f t="shared" si="46"/>
        <v>257.65325000000007</v>
      </c>
      <c r="H128" s="196">
        <f t="shared" si="50"/>
        <v>5.5220190871767674</v>
      </c>
      <c r="I128" s="184">
        <f t="shared" si="47"/>
        <v>0.64659838174884465</v>
      </c>
      <c r="M128" s="393">
        <f t="shared" si="48"/>
        <v>257.65325000000007</v>
      </c>
      <c r="N128" s="395">
        <f t="shared" si="51"/>
        <v>386.85463549019607</v>
      </c>
    </row>
    <row r="129" spans="2:16">
      <c r="B129" s="204" t="s">
        <v>3979</v>
      </c>
      <c r="C129" s="205">
        <f>INTERCEPT(G126:G132,H126:H132)</f>
        <v>2449.9858722145755</v>
      </c>
      <c r="E129" s="201">
        <f t="shared" si="49"/>
        <v>234.50585744999998</v>
      </c>
      <c r="F129" s="201">
        <f t="shared" si="46"/>
        <v>1.8815618585919569</v>
      </c>
      <c r="G129" s="201">
        <f t="shared" si="46"/>
        <v>275.78179999999998</v>
      </c>
      <c r="H129" s="196">
        <f t="shared" si="50"/>
        <v>5.4574805660391963</v>
      </c>
      <c r="I129" s="184">
        <f t="shared" si="47"/>
        <v>0.60618598288954195</v>
      </c>
      <c r="M129" s="393">
        <f t="shared" si="48"/>
        <v>275.78179999999998</v>
      </c>
      <c r="N129" s="395">
        <f t="shared" si="51"/>
        <v>386.85463549019607</v>
      </c>
    </row>
    <row r="130" spans="2:16">
      <c r="B130" s="200"/>
      <c r="E130" s="201">
        <f t="shared" si="49"/>
        <v>218.87213361999997</v>
      </c>
      <c r="F130" s="201">
        <f t="shared" si="46"/>
        <v>2.4991254302169565</v>
      </c>
      <c r="G130" s="201">
        <f t="shared" si="46"/>
        <v>298.2527</v>
      </c>
      <c r="H130" s="196">
        <f t="shared" si="50"/>
        <v>5.3884876945522446</v>
      </c>
      <c r="I130" s="184">
        <f t="shared" si="47"/>
        <v>0.56577358403023914</v>
      </c>
      <c r="M130" s="393">
        <f t="shared" si="48"/>
        <v>298.2527</v>
      </c>
      <c r="N130" s="395">
        <f t="shared" si="51"/>
        <v>386.85463549019607</v>
      </c>
    </row>
    <row r="131" spans="2:16">
      <c r="B131" s="200"/>
      <c r="E131" s="201">
        <f t="shared" si="49"/>
        <v>203.23840978999996</v>
      </c>
      <c r="F131" s="201">
        <f t="shared" si="46"/>
        <v>2.4991254302169565</v>
      </c>
      <c r="G131" s="201">
        <f t="shared" si="46"/>
        <v>321.71859999999998</v>
      </c>
      <c r="H131" s="196">
        <f t="shared" si="50"/>
        <v>5.314379722398523</v>
      </c>
      <c r="I131" s="184">
        <f t="shared" si="47"/>
        <v>0.52536118517093633</v>
      </c>
      <c r="K131" s="184"/>
      <c r="M131" s="393">
        <f t="shared" si="48"/>
        <v>321.71859999999998</v>
      </c>
      <c r="N131" s="395">
        <f t="shared" si="51"/>
        <v>386.85463549019607</v>
      </c>
    </row>
    <row r="132" spans="2:16">
      <c r="B132" s="200"/>
      <c r="E132" s="201">
        <f t="shared" si="49"/>
        <v>187.00669602350251</v>
      </c>
      <c r="F132" s="201">
        <f t="shared" si="46"/>
        <v>2.4991254302169565</v>
      </c>
      <c r="G132" s="201">
        <f t="shared" si="46"/>
        <v>378.39240000000001</v>
      </c>
      <c r="H132" s="196">
        <f t="shared" si="50"/>
        <v>5.231144423825822</v>
      </c>
      <c r="I132" s="184">
        <f t="shared" si="47"/>
        <v>0.48340301205526531</v>
      </c>
      <c r="K132" s="184"/>
      <c r="M132" s="393">
        <f t="shared" si="48"/>
        <v>378.39240000000001</v>
      </c>
      <c r="N132" s="395">
        <f t="shared" si="51"/>
        <v>386.85463549019607</v>
      </c>
    </row>
    <row r="133" spans="2:16">
      <c r="B133" s="200"/>
      <c r="E133" s="201">
        <f t="shared" si="49"/>
        <v>0</v>
      </c>
      <c r="F133" s="201">
        <f t="shared" si="46"/>
        <v>0</v>
      </c>
      <c r="G133" s="201">
        <f t="shared" si="46"/>
        <v>0</v>
      </c>
      <c r="H133" s="196"/>
      <c r="I133" s="184"/>
      <c r="K133" s="184"/>
      <c r="M133" s="393">
        <f t="shared" si="48"/>
        <v>0</v>
      </c>
      <c r="N133" s="395">
        <f t="shared" si="51"/>
        <v>386.85463549019607</v>
      </c>
    </row>
    <row r="134" spans="2:16">
      <c r="B134" s="200"/>
      <c r="E134" s="201">
        <f t="shared" si="49"/>
        <v>0</v>
      </c>
      <c r="F134" s="201">
        <f t="shared" si="46"/>
        <v>0</v>
      </c>
      <c r="G134" s="201">
        <f t="shared" si="46"/>
        <v>0</v>
      </c>
      <c r="H134" s="196"/>
      <c r="I134" s="184"/>
      <c r="K134" s="184"/>
      <c r="M134" s="393">
        <f t="shared" si="48"/>
        <v>0</v>
      </c>
      <c r="N134" s="395">
        <f t="shared" si="51"/>
        <v>386.85463549019607</v>
      </c>
    </row>
    <row r="135" spans="2:16">
      <c r="B135" s="200"/>
      <c r="E135" s="201">
        <f t="shared" si="49"/>
        <v>0</v>
      </c>
      <c r="F135" s="201">
        <f t="shared" si="46"/>
        <v>0</v>
      </c>
      <c r="G135" s="201">
        <f t="shared" si="46"/>
        <v>0</v>
      </c>
      <c r="H135" s="196"/>
      <c r="I135" s="184"/>
      <c r="K135" s="184"/>
      <c r="M135" s="393">
        <f t="shared" si="48"/>
        <v>0</v>
      </c>
      <c r="N135" s="395">
        <f t="shared" si="51"/>
        <v>386.85463549019607</v>
      </c>
    </row>
    <row r="136" spans="2:16">
      <c r="B136" s="200"/>
      <c r="E136" s="201"/>
      <c r="F136" s="201"/>
      <c r="G136" s="201"/>
      <c r="H136" s="196"/>
      <c r="I136" s="184"/>
      <c r="K136" s="184"/>
      <c r="M136" s="393"/>
      <c r="N136" s="395"/>
    </row>
    <row r="137" spans="2:16">
      <c r="B137" s="200"/>
      <c r="E137" s="201"/>
      <c r="F137" s="201"/>
      <c r="G137" s="201"/>
      <c r="H137" s="196"/>
      <c r="I137" s="184"/>
      <c r="J137" s="184"/>
      <c r="K137" s="184"/>
    </row>
    <row r="138" spans="2:16">
      <c r="B138" s="198" t="s">
        <v>3980</v>
      </c>
      <c r="C138" s="198"/>
      <c r="D138" s="198"/>
      <c r="E138" s="199"/>
      <c r="F138" s="199"/>
      <c r="G138" s="199"/>
      <c r="H138" s="199"/>
      <c r="I138" s="199"/>
      <c r="J138" s="199"/>
      <c r="K138" s="199"/>
    </row>
    <row r="139" spans="2:16" ht="66" customHeight="1">
      <c r="C139" s="197" t="s">
        <v>3981</v>
      </c>
      <c r="D139" s="197" t="s">
        <v>3982</v>
      </c>
      <c r="E139" s="197" t="str">
        <f>E123</f>
        <v>UEC</v>
      </c>
      <c r="F139" s="197" t="str">
        <f t="shared" ref="F139:I139" si="52">F123</f>
        <v>repair cost</v>
      </c>
      <c r="G139" s="197" t="str">
        <f t="shared" si="52"/>
        <v>installed price</v>
      </c>
      <c r="H139" s="197" t="str">
        <f t="shared" si="52"/>
        <v>ln(UEC)</v>
      </c>
      <c r="I139" s="197" t="str">
        <f t="shared" si="52"/>
        <v>UEC as a percent of federal standard</v>
      </c>
      <c r="J139" s="197" t="s">
        <v>3983</v>
      </c>
      <c r="K139" s="197" t="s">
        <v>3984</v>
      </c>
      <c r="M139" s="396" t="s">
        <v>4608</v>
      </c>
      <c r="N139" s="396" t="s">
        <v>4609</v>
      </c>
      <c r="O139" s="396" t="s">
        <v>4610</v>
      </c>
      <c r="P139" s="396" t="s">
        <v>3983</v>
      </c>
    </row>
    <row r="140" spans="2:16" ht="25.5" customHeight="1">
      <c r="B140" s="206" t="s">
        <v>3985</v>
      </c>
      <c r="C140" s="207" t="str">
        <f>'CEC analysis'!K43</f>
        <v/>
      </c>
      <c r="D140" s="9">
        <f>'CEC analysis'!D43</f>
        <v>0</v>
      </c>
      <c r="E140" s="44" t="str">
        <f>IF(D140=0,"N/A",I140*M140)</f>
        <v>N/A</v>
      </c>
      <c r="F140" s="547" t="s">
        <v>3986</v>
      </c>
      <c r="G140" s="203" t="str">
        <f>IF(D140=0,"N/A",H140*N140+O140)</f>
        <v>N/A</v>
      </c>
      <c r="H140" s="196" t="str">
        <f>IF(D140=0,"N/A",LN(E140))</f>
        <v>N/A</v>
      </c>
      <c r="I140" s="207" t="str">
        <f>IF(D140=0,"N/A",1-C140)</f>
        <v>N/A</v>
      </c>
      <c r="J140" s="548">
        <f>SUMPRODUCT(G140:G144,D140:D144)/SUM(D140:D144)</f>
        <v>147.81400070862401</v>
      </c>
      <c r="K140" s="202" t="str">
        <f>IF(D140=0,"N/A",G140-P140)</f>
        <v>N/A</v>
      </c>
      <c r="M140" s="397">
        <f>N125</f>
        <v>386.85463549019607</v>
      </c>
      <c r="N140" s="398">
        <f>C128</f>
        <v>-398.21334169630495</v>
      </c>
      <c r="O140" s="398">
        <f>C129</f>
        <v>2449.9858722145755</v>
      </c>
      <c r="P140" s="399">
        <f>J140</f>
        <v>147.81400070862401</v>
      </c>
    </row>
    <row r="141" spans="2:16">
      <c r="B141" s="206" t="s">
        <v>3987</v>
      </c>
      <c r="C141" s="207" t="str">
        <f>'CEC analysis'!L43</f>
        <v/>
      </c>
      <c r="D141" s="9">
        <f>'CEC analysis'!E43</f>
        <v>0</v>
      </c>
      <c r="E141" s="44" t="str">
        <f>IF(D141=0,"N/A",I141*M141)</f>
        <v>N/A</v>
      </c>
      <c r="F141" s="547"/>
      <c r="G141" s="203" t="str">
        <f>IF(D141=0,"N/A",H141*N141+O141)</f>
        <v>N/A</v>
      </c>
      <c r="H141" s="196" t="str">
        <f t="shared" ref="H141:H144" si="53">IF(D141=0,"N/A",LN(E141))</f>
        <v>N/A</v>
      </c>
      <c r="I141" s="207" t="str">
        <f t="shared" ref="I141:I144" si="54">IF(D141=0,"N/A",1-C141)</f>
        <v>N/A</v>
      </c>
      <c r="J141" s="548"/>
      <c r="K141" s="202" t="str">
        <f>IF(D141=0,"N/A",G141-P141)</f>
        <v>N/A</v>
      </c>
      <c r="M141" s="395">
        <f>M140</f>
        <v>386.85463549019607</v>
      </c>
      <c r="N141" s="395">
        <f t="shared" ref="N141:P144" si="55">N140</f>
        <v>-398.21334169630495</v>
      </c>
      <c r="O141" s="395">
        <f t="shared" si="55"/>
        <v>2449.9858722145755</v>
      </c>
      <c r="P141" s="399">
        <f>P140</f>
        <v>147.81400070862401</v>
      </c>
    </row>
    <row r="142" spans="2:16">
      <c r="B142" s="206" t="s">
        <v>3988</v>
      </c>
      <c r="C142" s="207">
        <f>'CEC analysis'!M43</f>
        <v>0.16204972495514502</v>
      </c>
      <c r="D142" s="9">
        <f>'CEC analysis'!F43</f>
        <v>1</v>
      </c>
      <c r="E142" s="44">
        <f>IF(D142=0,"N/A",I142*M142)</f>
        <v>324.1649482113869</v>
      </c>
      <c r="F142" s="547"/>
      <c r="G142" s="203">
        <f>IF(D142=0,"N/A",H142*N142+O142)</f>
        <v>147.81400070862401</v>
      </c>
      <c r="H142" s="196">
        <f t="shared" si="53"/>
        <v>5.7812524856630478</v>
      </c>
      <c r="I142" s="207">
        <f t="shared" si="54"/>
        <v>0.83795027504485498</v>
      </c>
      <c r="J142" s="548"/>
      <c r="K142" s="202">
        <f>IF(D142=0,"N/A",G142-P142)</f>
        <v>0</v>
      </c>
      <c r="M142" s="395">
        <f t="shared" ref="M142:M144" si="56">M141</f>
        <v>386.85463549019607</v>
      </c>
      <c r="N142" s="395">
        <f t="shared" si="55"/>
        <v>-398.21334169630495</v>
      </c>
      <c r="O142" s="395">
        <f t="shared" si="55"/>
        <v>2449.9858722145755</v>
      </c>
      <c r="P142" s="399">
        <f t="shared" si="55"/>
        <v>147.81400070862401</v>
      </c>
    </row>
    <row r="143" spans="2:16">
      <c r="B143" s="206" t="s">
        <v>3989</v>
      </c>
      <c r="C143" s="207" t="str">
        <f>'CEC analysis'!N43</f>
        <v/>
      </c>
      <c r="D143" s="9">
        <f>'CEC analysis'!G43</f>
        <v>0</v>
      </c>
      <c r="E143" s="44" t="str">
        <f>IF(D143=0,"N/A",I143*M143)</f>
        <v>N/A</v>
      </c>
      <c r="F143" s="547"/>
      <c r="G143" s="203" t="str">
        <f>IF(D143=0,"N/A",H143*N143+O143)</f>
        <v>N/A</v>
      </c>
      <c r="H143" s="196" t="str">
        <f t="shared" si="53"/>
        <v>N/A</v>
      </c>
      <c r="I143" s="207" t="str">
        <f t="shared" si="54"/>
        <v>N/A</v>
      </c>
      <c r="J143" s="548"/>
      <c r="K143" s="202" t="str">
        <f>IF(D143=0,"N/A",G143-P143)</f>
        <v>N/A</v>
      </c>
      <c r="M143" s="395">
        <f t="shared" si="56"/>
        <v>386.85463549019607</v>
      </c>
      <c r="N143" s="395">
        <f t="shared" si="55"/>
        <v>-398.21334169630495</v>
      </c>
      <c r="O143" s="395">
        <f t="shared" si="55"/>
        <v>2449.9858722145755</v>
      </c>
      <c r="P143" s="399">
        <f t="shared" si="55"/>
        <v>147.81400070862401</v>
      </c>
    </row>
    <row r="144" spans="2:16">
      <c r="B144" s="206" t="s">
        <v>3990</v>
      </c>
      <c r="C144" s="207">
        <f>'CEC analysis'!O43</f>
        <v>0.16204972495514502</v>
      </c>
      <c r="D144" s="9">
        <f>'CEC analysis'!H43</f>
        <v>1</v>
      </c>
      <c r="E144" s="44">
        <f>IF(D144=0,"N/A",I144*M144)</f>
        <v>324.1649482113869</v>
      </c>
      <c r="F144" s="547"/>
      <c r="G144" s="203">
        <f>IF(D144=0,"N/A",H144*N144+O144)</f>
        <v>147.81400070862401</v>
      </c>
      <c r="H144" s="196">
        <f t="shared" si="53"/>
        <v>5.7812524856630478</v>
      </c>
      <c r="I144" s="207">
        <f t="shared" si="54"/>
        <v>0.83795027504485498</v>
      </c>
      <c r="J144" s="548"/>
      <c r="K144" s="202">
        <f>IF(D144=0,"N/A",G144-P144)</f>
        <v>0</v>
      </c>
      <c r="M144" s="395">
        <f t="shared" si="56"/>
        <v>386.85463549019607</v>
      </c>
      <c r="N144" s="395">
        <f t="shared" si="55"/>
        <v>-398.21334169630495</v>
      </c>
      <c r="O144" s="395">
        <f t="shared" si="55"/>
        <v>2449.9858722145755</v>
      </c>
      <c r="P144" s="399">
        <f t="shared" si="55"/>
        <v>147.81400070862401</v>
      </c>
    </row>
    <row r="145" spans="1:14">
      <c r="B145" s="209" t="s">
        <v>3991</v>
      </c>
      <c r="E145" s="44"/>
      <c r="G145" s="200"/>
      <c r="H145" s="196"/>
      <c r="I145" s="207"/>
      <c r="J145" s="207"/>
    </row>
    <row r="147" spans="1:14">
      <c r="A147" s="183" t="s">
        <v>4644</v>
      </c>
      <c r="B147" s="187"/>
      <c r="C147" s="187"/>
      <c r="D147" s="187"/>
      <c r="E147" s="187"/>
      <c r="F147" s="187"/>
      <c r="G147" s="187"/>
      <c r="H147" s="187"/>
      <c r="I147" s="187"/>
      <c r="J147" s="187"/>
      <c r="K147" s="187"/>
    </row>
    <row r="149" spans="1:14" ht="76.5" customHeight="1">
      <c r="E149" s="197" t="s">
        <v>3968</v>
      </c>
      <c r="F149" s="197" t="s">
        <v>3969</v>
      </c>
      <c r="G149" s="197" t="s">
        <v>3970</v>
      </c>
      <c r="H149" s="197" t="s">
        <v>3971</v>
      </c>
      <c r="I149" s="197" t="s">
        <v>3972</v>
      </c>
      <c r="M149" s="393" t="str">
        <f>G149</f>
        <v>installed price</v>
      </c>
      <c r="N149" s="393" t="s">
        <v>4607</v>
      </c>
    </row>
    <row r="150" spans="1:14" ht="13.5" customHeight="1">
      <c r="B150" s="198" t="s">
        <v>3976</v>
      </c>
      <c r="C150" s="198"/>
      <c r="D150" s="198"/>
      <c r="E150" s="199"/>
      <c r="F150" s="199"/>
      <c r="G150" s="199"/>
      <c r="H150" s="199"/>
      <c r="I150" s="199"/>
      <c r="J150" s="199"/>
      <c r="K150" s="199"/>
      <c r="M150" s="393"/>
      <c r="N150" s="393"/>
    </row>
    <row r="151" spans="1:14">
      <c r="B151" s="200"/>
      <c r="E151" s="201">
        <f>AVERAGE(Y185,Y205)</f>
        <v>312.67447659999999</v>
      </c>
      <c r="F151" s="201">
        <f t="shared" ref="F151:G161" si="57">AVERAGE(Z185,Z205)</f>
        <v>1.7990533652169569</v>
      </c>
      <c r="G151" s="201">
        <f t="shared" si="57"/>
        <v>192.0949</v>
      </c>
      <c r="H151" s="196">
        <f>LN(E151)</f>
        <v>5.7451626384909771</v>
      </c>
      <c r="I151" s="184">
        <f t="shared" ref="I151:I158" si="58">E151/N151</f>
        <v>1.0551445638040837</v>
      </c>
      <c r="M151" s="393">
        <f t="shared" ref="M151:M161" si="59">G151</f>
        <v>192.0949</v>
      </c>
      <c r="N151" s="394">
        <f>H10</f>
        <v>296.33330571568627</v>
      </c>
    </row>
    <row r="152" spans="1:14">
      <c r="B152" s="546" t="s">
        <v>3977</v>
      </c>
      <c r="C152" s="546"/>
      <c r="D152" s="546"/>
      <c r="E152" s="201">
        <f t="shared" ref="E152:E161" si="60">AVERAGE(Y186,Y206)</f>
        <v>281.40702893999998</v>
      </c>
      <c r="F152" s="201">
        <f t="shared" si="57"/>
        <v>1.8584344778732069</v>
      </c>
      <c r="G152" s="201">
        <f t="shared" si="57"/>
        <v>203.24214999999998</v>
      </c>
      <c r="H152" s="196">
        <f t="shared" ref="H152:H158" si="61">LN(E152)</f>
        <v>5.6398021228331503</v>
      </c>
      <c r="I152" s="184">
        <f t="shared" si="58"/>
        <v>0.94963010742367537</v>
      </c>
      <c r="M152" s="393">
        <f t="shared" si="59"/>
        <v>203.24214999999998</v>
      </c>
      <c r="N152" s="395">
        <f>N151</f>
        <v>296.33330571568627</v>
      </c>
    </row>
    <row r="153" spans="1:14">
      <c r="B153" s="546"/>
      <c r="C153" s="546"/>
      <c r="D153" s="546"/>
      <c r="E153" s="201">
        <f t="shared" si="60"/>
        <v>265.77330511000002</v>
      </c>
      <c r="F153" s="201">
        <f t="shared" si="57"/>
        <v>1.8815618585919569</v>
      </c>
      <c r="G153" s="201">
        <f t="shared" si="57"/>
        <v>228.61320000000001</v>
      </c>
      <c r="H153" s="196">
        <f t="shared" si="61"/>
        <v>5.5826437089932019</v>
      </c>
      <c r="I153" s="184">
        <f t="shared" si="58"/>
        <v>0.89687287923347137</v>
      </c>
      <c r="M153" s="393">
        <f t="shared" si="59"/>
        <v>228.61320000000001</v>
      </c>
      <c r="N153" s="395">
        <f t="shared" ref="N153:N161" si="62">N152</f>
        <v>296.33330571568627</v>
      </c>
    </row>
    <row r="154" spans="1:14">
      <c r="B154" s="204" t="s">
        <v>3978</v>
      </c>
      <c r="C154" s="205">
        <f>SLOPE(G152:G158,H152:H158)</f>
        <v>-398.21334169630495</v>
      </c>
      <c r="E154" s="201">
        <f t="shared" si="60"/>
        <v>250.13958127999996</v>
      </c>
      <c r="F154" s="201">
        <f t="shared" si="57"/>
        <v>1.8815618585919569</v>
      </c>
      <c r="G154" s="201">
        <f t="shared" si="57"/>
        <v>257.65325000000007</v>
      </c>
      <c r="H154" s="196">
        <f t="shared" si="61"/>
        <v>5.5220190871767674</v>
      </c>
      <c r="I154" s="184">
        <f t="shared" si="58"/>
        <v>0.84411565104326691</v>
      </c>
      <c r="M154" s="393">
        <f t="shared" si="59"/>
        <v>257.65325000000007</v>
      </c>
      <c r="N154" s="395">
        <f t="shared" si="62"/>
        <v>296.33330571568627</v>
      </c>
    </row>
    <row r="155" spans="1:14">
      <c r="B155" s="204" t="s">
        <v>3979</v>
      </c>
      <c r="C155" s="205">
        <f>INTERCEPT(G152:G158,H152:H158)</f>
        <v>2449.9858722145755</v>
      </c>
      <c r="E155" s="201">
        <f t="shared" si="60"/>
        <v>234.50585744999998</v>
      </c>
      <c r="F155" s="201">
        <f t="shared" si="57"/>
        <v>1.8815618585919569</v>
      </c>
      <c r="G155" s="201">
        <f t="shared" si="57"/>
        <v>275.78179999999998</v>
      </c>
      <c r="H155" s="196">
        <f t="shared" si="61"/>
        <v>5.4574805660391963</v>
      </c>
      <c r="I155" s="184">
        <f t="shared" si="58"/>
        <v>0.79135842285306279</v>
      </c>
      <c r="M155" s="393">
        <f t="shared" si="59"/>
        <v>275.78179999999998</v>
      </c>
      <c r="N155" s="395">
        <f t="shared" si="62"/>
        <v>296.33330571568627</v>
      </c>
    </row>
    <row r="156" spans="1:14">
      <c r="B156" s="200"/>
      <c r="E156" s="201">
        <f t="shared" si="60"/>
        <v>218.87213361999997</v>
      </c>
      <c r="F156" s="201">
        <f t="shared" si="57"/>
        <v>2.4991254302169565</v>
      </c>
      <c r="G156" s="201">
        <f t="shared" si="57"/>
        <v>298.2527</v>
      </c>
      <c r="H156" s="196">
        <f t="shared" si="61"/>
        <v>5.3884876945522446</v>
      </c>
      <c r="I156" s="184">
        <f t="shared" si="58"/>
        <v>0.73860119466285856</v>
      </c>
      <c r="M156" s="393">
        <f t="shared" si="59"/>
        <v>298.2527</v>
      </c>
      <c r="N156" s="395">
        <f t="shared" si="62"/>
        <v>296.33330571568627</v>
      </c>
    </row>
    <row r="157" spans="1:14">
      <c r="B157" s="200"/>
      <c r="E157" s="201">
        <f t="shared" si="60"/>
        <v>203.23840978999996</v>
      </c>
      <c r="F157" s="201">
        <f t="shared" si="57"/>
        <v>2.4991254302169565</v>
      </c>
      <c r="G157" s="201">
        <f t="shared" si="57"/>
        <v>321.71859999999998</v>
      </c>
      <c r="H157" s="196">
        <f t="shared" si="61"/>
        <v>5.314379722398523</v>
      </c>
      <c r="I157" s="184">
        <f t="shared" si="58"/>
        <v>0.68584396647265433</v>
      </c>
      <c r="K157" s="184"/>
      <c r="M157" s="393">
        <f t="shared" si="59"/>
        <v>321.71859999999998</v>
      </c>
      <c r="N157" s="395">
        <f t="shared" si="62"/>
        <v>296.33330571568627</v>
      </c>
    </row>
    <row r="158" spans="1:14">
      <c r="B158" s="200"/>
      <c r="E158" s="201">
        <f t="shared" si="60"/>
        <v>187.00669602350251</v>
      </c>
      <c r="F158" s="201">
        <f t="shared" si="57"/>
        <v>2.4991254302169565</v>
      </c>
      <c r="G158" s="201">
        <f t="shared" si="57"/>
        <v>378.39240000000001</v>
      </c>
      <c r="H158" s="196">
        <f t="shared" si="61"/>
        <v>5.231144423825822</v>
      </c>
      <c r="I158" s="184">
        <f t="shared" si="58"/>
        <v>0.63106877430417507</v>
      </c>
      <c r="K158" s="184"/>
      <c r="M158" s="393">
        <f t="shared" si="59"/>
        <v>378.39240000000001</v>
      </c>
      <c r="N158" s="395">
        <f t="shared" si="62"/>
        <v>296.33330571568627</v>
      </c>
    </row>
    <row r="159" spans="1:14">
      <c r="B159" s="200"/>
      <c r="E159" s="201">
        <f t="shared" si="60"/>
        <v>0</v>
      </c>
      <c r="F159" s="201">
        <f t="shared" si="57"/>
        <v>0</v>
      </c>
      <c r="G159" s="201">
        <f t="shared" si="57"/>
        <v>0</v>
      </c>
      <c r="H159" s="196"/>
      <c r="I159" s="184"/>
      <c r="K159" s="184"/>
      <c r="M159" s="393">
        <f t="shared" si="59"/>
        <v>0</v>
      </c>
      <c r="N159" s="395">
        <f t="shared" si="62"/>
        <v>296.33330571568627</v>
      </c>
    </row>
    <row r="160" spans="1:14">
      <c r="B160" s="200"/>
      <c r="E160" s="201">
        <f t="shared" si="60"/>
        <v>0</v>
      </c>
      <c r="F160" s="201">
        <f t="shared" si="57"/>
        <v>0</v>
      </c>
      <c r="G160" s="201">
        <f t="shared" si="57"/>
        <v>0</v>
      </c>
      <c r="H160" s="196"/>
      <c r="I160" s="184"/>
      <c r="K160" s="184"/>
      <c r="M160" s="393">
        <f t="shared" si="59"/>
        <v>0</v>
      </c>
      <c r="N160" s="395">
        <f t="shared" si="62"/>
        <v>296.33330571568627</v>
      </c>
    </row>
    <row r="161" spans="1:16">
      <c r="B161" s="200"/>
      <c r="E161" s="201">
        <f t="shared" si="60"/>
        <v>0</v>
      </c>
      <c r="F161" s="201">
        <f t="shared" si="57"/>
        <v>0</v>
      </c>
      <c r="G161" s="201">
        <f t="shared" si="57"/>
        <v>0</v>
      </c>
      <c r="H161" s="196"/>
      <c r="I161" s="184"/>
      <c r="K161" s="184"/>
      <c r="M161" s="393">
        <f t="shared" si="59"/>
        <v>0</v>
      </c>
      <c r="N161" s="395">
        <f t="shared" si="62"/>
        <v>296.33330571568627</v>
      </c>
    </row>
    <row r="162" spans="1:16">
      <c r="B162" s="200"/>
      <c r="E162" s="201"/>
      <c r="F162" s="201"/>
      <c r="G162" s="201"/>
      <c r="H162" s="196"/>
      <c r="I162" s="184"/>
      <c r="K162" s="184"/>
      <c r="M162" s="393"/>
      <c r="N162" s="395"/>
    </row>
    <row r="163" spans="1:16">
      <c r="B163" s="200"/>
      <c r="E163" s="201"/>
      <c r="F163" s="201"/>
      <c r="G163" s="201"/>
      <c r="H163" s="196"/>
      <c r="I163" s="184"/>
      <c r="J163" s="184"/>
      <c r="K163" s="184"/>
    </row>
    <row r="164" spans="1:16">
      <c r="B164" s="198" t="s">
        <v>3980</v>
      </c>
      <c r="C164" s="198"/>
      <c r="D164" s="198"/>
      <c r="E164" s="199"/>
      <c r="F164" s="199"/>
      <c r="G164" s="199"/>
      <c r="H164" s="199"/>
      <c r="I164" s="199"/>
      <c r="J164" s="199"/>
      <c r="K164" s="199"/>
    </row>
    <row r="165" spans="1:16" ht="66" customHeight="1">
      <c r="C165" s="197" t="s">
        <v>3981</v>
      </c>
      <c r="D165" s="197" t="s">
        <v>3982</v>
      </c>
      <c r="E165" s="197" t="str">
        <f>E149</f>
        <v>UEC</v>
      </c>
      <c r="F165" s="197" t="str">
        <f t="shared" ref="F165:I165" si="63">F149</f>
        <v>repair cost</v>
      </c>
      <c r="G165" s="197" t="str">
        <f t="shared" si="63"/>
        <v>installed price</v>
      </c>
      <c r="H165" s="197" t="str">
        <f t="shared" si="63"/>
        <v>ln(UEC)</v>
      </c>
      <c r="I165" s="197" t="str">
        <f t="shared" si="63"/>
        <v>UEC as a percent of federal standard</v>
      </c>
      <c r="J165" s="197" t="s">
        <v>3983</v>
      </c>
      <c r="K165" s="197" t="s">
        <v>3984</v>
      </c>
      <c r="M165" s="396" t="s">
        <v>4608</v>
      </c>
      <c r="N165" s="396" t="s">
        <v>4609</v>
      </c>
      <c r="O165" s="396" t="s">
        <v>4610</v>
      </c>
      <c r="P165" s="396" t="s">
        <v>3983</v>
      </c>
    </row>
    <row r="166" spans="1:16" ht="25.5" customHeight="1">
      <c r="B166" s="206" t="s">
        <v>3985</v>
      </c>
      <c r="C166" s="207">
        <f>'CEC analysis'!K40</f>
        <v>1.0923282721123142E-2</v>
      </c>
      <c r="D166" s="9">
        <f>'CEC analysis'!D40</f>
        <v>21</v>
      </c>
      <c r="E166" s="44">
        <f>IF(D166=0,"N/A",I166*M166)</f>
        <v>293.09637323766879</v>
      </c>
      <c r="F166" s="547" t="s">
        <v>3986</v>
      </c>
      <c r="G166" s="203">
        <f>IF(D166=0,"N/A",H166*N166+O166)</f>
        <v>187.93439780795552</v>
      </c>
      <c r="H166" s="196">
        <f>IF(D166=0,"N/A",LN(E166))</f>
        <v>5.6805014738349984</v>
      </c>
      <c r="I166" s="207">
        <f>IF(D166=0,"N/A",1-C166)</f>
        <v>0.9890767172788768</v>
      </c>
      <c r="J166" s="548">
        <f>SUMPRODUCT(G166:G170,D166:D170)/SUM(D166:D170)</f>
        <v>232.55534717468217</v>
      </c>
      <c r="K166" s="202">
        <f>IF(D166=0,"N/A",G166-P166)</f>
        <v>-44.620949366726649</v>
      </c>
      <c r="M166" s="397">
        <f>N151</f>
        <v>296.33330571568627</v>
      </c>
      <c r="N166" s="398">
        <f>C154</f>
        <v>-398.21334169630495</v>
      </c>
      <c r="O166" s="398">
        <f>C155</f>
        <v>2449.9858722145755</v>
      </c>
      <c r="P166" s="399">
        <f>J166</f>
        <v>232.55534717468217</v>
      </c>
    </row>
    <row r="167" spans="1:16">
      <c r="B167" s="206" t="s">
        <v>3987</v>
      </c>
      <c r="C167" s="207">
        <f>'CEC analysis'!L40</f>
        <v>0.10587164237246578</v>
      </c>
      <c r="D167" s="9">
        <f>'CEC analysis'!E40</f>
        <v>15</v>
      </c>
      <c r="E167" s="44">
        <f>IF(D167=0,"N/A",I167*M167)</f>
        <v>264.96001194990453</v>
      </c>
      <c r="F167" s="547"/>
      <c r="G167" s="203">
        <f>IF(D167=0,"N/A",H167*N167+O167)</f>
        <v>228.12310669742828</v>
      </c>
      <c r="H167" s="196">
        <f t="shared" ref="H167:H170" si="64">IF(D167=0,"N/A",LN(E167))</f>
        <v>5.579578916297681</v>
      </c>
      <c r="I167" s="207">
        <f t="shared" ref="I167:I170" si="65">IF(D167=0,"N/A",1-C167)</f>
        <v>0.89412835762753418</v>
      </c>
      <c r="J167" s="548"/>
      <c r="K167" s="202">
        <f>IF(D167=0,"N/A",G167-P167)</f>
        <v>-4.4322404772538846</v>
      </c>
      <c r="M167" s="395">
        <f>M166</f>
        <v>296.33330571568627</v>
      </c>
      <c r="N167" s="395">
        <f t="shared" ref="N167:P170" si="66">N166</f>
        <v>-398.21334169630495</v>
      </c>
      <c r="O167" s="395">
        <f t="shared" si="66"/>
        <v>2449.9858722145755</v>
      </c>
      <c r="P167" s="399">
        <f>P166</f>
        <v>232.55534717468217</v>
      </c>
    </row>
    <row r="168" spans="1:16">
      <c r="B168" s="206" t="s">
        <v>3988</v>
      </c>
      <c r="C168" s="207">
        <f>'CEC analysis'!M40</f>
        <v>0.1831887418394475</v>
      </c>
      <c r="D168" s="9">
        <f>'CEC analysis'!F40</f>
        <v>5</v>
      </c>
      <c r="E168" s="44">
        <f>IF(D168=0,"N/A",I168*M168)</f>
        <v>242.04838027650533</v>
      </c>
      <c r="F168" s="547"/>
      <c r="G168" s="203">
        <f>IF(D168=0,"N/A",H168*N168+O168)</f>
        <v>264.13803566238266</v>
      </c>
      <c r="H168" s="196">
        <f t="shared" si="64"/>
        <v>5.4891376246736021</v>
      </c>
      <c r="I168" s="207">
        <f t="shared" si="65"/>
        <v>0.81681125816055244</v>
      </c>
      <c r="J168" s="548"/>
      <c r="K168" s="202">
        <f>IF(D168=0,"N/A",G168-P168)</f>
        <v>31.582688487700494</v>
      </c>
      <c r="M168" s="395">
        <f t="shared" ref="M168:M170" si="67">M167</f>
        <v>296.33330571568627</v>
      </c>
      <c r="N168" s="395">
        <f t="shared" si="66"/>
        <v>-398.21334169630495</v>
      </c>
      <c r="O168" s="395">
        <f t="shared" si="66"/>
        <v>2449.9858722145755</v>
      </c>
      <c r="P168" s="399">
        <f t="shared" si="66"/>
        <v>232.55534717468217</v>
      </c>
    </row>
    <row r="169" spans="1:16">
      <c r="B169" s="206" t="s">
        <v>3989</v>
      </c>
      <c r="C169" s="207">
        <f>'CEC analysis'!N40</f>
        <v>0.21690758665897616</v>
      </c>
      <c r="D169" s="9">
        <f>'CEC analysis'!G40</f>
        <v>8</v>
      </c>
      <c r="E169" s="44">
        <f>IF(D169=0,"N/A",I169*M169)</f>
        <v>232.05636352622017</v>
      </c>
      <c r="F169" s="547"/>
      <c r="G169" s="203">
        <f>IF(D169=0,"N/A",H169*N169+O169)</f>
        <v>280.92564941955243</v>
      </c>
      <c r="H169" s="196">
        <f t="shared" si="64"/>
        <v>5.4469802883933607</v>
      </c>
      <c r="I169" s="207">
        <f t="shared" si="65"/>
        <v>0.78309241334102386</v>
      </c>
      <c r="J169" s="548"/>
      <c r="K169" s="202">
        <f>IF(D169=0,"N/A",G169-P169)</f>
        <v>48.37030224487026</v>
      </c>
      <c r="M169" s="395">
        <f t="shared" si="67"/>
        <v>296.33330571568627</v>
      </c>
      <c r="N169" s="395">
        <f t="shared" si="66"/>
        <v>-398.21334169630495</v>
      </c>
      <c r="O169" s="395">
        <f t="shared" si="66"/>
        <v>2449.9858722145755</v>
      </c>
      <c r="P169" s="399">
        <f t="shared" si="66"/>
        <v>232.55534717468217</v>
      </c>
    </row>
    <row r="170" spans="1:16">
      <c r="B170" s="206" t="s">
        <v>3990</v>
      </c>
      <c r="C170" s="207">
        <f>'CEC analysis'!O40</f>
        <v>0.1514028227877155</v>
      </c>
      <c r="D170" s="9">
        <f>'CEC analysis'!H40</f>
        <v>28</v>
      </c>
      <c r="E170" s="44">
        <f>IF(D170=0,"N/A",I170*M170)</f>
        <v>251.46760674431627</v>
      </c>
      <c r="F170" s="547"/>
      <c r="G170" s="203">
        <f>IF(D170=0,"N/A",H170*N170+O170)</f>
        <v>248.93562158406075</v>
      </c>
      <c r="H170" s="196">
        <f t="shared" si="64"/>
        <v>5.5273141810229269</v>
      </c>
      <c r="I170" s="207">
        <f t="shared" si="65"/>
        <v>0.84859717721228445</v>
      </c>
      <c r="J170" s="548"/>
      <c r="K170" s="202">
        <f>IF(D170=0,"N/A",G170-P170)</f>
        <v>16.380274409378586</v>
      </c>
      <c r="M170" s="395">
        <f t="shared" si="67"/>
        <v>296.33330571568627</v>
      </c>
      <c r="N170" s="395">
        <f t="shared" si="66"/>
        <v>-398.21334169630495</v>
      </c>
      <c r="O170" s="395">
        <f t="shared" si="66"/>
        <v>2449.9858722145755</v>
      </c>
      <c r="P170" s="399">
        <f t="shared" si="66"/>
        <v>232.55534717468217</v>
      </c>
    </row>
    <row r="171" spans="1:16">
      <c r="B171" s="209" t="s">
        <v>3991</v>
      </c>
      <c r="E171" s="44"/>
      <c r="G171" s="200"/>
      <c r="H171" s="196"/>
      <c r="I171" s="207"/>
      <c r="J171" s="207"/>
    </row>
    <row r="176" spans="1:16">
      <c r="A176" s="9" t="s">
        <v>4645</v>
      </c>
    </row>
    <row r="177" spans="1:27">
      <c r="A177" s="213"/>
      <c r="B177" s="213" t="s">
        <v>4000</v>
      </c>
      <c r="C177" s="213"/>
      <c r="D177" s="213"/>
      <c r="E177" s="213"/>
      <c r="F177" s="213"/>
      <c r="G177" s="213"/>
      <c r="H177" s="213"/>
      <c r="I177" s="213"/>
      <c r="J177" s="213"/>
      <c r="K177" s="213"/>
      <c r="L177" s="213"/>
      <c r="M177" s="213"/>
      <c r="N177" s="213"/>
      <c r="O177" s="213"/>
      <c r="P177" s="213"/>
      <c r="Q177" s="213"/>
      <c r="R177" s="213"/>
      <c r="S177" s="213"/>
      <c r="T177" s="213"/>
      <c r="U177" s="213"/>
      <c r="V177" s="213"/>
      <c r="W177" s="213"/>
      <c r="X177" s="213"/>
      <c r="Y177" s="213"/>
      <c r="Z177" s="213"/>
      <c r="AA177" s="213"/>
    </row>
    <row r="178" spans="1:27">
      <c r="A178" s="214"/>
      <c r="B178" s="214"/>
      <c r="C178" s="214"/>
      <c r="D178" s="214"/>
      <c r="E178" s="214"/>
      <c r="F178" s="214"/>
      <c r="G178" s="214"/>
      <c r="H178" s="214"/>
      <c r="I178" s="214"/>
      <c r="J178" s="214"/>
      <c r="K178" s="214"/>
      <c r="L178" s="214"/>
      <c r="M178" s="214"/>
      <c r="N178" s="214"/>
      <c r="O178" s="214"/>
      <c r="P178" s="214"/>
      <c r="Q178" s="214"/>
      <c r="R178" s="214"/>
      <c r="S178" s="214"/>
      <c r="T178" s="214"/>
      <c r="U178" s="214"/>
      <c r="V178" s="214"/>
      <c r="W178" s="214"/>
      <c r="X178" s="214"/>
      <c r="Y178" s="214"/>
      <c r="Z178" s="214"/>
      <c r="AA178" s="214"/>
    </row>
    <row r="179" spans="1:27">
      <c r="A179" s="214"/>
      <c r="B179" s="214" t="s">
        <v>4001</v>
      </c>
      <c r="C179" s="214"/>
      <c r="D179" s="214"/>
      <c r="E179" s="214"/>
      <c r="F179" s="214"/>
      <c r="G179" s="214"/>
      <c r="H179" s="214"/>
      <c r="I179" s="214"/>
      <c r="J179" s="214"/>
      <c r="K179" s="214"/>
      <c r="L179" s="214"/>
      <c r="M179" s="214"/>
      <c r="N179" s="214"/>
      <c r="O179" s="214"/>
      <c r="P179" s="214"/>
      <c r="Q179" s="214"/>
      <c r="R179" s="214"/>
      <c r="S179" s="214"/>
      <c r="T179" s="214"/>
      <c r="U179" s="214"/>
      <c r="V179" s="214"/>
      <c r="W179" s="214"/>
      <c r="X179" s="214"/>
      <c r="Y179" s="214"/>
      <c r="Z179" s="214"/>
      <c r="AA179" s="214"/>
    </row>
    <row r="180" spans="1:27">
      <c r="A180" s="214"/>
      <c r="B180" s="400"/>
      <c r="C180" s="400"/>
      <c r="D180" s="405" t="s">
        <v>4646</v>
      </c>
      <c r="E180" s="406"/>
      <c r="F180" s="406"/>
      <c r="G180" s="407"/>
      <c r="H180" s="405" t="s">
        <v>4647</v>
      </c>
      <c r="I180" s="406"/>
      <c r="J180" s="406"/>
      <c r="K180" s="407"/>
      <c r="L180" s="405" t="s">
        <v>4648</v>
      </c>
      <c r="M180" s="406"/>
      <c r="N180" s="406"/>
      <c r="O180" s="407"/>
      <c r="P180" s="408" t="s">
        <v>4649</v>
      </c>
      <c r="Q180" s="409"/>
      <c r="R180" s="409"/>
      <c r="S180" s="410"/>
      <c r="T180" s="408" t="s">
        <v>4650</v>
      </c>
      <c r="U180" s="409"/>
      <c r="V180" s="409"/>
      <c r="W180" s="409"/>
      <c r="X180" s="405" t="s">
        <v>4648</v>
      </c>
      <c r="Y180" s="406"/>
      <c r="Z180" s="406"/>
      <c r="AA180" s="407"/>
    </row>
    <row r="181" spans="1:27">
      <c r="A181" s="214"/>
      <c r="B181" s="215"/>
      <c r="C181" s="215"/>
      <c r="D181" s="221" t="s">
        <v>4014</v>
      </c>
      <c r="E181" s="222">
        <v>18</v>
      </c>
      <c r="F181" s="222"/>
      <c r="G181" s="215"/>
      <c r="H181" s="221" t="s">
        <v>4014</v>
      </c>
      <c r="I181" s="223">
        <v>18</v>
      </c>
      <c r="J181" s="223"/>
      <c r="K181" s="215"/>
      <c r="L181" s="221" t="s">
        <v>4014</v>
      </c>
      <c r="M181" s="223">
        <v>18</v>
      </c>
      <c r="N181" s="411" t="s">
        <v>4651</v>
      </c>
      <c r="O181" s="215"/>
      <c r="P181" s="221" t="s">
        <v>4014</v>
      </c>
      <c r="Q181" s="223">
        <v>18</v>
      </c>
      <c r="R181" s="411" t="s">
        <v>4651</v>
      </c>
      <c r="S181" s="215"/>
      <c r="T181" s="221" t="s">
        <v>4014</v>
      </c>
      <c r="U181" s="223">
        <v>21.5</v>
      </c>
      <c r="V181" s="411" t="s">
        <v>4651</v>
      </c>
      <c r="W181" s="215"/>
      <c r="X181" s="221" t="s">
        <v>4014</v>
      </c>
      <c r="Y181" s="223">
        <v>18</v>
      </c>
      <c r="Z181" s="411" t="s">
        <v>4651</v>
      </c>
      <c r="AA181" s="215"/>
    </row>
    <row r="182" spans="1:27">
      <c r="A182" s="214"/>
      <c r="B182" s="224" t="s">
        <v>4015</v>
      </c>
      <c r="C182" s="225"/>
      <c r="D182" s="226" t="s">
        <v>4652</v>
      </c>
      <c r="E182" s="225"/>
      <c r="F182" s="225"/>
      <c r="G182" s="227" t="s">
        <v>4017</v>
      </c>
      <c r="H182" s="226" t="s">
        <v>4653</v>
      </c>
      <c r="I182" s="225"/>
      <c r="J182" s="225"/>
      <c r="K182" s="227" t="s">
        <v>4017</v>
      </c>
      <c r="L182" s="226" t="s">
        <v>4654</v>
      </c>
      <c r="M182" s="225" t="s">
        <v>4651</v>
      </c>
      <c r="N182" s="225"/>
      <c r="O182" s="227" t="s">
        <v>4017</v>
      </c>
      <c r="P182" s="226" t="s">
        <v>4655</v>
      </c>
      <c r="Q182" s="225"/>
      <c r="R182" s="225"/>
      <c r="S182" s="227" t="s">
        <v>4017</v>
      </c>
      <c r="T182" s="226" t="s">
        <v>4656</v>
      </c>
      <c r="U182" s="225"/>
      <c r="V182" s="225"/>
      <c r="W182" s="227" t="s">
        <v>4017</v>
      </c>
      <c r="X182" s="226" t="s">
        <v>4657</v>
      </c>
      <c r="Y182" s="225" t="s">
        <v>4651</v>
      </c>
      <c r="Z182" s="225"/>
      <c r="AA182" s="227" t="s">
        <v>4017</v>
      </c>
    </row>
    <row r="183" spans="1:27" ht="22.5">
      <c r="A183" s="214"/>
      <c r="B183" s="229" t="s">
        <v>4029</v>
      </c>
      <c r="C183" s="230" t="s">
        <v>4030</v>
      </c>
      <c r="D183" s="231" t="s">
        <v>4031</v>
      </c>
      <c r="E183" s="232" t="s">
        <v>3968</v>
      </c>
      <c r="F183" s="232" t="s">
        <v>4032</v>
      </c>
      <c r="G183" s="227" t="s">
        <v>4033</v>
      </c>
      <c r="H183" s="231" t="s">
        <v>4031</v>
      </c>
      <c r="I183" s="232" t="s">
        <v>3968</v>
      </c>
      <c r="J183" s="232" t="s">
        <v>4032</v>
      </c>
      <c r="K183" s="227" t="s">
        <v>4033</v>
      </c>
      <c r="L183" s="231" t="s">
        <v>4031</v>
      </c>
      <c r="M183" s="232" t="s">
        <v>3968</v>
      </c>
      <c r="N183" s="232" t="s">
        <v>4032</v>
      </c>
      <c r="O183" s="227" t="s">
        <v>4033</v>
      </c>
      <c r="P183" s="231" t="s">
        <v>4031</v>
      </c>
      <c r="Q183" s="232" t="s">
        <v>3968</v>
      </c>
      <c r="R183" s="232" t="s">
        <v>4032</v>
      </c>
      <c r="S183" s="227" t="s">
        <v>4033</v>
      </c>
      <c r="T183" s="231" t="s">
        <v>4031</v>
      </c>
      <c r="U183" s="232" t="s">
        <v>3968</v>
      </c>
      <c r="V183" s="232" t="s">
        <v>4032</v>
      </c>
      <c r="W183" s="227" t="s">
        <v>4033</v>
      </c>
      <c r="X183" s="231" t="s">
        <v>4031</v>
      </c>
      <c r="Y183" s="232" t="s">
        <v>3968</v>
      </c>
      <c r="Z183" s="232" t="s">
        <v>4032</v>
      </c>
      <c r="AA183" s="227" t="s">
        <v>4033</v>
      </c>
    </row>
    <row r="184" spans="1:27">
      <c r="A184" s="214"/>
      <c r="B184" s="233"/>
      <c r="C184" s="233"/>
      <c r="D184" s="234" t="s">
        <v>4034</v>
      </c>
      <c r="E184" s="235" t="s">
        <v>4035</v>
      </c>
      <c r="F184" s="235" t="s">
        <v>4036</v>
      </c>
      <c r="G184" s="236" t="s">
        <v>4036</v>
      </c>
      <c r="H184" s="234" t="s">
        <v>4034</v>
      </c>
      <c r="I184" s="235" t="s">
        <v>4035</v>
      </c>
      <c r="J184" s="235" t="s">
        <v>4036</v>
      </c>
      <c r="K184" s="236" t="s">
        <v>4036</v>
      </c>
      <c r="L184" s="234" t="s">
        <v>4034</v>
      </c>
      <c r="M184" s="235" t="s">
        <v>4035</v>
      </c>
      <c r="N184" s="235" t="s">
        <v>4036</v>
      </c>
      <c r="O184" s="236" t="s">
        <v>4036</v>
      </c>
      <c r="P184" s="234" t="s">
        <v>4034</v>
      </c>
      <c r="Q184" s="235" t="s">
        <v>4035</v>
      </c>
      <c r="R184" s="235" t="s">
        <v>4036</v>
      </c>
      <c r="S184" s="236" t="s">
        <v>4036</v>
      </c>
      <c r="T184" s="234" t="s">
        <v>4034</v>
      </c>
      <c r="U184" s="235" t="s">
        <v>4035</v>
      </c>
      <c r="V184" s="235" t="s">
        <v>4036</v>
      </c>
      <c r="W184" s="236" t="s">
        <v>4036</v>
      </c>
      <c r="X184" s="234" t="s">
        <v>4034</v>
      </c>
      <c r="Y184" s="235" t="s">
        <v>4035</v>
      </c>
      <c r="Z184" s="235" t="s">
        <v>4036</v>
      </c>
      <c r="AA184" s="236" t="s">
        <v>4036</v>
      </c>
    </row>
    <row r="185" spans="1:27">
      <c r="A185" s="214"/>
      <c r="B185" s="235">
        <v>0</v>
      </c>
      <c r="C185" s="233" t="s">
        <v>4037</v>
      </c>
      <c r="D185" s="238">
        <v>0</v>
      </c>
      <c r="E185" s="242">
        <v>327.57651992861554</v>
      </c>
      <c r="F185" s="412">
        <v>1.4261925641357225</v>
      </c>
      <c r="G185" s="246">
        <v>131.52680000000001</v>
      </c>
      <c r="H185" s="238">
        <v>0</v>
      </c>
      <c r="I185" s="413">
        <v>327.57651992861554</v>
      </c>
      <c r="J185" s="240">
        <v>1.4261925641357225</v>
      </c>
      <c r="K185" s="241">
        <v>131.52680000000001</v>
      </c>
      <c r="L185" s="238">
        <v>0</v>
      </c>
      <c r="M185" s="242">
        <v>312.67447659999999</v>
      </c>
      <c r="N185" s="243">
        <v>1.7990533652169569</v>
      </c>
      <c r="O185" s="414">
        <v>182.78389999999999</v>
      </c>
      <c r="P185" s="238">
        <v>0</v>
      </c>
      <c r="Q185" s="413">
        <v>312.67447659999999</v>
      </c>
      <c r="R185" s="240">
        <v>1.7990533652169569</v>
      </c>
      <c r="S185" s="241">
        <v>182.78389999999999</v>
      </c>
      <c r="T185" s="238">
        <v>0</v>
      </c>
      <c r="U185" s="413">
        <v>312.67447659999999</v>
      </c>
      <c r="V185" s="240">
        <v>1.7990533652169569</v>
      </c>
      <c r="W185" s="241">
        <v>182.78389999999999</v>
      </c>
      <c r="X185" s="238">
        <v>0</v>
      </c>
      <c r="Y185" s="413">
        <v>312.67447659999999</v>
      </c>
      <c r="Z185" s="240">
        <v>1.7990533652169569</v>
      </c>
      <c r="AA185" s="241">
        <v>182.78389999999999</v>
      </c>
    </row>
    <row r="186" spans="1:27">
      <c r="A186" s="214"/>
      <c r="B186" s="235">
        <v>1</v>
      </c>
      <c r="C186" s="233" t="s">
        <v>4038</v>
      </c>
      <c r="D186" s="251">
        <v>0.1</v>
      </c>
      <c r="E186" s="242">
        <v>294.81886793575393</v>
      </c>
      <c r="F186" s="412">
        <v>1.4707408999147851</v>
      </c>
      <c r="G186" s="246">
        <v>136.81</v>
      </c>
      <c r="H186" s="251">
        <v>0.1</v>
      </c>
      <c r="I186" s="413">
        <v>294.81886793575393</v>
      </c>
      <c r="J186" s="240">
        <v>1.4707408999147851</v>
      </c>
      <c r="K186" s="241">
        <v>136.81</v>
      </c>
      <c r="L186" s="251">
        <v>0.1</v>
      </c>
      <c r="M186" s="242">
        <v>281.40702893999998</v>
      </c>
      <c r="N186" s="243">
        <v>1.8584344778732069</v>
      </c>
      <c r="O186" s="414">
        <v>189.60419999999999</v>
      </c>
      <c r="P186" s="251">
        <v>0.1</v>
      </c>
      <c r="Q186" s="413">
        <v>281.40702893999998</v>
      </c>
      <c r="R186" s="240">
        <v>1.8584344778732069</v>
      </c>
      <c r="S186" s="241">
        <v>189.60419999999999</v>
      </c>
      <c r="T186" s="251">
        <v>0.1</v>
      </c>
      <c r="U186" s="413">
        <v>281.40702893999998</v>
      </c>
      <c r="V186" s="240">
        <v>1.8584344778732069</v>
      </c>
      <c r="W186" s="241">
        <v>189.60419999999999</v>
      </c>
      <c r="X186" s="251">
        <v>0.1</v>
      </c>
      <c r="Y186" s="413">
        <v>281.40702893999998</v>
      </c>
      <c r="Z186" s="240">
        <v>1.8584344778732069</v>
      </c>
      <c r="AA186" s="241">
        <v>189.60419999999999</v>
      </c>
    </row>
    <row r="187" spans="1:27">
      <c r="A187" s="214"/>
      <c r="B187" s="235">
        <v>2</v>
      </c>
      <c r="C187" s="233" t="s">
        <v>4039</v>
      </c>
      <c r="D187" s="251">
        <v>0.15</v>
      </c>
      <c r="E187" s="242">
        <v>278.44004193932324</v>
      </c>
      <c r="F187" s="412">
        <v>1.5023629050650975</v>
      </c>
      <c r="G187" s="246">
        <v>140.82939999999999</v>
      </c>
      <c r="H187" s="251">
        <v>0.15</v>
      </c>
      <c r="I187" s="413">
        <v>278.44004193932324</v>
      </c>
      <c r="J187" s="240">
        <v>1.5023629050650975</v>
      </c>
      <c r="K187" s="241">
        <v>140.82939999999999</v>
      </c>
      <c r="L187" s="251">
        <v>0.15</v>
      </c>
      <c r="M187" s="242">
        <v>265.77330511000002</v>
      </c>
      <c r="N187" s="243">
        <v>1.8815618585919569</v>
      </c>
      <c r="O187" s="414">
        <v>201.7987</v>
      </c>
      <c r="P187" s="251">
        <v>0.15</v>
      </c>
      <c r="Q187" s="413">
        <v>265.77330511000002</v>
      </c>
      <c r="R187" s="240">
        <v>1.8815618585919569</v>
      </c>
      <c r="S187" s="241">
        <v>201.7987</v>
      </c>
      <c r="T187" s="251">
        <v>0.15</v>
      </c>
      <c r="U187" s="413">
        <v>265.77330511000002</v>
      </c>
      <c r="V187" s="240">
        <v>1.8815618585919569</v>
      </c>
      <c r="W187" s="241">
        <v>201.7987</v>
      </c>
      <c r="X187" s="251">
        <v>0.15</v>
      </c>
      <c r="Y187" s="413">
        <v>265.77330511000002</v>
      </c>
      <c r="Z187" s="240">
        <v>1.8815618585919569</v>
      </c>
      <c r="AA187" s="241">
        <v>201.7987</v>
      </c>
    </row>
    <row r="188" spans="1:27">
      <c r="A188" s="214"/>
      <c r="B188" s="235">
        <v>3</v>
      </c>
      <c r="C188" s="233" t="s">
        <v>4040</v>
      </c>
      <c r="D188" s="251">
        <v>0.2</v>
      </c>
      <c r="E188" s="242">
        <v>262.06121594289243</v>
      </c>
      <c r="F188" s="412">
        <v>1.50260668015916</v>
      </c>
      <c r="G188" s="246">
        <v>146.5454</v>
      </c>
      <c r="H188" s="251">
        <v>0.2</v>
      </c>
      <c r="I188" s="413">
        <v>262.06121594289243</v>
      </c>
      <c r="J188" s="240">
        <v>1.50260668015916</v>
      </c>
      <c r="K188" s="241">
        <v>146.5454</v>
      </c>
      <c r="L188" s="251">
        <v>0.2</v>
      </c>
      <c r="M188" s="242">
        <v>250.13958127999996</v>
      </c>
      <c r="N188" s="243">
        <v>1.8815618585919569</v>
      </c>
      <c r="O188" s="414">
        <v>242.82300000000001</v>
      </c>
      <c r="P188" s="251">
        <v>0.2</v>
      </c>
      <c r="Q188" s="413">
        <v>250.13958127999996</v>
      </c>
      <c r="R188" s="240">
        <v>1.8815618585919569</v>
      </c>
      <c r="S188" s="241">
        <v>242.82300000000001</v>
      </c>
      <c r="T188" s="251">
        <v>0.2</v>
      </c>
      <c r="U188" s="413">
        <v>250.13958127999996</v>
      </c>
      <c r="V188" s="240">
        <v>1.8815618585919569</v>
      </c>
      <c r="W188" s="241">
        <v>242.82300000000001</v>
      </c>
      <c r="X188" s="251">
        <v>0.2</v>
      </c>
      <c r="Y188" s="413">
        <v>250.13958127999996</v>
      </c>
      <c r="Z188" s="240">
        <v>1.8815618585919569</v>
      </c>
      <c r="AA188" s="241">
        <v>242.82300000000001</v>
      </c>
    </row>
    <row r="189" spans="1:27">
      <c r="A189" s="214"/>
      <c r="B189" s="235">
        <v>4</v>
      </c>
      <c r="C189" s="233" t="s">
        <v>4041</v>
      </c>
      <c r="D189" s="251">
        <v>0.25</v>
      </c>
      <c r="E189" s="242">
        <v>245.68238994646165</v>
      </c>
      <c r="F189" s="412">
        <v>1.50260668015916</v>
      </c>
      <c r="G189" s="246">
        <v>157.9659</v>
      </c>
      <c r="H189" s="251">
        <v>0.25</v>
      </c>
      <c r="I189" s="413">
        <v>245.68238994646165</v>
      </c>
      <c r="J189" s="240">
        <v>1.50260668015916</v>
      </c>
      <c r="K189" s="241">
        <v>157.9659</v>
      </c>
      <c r="L189" s="251">
        <v>0.25</v>
      </c>
      <c r="M189" s="242">
        <v>234.50585744999998</v>
      </c>
      <c r="N189" s="243">
        <v>1.8815618585919569</v>
      </c>
      <c r="O189" s="414">
        <v>252.85409999999999</v>
      </c>
      <c r="P189" s="251">
        <v>0.25</v>
      </c>
      <c r="Q189" s="413">
        <v>234.50585744999998</v>
      </c>
      <c r="R189" s="240">
        <v>1.8815618585919569</v>
      </c>
      <c r="S189" s="241">
        <v>252.85409999999999</v>
      </c>
      <c r="T189" s="251">
        <v>0.25</v>
      </c>
      <c r="U189" s="413">
        <v>234.50585744999998</v>
      </c>
      <c r="V189" s="240">
        <v>1.8815618585919569</v>
      </c>
      <c r="W189" s="241">
        <v>252.85409999999999</v>
      </c>
      <c r="X189" s="251">
        <v>0.25</v>
      </c>
      <c r="Y189" s="413">
        <v>234.50585744999998</v>
      </c>
      <c r="Z189" s="240">
        <v>1.8815618585919569</v>
      </c>
      <c r="AA189" s="241">
        <v>252.85409999999999</v>
      </c>
    </row>
    <row r="190" spans="1:27">
      <c r="A190" s="214"/>
      <c r="B190" s="235">
        <v>5</v>
      </c>
      <c r="C190" s="233" t="s">
        <v>4042</v>
      </c>
      <c r="D190" s="251">
        <v>0.3</v>
      </c>
      <c r="E190" s="242">
        <v>229.30356395003088</v>
      </c>
      <c r="F190" s="412">
        <v>1.50260668015916</v>
      </c>
      <c r="G190" s="246">
        <v>167.0522</v>
      </c>
      <c r="H190" s="251">
        <v>0.3</v>
      </c>
      <c r="I190" s="413">
        <v>229.30356395003088</v>
      </c>
      <c r="J190" s="240">
        <v>1.50260668015916</v>
      </c>
      <c r="K190" s="241">
        <v>167.0522</v>
      </c>
      <c r="L190" s="251">
        <v>0.3</v>
      </c>
      <c r="M190" s="242">
        <v>218.87213361999997</v>
      </c>
      <c r="N190" s="243">
        <v>2.4991254302169565</v>
      </c>
      <c r="O190" s="414">
        <v>282.79969999999997</v>
      </c>
      <c r="P190" s="251">
        <v>0.3</v>
      </c>
      <c r="Q190" s="413">
        <v>218.87213361999997</v>
      </c>
      <c r="R190" s="240">
        <v>2.4991254302169565</v>
      </c>
      <c r="S190" s="241">
        <v>282.79969999999997</v>
      </c>
      <c r="T190" s="251">
        <v>0.3</v>
      </c>
      <c r="U190" s="413">
        <v>218.87213361999997</v>
      </c>
      <c r="V190" s="240">
        <v>2.4991254302169565</v>
      </c>
      <c r="W190" s="241">
        <v>282.79969999999997</v>
      </c>
      <c r="X190" s="251">
        <v>0.3</v>
      </c>
      <c r="Y190" s="413">
        <v>218.87213361999997</v>
      </c>
      <c r="Z190" s="240">
        <v>2.4991254302169565</v>
      </c>
      <c r="AA190" s="241">
        <v>282.79969999999997</v>
      </c>
    </row>
    <row r="191" spans="1:27">
      <c r="A191" s="214"/>
      <c r="B191" s="235">
        <v>6</v>
      </c>
      <c r="C191" s="233" t="s">
        <v>4043</v>
      </c>
      <c r="D191" s="251">
        <v>0.35</v>
      </c>
      <c r="E191" s="242">
        <v>212.92473795360007</v>
      </c>
      <c r="F191" s="412">
        <v>1.8241022747235349</v>
      </c>
      <c r="G191" s="246">
        <v>192.56899999999999</v>
      </c>
      <c r="H191" s="251">
        <v>0.35</v>
      </c>
      <c r="I191" s="413">
        <v>212.92473795360007</v>
      </c>
      <c r="J191" s="240">
        <v>1.8241022747235349</v>
      </c>
      <c r="K191" s="241">
        <v>192.56899999999999</v>
      </c>
      <c r="L191" s="251">
        <v>0.35</v>
      </c>
      <c r="M191" s="242">
        <v>203.23840978999996</v>
      </c>
      <c r="N191" s="243">
        <v>2.4991254302169565</v>
      </c>
      <c r="O191" s="414">
        <v>290.34870000000001</v>
      </c>
      <c r="P191" s="251">
        <v>0.35</v>
      </c>
      <c r="Q191" s="413">
        <v>203.23840978999996</v>
      </c>
      <c r="R191" s="240">
        <v>2.4991254302169565</v>
      </c>
      <c r="S191" s="241">
        <v>290.34870000000001</v>
      </c>
      <c r="T191" s="251">
        <v>0.35</v>
      </c>
      <c r="U191" s="413">
        <v>203.23840978999996</v>
      </c>
      <c r="V191" s="240">
        <v>2.4991254302169565</v>
      </c>
      <c r="W191" s="241">
        <v>290.34870000000001</v>
      </c>
      <c r="X191" s="251">
        <v>0.35</v>
      </c>
      <c r="Y191" s="413">
        <v>203.23840978999996</v>
      </c>
      <c r="Z191" s="240">
        <v>2.4991254302169565</v>
      </c>
      <c r="AA191" s="241">
        <v>290.34870000000001</v>
      </c>
    </row>
    <row r="192" spans="1:27">
      <c r="A192" s="214"/>
      <c r="B192" s="235">
        <v>7</v>
      </c>
      <c r="C192" s="233" t="s">
        <v>4626</v>
      </c>
      <c r="D192" s="251">
        <v>0.4</v>
      </c>
      <c r="E192" s="242">
        <v>196.54591195716935</v>
      </c>
      <c r="F192" s="412">
        <v>1.8241022747235349</v>
      </c>
      <c r="G192" s="246">
        <v>200.0043</v>
      </c>
      <c r="H192" s="251">
        <v>0.4</v>
      </c>
      <c r="I192" s="413">
        <v>196.54591195716935</v>
      </c>
      <c r="J192" s="240">
        <v>1.8241022747235349</v>
      </c>
      <c r="K192" s="241">
        <v>200.0043</v>
      </c>
      <c r="L192" s="251">
        <v>0.42</v>
      </c>
      <c r="M192" s="242">
        <v>182.44555709609998</v>
      </c>
      <c r="N192" s="243">
        <v>2.4991254302169565</v>
      </c>
      <c r="O192" s="414">
        <v>361.65179999999998</v>
      </c>
      <c r="P192" s="251">
        <v>0.42</v>
      </c>
      <c r="Q192" s="413">
        <v>182.44555709609998</v>
      </c>
      <c r="R192" s="240">
        <v>2.4991254302169565</v>
      </c>
      <c r="S192" s="241">
        <v>361.65179999999998</v>
      </c>
      <c r="T192" s="251">
        <v>0.42</v>
      </c>
      <c r="U192" s="413">
        <v>182.44555709609998</v>
      </c>
      <c r="V192" s="240">
        <v>2.4991254302169565</v>
      </c>
      <c r="W192" s="241">
        <v>361.65179999999998</v>
      </c>
      <c r="X192" s="251">
        <v>0.42</v>
      </c>
      <c r="Y192" s="413">
        <v>182.44555709609998</v>
      </c>
      <c r="Z192" s="240">
        <v>2.4991254302169565</v>
      </c>
      <c r="AA192" s="241">
        <v>361.65179999999998</v>
      </c>
    </row>
    <row r="193" spans="1:27">
      <c r="A193" s="214"/>
      <c r="B193" s="235">
        <v>8</v>
      </c>
      <c r="C193" s="233" t="s">
        <v>4627</v>
      </c>
      <c r="D193" s="251">
        <v>0.45</v>
      </c>
      <c r="E193" s="242">
        <v>180.16708596073855</v>
      </c>
      <c r="F193" s="412">
        <v>2.1520485333154098</v>
      </c>
      <c r="G193" s="246">
        <v>231.1232</v>
      </c>
      <c r="H193" s="251">
        <v>0.45</v>
      </c>
      <c r="I193" s="413">
        <v>180.16708596073855</v>
      </c>
      <c r="J193" s="240">
        <v>2.1520485333154098</v>
      </c>
      <c r="K193" s="241">
        <v>231.1232</v>
      </c>
      <c r="L193" s="251"/>
      <c r="M193" s="253">
        <v>0</v>
      </c>
      <c r="N193" s="253">
        <v>0</v>
      </c>
      <c r="O193" s="253">
        <v>0</v>
      </c>
      <c r="P193" s="251"/>
      <c r="Q193" s="413">
        <v>0</v>
      </c>
      <c r="R193" s="239">
        <v>0</v>
      </c>
      <c r="S193" s="239">
        <v>0</v>
      </c>
      <c r="T193" s="251"/>
      <c r="U193" s="413">
        <v>0</v>
      </c>
      <c r="V193" s="239">
        <v>0</v>
      </c>
      <c r="W193" s="239">
        <v>0</v>
      </c>
      <c r="X193" s="251"/>
      <c r="Y193" s="413">
        <v>0</v>
      </c>
      <c r="Z193" s="239">
        <v>0</v>
      </c>
      <c r="AA193" s="239">
        <v>0</v>
      </c>
    </row>
    <row r="194" spans="1:27">
      <c r="A194" s="214"/>
      <c r="B194" s="235">
        <v>9</v>
      </c>
      <c r="C194" s="233" t="s">
        <v>4658</v>
      </c>
      <c r="D194" s="251">
        <v>0.5</v>
      </c>
      <c r="E194" s="242">
        <v>163.78825996430777</v>
      </c>
      <c r="F194" s="412">
        <v>2.1520485333154098</v>
      </c>
      <c r="G194" s="246">
        <v>248.06610000000001</v>
      </c>
      <c r="H194" s="251">
        <v>0.5</v>
      </c>
      <c r="I194" s="413">
        <v>163.78825996430777</v>
      </c>
      <c r="J194" s="240">
        <v>2.1520485333154098</v>
      </c>
      <c r="K194" s="241">
        <v>248.06610000000001</v>
      </c>
      <c r="L194" s="251"/>
      <c r="M194" s="253">
        <v>0</v>
      </c>
      <c r="N194" s="253">
        <v>0</v>
      </c>
      <c r="O194" s="253">
        <v>0</v>
      </c>
      <c r="P194" s="251"/>
      <c r="Q194" s="413">
        <v>0</v>
      </c>
      <c r="R194" s="239">
        <v>0</v>
      </c>
      <c r="S194" s="239">
        <v>0</v>
      </c>
      <c r="T194" s="251"/>
      <c r="U194" s="413">
        <v>0</v>
      </c>
      <c r="V194" s="239">
        <v>0</v>
      </c>
      <c r="W194" s="239">
        <v>0</v>
      </c>
      <c r="X194" s="251"/>
      <c r="Y194" s="413">
        <v>0</v>
      </c>
      <c r="Z194" s="239">
        <v>0</v>
      </c>
      <c r="AA194" s="239">
        <v>0</v>
      </c>
    </row>
    <row r="195" spans="1:27">
      <c r="A195" s="214"/>
      <c r="B195" s="235">
        <v>10</v>
      </c>
      <c r="C195" s="233" t="s">
        <v>4659</v>
      </c>
      <c r="D195" s="251">
        <v>0.59</v>
      </c>
      <c r="E195" s="242">
        <v>135.28910273051821</v>
      </c>
      <c r="F195" s="412">
        <v>2.1520485333154098</v>
      </c>
      <c r="G195" s="246">
        <v>309.11040000000003</v>
      </c>
      <c r="H195" s="251">
        <v>0.59</v>
      </c>
      <c r="I195" s="413">
        <v>135.28910273051821</v>
      </c>
      <c r="J195" s="240">
        <v>2.1520485333154098</v>
      </c>
      <c r="K195" s="241">
        <v>309.11040000000003</v>
      </c>
      <c r="L195" s="251"/>
      <c r="M195" s="253">
        <v>0</v>
      </c>
      <c r="N195" s="253">
        <v>0</v>
      </c>
      <c r="O195" s="253">
        <v>0</v>
      </c>
      <c r="P195" s="251"/>
      <c r="Q195" s="413">
        <v>0</v>
      </c>
      <c r="R195" s="239">
        <v>0</v>
      </c>
      <c r="S195" s="239">
        <v>0</v>
      </c>
      <c r="T195" s="251"/>
      <c r="U195" s="413">
        <v>0</v>
      </c>
      <c r="V195" s="239">
        <v>0</v>
      </c>
      <c r="W195" s="239">
        <v>0</v>
      </c>
      <c r="X195" s="251"/>
      <c r="Y195" s="413">
        <v>0</v>
      </c>
      <c r="Z195" s="239">
        <v>0</v>
      </c>
      <c r="AA195" s="239">
        <v>0</v>
      </c>
    </row>
    <row r="196" spans="1:27">
      <c r="A196" s="214"/>
      <c r="B196" s="214"/>
      <c r="C196" s="214"/>
      <c r="D196" s="214"/>
      <c r="E196" s="214"/>
      <c r="F196" s="214"/>
      <c r="G196" s="214"/>
      <c r="H196" s="214"/>
      <c r="I196" s="214"/>
      <c r="J196" s="214"/>
      <c r="K196" s="214"/>
      <c r="L196" s="214"/>
      <c r="M196" s="214"/>
      <c r="N196" s="214"/>
      <c r="O196" s="214"/>
      <c r="P196" s="214"/>
      <c r="Q196" s="214"/>
      <c r="R196" s="214"/>
      <c r="S196" s="214"/>
      <c r="T196" s="214"/>
      <c r="U196" s="214"/>
      <c r="V196" s="214"/>
      <c r="W196" s="214"/>
      <c r="X196" s="214"/>
      <c r="Y196" s="214"/>
      <c r="Z196" s="214"/>
      <c r="AA196" s="214"/>
    </row>
    <row r="197" spans="1:27">
      <c r="A197" s="214"/>
      <c r="B197" s="214"/>
      <c r="C197" s="214"/>
      <c r="D197" s="214"/>
      <c r="E197" s="214"/>
      <c r="F197" s="214"/>
      <c r="G197" s="214"/>
      <c r="H197" s="214"/>
      <c r="I197" s="214"/>
      <c r="J197" s="214"/>
      <c r="K197" s="214"/>
      <c r="L197" s="214"/>
      <c r="M197" s="214"/>
      <c r="N197" s="214"/>
      <c r="O197" s="214"/>
      <c r="P197" s="214"/>
      <c r="Q197" s="214"/>
      <c r="R197" s="214"/>
      <c r="S197" s="214"/>
      <c r="T197" s="214"/>
      <c r="U197" s="214"/>
      <c r="V197" s="214"/>
      <c r="W197" s="214"/>
      <c r="X197" s="214"/>
      <c r="Y197" s="214"/>
      <c r="Z197" s="214"/>
      <c r="AA197" s="214"/>
    </row>
    <row r="198" spans="1:27">
      <c r="A198" s="214"/>
      <c r="B198" s="214"/>
      <c r="C198" s="214"/>
      <c r="D198" s="214"/>
      <c r="E198" s="214"/>
      <c r="F198" s="214"/>
      <c r="G198" s="214"/>
      <c r="H198" s="214"/>
      <c r="I198" s="214"/>
      <c r="J198" s="214"/>
      <c r="K198" s="214"/>
      <c r="L198" s="214"/>
      <c r="M198" s="214"/>
      <c r="N198" s="214"/>
      <c r="O198" s="214"/>
      <c r="P198" s="214"/>
      <c r="Q198" s="214"/>
      <c r="R198" s="214"/>
      <c r="S198" s="214"/>
      <c r="T198" s="214"/>
      <c r="U198" s="214"/>
      <c r="V198" s="214"/>
      <c r="W198" s="214"/>
      <c r="X198" s="214"/>
      <c r="Y198" s="214"/>
      <c r="Z198" s="214"/>
      <c r="AA198" s="214"/>
    </row>
    <row r="199" spans="1:27">
      <c r="A199" s="214"/>
      <c r="B199" s="214" t="s">
        <v>4660</v>
      </c>
      <c r="C199" s="214"/>
      <c r="D199" s="214"/>
      <c r="E199" s="214"/>
      <c r="F199" s="214"/>
      <c r="G199" s="214"/>
      <c r="H199" s="214"/>
      <c r="I199" s="214"/>
      <c r="J199" s="214"/>
      <c r="K199" s="214"/>
      <c r="L199" s="214"/>
      <c r="M199" s="214"/>
      <c r="N199" s="214"/>
      <c r="O199" s="214"/>
      <c r="P199" s="214"/>
      <c r="Q199" s="214"/>
      <c r="R199" s="214"/>
      <c r="S199" s="214"/>
      <c r="T199" s="214"/>
      <c r="U199" s="214"/>
      <c r="V199" s="214"/>
      <c r="W199" s="214"/>
      <c r="X199" s="214"/>
      <c r="Y199" s="214"/>
      <c r="Z199" s="214"/>
      <c r="AA199" s="214"/>
    </row>
    <row r="200" spans="1:27">
      <c r="A200" s="214"/>
      <c r="B200" s="400"/>
      <c r="C200" s="400"/>
      <c r="D200" s="405" t="s">
        <v>4646</v>
      </c>
      <c r="E200" s="406"/>
      <c r="F200" s="406"/>
      <c r="G200" s="407"/>
      <c r="H200" s="405" t="s">
        <v>4647</v>
      </c>
      <c r="I200" s="406"/>
      <c r="J200" s="406"/>
      <c r="K200" s="407"/>
      <c r="L200" s="405" t="s">
        <v>4648</v>
      </c>
      <c r="M200" s="406"/>
      <c r="N200" s="406"/>
      <c r="O200" s="407"/>
      <c r="P200" s="408" t="s">
        <v>4649</v>
      </c>
      <c r="Q200" s="409"/>
      <c r="R200" s="409"/>
      <c r="S200" s="410"/>
      <c r="T200" s="408" t="s">
        <v>4650</v>
      </c>
      <c r="U200" s="409"/>
      <c r="V200" s="409"/>
      <c r="W200" s="409"/>
      <c r="X200" s="405" t="s">
        <v>4648</v>
      </c>
      <c r="Y200" s="406"/>
      <c r="Z200" s="406"/>
      <c r="AA200" s="407"/>
    </row>
    <row r="201" spans="1:27">
      <c r="A201" s="214"/>
      <c r="B201" s="215"/>
      <c r="C201" s="215"/>
      <c r="D201" s="221" t="s">
        <v>4014</v>
      </c>
      <c r="E201" s="222">
        <v>18</v>
      </c>
      <c r="F201" s="222"/>
      <c r="G201" s="215"/>
      <c r="H201" s="221" t="s">
        <v>4014</v>
      </c>
      <c r="I201" s="223">
        <v>18</v>
      </c>
      <c r="J201" s="223"/>
      <c r="K201" s="215"/>
      <c r="L201" s="221" t="s">
        <v>4014</v>
      </c>
      <c r="M201" s="223">
        <v>18</v>
      </c>
      <c r="N201" s="411" t="s">
        <v>4651</v>
      </c>
      <c r="O201" s="215"/>
      <c r="P201" s="221" t="s">
        <v>4014</v>
      </c>
      <c r="Q201" s="223">
        <v>18</v>
      </c>
      <c r="R201" s="411" t="s">
        <v>4651</v>
      </c>
      <c r="S201" s="215"/>
      <c r="T201" s="221" t="s">
        <v>4014</v>
      </c>
      <c r="U201" s="223">
        <v>21.5</v>
      </c>
      <c r="V201" s="411" t="s">
        <v>4651</v>
      </c>
      <c r="W201" s="215"/>
      <c r="X201" s="221" t="s">
        <v>4014</v>
      </c>
      <c r="Y201" s="223">
        <v>18</v>
      </c>
      <c r="Z201" s="411" t="s">
        <v>4651</v>
      </c>
      <c r="AA201" s="215"/>
    </row>
    <row r="202" spans="1:27">
      <c r="A202" s="214"/>
      <c r="B202" s="224" t="s">
        <v>4015</v>
      </c>
      <c r="C202" s="225"/>
      <c r="D202" s="226" t="s">
        <v>4652</v>
      </c>
      <c r="E202" s="225"/>
      <c r="F202" s="225"/>
      <c r="G202" s="227" t="s">
        <v>4017</v>
      </c>
      <c r="H202" s="226" t="s">
        <v>4653</v>
      </c>
      <c r="I202" s="225"/>
      <c r="J202" s="225"/>
      <c r="K202" s="227" t="s">
        <v>4017</v>
      </c>
      <c r="L202" s="226" t="s">
        <v>4654</v>
      </c>
      <c r="M202" s="225" t="s">
        <v>4651</v>
      </c>
      <c r="N202" s="225"/>
      <c r="O202" s="227" t="s">
        <v>4017</v>
      </c>
      <c r="P202" s="226" t="s">
        <v>4655</v>
      </c>
      <c r="Q202" s="225"/>
      <c r="R202" s="225"/>
      <c r="S202" s="227" t="s">
        <v>4017</v>
      </c>
      <c r="T202" s="226" t="s">
        <v>4656</v>
      </c>
      <c r="U202" s="225"/>
      <c r="V202" s="225"/>
      <c r="W202" s="227" t="s">
        <v>4017</v>
      </c>
      <c r="X202" s="226" t="s">
        <v>4657</v>
      </c>
      <c r="Y202" s="225" t="s">
        <v>4651</v>
      </c>
      <c r="Z202" s="225"/>
      <c r="AA202" s="227" t="s">
        <v>4017</v>
      </c>
    </row>
    <row r="203" spans="1:27" ht="22.5">
      <c r="A203" s="214"/>
      <c r="B203" s="229" t="s">
        <v>4029</v>
      </c>
      <c r="C203" s="230" t="s">
        <v>4030</v>
      </c>
      <c r="D203" s="231" t="s">
        <v>4031</v>
      </c>
      <c r="E203" s="232" t="s">
        <v>3968</v>
      </c>
      <c r="F203" s="232" t="s">
        <v>4032</v>
      </c>
      <c r="G203" s="227" t="s">
        <v>4033</v>
      </c>
      <c r="H203" s="231" t="s">
        <v>4031</v>
      </c>
      <c r="I203" s="232" t="s">
        <v>3968</v>
      </c>
      <c r="J203" s="232" t="s">
        <v>4032</v>
      </c>
      <c r="K203" s="227" t="s">
        <v>4033</v>
      </c>
      <c r="L203" s="231" t="s">
        <v>4031</v>
      </c>
      <c r="M203" s="232" t="s">
        <v>3968</v>
      </c>
      <c r="N203" s="232" t="s">
        <v>4032</v>
      </c>
      <c r="O203" s="227" t="s">
        <v>4033</v>
      </c>
      <c r="P203" s="231" t="s">
        <v>4031</v>
      </c>
      <c r="Q203" s="232" t="s">
        <v>3968</v>
      </c>
      <c r="R203" s="232" t="s">
        <v>4032</v>
      </c>
      <c r="S203" s="227" t="s">
        <v>4033</v>
      </c>
      <c r="T203" s="231" t="s">
        <v>4031</v>
      </c>
      <c r="U203" s="232" t="s">
        <v>3968</v>
      </c>
      <c r="V203" s="232" t="s">
        <v>4032</v>
      </c>
      <c r="W203" s="227" t="s">
        <v>4033</v>
      </c>
      <c r="X203" s="231" t="s">
        <v>4031</v>
      </c>
      <c r="Y203" s="232" t="s">
        <v>3968</v>
      </c>
      <c r="Z203" s="232" t="s">
        <v>4032</v>
      </c>
      <c r="AA203" s="227" t="s">
        <v>4033</v>
      </c>
    </row>
    <row r="204" spans="1:27">
      <c r="A204" s="214"/>
      <c r="B204" s="233"/>
      <c r="C204" s="233"/>
      <c r="D204" s="234" t="s">
        <v>4034</v>
      </c>
      <c r="E204" s="235" t="s">
        <v>4035</v>
      </c>
      <c r="F204" s="235" t="s">
        <v>4036</v>
      </c>
      <c r="G204" s="236" t="s">
        <v>4036</v>
      </c>
      <c r="H204" s="234" t="s">
        <v>4034</v>
      </c>
      <c r="I204" s="235" t="s">
        <v>4035</v>
      </c>
      <c r="J204" s="235" t="s">
        <v>4036</v>
      </c>
      <c r="K204" s="236" t="s">
        <v>4036</v>
      </c>
      <c r="L204" s="234" t="s">
        <v>4034</v>
      </c>
      <c r="M204" s="235" t="s">
        <v>4035</v>
      </c>
      <c r="N204" s="235" t="s">
        <v>4036</v>
      </c>
      <c r="O204" s="236" t="s">
        <v>4036</v>
      </c>
      <c r="P204" s="234" t="s">
        <v>4034</v>
      </c>
      <c r="Q204" s="235" t="s">
        <v>4035</v>
      </c>
      <c r="R204" s="235" t="s">
        <v>4036</v>
      </c>
      <c r="S204" s="236" t="s">
        <v>4036</v>
      </c>
      <c r="T204" s="234" t="s">
        <v>4034</v>
      </c>
      <c r="U204" s="235" t="s">
        <v>4035</v>
      </c>
      <c r="V204" s="235" t="s">
        <v>4036</v>
      </c>
      <c r="W204" s="236" t="s">
        <v>4036</v>
      </c>
      <c r="X204" s="234" t="s">
        <v>4034</v>
      </c>
      <c r="Y204" s="235" t="s">
        <v>4035</v>
      </c>
      <c r="Z204" s="235" t="s">
        <v>4036</v>
      </c>
      <c r="AA204" s="236" t="s">
        <v>4036</v>
      </c>
    </row>
    <row r="205" spans="1:27">
      <c r="A205" s="214"/>
      <c r="B205" s="235">
        <v>0</v>
      </c>
      <c r="C205" s="233" t="s">
        <v>4037</v>
      </c>
      <c r="D205" s="238">
        <v>0</v>
      </c>
      <c r="E205" s="242">
        <v>324.89421475008027</v>
      </c>
      <c r="F205" s="412">
        <v>1.4261925641357225</v>
      </c>
      <c r="G205" s="246">
        <v>145.0915</v>
      </c>
      <c r="H205" s="238">
        <v>0</v>
      </c>
      <c r="I205" s="239">
        <v>324.89421475008027</v>
      </c>
      <c r="J205" s="240">
        <v>1.4261925641357225</v>
      </c>
      <c r="K205" s="241">
        <v>145.0915</v>
      </c>
      <c r="L205" s="238">
        <v>0</v>
      </c>
      <c r="M205" s="242">
        <v>312.67447659999999</v>
      </c>
      <c r="N205" s="243">
        <v>1.7990533652169569</v>
      </c>
      <c r="O205" s="414">
        <v>201.40590000000003</v>
      </c>
      <c r="P205" s="238">
        <v>0</v>
      </c>
      <c r="Q205" s="239">
        <v>312.67447659999999</v>
      </c>
      <c r="R205" s="240">
        <v>1.7990533652169569</v>
      </c>
      <c r="S205" s="241">
        <v>201.40590000000003</v>
      </c>
      <c r="T205" s="238">
        <v>0</v>
      </c>
      <c r="U205" s="239">
        <v>312.67447659999999</v>
      </c>
      <c r="V205" s="240">
        <v>1.7990533652169569</v>
      </c>
      <c r="W205" s="241">
        <v>201.40590000000003</v>
      </c>
      <c r="X205" s="238">
        <v>0</v>
      </c>
      <c r="Y205" s="242">
        <v>312.67447659999999</v>
      </c>
      <c r="Z205" s="243">
        <v>1.7990533652169569</v>
      </c>
      <c r="AA205" s="414">
        <v>201.40590000000003</v>
      </c>
    </row>
    <row r="206" spans="1:27">
      <c r="A206" s="214"/>
      <c r="B206" s="235">
        <v>1</v>
      </c>
      <c r="C206" s="233" t="s">
        <v>4038</v>
      </c>
      <c r="D206" s="251">
        <v>0.1</v>
      </c>
      <c r="E206" s="242">
        <v>292.40479327507222</v>
      </c>
      <c r="F206" s="412">
        <v>1.4707408999147851</v>
      </c>
      <c r="G206" s="246">
        <v>151.94479999999999</v>
      </c>
      <c r="H206" s="251">
        <v>0.1</v>
      </c>
      <c r="I206" s="239">
        <v>292.40479327507222</v>
      </c>
      <c r="J206" s="240">
        <v>1.4707408999147851</v>
      </c>
      <c r="K206" s="241">
        <v>151.94479999999999</v>
      </c>
      <c r="L206" s="251">
        <v>0.1</v>
      </c>
      <c r="M206" s="242">
        <v>281.40702893999998</v>
      </c>
      <c r="N206" s="243">
        <v>1.8584344778732069</v>
      </c>
      <c r="O206" s="414">
        <v>216.8801</v>
      </c>
      <c r="P206" s="251">
        <v>0.1</v>
      </c>
      <c r="Q206" s="239">
        <v>281.40702893999998</v>
      </c>
      <c r="R206" s="240">
        <v>1.8584344778732069</v>
      </c>
      <c r="S206" s="241">
        <v>216.8801</v>
      </c>
      <c r="T206" s="251">
        <v>0.1</v>
      </c>
      <c r="U206" s="239">
        <v>281.40702893999998</v>
      </c>
      <c r="V206" s="240">
        <v>1.8584344778732069</v>
      </c>
      <c r="W206" s="241">
        <v>216.8801</v>
      </c>
      <c r="X206" s="251">
        <v>0.1</v>
      </c>
      <c r="Y206" s="242">
        <v>281.40702893999998</v>
      </c>
      <c r="Z206" s="243">
        <v>1.8584344778732069</v>
      </c>
      <c r="AA206" s="414">
        <v>216.8801</v>
      </c>
    </row>
    <row r="207" spans="1:27">
      <c r="A207" s="214"/>
      <c r="B207" s="235">
        <v>2</v>
      </c>
      <c r="C207" s="233" t="s">
        <v>4039</v>
      </c>
      <c r="D207" s="251">
        <v>0.15</v>
      </c>
      <c r="E207" s="242">
        <v>276.16008253756826</v>
      </c>
      <c r="F207" s="412">
        <v>1.5023629050650975</v>
      </c>
      <c r="G207" s="246">
        <v>157.68270000000001</v>
      </c>
      <c r="H207" s="251">
        <v>0.15</v>
      </c>
      <c r="I207" s="239">
        <v>276.16008253756826</v>
      </c>
      <c r="J207" s="240">
        <v>1.5023629050650975</v>
      </c>
      <c r="K207" s="241">
        <v>157.68270000000001</v>
      </c>
      <c r="L207" s="251">
        <v>0.15</v>
      </c>
      <c r="M207" s="242">
        <v>265.77330511000002</v>
      </c>
      <c r="N207" s="243">
        <v>1.8815618585919569</v>
      </c>
      <c r="O207" s="414">
        <v>255.42770000000004</v>
      </c>
      <c r="P207" s="251">
        <v>0.15</v>
      </c>
      <c r="Q207" s="239">
        <v>265.77330511000002</v>
      </c>
      <c r="R207" s="240">
        <v>1.8815618585919569</v>
      </c>
      <c r="S207" s="241">
        <v>255.42770000000004</v>
      </c>
      <c r="T207" s="251">
        <v>0.15</v>
      </c>
      <c r="U207" s="239">
        <v>265.77330511000002</v>
      </c>
      <c r="V207" s="240">
        <v>1.8815618585919569</v>
      </c>
      <c r="W207" s="241">
        <v>255.42770000000004</v>
      </c>
      <c r="X207" s="251">
        <v>0.15</v>
      </c>
      <c r="Y207" s="242">
        <v>265.77330511000002</v>
      </c>
      <c r="Z207" s="243">
        <v>1.8815618585919569</v>
      </c>
      <c r="AA207" s="414">
        <v>255.42770000000004</v>
      </c>
    </row>
    <row r="208" spans="1:27">
      <c r="A208" s="214"/>
      <c r="B208" s="235">
        <v>3</v>
      </c>
      <c r="C208" s="233" t="s">
        <v>4040</v>
      </c>
      <c r="D208" s="251">
        <v>0.2</v>
      </c>
      <c r="E208" s="242">
        <v>259.91537180006424</v>
      </c>
      <c r="F208" s="412">
        <v>1.50260668015916</v>
      </c>
      <c r="G208" s="246">
        <v>168.48240000000001</v>
      </c>
      <c r="H208" s="251">
        <v>0.2</v>
      </c>
      <c r="I208" s="239">
        <v>259.91537180006424</v>
      </c>
      <c r="J208" s="240">
        <v>1.50260668015916</v>
      </c>
      <c r="K208" s="241">
        <v>168.48240000000001</v>
      </c>
      <c r="L208" s="251">
        <v>0.2</v>
      </c>
      <c r="M208" s="242">
        <v>250.13958127999996</v>
      </c>
      <c r="N208" s="243">
        <v>1.8815618585919569</v>
      </c>
      <c r="O208" s="414">
        <v>272.48350000000011</v>
      </c>
      <c r="P208" s="251">
        <v>0.2</v>
      </c>
      <c r="Q208" s="239">
        <v>250.13958127999996</v>
      </c>
      <c r="R208" s="240">
        <v>1.8815618585919569</v>
      </c>
      <c r="S208" s="241">
        <v>272.48350000000011</v>
      </c>
      <c r="T208" s="251">
        <v>0.2</v>
      </c>
      <c r="U208" s="239">
        <v>250.13958127999996</v>
      </c>
      <c r="V208" s="240">
        <v>1.8815618585919569</v>
      </c>
      <c r="W208" s="241">
        <v>272.48350000000011</v>
      </c>
      <c r="X208" s="251">
        <v>0.2</v>
      </c>
      <c r="Y208" s="242">
        <v>250.13958127999996</v>
      </c>
      <c r="Z208" s="243">
        <v>1.8815618585919569</v>
      </c>
      <c r="AA208" s="414">
        <v>272.48350000000011</v>
      </c>
    </row>
    <row r="209" spans="1:27">
      <c r="A209" s="214"/>
      <c r="B209" s="235">
        <v>4</v>
      </c>
      <c r="C209" s="233" t="s">
        <v>4041</v>
      </c>
      <c r="D209" s="251">
        <v>0.25</v>
      </c>
      <c r="E209" s="242">
        <v>243.67066106256024</v>
      </c>
      <c r="F209" s="412">
        <v>1.50260668015916</v>
      </c>
      <c r="G209" s="246">
        <v>178.64160000000001</v>
      </c>
      <c r="H209" s="251">
        <v>0.25</v>
      </c>
      <c r="I209" s="239">
        <v>243.67066106256024</v>
      </c>
      <c r="J209" s="240">
        <v>1.50260668015916</v>
      </c>
      <c r="K209" s="241">
        <v>178.64160000000001</v>
      </c>
      <c r="L209" s="251">
        <v>0.25</v>
      </c>
      <c r="M209" s="242">
        <v>234.50585744999998</v>
      </c>
      <c r="N209" s="243">
        <v>1.8815618585919569</v>
      </c>
      <c r="O209" s="414">
        <v>298.70949999999993</v>
      </c>
      <c r="P209" s="251">
        <v>0.25</v>
      </c>
      <c r="Q209" s="239">
        <v>234.50585744999998</v>
      </c>
      <c r="R209" s="240">
        <v>1.8815618585919569</v>
      </c>
      <c r="S209" s="241">
        <v>298.70949999999993</v>
      </c>
      <c r="T209" s="251">
        <v>0.25</v>
      </c>
      <c r="U209" s="239">
        <v>234.50585744999998</v>
      </c>
      <c r="V209" s="240">
        <v>1.8815618585919569</v>
      </c>
      <c r="W209" s="241">
        <v>298.70949999999993</v>
      </c>
      <c r="X209" s="251">
        <v>0.25</v>
      </c>
      <c r="Y209" s="242">
        <v>234.50585744999998</v>
      </c>
      <c r="Z209" s="243">
        <v>1.8815618585919569</v>
      </c>
      <c r="AA209" s="414">
        <v>298.70949999999993</v>
      </c>
    </row>
    <row r="210" spans="1:27">
      <c r="A210" s="214"/>
      <c r="B210" s="235">
        <v>5</v>
      </c>
      <c r="C210" s="233" t="s">
        <v>4042</v>
      </c>
      <c r="D210" s="251">
        <v>0.3</v>
      </c>
      <c r="E210" s="242">
        <v>227.42595032505619</v>
      </c>
      <c r="F210" s="412">
        <v>1.50260668015916</v>
      </c>
      <c r="G210" s="246">
        <v>200.27109999999999</v>
      </c>
      <c r="H210" s="251">
        <v>0.3</v>
      </c>
      <c r="I210" s="239">
        <v>227.42595032505619</v>
      </c>
      <c r="J210" s="240">
        <v>1.50260668015916</v>
      </c>
      <c r="K210" s="241">
        <v>200.27109999999999</v>
      </c>
      <c r="L210" s="251">
        <v>0.3</v>
      </c>
      <c r="M210" s="242">
        <v>218.87213361999997</v>
      </c>
      <c r="N210" s="243">
        <v>2.4991254302169565</v>
      </c>
      <c r="O210" s="414">
        <v>313.70570000000004</v>
      </c>
      <c r="P210" s="251">
        <v>0.3</v>
      </c>
      <c r="Q210" s="239">
        <v>218.87213361999997</v>
      </c>
      <c r="R210" s="240">
        <v>2.4991254302169565</v>
      </c>
      <c r="S210" s="241">
        <v>313.70570000000004</v>
      </c>
      <c r="T210" s="251">
        <v>0.3</v>
      </c>
      <c r="U210" s="239">
        <v>218.87213361999997</v>
      </c>
      <c r="V210" s="240">
        <v>2.4991254302169565</v>
      </c>
      <c r="W210" s="241">
        <v>313.70570000000004</v>
      </c>
      <c r="X210" s="251">
        <v>0.3</v>
      </c>
      <c r="Y210" s="242">
        <v>218.87213361999997</v>
      </c>
      <c r="Z210" s="243">
        <v>2.4991254302169565</v>
      </c>
      <c r="AA210" s="414">
        <v>313.70570000000004</v>
      </c>
    </row>
    <row r="211" spans="1:27">
      <c r="A211" s="214"/>
      <c r="B211" s="235">
        <v>6</v>
      </c>
      <c r="C211" s="233" t="s">
        <v>4043</v>
      </c>
      <c r="D211" s="251">
        <v>0.35</v>
      </c>
      <c r="E211" s="242">
        <v>211.18123958755214</v>
      </c>
      <c r="F211" s="412">
        <v>1.8241022747235349</v>
      </c>
      <c r="G211" s="246">
        <v>214.73140000000001</v>
      </c>
      <c r="H211" s="251">
        <v>0.35</v>
      </c>
      <c r="I211" s="239">
        <v>211.18123958755214</v>
      </c>
      <c r="J211" s="240">
        <v>1.8241022747235349</v>
      </c>
      <c r="K211" s="241">
        <v>214.73140000000001</v>
      </c>
      <c r="L211" s="251">
        <v>0.35</v>
      </c>
      <c r="M211" s="242">
        <v>203.23840978999996</v>
      </c>
      <c r="N211" s="243">
        <v>2.4991254302169565</v>
      </c>
      <c r="O211" s="414">
        <v>353.08849999999995</v>
      </c>
      <c r="P211" s="251">
        <v>0.35</v>
      </c>
      <c r="Q211" s="239">
        <v>203.23840978999996</v>
      </c>
      <c r="R211" s="240">
        <v>2.4991254302169565</v>
      </c>
      <c r="S211" s="241">
        <v>353.08849999999995</v>
      </c>
      <c r="T211" s="251">
        <v>0.35</v>
      </c>
      <c r="U211" s="239">
        <v>203.23840978999996</v>
      </c>
      <c r="V211" s="240">
        <v>2.4991254302169565</v>
      </c>
      <c r="W211" s="241">
        <v>353.08849999999995</v>
      </c>
      <c r="X211" s="251">
        <v>0.35</v>
      </c>
      <c r="Y211" s="242">
        <v>203.23840978999996</v>
      </c>
      <c r="Z211" s="243">
        <v>2.4991254302169565</v>
      </c>
      <c r="AA211" s="414">
        <v>353.08849999999995</v>
      </c>
    </row>
    <row r="212" spans="1:27">
      <c r="A212" s="214"/>
      <c r="B212" s="235">
        <v>7</v>
      </c>
      <c r="C212" s="233" t="s">
        <v>4626</v>
      </c>
      <c r="D212" s="251">
        <v>0.4</v>
      </c>
      <c r="E212" s="242">
        <v>194.93652885004821</v>
      </c>
      <c r="F212" s="412">
        <v>1.8241022747235349</v>
      </c>
      <c r="G212" s="246">
        <v>237.47219999999999</v>
      </c>
      <c r="H212" s="251">
        <v>0.4</v>
      </c>
      <c r="I212" s="239">
        <v>194.93652885004821</v>
      </c>
      <c r="J212" s="240">
        <v>1.8241022747235349</v>
      </c>
      <c r="K212" s="241">
        <v>237.47219999999999</v>
      </c>
      <c r="L212" s="251">
        <v>0.42</v>
      </c>
      <c r="M212" s="242">
        <v>191.56783495090502</v>
      </c>
      <c r="N212" s="243">
        <v>2.4991254302169565</v>
      </c>
      <c r="O212" s="414">
        <v>395.13300000000004</v>
      </c>
      <c r="P212" s="251">
        <v>0.42</v>
      </c>
      <c r="Q212" s="239">
        <v>191.56783495090502</v>
      </c>
      <c r="R212" s="240">
        <v>2.4991254302169565</v>
      </c>
      <c r="S212" s="241">
        <v>395.13300000000004</v>
      </c>
      <c r="T212" s="251">
        <v>0.42</v>
      </c>
      <c r="U212" s="239">
        <v>191.56783495090502</v>
      </c>
      <c r="V212" s="240">
        <v>2.4991254302169565</v>
      </c>
      <c r="W212" s="241">
        <v>395.13300000000004</v>
      </c>
      <c r="X212" s="251">
        <v>0.42</v>
      </c>
      <c r="Y212" s="242">
        <v>191.56783495090502</v>
      </c>
      <c r="Z212" s="243">
        <v>2.4991254302169565</v>
      </c>
      <c r="AA212" s="414">
        <v>395.13300000000004</v>
      </c>
    </row>
    <row r="213" spans="1:27">
      <c r="A213" s="214"/>
      <c r="B213" s="235">
        <v>8</v>
      </c>
      <c r="C213" s="233" t="s">
        <v>4627</v>
      </c>
      <c r="D213" s="251">
        <v>0.45</v>
      </c>
      <c r="E213" s="242">
        <v>178.69181811254418</v>
      </c>
      <c r="F213" s="412">
        <v>2.1520485333154098</v>
      </c>
      <c r="G213" s="246">
        <v>261.97449999999998</v>
      </c>
      <c r="H213" s="251">
        <v>0.45</v>
      </c>
      <c r="I213" s="239">
        <v>178.69181811254418</v>
      </c>
      <c r="J213" s="240">
        <v>2.1520485333154098</v>
      </c>
      <c r="K213" s="241">
        <v>261.97449999999998</v>
      </c>
      <c r="L213" s="251"/>
      <c r="M213" s="253">
        <v>0</v>
      </c>
      <c r="N213" s="253">
        <v>0</v>
      </c>
      <c r="O213" s="253">
        <v>0</v>
      </c>
      <c r="P213" s="251"/>
      <c r="Q213" s="239">
        <v>0</v>
      </c>
      <c r="R213" s="239">
        <v>0</v>
      </c>
      <c r="S213" s="239">
        <v>0</v>
      </c>
      <c r="T213" s="251"/>
      <c r="U213" s="239">
        <v>0</v>
      </c>
      <c r="V213" s="239">
        <v>0</v>
      </c>
      <c r="W213" s="239">
        <v>0</v>
      </c>
      <c r="X213" s="251"/>
      <c r="Y213" s="253">
        <v>0</v>
      </c>
      <c r="Z213" s="253">
        <v>0</v>
      </c>
      <c r="AA213" s="253">
        <v>0</v>
      </c>
    </row>
    <row r="214" spans="1:27">
      <c r="A214" s="214"/>
      <c r="B214" s="235">
        <v>9</v>
      </c>
      <c r="C214" s="233" t="s">
        <v>4658</v>
      </c>
      <c r="D214" s="251">
        <v>0.5</v>
      </c>
      <c r="E214" s="242">
        <v>162.44710737504013</v>
      </c>
      <c r="F214" s="412">
        <v>2.1520485333154098</v>
      </c>
      <c r="G214" s="246">
        <v>289.30369999999999</v>
      </c>
      <c r="H214" s="251">
        <v>0.5</v>
      </c>
      <c r="I214" s="239">
        <v>162.44710737504013</v>
      </c>
      <c r="J214" s="240">
        <v>2.1520485333154098</v>
      </c>
      <c r="K214" s="241">
        <v>289.30369999999999</v>
      </c>
      <c r="L214" s="251"/>
      <c r="M214" s="253">
        <v>0</v>
      </c>
      <c r="N214" s="253">
        <v>0</v>
      </c>
      <c r="O214" s="253">
        <v>0</v>
      </c>
      <c r="P214" s="251"/>
      <c r="Q214" s="239">
        <v>0</v>
      </c>
      <c r="R214" s="239">
        <v>0</v>
      </c>
      <c r="S214" s="239">
        <v>0</v>
      </c>
      <c r="T214" s="251"/>
      <c r="U214" s="239">
        <v>0</v>
      </c>
      <c r="V214" s="239">
        <v>0</v>
      </c>
      <c r="W214" s="239">
        <v>0</v>
      </c>
      <c r="X214" s="251"/>
      <c r="Y214" s="253">
        <v>0</v>
      </c>
      <c r="Z214" s="253">
        <v>0</v>
      </c>
      <c r="AA214" s="253">
        <v>0</v>
      </c>
    </row>
    <row r="215" spans="1:27">
      <c r="A215" s="214"/>
      <c r="B215" s="235">
        <v>10</v>
      </c>
      <c r="C215" s="233" t="s">
        <v>4659</v>
      </c>
      <c r="D215" s="251">
        <v>0.59</v>
      </c>
      <c r="E215" s="242">
        <v>140.89037622637233</v>
      </c>
      <c r="F215" s="412">
        <v>2.1520485333154098</v>
      </c>
      <c r="G215" s="246">
        <v>338.21449999999999</v>
      </c>
      <c r="H215" s="251">
        <v>0.59</v>
      </c>
      <c r="I215" s="239">
        <v>140.89037622637233</v>
      </c>
      <c r="J215" s="240">
        <v>2.1520485333154098</v>
      </c>
      <c r="K215" s="241">
        <v>338.21449999999999</v>
      </c>
      <c r="L215" s="251"/>
      <c r="M215" s="253">
        <v>0</v>
      </c>
      <c r="N215" s="253">
        <v>0</v>
      </c>
      <c r="O215" s="253">
        <v>0</v>
      </c>
      <c r="P215" s="251"/>
      <c r="Q215" s="239">
        <v>0</v>
      </c>
      <c r="R215" s="239">
        <v>0</v>
      </c>
      <c r="S215" s="239">
        <v>0</v>
      </c>
      <c r="T215" s="251"/>
      <c r="U215" s="239">
        <v>0</v>
      </c>
      <c r="V215" s="239">
        <v>0</v>
      </c>
      <c r="W215" s="239">
        <v>0</v>
      </c>
      <c r="X215" s="251"/>
      <c r="Y215" s="253">
        <v>0</v>
      </c>
      <c r="Z215" s="253">
        <v>0</v>
      </c>
      <c r="AA215" s="253">
        <v>0</v>
      </c>
    </row>
  </sheetData>
  <mergeCells count="18">
    <mergeCell ref="B126:D127"/>
    <mergeCell ref="F140:F144"/>
    <mergeCell ref="J140:J144"/>
    <mergeCell ref="B152:D153"/>
    <mergeCell ref="F166:F170"/>
    <mergeCell ref="J166:J170"/>
    <mergeCell ref="B74:D75"/>
    <mergeCell ref="F88:F92"/>
    <mergeCell ref="J88:J92"/>
    <mergeCell ref="B100:D101"/>
    <mergeCell ref="F114:F118"/>
    <mergeCell ref="J114:J118"/>
    <mergeCell ref="B22:D23"/>
    <mergeCell ref="F36:F40"/>
    <mergeCell ref="J36:J40"/>
    <mergeCell ref="B48:D49"/>
    <mergeCell ref="F62:F66"/>
    <mergeCell ref="J62:J66"/>
  </mergeCells>
  <hyperlinks>
    <hyperlink ref="K2" r:id="rId1" location="!documentDetail;D=EERE-2008-BT-STD-0012-0128"/>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sheetPr codeName="Sheet25">
    <tabColor theme="7" tint="0.79998168889431442"/>
  </sheetPr>
  <dimension ref="A3:P129"/>
  <sheetViews>
    <sheetView workbookViewId="0">
      <selection activeCell="C61" sqref="C61"/>
    </sheetView>
  </sheetViews>
  <sheetFormatPr defaultRowHeight="12.75"/>
  <cols>
    <col min="1" max="1" width="9.140625" style="9"/>
    <col min="2" max="2" width="41" style="9" customWidth="1"/>
    <col min="3" max="16384" width="9.140625" style="9"/>
  </cols>
  <sheetData>
    <row r="3" spans="1:11">
      <c r="B3" s="52" t="s">
        <v>183</v>
      </c>
      <c r="C3" s="391" t="s">
        <v>4576</v>
      </c>
      <c r="D3" s="391" t="s">
        <v>4577</v>
      </c>
      <c r="E3" s="391" t="s">
        <v>4578</v>
      </c>
      <c r="F3" s="392"/>
      <c r="G3" s="392"/>
    </row>
    <row r="4" spans="1:11">
      <c r="B4" s="52" t="s">
        <v>4633</v>
      </c>
      <c r="C4" s="38"/>
      <c r="D4" s="38"/>
      <c r="E4" s="38"/>
      <c r="F4" s="38"/>
      <c r="G4" s="38"/>
    </row>
    <row r="5" spans="1:11">
      <c r="B5" s="52" t="s">
        <v>4634</v>
      </c>
      <c r="C5" s="38">
        <f>B12</f>
        <v>7.7963707317073174</v>
      </c>
      <c r="D5" s="38">
        <f>C5</f>
        <v>7.7963707317073174</v>
      </c>
      <c r="E5" s="38">
        <f>D5</f>
        <v>7.7963707317073174</v>
      </c>
      <c r="F5" s="38"/>
      <c r="G5" s="38"/>
    </row>
    <row r="6" spans="1:11">
      <c r="B6" s="52" t="s">
        <v>3964</v>
      </c>
      <c r="C6" s="196">
        <f>VLOOKUP(C$3,'Federal Standards'!$N$9:$P$50,2,FALSE)</f>
        <v>8.65</v>
      </c>
      <c r="D6" s="196">
        <f>VLOOKUP(D$3,'Federal Standards'!$N$9:$P$50,2,FALSE)</f>
        <v>10.17</v>
      </c>
      <c r="E6" s="196">
        <f>VLOOKUP(E$3,'Federal Standards'!$N$9:$P$50,2,FALSE)</f>
        <v>9.25</v>
      </c>
      <c r="F6" s="196"/>
      <c r="G6" s="196"/>
    </row>
    <row r="7" spans="1:11">
      <c r="B7" s="52" t="s">
        <v>3965</v>
      </c>
      <c r="C7" s="196">
        <f>VLOOKUP(C$3,'Federal Standards'!$N$9:$P$50,3,FALSE)</f>
        <v>225.7</v>
      </c>
      <c r="D7" s="196">
        <f>VLOOKUP(D$3,'Federal Standards'!$N$9:$P$50,3,FALSE)</f>
        <v>351.9</v>
      </c>
      <c r="E7" s="196">
        <f>VLOOKUP(E$3,'Federal Standards'!$N$9:$P$50,3,FALSE)</f>
        <v>136.80000000000001</v>
      </c>
      <c r="F7" s="196"/>
      <c r="G7" s="196"/>
    </row>
    <row r="8" spans="1:11">
      <c r="B8" s="52" t="s">
        <v>4605</v>
      </c>
      <c r="C8" s="44">
        <f>C5*C6+C7</f>
        <v>293.13860682926827</v>
      </c>
      <c r="D8" s="44">
        <f t="shared" ref="D8:E8" si="0">D5*D6+D7</f>
        <v>431.18909034146338</v>
      </c>
      <c r="E8" s="44">
        <f t="shared" si="0"/>
        <v>208.91642926829269</v>
      </c>
      <c r="F8" s="44"/>
      <c r="G8" s="44"/>
    </row>
    <row r="9" spans="1:11">
      <c r="B9" s="9" t="s">
        <v>4635</v>
      </c>
    </row>
    <row r="10" spans="1:11">
      <c r="B10" s="9" t="s">
        <v>4636</v>
      </c>
    </row>
    <row r="11" spans="1:11">
      <c r="B11" s="9" t="s">
        <v>4661</v>
      </c>
    </row>
    <row r="12" spans="1:11">
      <c r="B12" s="38">
        <f>SUMPRODUCT('CEC analysis'!AY45:AY47,'CEC analysis'!I45:I47)/SUM('CEC analysis'!I45:I47)</f>
        <v>7.7963707317073174</v>
      </c>
    </row>
    <row r="15" spans="1:11">
      <c r="A15" s="183" t="s">
        <v>4662</v>
      </c>
      <c r="B15" s="187"/>
      <c r="C15" s="187"/>
      <c r="D15" s="187"/>
      <c r="E15" s="187"/>
      <c r="F15" s="187"/>
      <c r="G15" s="187"/>
      <c r="H15" s="187"/>
      <c r="I15" s="187"/>
      <c r="J15" s="187"/>
      <c r="K15" s="187"/>
    </row>
    <row r="17" spans="2:14" ht="76.5" customHeight="1">
      <c r="E17" s="197" t="s">
        <v>3968</v>
      </c>
      <c r="F17" s="197" t="s">
        <v>3969</v>
      </c>
      <c r="G17" s="197" t="s">
        <v>3970</v>
      </c>
      <c r="H17" s="197" t="s">
        <v>3971</v>
      </c>
      <c r="I17" s="197" t="s">
        <v>3972</v>
      </c>
      <c r="M17" s="393" t="str">
        <f>G17</f>
        <v>installed price</v>
      </c>
      <c r="N17" s="393" t="s">
        <v>4607</v>
      </c>
    </row>
    <row r="18" spans="2:14" ht="13.5" customHeight="1">
      <c r="B18" s="198" t="s">
        <v>3976</v>
      </c>
      <c r="C18" s="198"/>
      <c r="D18" s="198"/>
      <c r="E18" s="199"/>
      <c r="F18" s="199"/>
      <c r="G18" s="199"/>
      <c r="H18" s="199"/>
      <c r="I18" s="199"/>
      <c r="J18" s="199"/>
      <c r="K18" s="199"/>
      <c r="M18" s="393"/>
      <c r="N18" s="393"/>
    </row>
    <row r="19" spans="2:14">
      <c r="B19" s="200"/>
      <c r="E19" s="201">
        <f t="shared" ref="E19:G26" si="1">AVERAGE(E103,E120)</f>
        <v>312.67447659999999</v>
      </c>
      <c r="F19" s="201">
        <f t="shared" si="1"/>
        <v>1.7990533652169569</v>
      </c>
      <c r="G19" s="201">
        <f t="shared" si="1"/>
        <v>192.0949</v>
      </c>
      <c r="H19" s="196">
        <f>LN(E19)</f>
        <v>5.7451626384909771</v>
      </c>
      <c r="I19" s="184">
        <f t="shared" ref="I19:I26" si="2">E19/N19</f>
        <v>1.0666437968783482</v>
      </c>
      <c r="M19" s="393">
        <f t="shared" ref="M19:M29" si="3">G19</f>
        <v>192.0949</v>
      </c>
      <c r="N19" s="394">
        <f>C8</f>
        <v>293.13860682926827</v>
      </c>
    </row>
    <row r="20" spans="2:14">
      <c r="B20" s="546" t="s">
        <v>3977</v>
      </c>
      <c r="C20" s="546"/>
      <c r="D20" s="546"/>
      <c r="E20" s="201">
        <f t="shared" si="1"/>
        <v>281.40702893999998</v>
      </c>
      <c r="F20" s="201">
        <f t="shared" si="1"/>
        <v>1.8584344778732069</v>
      </c>
      <c r="G20" s="201">
        <f t="shared" si="1"/>
        <v>203.24214999999998</v>
      </c>
      <c r="H20" s="196">
        <f t="shared" ref="H20:H26" si="4">LN(E20)</f>
        <v>5.6398021228331503</v>
      </c>
      <c r="I20" s="184">
        <f t="shared" si="2"/>
        <v>0.95997941719051327</v>
      </c>
      <c r="M20" s="393">
        <f t="shared" si="3"/>
        <v>203.24214999999998</v>
      </c>
      <c r="N20" s="395">
        <f>N19</f>
        <v>293.13860682926827</v>
      </c>
    </row>
    <row r="21" spans="2:14">
      <c r="B21" s="546"/>
      <c r="C21" s="546"/>
      <c r="D21" s="546"/>
      <c r="E21" s="201">
        <f t="shared" si="1"/>
        <v>265.77330511000002</v>
      </c>
      <c r="F21" s="201">
        <f t="shared" si="1"/>
        <v>1.8815618585919569</v>
      </c>
      <c r="G21" s="201">
        <f t="shared" si="1"/>
        <v>228.61320000000001</v>
      </c>
      <c r="H21" s="196">
        <f t="shared" si="4"/>
        <v>5.5826437089932019</v>
      </c>
      <c r="I21" s="184">
        <f t="shared" si="2"/>
        <v>0.90664722734659609</v>
      </c>
      <c r="M21" s="393">
        <f t="shared" si="3"/>
        <v>228.61320000000001</v>
      </c>
      <c r="N21" s="395">
        <f t="shared" ref="N21:N26" si="5">N20</f>
        <v>293.13860682926827</v>
      </c>
    </row>
    <row r="22" spans="2:14">
      <c r="B22" s="204" t="s">
        <v>3978</v>
      </c>
      <c r="C22" s="205">
        <f>SLOPE(G20:G26,H20:H26)</f>
        <v>-398.21334169630495</v>
      </c>
      <c r="E22" s="201">
        <f t="shared" si="1"/>
        <v>250.13958127999996</v>
      </c>
      <c r="F22" s="201">
        <f t="shared" si="1"/>
        <v>1.8815618585919569</v>
      </c>
      <c r="G22" s="201">
        <f t="shared" si="1"/>
        <v>257.65325000000007</v>
      </c>
      <c r="H22" s="196">
        <f t="shared" si="4"/>
        <v>5.5220190871767674</v>
      </c>
      <c r="I22" s="184">
        <f t="shared" si="2"/>
        <v>0.85331503750267845</v>
      </c>
      <c r="M22" s="393">
        <f t="shared" si="3"/>
        <v>257.65325000000007</v>
      </c>
      <c r="N22" s="395">
        <f t="shared" si="5"/>
        <v>293.13860682926827</v>
      </c>
    </row>
    <row r="23" spans="2:14">
      <c r="B23" s="204" t="s">
        <v>3979</v>
      </c>
      <c r="C23" s="205">
        <f>INTERCEPT(G20:G26,H20:H26)</f>
        <v>2449.9858722145755</v>
      </c>
      <c r="E23" s="201">
        <f t="shared" si="1"/>
        <v>234.50585744999998</v>
      </c>
      <c r="F23" s="201">
        <f t="shared" si="1"/>
        <v>1.8815618585919569</v>
      </c>
      <c r="G23" s="201">
        <f t="shared" si="1"/>
        <v>275.78179999999998</v>
      </c>
      <c r="H23" s="196">
        <f t="shared" si="4"/>
        <v>5.4574805660391963</v>
      </c>
      <c r="I23" s="184">
        <f t="shared" si="2"/>
        <v>0.79998284765876104</v>
      </c>
      <c r="M23" s="393">
        <f t="shared" si="3"/>
        <v>275.78179999999998</v>
      </c>
      <c r="N23" s="395">
        <f t="shared" si="5"/>
        <v>293.13860682926827</v>
      </c>
    </row>
    <row r="24" spans="2:14">
      <c r="B24" s="200"/>
      <c r="E24" s="201">
        <f t="shared" si="1"/>
        <v>218.87213361999997</v>
      </c>
      <c r="F24" s="201">
        <f t="shared" si="1"/>
        <v>2.4991254302169565</v>
      </c>
      <c r="G24" s="201">
        <f t="shared" si="1"/>
        <v>298.2527</v>
      </c>
      <c r="H24" s="196">
        <f t="shared" si="4"/>
        <v>5.3884876945522446</v>
      </c>
      <c r="I24" s="184">
        <f t="shared" si="2"/>
        <v>0.74665065781484363</v>
      </c>
      <c r="M24" s="393">
        <f t="shared" si="3"/>
        <v>298.2527</v>
      </c>
      <c r="N24" s="395">
        <f t="shared" si="5"/>
        <v>293.13860682926827</v>
      </c>
    </row>
    <row r="25" spans="2:14">
      <c r="B25" s="200"/>
      <c r="E25" s="201">
        <f t="shared" si="1"/>
        <v>203.23840978999996</v>
      </c>
      <c r="F25" s="201">
        <f t="shared" si="1"/>
        <v>2.4991254302169565</v>
      </c>
      <c r="G25" s="201">
        <f t="shared" si="1"/>
        <v>321.71859999999998</v>
      </c>
      <c r="H25" s="196">
        <f t="shared" si="4"/>
        <v>5.314379722398523</v>
      </c>
      <c r="I25" s="184">
        <f t="shared" si="2"/>
        <v>0.69331846797092622</v>
      </c>
      <c r="K25" s="184"/>
      <c r="M25" s="393">
        <f t="shared" si="3"/>
        <v>321.71859999999998</v>
      </c>
      <c r="N25" s="395">
        <f t="shared" si="5"/>
        <v>293.13860682926827</v>
      </c>
    </row>
    <row r="26" spans="2:14">
      <c r="B26" s="200"/>
      <c r="E26" s="201">
        <f t="shared" si="1"/>
        <v>187.00669602350251</v>
      </c>
      <c r="F26" s="201">
        <f t="shared" si="1"/>
        <v>2.4991254302169565</v>
      </c>
      <c r="G26" s="201">
        <f t="shared" si="1"/>
        <v>378.39240000000001</v>
      </c>
      <c r="H26" s="196">
        <f t="shared" si="4"/>
        <v>5.231144423825822</v>
      </c>
      <c r="I26" s="184">
        <f t="shared" si="2"/>
        <v>0.63794632186547917</v>
      </c>
      <c r="K26" s="184"/>
      <c r="M26" s="393">
        <f t="shared" si="3"/>
        <v>378.39240000000001</v>
      </c>
      <c r="N26" s="395">
        <f t="shared" si="5"/>
        <v>293.13860682926827</v>
      </c>
    </row>
    <row r="27" spans="2:14">
      <c r="B27" s="200"/>
      <c r="E27" s="201"/>
      <c r="F27" s="201"/>
      <c r="G27" s="201"/>
      <c r="H27" s="196"/>
      <c r="I27" s="184"/>
      <c r="K27" s="184"/>
      <c r="M27" s="393">
        <f t="shared" si="3"/>
        <v>0</v>
      </c>
      <c r="N27" s="395"/>
    </row>
    <row r="28" spans="2:14">
      <c r="B28" s="200"/>
      <c r="E28" s="201"/>
      <c r="F28" s="201"/>
      <c r="G28" s="201"/>
      <c r="H28" s="196"/>
      <c r="I28" s="184"/>
      <c r="K28" s="184"/>
      <c r="M28" s="393">
        <f t="shared" si="3"/>
        <v>0</v>
      </c>
      <c r="N28" s="395"/>
    </row>
    <row r="29" spans="2:14">
      <c r="B29" s="200"/>
      <c r="E29" s="201"/>
      <c r="F29" s="201"/>
      <c r="G29" s="201"/>
      <c r="H29" s="196"/>
      <c r="I29" s="184"/>
      <c r="K29" s="184"/>
      <c r="M29" s="393">
        <f t="shared" si="3"/>
        <v>0</v>
      </c>
      <c r="N29" s="395"/>
    </row>
    <row r="30" spans="2:14">
      <c r="B30" s="200"/>
      <c r="E30" s="201"/>
      <c r="F30" s="201"/>
      <c r="G30" s="201"/>
      <c r="H30" s="196"/>
      <c r="I30" s="184"/>
      <c r="K30" s="184"/>
      <c r="M30" s="393"/>
      <c r="N30" s="395"/>
    </row>
    <row r="31" spans="2:14">
      <c r="B31" s="200"/>
      <c r="E31" s="201"/>
      <c r="F31" s="201"/>
      <c r="G31" s="201"/>
      <c r="H31" s="196"/>
      <c r="I31" s="184"/>
      <c r="J31" s="184"/>
      <c r="K31" s="184"/>
    </row>
    <row r="32" spans="2:14">
      <c r="B32" s="198" t="s">
        <v>3980</v>
      </c>
      <c r="C32" s="198"/>
      <c r="D32" s="198"/>
      <c r="E32" s="199"/>
      <c r="F32" s="199"/>
      <c r="G32" s="199"/>
      <c r="H32" s="199"/>
      <c r="I32" s="199"/>
      <c r="J32" s="199"/>
      <c r="K32" s="199"/>
    </row>
    <row r="33" spans="1:16" ht="66" customHeight="1">
      <c r="C33" s="197" t="s">
        <v>3981</v>
      </c>
      <c r="D33" s="197" t="s">
        <v>3982</v>
      </c>
      <c r="E33" s="197" t="str">
        <f>E17</f>
        <v>UEC</v>
      </c>
      <c r="F33" s="197" t="str">
        <f t="shared" ref="F33:I33" si="6">F17</f>
        <v>repair cost</v>
      </c>
      <c r="G33" s="197" t="str">
        <f t="shared" si="6"/>
        <v>installed price</v>
      </c>
      <c r="H33" s="197" t="str">
        <f t="shared" si="6"/>
        <v>ln(UEC)</v>
      </c>
      <c r="I33" s="197" t="str">
        <f t="shared" si="6"/>
        <v>UEC as a percent of federal standard</v>
      </c>
      <c r="J33" s="197" t="s">
        <v>3983</v>
      </c>
      <c r="K33" s="197" t="s">
        <v>3984</v>
      </c>
      <c r="M33" s="396" t="s">
        <v>4608</v>
      </c>
      <c r="N33" s="396" t="s">
        <v>4609</v>
      </c>
      <c r="O33" s="396" t="s">
        <v>4610</v>
      </c>
      <c r="P33" s="396" t="s">
        <v>3983</v>
      </c>
    </row>
    <row r="34" spans="1:16" ht="25.5" customHeight="1">
      <c r="B34" s="206" t="s">
        <v>3985</v>
      </c>
      <c r="C34" s="207">
        <f>'CEC analysis'!K45</f>
        <v>8.3101992879081182E-3</v>
      </c>
      <c r="D34" s="9">
        <f>'CEC analysis'!D45</f>
        <v>3</v>
      </c>
      <c r="E34" s="44">
        <f>IF(D34=0,"N/A",I34*M34)</f>
        <v>290.70256658753732</v>
      </c>
      <c r="F34" s="547" t="s">
        <v>3986</v>
      </c>
      <c r="G34" s="203">
        <f>IF(D34=0,"N/A",H34*N34+O34)</f>
        <v>191.20008064132162</v>
      </c>
      <c r="H34" s="196">
        <f>IF(D34=0,"N/A",LN(E34))</f>
        <v>5.6723006365163515</v>
      </c>
      <c r="I34" s="207">
        <f>IF(D34=0,"N/A",1-C34)</f>
        <v>0.9916898007120919</v>
      </c>
      <c r="J34" s="548">
        <f>SUMPRODUCT(G34:G38,D34:D38)/SUM(D34:D38)</f>
        <v>234.18371811846069</v>
      </c>
      <c r="K34" s="202">
        <f>IF(D34=0,"N/A",G34-P34)</f>
        <v>-42.983637477139069</v>
      </c>
      <c r="M34" s="397">
        <f>N19</f>
        <v>293.13860682926827</v>
      </c>
      <c r="N34" s="398">
        <f>C22</f>
        <v>-398.21334169630495</v>
      </c>
      <c r="O34" s="398">
        <f>C23</f>
        <v>2449.9858722145755</v>
      </c>
      <c r="P34" s="399">
        <f>J34</f>
        <v>234.18371811846069</v>
      </c>
    </row>
    <row r="35" spans="1:16">
      <c r="B35" s="206" t="s">
        <v>3987</v>
      </c>
      <c r="C35" s="207">
        <f>'CEC analysis'!L45</f>
        <v>0.11450439907067454</v>
      </c>
      <c r="D35" s="9">
        <f>'CEC analysis'!E45</f>
        <v>8</v>
      </c>
      <c r="E35" s="44">
        <f>IF(D35=0,"N/A",I35*M35)</f>
        <v>259.57294680986814</v>
      </c>
      <c r="F35" s="547"/>
      <c r="G35" s="203">
        <f>IF(D35=0,"N/A",H35*N35+O35)</f>
        <v>236.302865866498</v>
      </c>
      <c r="H35" s="196">
        <f t="shared" ref="H35:H38" si="7">IF(D35=0,"N/A",LN(E35))</f>
        <v>5.5590377683436074</v>
      </c>
      <c r="I35" s="207">
        <f t="shared" ref="I35:I38" si="8">IF(D35=0,"N/A",1-C35)</f>
        <v>0.88549560092932544</v>
      </c>
      <c r="J35" s="548"/>
      <c r="K35" s="202">
        <f>IF(D35=0,"N/A",G35-P35)</f>
        <v>2.1191477480373067</v>
      </c>
      <c r="M35" s="395">
        <f>M34</f>
        <v>293.13860682926827</v>
      </c>
      <c r="N35" s="395">
        <f t="shared" ref="N35:P38" si="9">N34</f>
        <v>-398.21334169630495</v>
      </c>
      <c r="O35" s="395">
        <f t="shared" si="9"/>
        <v>2449.9858722145755</v>
      </c>
      <c r="P35" s="399">
        <f>P34</f>
        <v>234.18371811846069</v>
      </c>
    </row>
    <row r="36" spans="1:16">
      <c r="B36" s="206" t="s">
        <v>3988</v>
      </c>
      <c r="C36" s="207">
        <f>'CEC analysis'!M45</f>
        <v>0.16184537195729934</v>
      </c>
      <c r="D36" s="9">
        <f>'CEC analysis'!F45</f>
        <v>2</v>
      </c>
      <c r="E36" s="44">
        <f>IF(D36=0,"N/A",I36*M36)</f>
        <v>245.69547997194081</v>
      </c>
      <c r="F36" s="547"/>
      <c r="G36" s="203">
        <f>IF(D36=0,"N/A",H36*N36+O36)</f>
        <v>258.18265233785723</v>
      </c>
      <c r="H36" s="196">
        <f t="shared" si="7"/>
        <v>5.5040928828253177</v>
      </c>
      <c r="I36" s="207">
        <f t="shared" si="8"/>
        <v>0.83815462804270069</v>
      </c>
      <c r="J36" s="548"/>
      <c r="K36" s="202">
        <f>IF(D36=0,"N/A",G36-P36)</f>
        <v>23.998934219396546</v>
      </c>
      <c r="M36" s="395">
        <f t="shared" ref="M36:M38" si="10">M35</f>
        <v>293.13860682926827</v>
      </c>
      <c r="N36" s="395">
        <f t="shared" si="9"/>
        <v>-398.21334169630495</v>
      </c>
      <c r="O36" s="395">
        <f t="shared" si="9"/>
        <v>2449.9858722145755</v>
      </c>
      <c r="P36" s="399">
        <f t="shared" si="9"/>
        <v>234.18371811846069</v>
      </c>
    </row>
    <row r="37" spans="1:16">
      <c r="B37" s="206" t="s">
        <v>3989</v>
      </c>
      <c r="C37" s="207" t="str">
        <f>'CEC analysis'!N45</f>
        <v/>
      </c>
      <c r="D37" s="9">
        <f>'CEC analysis'!G45</f>
        <v>0</v>
      </c>
      <c r="E37" s="44" t="str">
        <f>IF(D37=0,"N/A",I37*M37)</f>
        <v>N/A</v>
      </c>
      <c r="F37" s="547"/>
      <c r="G37" s="203" t="str">
        <f>IF(D37=0,"N/A",H37*N37+O37)</f>
        <v>N/A</v>
      </c>
      <c r="H37" s="196" t="str">
        <f t="shared" si="7"/>
        <v>N/A</v>
      </c>
      <c r="I37" s="207" t="str">
        <f t="shared" si="8"/>
        <v>N/A</v>
      </c>
      <c r="J37" s="548"/>
      <c r="K37" s="202" t="str">
        <f>IF(D37=0,"N/A",G37-P37)</f>
        <v>N/A</v>
      </c>
      <c r="M37" s="395">
        <f t="shared" si="10"/>
        <v>293.13860682926827</v>
      </c>
      <c r="N37" s="395">
        <f t="shared" si="9"/>
        <v>-398.21334169630495</v>
      </c>
      <c r="O37" s="395">
        <f t="shared" si="9"/>
        <v>2449.9858722145755</v>
      </c>
      <c r="P37" s="399">
        <f t="shared" si="9"/>
        <v>234.18371811846069</v>
      </c>
    </row>
    <row r="38" spans="1:16">
      <c r="B38" s="206" t="s">
        <v>3990</v>
      </c>
      <c r="C38" s="207">
        <f>'CEC analysis'!O45</f>
        <v>0.12397259364799951</v>
      </c>
      <c r="D38" s="9">
        <f>'CEC analysis'!H45</f>
        <v>10</v>
      </c>
      <c r="E38" s="44">
        <f>IF(D38=0,"N/A",I38*M38)</f>
        <v>256.79745344228269</v>
      </c>
      <c r="F38" s="547"/>
      <c r="G38" s="203">
        <f>IF(D38=0,"N/A",H38*N38+O38)</f>
        <v>240.58370431929325</v>
      </c>
      <c r="H38" s="196">
        <f t="shared" si="7"/>
        <v>5.5482876552646232</v>
      </c>
      <c r="I38" s="207">
        <f t="shared" si="8"/>
        <v>0.87602740635200049</v>
      </c>
      <c r="J38" s="548"/>
      <c r="K38" s="202">
        <f>IF(D38=0,"N/A",G38-P38)</f>
        <v>6.3999862008325579</v>
      </c>
      <c r="M38" s="395">
        <f t="shared" si="10"/>
        <v>293.13860682926827</v>
      </c>
      <c r="N38" s="395">
        <f t="shared" si="9"/>
        <v>-398.21334169630495</v>
      </c>
      <c r="O38" s="395">
        <f t="shared" si="9"/>
        <v>2449.9858722145755</v>
      </c>
      <c r="P38" s="399">
        <f t="shared" si="9"/>
        <v>234.18371811846069</v>
      </c>
    </row>
    <row r="39" spans="1:16">
      <c r="B39" s="209" t="s">
        <v>3991</v>
      </c>
      <c r="E39" s="44"/>
      <c r="G39" s="200"/>
      <c r="H39" s="196"/>
      <c r="I39" s="207"/>
      <c r="J39" s="207"/>
    </row>
    <row r="41" spans="1:16">
      <c r="A41" s="183" t="s">
        <v>4663</v>
      </c>
      <c r="B41" s="187"/>
      <c r="C41" s="187"/>
      <c r="D41" s="187"/>
      <c r="E41" s="187"/>
      <c r="F41" s="187"/>
      <c r="G41" s="187"/>
      <c r="H41" s="187"/>
      <c r="I41" s="187"/>
      <c r="J41" s="187"/>
      <c r="K41" s="187"/>
    </row>
    <row r="43" spans="1:16" ht="76.5" customHeight="1">
      <c r="E43" s="197" t="s">
        <v>3968</v>
      </c>
      <c r="F43" s="197" t="s">
        <v>3969</v>
      </c>
      <c r="G43" s="197" t="s">
        <v>3970</v>
      </c>
      <c r="H43" s="197" t="s">
        <v>3971</v>
      </c>
      <c r="I43" s="197" t="s">
        <v>3972</v>
      </c>
      <c r="M43" s="393" t="str">
        <f>G43</f>
        <v>installed price</v>
      </c>
      <c r="N43" s="393" t="s">
        <v>4607</v>
      </c>
    </row>
    <row r="44" spans="1:16" ht="13.5" customHeight="1">
      <c r="B44" s="198" t="s">
        <v>3976</v>
      </c>
      <c r="C44" s="198"/>
      <c r="D44" s="198"/>
      <c r="E44" s="199"/>
      <c r="F44" s="199"/>
      <c r="G44" s="199"/>
      <c r="H44" s="199"/>
      <c r="I44" s="199"/>
      <c r="J44" s="199"/>
      <c r="K44" s="199"/>
      <c r="M44" s="393"/>
      <c r="N44" s="393"/>
    </row>
    <row r="45" spans="1:16">
      <c r="B45" s="200"/>
      <c r="E45" s="201">
        <f>AVERAGE(I103,I120)</f>
        <v>312.67447659999999</v>
      </c>
      <c r="F45" s="201">
        <f t="shared" ref="F45:G52" si="11">AVERAGE(J103,J120)</f>
        <v>1.7990533652169569</v>
      </c>
      <c r="G45" s="201">
        <f t="shared" si="11"/>
        <v>192.0949</v>
      </c>
      <c r="H45" s="196">
        <f>LN(E45)</f>
        <v>5.7451626384909771</v>
      </c>
      <c r="I45" s="184">
        <f t="shared" ref="I45:I52" si="12">E45/N45</f>
        <v>0.72514468386106345</v>
      </c>
      <c r="M45" s="393">
        <f t="shared" ref="M45:M55" si="13">G45</f>
        <v>192.0949</v>
      </c>
      <c r="N45" s="394">
        <f>D8</f>
        <v>431.18909034146338</v>
      </c>
    </row>
    <row r="46" spans="1:16">
      <c r="B46" s="546" t="s">
        <v>3977</v>
      </c>
      <c r="C46" s="546"/>
      <c r="D46" s="546"/>
      <c r="E46" s="201">
        <f t="shared" ref="E46:E52" si="14">AVERAGE(I104,I121)</f>
        <v>281.40702893999998</v>
      </c>
      <c r="F46" s="201">
        <f t="shared" si="11"/>
        <v>1.8584344778732069</v>
      </c>
      <c r="G46" s="201">
        <f t="shared" si="11"/>
        <v>203.24214999999998</v>
      </c>
      <c r="H46" s="196">
        <f t="shared" ref="H46:H52" si="15">LN(E46)</f>
        <v>5.6398021228331503</v>
      </c>
      <c r="I46" s="184">
        <f t="shared" si="12"/>
        <v>0.65263021547495703</v>
      </c>
      <c r="M46" s="393">
        <f t="shared" si="13"/>
        <v>203.24214999999998</v>
      </c>
      <c r="N46" s="395">
        <f>N45</f>
        <v>431.18909034146338</v>
      </c>
    </row>
    <row r="47" spans="1:16">
      <c r="B47" s="546"/>
      <c r="C47" s="546"/>
      <c r="D47" s="546"/>
      <c r="E47" s="201">
        <f t="shared" si="14"/>
        <v>265.77330511000002</v>
      </c>
      <c r="F47" s="201">
        <f t="shared" si="11"/>
        <v>1.8815618585919569</v>
      </c>
      <c r="G47" s="201">
        <f t="shared" si="11"/>
        <v>228.61320000000001</v>
      </c>
      <c r="H47" s="196">
        <f t="shared" si="15"/>
        <v>5.5826437089932019</v>
      </c>
      <c r="I47" s="184">
        <f t="shared" si="12"/>
        <v>0.61637298128190399</v>
      </c>
      <c r="M47" s="393">
        <f t="shared" si="13"/>
        <v>228.61320000000001</v>
      </c>
      <c r="N47" s="395">
        <f t="shared" ref="N47:N55" si="16">N46</f>
        <v>431.18909034146338</v>
      </c>
    </row>
    <row r="48" spans="1:16">
      <c r="B48" s="204" t="s">
        <v>3978</v>
      </c>
      <c r="C48" s="205">
        <f>SLOPE(G46:G52,H46:H52)</f>
        <v>-398.21334169630495</v>
      </c>
      <c r="E48" s="201">
        <f t="shared" si="14"/>
        <v>250.13958127999996</v>
      </c>
      <c r="F48" s="201">
        <f t="shared" si="11"/>
        <v>1.8815618585919569</v>
      </c>
      <c r="G48" s="201">
        <f t="shared" si="11"/>
        <v>257.65325000000007</v>
      </c>
      <c r="H48" s="196">
        <f t="shared" si="15"/>
        <v>5.5220190871767674</v>
      </c>
      <c r="I48" s="184">
        <f t="shared" si="12"/>
        <v>0.58011574708885072</v>
      </c>
      <c r="M48" s="393">
        <f t="shared" si="13"/>
        <v>257.65325000000007</v>
      </c>
      <c r="N48" s="395">
        <f t="shared" si="16"/>
        <v>431.18909034146338</v>
      </c>
    </row>
    <row r="49" spans="2:16">
      <c r="B49" s="204" t="s">
        <v>3979</v>
      </c>
      <c r="C49" s="205">
        <f>INTERCEPT(G46:G52,H46:H52)</f>
        <v>2449.9858722145755</v>
      </c>
      <c r="E49" s="201">
        <f t="shared" si="14"/>
        <v>234.50585744999998</v>
      </c>
      <c r="F49" s="201">
        <f t="shared" si="11"/>
        <v>1.8815618585919569</v>
      </c>
      <c r="G49" s="201">
        <f t="shared" si="11"/>
        <v>275.78179999999998</v>
      </c>
      <c r="H49" s="196">
        <f t="shared" si="15"/>
        <v>5.4574805660391963</v>
      </c>
      <c r="I49" s="184">
        <f t="shared" si="12"/>
        <v>0.54385851289579756</v>
      </c>
      <c r="M49" s="393">
        <f t="shared" si="13"/>
        <v>275.78179999999998</v>
      </c>
      <c r="N49" s="395">
        <f t="shared" si="16"/>
        <v>431.18909034146338</v>
      </c>
    </row>
    <row r="50" spans="2:16">
      <c r="B50" s="200"/>
      <c r="E50" s="201">
        <f t="shared" si="14"/>
        <v>218.87213361999997</v>
      </c>
      <c r="F50" s="201">
        <f t="shared" si="11"/>
        <v>2.4991254302169565</v>
      </c>
      <c r="G50" s="201">
        <f t="shared" si="11"/>
        <v>298.2527</v>
      </c>
      <c r="H50" s="196">
        <f t="shared" si="15"/>
        <v>5.3884876945522446</v>
      </c>
      <c r="I50" s="184">
        <f t="shared" si="12"/>
        <v>0.50760127870274441</v>
      </c>
      <c r="M50" s="393">
        <f t="shared" si="13"/>
        <v>298.2527</v>
      </c>
      <c r="N50" s="395">
        <f t="shared" si="16"/>
        <v>431.18909034146338</v>
      </c>
    </row>
    <row r="51" spans="2:16">
      <c r="B51" s="200"/>
      <c r="E51" s="201">
        <f t="shared" si="14"/>
        <v>203.23840978999996</v>
      </c>
      <c r="F51" s="201">
        <f t="shared" si="11"/>
        <v>2.4991254302169565</v>
      </c>
      <c r="G51" s="201">
        <f t="shared" si="11"/>
        <v>321.71859999999998</v>
      </c>
      <c r="H51" s="196">
        <f t="shared" si="15"/>
        <v>5.314379722398523</v>
      </c>
      <c r="I51" s="184">
        <f t="shared" si="12"/>
        <v>0.47134404450969114</v>
      </c>
      <c r="K51" s="184"/>
      <c r="M51" s="393">
        <f t="shared" si="13"/>
        <v>321.71859999999998</v>
      </c>
      <c r="N51" s="395">
        <f t="shared" si="16"/>
        <v>431.18909034146338</v>
      </c>
    </row>
    <row r="52" spans="2:16">
      <c r="B52" s="200"/>
      <c r="E52" s="201">
        <f t="shared" si="14"/>
        <v>187.00669602350251</v>
      </c>
      <c r="F52" s="201">
        <f t="shared" si="11"/>
        <v>2.4991254302169565</v>
      </c>
      <c r="G52" s="201">
        <f t="shared" si="11"/>
        <v>378.39240000000001</v>
      </c>
      <c r="H52" s="196">
        <f t="shared" si="15"/>
        <v>5.231144423825822</v>
      </c>
      <c r="I52" s="184">
        <f t="shared" si="12"/>
        <v>0.4336999711087538</v>
      </c>
      <c r="K52" s="184"/>
      <c r="M52" s="393">
        <f t="shared" si="13"/>
        <v>378.39240000000001</v>
      </c>
      <c r="N52" s="395">
        <f t="shared" si="16"/>
        <v>431.18909034146338</v>
      </c>
    </row>
    <row r="53" spans="2:16">
      <c r="B53" s="200"/>
      <c r="E53" s="201"/>
      <c r="F53" s="201"/>
      <c r="G53" s="201"/>
      <c r="H53" s="196"/>
      <c r="I53" s="184"/>
      <c r="K53" s="184"/>
      <c r="M53" s="393">
        <f t="shared" si="13"/>
        <v>0</v>
      </c>
      <c r="N53" s="395">
        <f t="shared" si="16"/>
        <v>431.18909034146338</v>
      </c>
    </row>
    <row r="54" spans="2:16">
      <c r="B54" s="200"/>
      <c r="E54" s="201"/>
      <c r="F54" s="201"/>
      <c r="G54" s="201"/>
      <c r="H54" s="196"/>
      <c r="I54" s="184"/>
      <c r="K54" s="184"/>
      <c r="M54" s="393">
        <f t="shared" si="13"/>
        <v>0</v>
      </c>
      <c r="N54" s="395">
        <f t="shared" si="16"/>
        <v>431.18909034146338</v>
      </c>
    </row>
    <row r="55" spans="2:16">
      <c r="B55" s="200"/>
      <c r="E55" s="201"/>
      <c r="F55" s="201"/>
      <c r="G55" s="201"/>
      <c r="H55" s="196"/>
      <c r="I55" s="184"/>
      <c r="K55" s="184"/>
      <c r="M55" s="393">
        <f t="shared" si="13"/>
        <v>0</v>
      </c>
      <c r="N55" s="395">
        <f t="shared" si="16"/>
        <v>431.18909034146338</v>
      </c>
    </row>
    <row r="56" spans="2:16">
      <c r="B56" s="200"/>
      <c r="E56" s="201"/>
      <c r="F56" s="201"/>
      <c r="G56" s="201"/>
      <c r="H56" s="196"/>
      <c r="I56" s="184"/>
      <c r="K56" s="184"/>
      <c r="M56" s="393"/>
      <c r="N56" s="395"/>
    </row>
    <row r="57" spans="2:16">
      <c r="B57" s="200"/>
      <c r="E57" s="201"/>
      <c r="F57" s="201"/>
      <c r="G57" s="201"/>
      <c r="H57" s="196"/>
      <c r="I57" s="184"/>
      <c r="J57" s="184"/>
      <c r="K57" s="184"/>
    </row>
    <row r="58" spans="2:16">
      <c r="B58" s="198" t="s">
        <v>3980</v>
      </c>
      <c r="C58" s="198"/>
      <c r="D58" s="198"/>
      <c r="E58" s="199"/>
      <c r="F58" s="199"/>
      <c r="G58" s="199"/>
      <c r="H58" s="199"/>
      <c r="I58" s="199"/>
      <c r="J58" s="199"/>
      <c r="K58" s="199"/>
    </row>
    <row r="59" spans="2:16" ht="66" customHeight="1">
      <c r="C59" s="197" t="s">
        <v>3981</v>
      </c>
      <c r="D59" s="197" t="s">
        <v>3982</v>
      </c>
      <c r="E59" s="197" t="str">
        <f>E43</f>
        <v>UEC</v>
      </c>
      <c r="F59" s="197" t="str">
        <f t="shared" ref="F59:I59" si="17">F43</f>
        <v>repair cost</v>
      </c>
      <c r="G59" s="197" t="str">
        <f t="shared" si="17"/>
        <v>installed price</v>
      </c>
      <c r="H59" s="197" t="str">
        <f t="shared" si="17"/>
        <v>ln(UEC)</v>
      </c>
      <c r="I59" s="197" t="str">
        <f t="shared" si="17"/>
        <v>UEC as a percent of federal standard</v>
      </c>
      <c r="J59" s="197" t="s">
        <v>3983</v>
      </c>
      <c r="K59" s="197" t="s">
        <v>3984</v>
      </c>
      <c r="M59" s="396" t="s">
        <v>4608</v>
      </c>
      <c r="N59" s="396" t="s">
        <v>4609</v>
      </c>
      <c r="O59" s="396" t="s">
        <v>4610</v>
      </c>
      <c r="P59" s="396" t="s">
        <v>3983</v>
      </c>
    </row>
    <row r="60" spans="2:16" ht="25.5" customHeight="1">
      <c r="B60" s="206" t="s">
        <v>3985</v>
      </c>
      <c r="C60" s="207">
        <f>'CEC analysis'!K46</f>
        <v>1.8793805405443075E-2</v>
      </c>
      <c r="D60" s="9">
        <f>'CEC analysis'!D46</f>
        <v>1</v>
      </c>
      <c r="E60" s="44">
        <f>IF(D60=0,"N/A",I60*M60)</f>
        <v>423.08540648463594</v>
      </c>
      <c r="F60" s="547" t="s">
        <v>3986</v>
      </c>
      <c r="G60" s="203">
        <f>IF(D60=0,"N/A",H60*N60+O60)</f>
        <v>41.761194535883078</v>
      </c>
      <c r="H60" s="196">
        <f>IF(D60=0,"N/A",LN(E60))</f>
        <v>6.0475740652489511</v>
      </c>
      <c r="I60" s="207">
        <f>IF(D60=0,"N/A",1-C60)</f>
        <v>0.98120619459455694</v>
      </c>
      <c r="J60" s="548">
        <f>SUMPRODUCT(G60:G64,D60:D64)/SUM(D60:D64)</f>
        <v>91.776757421880475</v>
      </c>
      <c r="K60" s="202">
        <f>IF(D60=0,"N/A",G60-P60)</f>
        <v>-50.015562885997397</v>
      </c>
      <c r="M60" s="397">
        <f>N45</f>
        <v>431.18909034146338</v>
      </c>
      <c r="N60" s="398">
        <f>C48</f>
        <v>-398.21334169630495</v>
      </c>
      <c r="O60" s="398">
        <f>C49</f>
        <v>2449.9858722145755</v>
      </c>
      <c r="P60" s="399">
        <f>J60</f>
        <v>91.776757421880475</v>
      </c>
    </row>
    <row r="61" spans="2:16">
      <c r="B61" s="206" t="s">
        <v>3987</v>
      </c>
      <c r="C61" s="207">
        <f>'CEC analysis'!L46</f>
        <v>0.10555841776861864</v>
      </c>
      <c r="D61" s="9">
        <f>'CEC analysis'!E46</f>
        <v>2</v>
      </c>
      <c r="E61" s="44">
        <f>IF(D61=0,"N/A",I61*M61)</f>
        <v>385.67345220592853</v>
      </c>
      <c r="F61" s="547"/>
      <c r="G61" s="203">
        <f>IF(D61=0,"N/A",H61*N61+O61)</f>
        <v>78.62899331884455</v>
      </c>
      <c r="H61" s="196">
        <f t="shared" ref="H61:H64" si="18">IF(D61=0,"N/A",LN(E61))</f>
        <v>5.954991032681753</v>
      </c>
      <c r="I61" s="207">
        <f t="shared" ref="I61:I64" si="19">IF(D61=0,"N/A",1-C61)</f>
        <v>0.89444158223138137</v>
      </c>
      <c r="J61" s="548"/>
      <c r="K61" s="202">
        <f>IF(D61=0,"N/A",G61-P61)</f>
        <v>-13.147764103035925</v>
      </c>
      <c r="M61" s="395">
        <f>M60</f>
        <v>431.18909034146338</v>
      </c>
      <c r="N61" s="395">
        <f t="shared" ref="N61:P64" si="20">N60</f>
        <v>-398.21334169630495</v>
      </c>
      <c r="O61" s="395">
        <f t="shared" si="20"/>
        <v>2449.9858722145755</v>
      </c>
      <c r="P61" s="399">
        <f>P60</f>
        <v>91.776757421880475</v>
      </c>
    </row>
    <row r="62" spans="2:16">
      <c r="B62" s="206" t="s">
        <v>3988</v>
      </c>
      <c r="C62" s="207">
        <f>'CEC analysis'!M46</f>
        <v>0.18958224180191521</v>
      </c>
      <c r="D62" s="9">
        <f>'CEC analysis'!F46</f>
        <v>2</v>
      </c>
      <c r="E62" s="44">
        <f>IF(D62=0,"N/A",I62*M62)</f>
        <v>349.44329595400023</v>
      </c>
      <c r="F62" s="547"/>
      <c r="G62" s="203">
        <f>IF(D62=0,"N/A",H62*N62+O62)</f>
        <v>117.91263096681951</v>
      </c>
      <c r="H62" s="196">
        <f t="shared" si="18"/>
        <v>5.856341305174797</v>
      </c>
      <c r="I62" s="207">
        <f t="shared" si="19"/>
        <v>0.81041775819808481</v>
      </c>
      <c r="J62" s="548"/>
      <c r="K62" s="202">
        <f>IF(D62=0,"N/A",G62-P62)</f>
        <v>26.135873544939031</v>
      </c>
      <c r="M62" s="395">
        <f t="shared" ref="M62:M64" si="21">M61</f>
        <v>431.18909034146338</v>
      </c>
      <c r="N62" s="395">
        <f t="shared" si="20"/>
        <v>-398.21334169630495</v>
      </c>
      <c r="O62" s="395">
        <f t="shared" si="20"/>
        <v>2449.9858722145755</v>
      </c>
      <c r="P62" s="399">
        <f t="shared" si="20"/>
        <v>91.776757421880475</v>
      </c>
    </row>
    <row r="63" spans="2:16">
      <c r="B63" s="206" t="s">
        <v>3989</v>
      </c>
      <c r="C63" s="207" t="str">
        <f>'CEC analysis'!N46</f>
        <v/>
      </c>
      <c r="D63" s="9">
        <f>'CEC analysis'!G46</f>
        <v>0</v>
      </c>
      <c r="E63" s="44" t="str">
        <f>IF(D63=0,"N/A",I63*M63)</f>
        <v>N/A</v>
      </c>
      <c r="F63" s="547"/>
      <c r="G63" s="203" t="str">
        <f>IF(D63=0,"N/A",H63*N63+O63)</f>
        <v>N/A</v>
      </c>
      <c r="H63" s="196" t="str">
        <f t="shared" si="18"/>
        <v>N/A</v>
      </c>
      <c r="I63" s="207" t="str">
        <f t="shared" si="19"/>
        <v>N/A</v>
      </c>
      <c r="J63" s="548"/>
      <c r="K63" s="202" t="str">
        <f>IF(D63=0,"N/A",G63-P63)</f>
        <v>N/A</v>
      </c>
      <c r="M63" s="395">
        <f t="shared" si="21"/>
        <v>431.18909034146338</v>
      </c>
      <c r="N63" s="395">
        <f t="shared" si="20"/>
        <v>-398.21334169630495</v>
      </c>
      <c r="O63" s="395">
        <f t="shared" si="20"/>
        <v>2449.9858722145755</v>
      </c>
      <c r="P63" s="399">
        <f t="shared" si="20"/>
        <v>91.776757421880475</v>
      </c>
    </row>
    <row r="64" spans="2:16">
      <c r="B64" s="206" t="s">
        <v>3990</v>
      </c>
      <c r="C64" s="207">
        <f>'CEC analysis'!O46</f>
        <v>0.14757032978526693</v>
      </c>
      <c r="D64" s="9">
        <f>'CEC analysis'!H46</f>
        <v>4</v>
      </c>
      <c r="E64" s="44">
        <f>IF(D64=0,"N/A",I64*M64)</f>
        <v>367.55837407996438</v>
      </c>
      <c r="F64" s="547"/>
      <c r="G64" s="203">
        <f>IF(D64=0,"N/A",H64*N64+O64)</f>
        <v>97.786593422428268</v>
      </c>
      <c r="H64" s="196">
        <f t="shared" si="18"/>
        <v>5.9068821470729072</v>
      </c>
      <c r="I64" s="207">
        <f t="shared" si="19"/>
        <v>0.85242967021473304</v>
      </c>
      <c r="J64" s="548"/>
      <c r="K64" s="202">
        <f>IF(D64=0,"N/A",G64-P64)</f>
        <v>6.0098360005477929</v>
      </c>
      <c r="M64" s="395">
        <f t="shared" si="21"/>
        <v>431.18909034146338</v>
      </c>
      <c r="N64" s="395">
        <f t="shared" si="20"/>
        <v>-398.21334169630495</v>
      </c>
      <c r="O64" s="395">
        <f t="shared" si="20"/>
        <v>2449.9858722145755</v>
      </c>
      <c r="P64" s="399">
        <f t="shared" si="20"/>
        <v>91.776757421880475</v>
      </c>
    </row>
    <row r="65" spans="1:14">
      <c r="B65" s="209" t="s">
        <v>3991</v>
      </c>
      <c r="E65" s="44"/>
      <c r="G65" s="200"/>
      <c r="H65" s="196"/>
      <c r="I65" s="207"/>
      <c r="J65" s="207"/>
    </row>
    <row r="67" spans="1:14">
      <c r="A67" s="183" t="s">
        <v>4664</v>
      </c>
      <c r="B67" s="187"/>
      <c r="C67" s="187"/>
      <c r="D67" s="187"/>
      <c r="E67" s="187"/>
      <c r="F67" s="187"/>
      <c r="G67" s="187"/>
      <c r="H67" s="187"/>
      <c r="I67" s="187"/>
      <c r="J67" s="187"/>
      <c r="K67" s="187"/>
    </row>
    <row r="69" spans="1:14" ht="76.5" customHeight="1">
      <c r="E69" s="197" t="s">
        <v>3968</v>
      </c>
      <c r="F69" s="197" t="s">
        <v>3969</v>
      </c>
      <c r="G69" s="197" t="s">
        <v>3970</v>
      </c>
      <c r="H69" s="197" t="s">
        <v>3971</v>
      </c>
      <c r="I69" s="197" t="s">
        <v>3972</v>
      </c>
      <c r="M69" s="393" t="str">
        <f>G69</f>
        <v>installed price</v>
      </c>
      <c r="N69" s="393" t="s">
        <v>4607</v>
      </c>
    </row>
    <row r="70" spans="1:14" ht="13.5" customHeight="1">
      <c r="B70" s="198" t="s">
        <v>3976</v>
      </c>
      <c r="C70" s="198"/>
      <c r="D70" s="198"/>
      <c r="E70" s="199"/>
      <c r="F70" s="199"/>
      <c r="G70" s="199"/>
      <c r="H70" s="199"/>
      <c r="I70" s="199"/>
      <c r="J70" s="199"/>
      <c r="K70" s="199"/>
      <c r="M70" s="393"/>
      <c r="N70" s="393"/>
    </row>
    <row r="71" spans="1:14">
      <c r="B71" s="200"/>
      <c r="E71" s="201">
        <f>AVERAGE(M103,M120)</f>
        <v>312.67447659999999</v>
      </c>
      <c r="F71" s="201">
        <f t="shared" ref="F71:G78" si="22">AVERAGE(N103,N120)</f>
        <v>1.7990533652169569</v>
      </c>
      <c r="G71" s="201">
        <f t="shared" si="22"/>
        <v>192.0949</v>
      </c>
      <c r="H71" s="196">
        <f>LN(E71)</f>
        <v>5.7451626384909771</v>
      </c>
      <c r="I71" s="184">
        <f t="shared" ref="I71:I78" si="23">E71/N71</f>
        <v>1.4966485771133879</v>
      </c>
      <c r="M71" s="393">
        <f t="shared" ref="M71:M81" si="24">G71</f>
        <v>192.0949</v>
      </c>
      <c r="N71" s="394">
        <f>E8</f>
        <v>208.91642926829269</v>
      </c>
    </row>
    <row r="72" spans="1:14">
      <c r="B72" s="546" t="s">
        <v>3977</v>
      </c>
      <c r="C72" s="546"/>
      <c r="D72" s="546"/>
      <c r="E72" s="201">
        <f t="shared" ref="E72:E78" si="25">AVERAGE(M104,M121)</f>
        <v>281.40702893999998</v>
      </c>
      <c r="F72" s="201">
        <f t="shared" si="22"/>
        <v>1.8584344778732069</v>
      </c>
      <c r="G72" s="201">
        <f t="shared" si="22"/>
        <v>203.24214999999998</v>
      </c>
      <c r="H72" s="196">
        <f t="shared" ref="H72:H78" si="26">LN(E72)</f>
        <v>5.6398021228331503</v>
      </c>
      <c r="I72" s="184">
        <f t="shared" si="23"/>
        <v>1.3469837194020491</v>
      </c>
      <c r="M72" s="393">
        <f t="shared" si="24"/>
        <v>203.24214999999998</v>
      </c>
      <c r="N72" s="395">
        <f>N71</f>
        <v>208.91642926829269</v>
      </c>
    </row>
    <row r="73" spans="1:14">
      <c r="B73" s="546"/>
      <c r="C73" s="546"/>
      <c r="D73" s="546"/>
      <c r="E73" s="201">
        <f t="shared" si="25"/>
        <v>265.77330511000002</v>
      </c>
      <c r="F73" s="201">
        <f t="shared" si="22"/>
        <v>1.8815618585919569</v>
      </c>
      <c r="G73" s="201">
        <f t="shared" si="22"/>
        <v>228.61320000000001</v>
      </c>
      <c r="H73" s="196">
        <f t="shared" si="26"/>
        <v>5.5826437089932019</v>
      </c>
      <c r="I73" s="184">
        <f t="shared" si="23"/>
        <v>1.2721512905463799</v>
      </c>
      <c r="M73" s="393">
        <f t="shared" si="24"/>
        <v>228.61320000000001</v>
      </c>
      <c r="N73" s="395">
        <f t="shared" ref="N73:N81" si="27">N72</f>
        <v>208.91642926829269</v>
      </c>
    </row>
    <row r="74" spans="1:14">
      <c r="B74" s="204" t="s">
        <v>3978</v>
      </c>
      <c r="C74" s="205">
        <f>SLOPE(G72:G78,H72:H78)</f>
        <v>-398.21334169630495</v>
      </c>
      <c r="E74" s="201">
        <f t="shared" si="25"/>
        <v>250.13958127999996</v>
      </c>
      <c r="F74" s="201">
        <f t="shared" si="22"/>
        <v>1.8815618585919569</v>
      </c>
      <c r="G74" s="201">
        <f t="shared" si="22"/>
        <v>257.65325000000007</v>
      </c>
      <c r="H74" s="196">
        <f t="shared" si="26"/>
        <v>5.5220190871767674</v>
      </c>
      <c r="I74" s="184">
        <f t="shared" si="23"/>
        <v>1.1973188616907102</v>
      </c>
      <c r="M74" s="393">
        <f t="shared" si="24"/>
        <v>257.65325000000007</v>
      </c>
      <c r="N74" s="395">
        <f t="shared" si="27"/>
        <v>208.91642926829269</v>
      </c>
    </row>
    <row r="75" spans="1:14">
      <c r="B75" s="204" t="s">
        <v>3979</v>
      </c>
      <c r="C75" s="205">
        <f>INTERCEPT(G72:G78,H72:H78)</f>
        <v>2449.9858722145755</v>
      </c>
      <c r="E75" s="201">
        <f t="shared" si="25"/>
        <v>234.50585744999998</v>
      </c>
      <c r="F75" s="201">
        <f t="shared" si="22"/>
        <v>1.8815618585919569</v>
      </c>
      <c r="G75" s="201">
        <f t="shared" si="22"/>
        <v>275.78179999999998</v>
      </c>
      <c r="H75" s="196">
        <f t="shared" si="26"/>
        <v>5.4574805660391963</v>
      </c>
      <c r="I75" s="184">
        <f t="shared" si="23"/>
        <v>1.1224864328350408</v>
      </c>
      <c r="M75" s="393">
        <f t="shared" si="24"/>
        <v>275.78179999999998</v>
      </c>
      <c r="N75" s="395">
        <f t="shared" si="27"/>
        <v>208.91642926829269</v>
      </c>
    </row>
    <row r="76" spans="1:14">
      <c r="B76" s="200"/>
      <c r="E76" s="201">
        <f t="shared" si="25"/>
        <v>218.87213361999997</v>
      </c>
      <c r="F76" s="201">
        <f t="shared" si="22"/>
        <v>2.4991254302169565</v>
      </c>
      <c r="G76" s="201">
        <f t="shared" si="22"/>
        <v>298.2527</v>
      </c>
      <c r="H76" s="196">
        <f t="shared" si="26"/>
        <v>5.3884876945522446</v>
      </c>
      <c r="I76" s="184">
        <f t="shared" si="23"/>
        <v>1.0476540039793714</v>
      </c>
      <c r="M76" s="393">
        <f t="shared" si="24"/>
        <v>298.2527</v>
      </c>
      <c r="N76" s="395">
        <f t="shared" si="27"/>
        <v>208.91642926829269</v>
      </c>
    </row>
    <row r="77" spans="1:14">
      <c r="B77" s="200"/>
      <c r="E77" s="201">
        <f t="shared" si="25"/>
        <v>203.23840978999996</v>
      </c>
      <c r="F77" s="201">
        <f t="shared" si="22"/>
        <v>2.4991254302169565</v>
      </c>
      <c r="G77" s="201">
        <f t="shared" si="22"/>
        <v>321.71859999999998</v>
      </c>
      <c r="H77" s="196">
        <f t="shared" si="26"/>
        <v>5.314379722398523</v>
      </c>
      <c r="I77" s="184">
        <f t="shared" si="23"/>
        <v>0.97282157512370193</v>
      </c>
      <c r="K77" s="184"/>
      <c r="M77" s="393">
        <f t="shared" si="24"/>
        <v>321.71859999999998</v>
      </c>
      <c r="N77" s="395">
        <f t="shared" si="27"/>
        <v>208.91642926829269</v>
      </c>
    </row>
    <row r="78" spans="1:14">
      <c r="B78" s="200"/>
      <c r="E78" s="201">
        <f t="shared" si="25"/>
        <v>187.00669602350251</v>
      </c>
      <c r="F78" s="201">
        <f t="shared" si="22"/>
        <v>2.4991254302169565</v>
      </c>
      <c r="G78" s="201">
        <f t="shared" si="22"/>
        <v>378.39240000000001</v>
      </c>
      <c r="H78" s="196">
        <f t="shared" si="26"/>
        <v>5.231144423825822</v>
      </c>
      <c r="I78" s="184">
        <f t="shared" si="23"/>
        <v>0.89512680586430349</v>
      </c>
      <c r="K78" s="184"/>
      <c r="M78" s="393">
        <f t="shared" si="24"/>
        <v>378.39240000000001</v>
      </c>
      <c r="N78" s="395">
        <f t="shared" si="27"/>
        <v>208.91642926829269</v>
      </c>
    </row>
    <row r="79" spans="1:14">
      <c r="B79" s="200"/>
      <c r="E79" s="201"/>
      <c r="F79" s="201"/>
      <c r="G79" s="201"/>
      <c r="H79" s="196"/>
      <c r="I79" s="184"/>
      <c r="K79" s="184"/>
      <c r="M79" s="393">
        <f t="shared" si="24"/>
        <v>0</v>
      </c>
      <c r="N79" s="395">
        <f t="shared" si="27"/>
        <v>208.91642926829269</v>
      </c>
    </row>
    <row r="80" spans="1:14">
      <c r="B80" s="200"/>
      <c r="E80" s="201"/>
      <c r="F80" s="201"/>
      <c r="G80" s="201"/>
      <c r="H80" s="196"/>
      <c r="I80" s="184"/>
      <c r="K80" s="184"/>
      <c r="M80" s="393">
        <f t="shared" si="24"/>
        <v>0</v>
      </c>
      <c r="N80" s="395">
        <f t="shared" si="27"/>
        <v>208.91642926829269</v>
      </c>
    </row>
    <row r="81" spans="1:16">
      <c r="B81" s="200"/>
      <c r="E81" s="201"/>
      <c r="F81" s="201"/>
      <c r="G81" s="201"/>
      <c r="H81" s="196"/>
      <c r="I81" s="184"/>
      <c r="K81" s="184"/>
      <c r="M81" s="393">
        <f t="shared" si="24"/>
        <v>0</v>
      </c>
      <c r="N81" s="395">
        <f t="shared" si="27"/>
        <v>208.91642926829269</v>
      </c>
    </row>
    <row r="82" spans="1:16">
      <c r="B82" s="200"/>
      <c r="E82" s="201"/>
      <c r="F82" s="201"/>
      <c r="G82" s="201"/>
      <c r="H82" s="196"/>
      <c r="I82" s="184"/>
      <c r="K82" s="184"/>
      <c r="M82" s="393"/>
      <c r="N82" s="395"/>
    </row>
    <row r="83" spans="1:16">
      <c r="B83" s="200"/>
      <c r="E83" s="201"/>
      <c r="F83" s="201"/>
      <c r="G83" s="201"/>
      <c r="H83" s="196"/>
      <c r="I83" s="184"/>
      <c r="J83" s="184"/>
      <c r="K83" s="184"/>
    </row>
    <row r="84" spans="1:16">
      <c r="B84" s="198" t="s">
        <v>3980</v>
      </c>
      <c r="C84" s="198"/>
      <c r="D84" s="198"/>
      <c r="E84" s="199"/>
      <c r="F84" s="199"/>
      <c r="G84" s="199"/>
      <c r="H84" s="199"/>
      <c r="I84" s="199"/>
      <c r="J84" s="199"/>
      <c r="K84" s="199"/>
    </row>
    <row r="85" spans="1:16" ht="66" customHeight="1">
      <c r="C85" s="197" t="s">
        <v>3981</v>
      </c>
      <c r="D85" s="197" t="s">
        <v>3982</v>
      </c>
      <c r="E85" s="197" t="str">
        <f>E69</f>
        <v>UEC</v>
      </c>
      <c r="F85" s="197" t="str">
        <f t="shared" ref="F85:I85" si="28">F69</f>
        <v>repair cost</v>
      </c>
      <c r="G85" s="197" t="str">
        <f t="shared" si="28"/>
        <v>installed price</v>
      </c>
      <c r="H85" s="197" t="str">
        <f t="shared" si="28"/>
        <v>ln(UEC)</v>
      </c>
      <c r="I85" s="197" t="str">
        <f t="shared" si="28"/>
        <v>UEC as a percent of federal standard</v>
      </c>
      <c r="J85" s="197" t="s">
        <v>3983</v>
      </c>
      <c r="K85" s="197" t="s">
        <v>3984</v>
      </c>
      <c r="M85" s="396" t="s">
        <v>4608</v>
      </c>
      <c r="N85" s="396" t="s">
        <v>4609</v>
      </c>
      <c r="O85" s="396" t="s">
        <v>4610</v>
      </c>
      <c r="P85" s="396" t="s">
        <v>3983</v>
      </c>
    </row>
    <row r="86" spans="1:16" ht="25.5" customHeight="1">
      <c r="B86" s="206" t="s">
        <v>3985</v>
      </c>
      <c r="C86" s="207">
        <f>'CEC analysis'!K47</f>
        <v>5.5132947446017346E-3</v>
      </c>
      <c r="D86" s="9">
        <f>'CEC analysis'!D47</f>
        <v>16</v>
      </c>
      <c r="E86" s="44">
        <f>IF(D86=0,"N/A",I86*M86)</f>
        <v>207.76461141674685</v>
      </c>
      <c r="F86" s="547" t="s">
        <v>3986</v>
      </c>
      <c r="G86" s="203">
        <f>IF(D86=0,"N/A",H86*N86+O86)</f>
        <v>324.95790068626093</v>
      </c>
      <c r="H86" s="196">
        <f>IF(D86=0,"N/A",LN(E86))</f>
        <v>5.3364057629916237</v>
      </c>
      <c r="I86" s="207">
        <f>IF(D86=0,"N/A",1-C86)</f>
        <v>0.99448670525539828</v>
      </c>
      <c r="J86" s="548">
        <f>SUMPRODUCT(G86:G90,D86:D90)/SUM(D86:D90)</f>
        <v>345.99932781254307</v>
      </c>
      <c r="K86" s="202">
        <f>IF(D86=0,"N/A",G86-P86)</f>
        <v>-21.041427126282144</v>
      </c>
      <c r="M86" s="397">
        <f>N71</f>
        <v>208.91642926829269</v>
      </c>
      <c r="N86" s="398">
        <f>C74</f>
        <v>-398.21334169630495</v>
      </c>
      <c r="O86" s="398">
        <f>C75</f>
        <v>2449.9858722145755</v>
      </c>
      <c r="P86" s="399">
        <f>J86</f>
        <v>345.99932781254307</v>
      </c>
    </row>
    <row r="87" spans="1:16">
      <c r="B87" s="206" t="s">
        <v>3987</v>
      </c>
      <c r="C87" s="207">
        <f>'CEC analysis'!L47</f>
        <v>0.11197575018560434</v>
      </c>
      <c r="D87" s="9">
        <f>'CEC analysis'!E47</f>
        <v>7</v>
      </c>
      <c r="E87" s="44">
        <f>IF(D87=0,"N/A",I87*M87)</f>
        <v>185.52285537487788</v>
      </c>
      <c r="F87" s="547"/>
      <c r="G87" s="203">
        <f>IF(D87=0,"N/A",H87*N87+O87)</f>
        <v>370.04667309972274</v>
      </c>
      <c r="H87" s="196">
        <f t="shared" ref="H87:H90" si="29">IF(D87=0,"N/A",LN(E87))</f>
        <v>5.2231780840258892</v>
      </c>
      <c r="I87" s="207">
        <f t="shared" ref="I87:I90" si="30">IF(D87=0,"N/A",1-C87)</f>
        <v>0.88802424981439565</v>
      </c>
      <c r="J87" s="548"/>
      <c r="K87" s="202">
        <f>IF(D87=0,"N/A",G87-P87)</f>
        <v>24.047345287179667</v>
      </c>
      <c r="M87" s="395">
        <f>M86</f>
        <v>208.91642926829269</v>
      </c>
      <c r="N87" s="395">
        <f t="shared" ref="N87:P90" si="31">N86</f>
        <v>-398.21334169630495</v>
      </c>
      <c r="O87" s="395">
        <f t="shared" si="31"/>
        <v>2449.9858722145755</v>
      </c>
      <c r="P87" s="399">
        <f>P86</f>
        <v>345.99932781254307</v>
      </c>
    </row>
    <row r="88" spans="1:16">
      <c r="B88" s="206" t="s">
        <v>3988</v>
      </c>
      <c r="C88" s="207" t="str">
        <f>'CEC analysis'!M47</f>
        <v/>
      </c>
      <c r="D88" s="9">
        <f>'CEC analysis'!F47</f>
        <v>0</v>
      </c>
      <c r="E88" s="44" t="str">
        <f>IF(D88=0,"N/A",I88*M88)</f>
        <v>N/A</v>
      </c>
      <c r="F88" s="547"/>
      <c r="G88" s="203" t="str">
        <f>IF(D88=0,"N/A",H88*N88+O88)</f>
        <v>N/A</v>
      </c>
      <c r="H88" s="196" t="str">
        <f t="shared" si="29"/>
        <v>N/A</v>
      </c>
      <c r="I88" s="207" t="str">
        <f t="shared" si="30"/>
        <v>N/A</v>
      </c>
      <c r="J88" s="548"/>
      <c r="K88" s="202" t="str">
        <f>IF(D88=0,"N/A",G88-P88)</f>
        <v>N/A</v>
      </c>
      <c r="M88" s="395">
        <f t="shared" ref="M88:M90" si="32">M87</f>
        <v>208.91642926829269</v>
      </c>
      <c r="N88" s="395">
        <f t="shared" si="31"/>
        <v>-398.21334169630495</v>
      </c>
      <c r="O88" s="395">
        <f t="shared" si="31"/>
        <v>2449.9858722145755</v>
      </c>
      <c r="P88" s="399">
        <f t="shared" si="31"/>
        <v>345.99932781254307</v>
      </c>
    </row>
    <row r="89" spans="1:16">
      <c r="B89" s="206" t="s">
        <v>3989</v>
      </c>
      <c r="C89" s="207" t="str">
        <f>'CEC analysis'!N47</f>
        <v/>
      </c>
      <c r="D89" s="9">
        <f>'CEC analysis'!G47</f>
        <v>0</v>
      </c>
      <c r="E89" s="44" t="str">
        <f>IF(D89=0,"N/A",I89*M89)</f>
        <v>N/A</v>
      </c>
      <c r="F89" s="547"/>
      <c r="G89" s="203" t="str">
        <f>IF(D89=0,"N/A",H89*N89+O89)</f>
        <v>N/A</v>
      </c>
      <c r="H89" s="196" t="str">
        <f t="shared" si="29"/>
        <v>N/A</v>
      </c>
      <c r="I89" s="207" t="str">
        <f t="shared" si="30"/>
        <v>N/A</v>
      </c>
      <c r="J89" s="548"/>
      <c r="K89" s="202" t="str">
        <f>IF(D89=0,"N/A",G89-P89)</f>
        <v>N/A</v>
      </c>
      <c r="M89" s="395">
        <f t="shared" si="32"/>
        <v>208.91642926829269</v>
      </c>
      <c r="N89" s="395">
        <f t="shared" si="31"/>
        <v>-398.21334169630495</v>
      </c>
      <c r="O89" s="395">
        <f t="shared" si="31"/>
        <v>2449.9858722145755</v>
      </c>
      <c r="P89" s="399">
        <f t="shared" si="31"/>
        <v>345.99932781254307</v>
      </c>
    </row>
    <row r="90" spans="1:16">
      <c r="B90" s="206" t="s">
        <v>3990</v>
      </c>
      <c r="C90" s="207">
        <f>'CEC analysis'!O47</f>
        <v>0.11197575018560434</v>
      </c>
      <c r="D90" s="9">
        <f>'CEC analysis'!H47</f>
        <v>7</v>
      </c>
      <c r="E90" s="44">
        <f>IF(D90=0,"N/A",I90*M90)</f>
        <v>185.52285537487788</v>
      </c>
      <c r="F90" s="547"/>
      <c r="G90" s="203">
        <f>IF(D90=0,"N/A",H90*N90+O90)</f>
        <v>370.04667309972274</v>
      </c>
      <c r="H90" s="196">
        <f t="shared" si="29"/>
        <v>5.2231780840258892</v>
      </c>
      <c r="I90" s="207">
        <f t="shared" si="30"/>
        <v>0.88802424981439565</v>
      </c>
      <c r="J90" s="548"/>
      <c r="K90" s="202">
        <f>IF(D90=0,"N/A",G90-P90)</f>
        <v>24.047345287179667</v>
      </c>
      <c r="M90" s="395">
        <f t="shared" si="32"/>
        <v>208.91642926829269</v>
      </c>
      <c r="N90" s="395">
        <f t="shared" si="31"/>
        <v>-398.21334169630495</v>
      </c>
      <c r="O90" s="395">
        <f t="shared" si="31"/>
        <v>2449.9858722145755</v>
      </c>
      <c r="P90" s="399">
        <f t="shared" si="31"/>
        <v>345.99932781254307</v>
      </c>
    </row>
    <row r="91" spans="1:16">
      <c r="B91" s="209" t="s">
        <v>3991</v>
      </c>
      <c r="E91" s="44"/>
      <c r="G91" s="200"/>
      <c r="H91" s="196"/>
      <c r="I91" s="207"/>
      <c r="J91" s="207"/>
    </row>
    <row r="95" spans="1:16">
      <c r="A95" s="213"/>
      <c r="B95" s="213" t="s">
        <v>4000</v>
      </c>
      <c r="C95" s="213"/>
      <c r="D95" s="213"/>
      <c r="E95" s="213"/>
      <c r="F95" s="213"/>
      <c r="G95" s="213"/>
      <c r="H95" s="213"/>
      <c r="I95" s="213"/>
      <c r="J95" s="213"/>
      <c r="K95" s="213"/>
      <c r="L95" s="213"/>
      <c r="M95" s="213"/>
      <c r="N95" s="213"/>
      <c r="O95" s="213"/>
      <c r="P95" s="213"/>
    </row>
    <row r="96" spans="1:16">
      <c r="A96" s="214"/>
      <c r="B96" s="214"/>
      <c r="C96" s="214"/>
      <c r="D96" s="214"/>
      <c r="E96" s="214"/>
      <c r="F96" s="214"/>
      <c r="G96" s="214"/>
      <c r="H96" s="214"/>
      <c r="I96" s="214"/>
      <c r="J96" s="214"/>
      <c r="K96" s="214"/>
      <c r="L96" s="214"/>
      <c r="M96" s="214"/>
      <c r="N96" s="214"/>
      <c r="O96" s="214"/>
      <c r="P96" s="214"/>
    </row>
    <row r="97" spans="1:16">
      <c r="A97" s="214"/>
      <c r="B97" s="214" t="s">
        <v>4001</v>
      </c>
      <c r="C97" s="214"/>
      <c r="D97" s="214"/>
      <c r="E97" s="214"/>
      <c r="F97" s="214"/>
      <c r="G97" s="214"/>
      <c r="H97" s="214"/>
      <c r="I97" s="214"/>
      <c r="J97" s="214"/>
      <c r="K97" s="214"/>
      <c r="L97" s="214"/>
      <c r="M97" s="214"/>
      <c r="N97" s="214"/>
      <c r="O97" s="214"/>
      <c r="P97" s="214"/>
    </row>
    <row r="98" spans="1:16">
      <c r="A98" s="214"/>
      <c r="B98" s="400"/>
      <c r="C98" s="400"/>
      <c r="D98" s="405" t="s">
        <v>4665</v>
      </c>
      <c r="E98" s="406"/>
      <c r="F98" s="406"/>
      <c r="G98" s="407"/>
      <c r="H98" s="405" t="s">
        <v>4666</v>
      </c>
      <c r="I98" s="406"/>
      <c r="J98" s="406"/>
      <c r="K98" s="407"/>
      <c r="L98" s="405" t="s">
        <v>4667</v>
      </c>
      <c r="M98" s="406"/>
      <c r="N98" s="406"/>
      <c r="O98" s="406"/>
      <c r="P98" s="214"/>
    </row>
    <row r="99" spans="1:16">
      <c r="A99" s="214"/>
      <c r="B99" s="215"/>
      <c r="C99" s="215"/>
      <c r="D99" s="221" t="s">
        <v>4014</v>
      </c>
      <c r="E99" s="222">
        <v>18</v>
      </c>
      <c r="F99" s="222"/>
      <c r="G99" s="215"/>
      <c r="H99" s="221" t="s">
        <v>4014</v>
      </c>
      <c r="I99" s="223">
        <v>18</v>
      </c>
      <c r="J99" s="223"/>
      <c r="K99" s="215"/>
      <c r="L99" s="221" t="s">
        <v>4014</v>
      </c>
      <c r="M99" s="223">
        <v>18</v>
      </c>
      <c r="N99" s="223"/>
      <c r="O99" s="215"/>
      <c r="P99" s="214"/>
    </row>
    <row r="100" spans="1:16">
      <c r="A100" s="214"/>
      <c r="B100" s="224" t="s">
        <v>4015</v>
      </c>
      <c r="C100" s="225"/>
      <c r="D100" s="226" t="s">
        <v>4668</v>
      </c>
      <c r="E100" s="225"/>
      <c r="F100" s="225"/>
      <c r="G100" s="227" t="s">
        <v>4017</v>
      </c>
      <c r="H100" s="226" t="s">
        <v>4669</v>
      </c>
      <c r="I100" s="225"/>
      <c r="J100" s="225"/>
      <c r="K100" s="227" t="s">
        <v>4017</v>
      </c>
      <c r="L100" s="226" t="s">
        <v>4670</v>
      </c>
      <c r="M100" s="225"/>
      <c r="N100" s="225"/>
      <c r="O100" s="227" t="s">
        <v>4017</v>
      </c>
      <c r="P100" s="214"/>
    </row>
    <row r="101" spans="1:16" ht="22.5">
      <c r="A101" s="214"/>
      <c r="B101" s="229" t="s">
        <v>4029</v>
      </c>
      <c r="C101" s="230" t="s">
        <v>4030</v>
      </c>
      <c r="D101" s="231" t="s">
        <v>4031</v>
      </c>
      <c r="E101" s="232" t="s">
        <v>3968</v>
      </c>
      <c r="F101" s="232" t="s">
        <v>4032</v>
      </c>
      <c r="G101" s="227" t="s">
        <v>4033</v>
      </c>
      <c r="H101" s="231" t="s">
        <v>4031</v>
      </c>
      <c r="I101" s="232" t="s">
        <v>3968</v>
      </c>
      <c r="J101" s="232" t="s">
        <v>4032</v>
      </c>
      <c r="K101" s="227" t="s">
        <v>4033</v>
      </c>
      <c r="L101" s="231" t="s">
        <v>4031</v>
      </c>
      <c r="M101" s="232" t="s">
        <v>3968</v>
      </c>
      <c r="N101" s="232" t="s">
        <v>4032</v>
      </c>
      <c r="O101" s="227" t="s">
        <v>4033</v>
      </c>
      <c r="P101" s="214"/>
    </row>
    <row r="102" spans="1:16">
      <c r="A102" s="214"/>
      <c r="B102" s="233"/>
      <c r="C102" s="233"/>
      <c r="D102" s="234" t="s">
        <v>4034</v>
      </c>
      <c r="E102" s="235" t="s">
        <v>4035</v>
      </c>
      <c r="F102" s="235" t="s">
        <v>4036</v>
      </c>
      <c r="G102" s="236" t="s">
        <v>4036</v>
      </c>
      <c r="H102" s="234" t="s">
        <v>4034</v>
      </c>
      <c r="I102" s="235" t="s">
        <v>4035</v>
      </c>
      <c r="J102" s="235" t="s">
        <v>4036</v>
      </c>
      <c r="K102" s="236" t="s">
        <v>4036</v>
      </c>
      <c r="L102" s="234" t="s">
        <v>4034</v>
      </c>
      <c r="M102" s="235" t="s">
        <v>4035</v>
      </c>
      <c r="N102" s="235" t="s">
        <v>4036</v>
      </c>
      <c r="O102" s="236" t="s">
        <v>4036</v>
      </c>
      <c r="P102" s="214"/>
    </row>
    <row r="103" spans="1:16">
      <c r="A103" s="214"/>
      <c r="B103" s="235">
        <v>0</v>
      </c>
      <c r="C103" s="233" t="s">
        <v>4037</v>
      </c>
      <c r="D103" s="238">
        <v>0</v>
      </c>
      <c r="E103" s="239">
        <v>312.67447659999999</v>
      </c>
      <c r="F103" s="240">
        <v>1.7990533652169569</v>
      </c>
      <c r="G103" s="241">
        <v>182.78389999999999</v>
      </c>
      <c r="H103" s="238">
        <v>0</v>
      </c>
      <c r="I103" s="239">
        <v>312.67447659999999</v>
      </c>
      <c r="J103" s="240">
        <v>1.7990533652169569</v>
      </c>
      <c r="K103" s="241">
        <v>182.78389999999999</v>
      </c>
      <c r="L103" s="238">
        <v>0</v>
      </c>
      <c r="M103" s="242">
        <v>312.67447659999999</v>
      </c>
      <c r="N103" s="412">
        <v>1.7990533652169569</v>
      </c>
      <c r="O103" s="246">
        <v>182.78389999999999</v>
      </c>
      <c r="P103" s="214"/>
    </row>
    <row r="104" spans="1:16">
      <c r="A104" s="214"/>
      <c r="B104" s="235">
        <v>1</v>
      </c>
      <c r="C104" s="233" t="s">
        <v>4038</v>
      </c>
      <c r="D104" s="251">
        <v>0.1</v>
      </c>
      <c r="E104" s="239">
        <v>281.40702893999998</v>
      </c>
      <c r="F104" s="240">
        <v>1.8584344778732069</v>
      </c>
      <c r="G104" s="241">
        <v>189.60419999999999</v>
      </c>
      <c r="H104" s="251">
        <v>0.1</v>
      </c>
      <c r="I104" s="239">
        <v>281.40702893999998</v>
      </c>
      <c r="J104" s="240">
        <v>1.8584344778732069</v>
      </c>
      <c r="K104" s="241">
        <v>189.60419999999999</v>
      </c>
      <c r="L104" s="251">
        <v>0.1</v>
      </c>
      <c r="M104" s="242">
        <v>281.40702893999998</v>
      </c>
      <c r="N104" s="412">
        <v>1.8584344778732069</v>
      </c>
      <c r="O104" s="246">
        <v>189.60419999999999</v>
      </c>
      <c r="P104" s="214"/>
    </row>
    <row r="105" spans="1:16">
      <c r="A105" s="214"/>
      <c r="B105" s="235">
        <v>2</v>
      </c>
      <c r="C105" s="233" t="s">
        <v>4039</v>
      </c>
      <c r="D105" s="251">
        <v>0.15</v>
      </c>
      <c r="E105" s="239">
        <v>265.77330511000002</v>
      </c>
      <c r="F105" s="240">
        <v>1.8815618585919569</v>
      </c>
      <c r="G105" s="241">
        <v>201.7987</v>
      </c>
      <c r="H105" s="251">
        <v>0.15</v>
      </c>
      <c r="I105" s="239">
        <v>265.77330511000002</v>
      </c>
      <c r="J105" s="240">
        <v>1.8815618585919569</v>
      </c>
      <c r="K105" s="241">
        <v>201.7987</v>
      </c>
      <c r="L105" s="251">
        <v>0.15</v>
      </c>
      <c r="M105" s="242">
        <v>265.77330511000002</v>
      </c>
      <c r="N105" s="412">
        <v>1.8815618585919569</v>
      </c>
      <c r="O105" s="246">
        <v>201.7987</v>
      </c>
      <c r="P105" s="214"/>
    </row>
    <row r="106" spans="1:16">
      <c r="A106" s="214"/>
      <c r="B106" s="235">
        <v>3</v>
      </c>
      <c r="C106" s="233" t="s">
        <v>4040</v>
      </c>
      <c r="D106" s="251">
        <v>0.2</v>
      </c>
      <c r="E106" s="239">
        <v>250.13958127999996</v>
      </c>
      <c r="F106" s="240">
        <v>1.8815618585919569</v>
      </c>
      <c r="G106" s="241">
        <v>242.82300000000001</v>
      </c>
      <c r="H106" s="251">
        <v>0.2</v>
      </c>
      <c r="I106" s="239">
        <v>250.13958127999996</v>
      </c>
      <c r="J106" s="240">
        <v>1.8815618585919569</v>
      </c>
      <c r="K106" s="241">
        <v>242.82300000000001</v>
      </c>
      <c r="L106" s="251">
        <v>0.2</v>
      </c>
      <c r="M106" s="242">
        <v>250.13958127999996</v>
      </c>
      <c r="N106" s="412">
        <v>1.8815618585919569</v>
      </c>
      <c r="O106" s="246">
        <v>242.82300000000001</v>
      </c>
      <c r="P106" s="214"/>
    </row>
    <row r="107" spans="1:16">
      <c r="A107" s="214"/>
      <c r="B107" s="235">
        <v>4</v>
      </c>
      <c r="C107" s="233" t="s">
        <v>4041</v>
      </c>
      <c r="D107" s="251">
        <v>0.25</v>
      </c>
      <c r="E107" s="239">
        <v>234.50585744999998</v>
      </c>
      <c r="F107" s="240">
        <v>1.8815618585919569</v>
      </c>
      <c r="G107" s="241">
        <v>252.85409999999999</v>
      </c>
      <c r="H107" s="251">
        <v>0.25</v>
      </c>
      <c r="I107" s="239">
        <v>234.50585744999998</v>
      </c>
      <c r="J107" s="240">
        <v>1.8815618585919569</v>
      </c>
      <c r="K107" s="241">
        <v>252.85409999999999</v>
      </c>
      <c r="L107" s="251">
        <v>0.25</v>
      </c>
      <c r="M107" s="242">
        <v>234.50585744999998</v>
      </c>
      <c r="N107" s="412">
        <v>1.8815618585919569</v>
      </c>
      <c r="O107" s="246">
        <v>252.85409999999999</v>
      </c>
      <c r="P107" s="214"/>
    </row>
    <row r="108" spans="1:16">
      <c r="A108" s="214"/>
      <c r="B108" s="235">
        <v>5</v>
      </c>
      <c r="C108" s="233" t="s">
        <v>4042</v>
      </c>
      <c r="D108" s="251">
        <v>0.3</v>
      </c>
      <c r="E108" s="239">
        <v>218.87213361999997</v>
      </c>
      <c r="F108" s="240">
        <v>2.4991254302169565</v>
      </c>
      <c r="G108" s="241">
        <v>282.79969999999997</v>
      </c>
      <c r="H108" s="251">
        <v>0.3</v>
      </c>
      <c r="I108" s="239">
        <v>218.87213361999997</v>
      </c>
      <c r="J108" s="240">
        <v>2.4991254302169565</v>
      </c>
      <c r="K108" s="241">
        <v>282.79969999999997</v>
      </c>
      <c r="L108" s="251">
        <v>0.3</v>
      </c>
      <c r="M108" s="242">
        <v>218.87213361999997</v>
      </c>
      <c r="N108" s="412">
        <v>2.4991254302169565</v>
      </c>
      <c r="O108" s="246">
        <v>282.79969999999997</v>
      </c>
      <c r="P108" s="214"/>
    </row>
    <row r="109" spans="1:16">
      <c r="A109" s="214"/>
      <c r="B109" s="235">
        <v>6</v>
      </c>
      <c r="C109" s="233" t="s">
        <v>4043</v>
      </c>
      <c r="D109" s="251">
        <v>0.35</v>
      </c>
      <c r="E109" s="239">
        <v>203.23840978999996</v>
      </c>
      <c r="F109" s="240">
        <v>2.4991254302169565</v>
      </c>
      <c r="G109" s="241">
        <v>290.34870000000001</v>
      </c>
      <c r="H109" s="251">
        <v>0.35</v>
      </c>
      <c r="I109" s="239">
        <v>203.23840978999996</v>
      </c>
      <c r="J109" s="240">
        <v>2.4991254302169565</v>
      </c>
      <c r="K109" s="241">
        <v>290.34870000000001</v>
      </c>
      <c r="L109" s="251">
        <v>0.35</v>
      </c>
      <c r="M109" s="242">
        <v>203.23840978999996</v>
      </c>
      <c r="N109" s="412">
        <v>2.4991254302169565</v>
      </c>
      <c r="O109" s="246">
        <v>290.34870000000001</v>
      </c>
      <c r="P109" s="214"/>
    </row>
    <row r="110" spans="1:16">
      <c r="A110" s="214"/>
      <c r="B110" s="235">
        <v>7</v>
      </c>
      <c r="C110" s="233" t="s">
        <v>4626</v>
      </c>
      <c r="D110" s="251">
        <v>0.39</v>
      </c>
      <c r="E110" s="239">
        <v>182.44555709609998</v>
      </c>
      <c r="F110" s="240">
        <v>2.4991254302169565</v>
      </c>
      <c r="G110" s="241">
        <v>361.65179999999998</v>
      </c>
      <c r="H110" s="251">
        <v>0.39</v>
      </c>
      <c r="I110" s="239">
        <v>182.44555709609998</v>
      </c>
      <c r="J110" s="240">
        <v>2.4991254302169565</v>
      </c>
      <c r="K110" s="241">
        <v>361.65179999999998</v>
      </c>
      <c r="L110" s="251">
        <v>0.39</v>
      </c>
      <c r="M110" s="242">
        <v>182.44555709609998</v>
      </c>
      <c r="N110" s="412">
        <v>2.4991254302169565</v>
      </c>
      <c r="O110" s="246">
        <v>361.65179999999998</v>
      </c>
      <c r="P110" s="214"/>
    </row>
    <row r="111" spans="1:16">
      <c r="A111" s="214"/>
      <c r="B111" s="214"/>
      <c r="C111" s="214"/>
      <c r="D111" s="256" t="s">
        <v>4671</v>
      </c>
      <c r="E111" s="257"/>
      <c r="F111" s="257"/>
      <c r="G111" s="258"/>
      <c r="H111" s="256" t="s">
        <v>4671</v>
      </c>
      <c r="I111" s="257"/>
      <c r="J111" s="257"/>
      <c r="K111" s="258"/>
      <c r="L111" s="214"/>
      <c r="M111" s="214"/>
      <c r="N111" s="214"/>
      <c r="O111" s="214"/>
      <c r="P111" s="214"/>
    </row>
    <row r="112" spans="1:16">
      <c r="A112" s="214"/>
      <c r="B112" s="214"/>
      <c r="C112" s="214"/>
      <c r="D112" s="214"/>
      <c r="E112" s="214"/>
      <c r="F112" s="214"/>
      <c r="G112" s="214"/>
      <c r="H112" s="214"/>
      <c r="I112" s="214"/>
      <c r="J112" s="214"/>
      <c r="K112" s="214"/>
      <c r="L112" s="214"/>
      <c r="M112" s="214"/>
      <c r="N112" s="214"/>
      <c r="O112" s="214"/>
      <c r="P112" s="214"/>
    </row>
    <row r="113" spans="1:16">
      <c r="A113" s="214"/>
      <c r="B113" s="214"/>
      <c r="C113" s="214"/>
      <c r="D113" s="214"/>
      <c r="E113" s="214"/>
      <c r="F113" s="214"/>
      <c r="G113" s="214"/>
      <c r="H113" s="214"/>
      <c r="I113" s="214"/>
      <c r="J113" s="214"/>
      <c r="K113" s="214"/>
      <c r="L113" s="214"/>
      <c r="M113" s="214"/>
      <c r="N113" s="214"/>
      <c r="O113" s="214"/>
      <c r="P113" s="214"/>
    </row>
    <row r="114" spans="1:16">
      <c r="A114" s="214"/>
      <c r="B114" s="214" t="s">
        <v>4660</v>
      </c>
      <c r="C114" s="214"/>
      <c r="D114" s="214"/>
      <c r="E114" s="214"/>
      <c r="F114" s="214"/>
      <c r="G114" s="214"/>
      <c r="H114" s="214"/>
      <c r="I114" s="214"/>
      <c r="J114" s="214"/>
      <c r="K114" s="214"/>
      <c r="L114" s="214"/>
      <c r="M114" s="214"/>
      <c r="N114" s="214"/>
      <c r="O114" s="214"/>
      <c r="P114" s="214"/>
    </row>
    <row r="115" spans="1:16">
      <c r="A115" s="214"/>
      <c r="B115" s="400"/>
      <c r="C115" s="400"/>
      <c r="D115" s="405" t="s">
        <v>4665</v>
      </c>
      <c r="E115" s="406"/>
      <c r="F115" s="406"/>
      <c r="G115" s="407"/>
      <c r="H115" s="405" t="s">
        <v>4666</v>
      </c>
      <c r="I115" s="406"/>
      <c r="J115" s="406"/>
      <c r="K115" s="407"/>
      <c r="L115" s="405" t="s">
        <v>4667</v>
      </c>
      <c r="M115" s="406"/>
      <c r="N115" s="406"/>
      <c r="O115" s="406"/>
      <c r="P115" s="214"/>
    </row>
    <row r="116" spans="1:16">
      <c r="A116" s="214"/>
      <c r="B116" s="215"/>
      <c r="C116" s="215"/>
      <c r="D116" s="221" t="s">
        <v>4014</v>
      </c>
      <c r="E116" s="222">
        <v>18</v>
      </c>
      <c r="F116" s="222"/>
      <c r="G116" s="215"/>
      <c r="H116" s="221" t="s">
        <v>4014</v>
      </c>
      <c r="I116" s="223">
        <v>18</v>
      </c>
      <c r="J116" s="223"/>
      <c r="K116" s="215"/>
      <c r="L116" s="221" t="s">
        <v>4014</v>
      </c>
      <c r="M116" s="223">
        <v>18</v>
      </c>
      <c r="N116" s="223"/>
      <c r="O116" s="215"/>
      <c r="P116" s="214"/>
    </row>
    <row r="117" spans="1:16">
      <c r="A117" s="214"/>
      <c r="B117" s="224" t="s">
        <v>4015</v>
      </c>
      <c r="C117" s="225"/>
      <c r="D117" s="226" t="s">
        <v>4668</v>
      </c>
      <c r="E117" s="225"/>
      <c r="F117" s="225"/>
      <c r="G117" s="227" t="s">
        <v>4017</v>
      </c>
      <c r="H117" s="226" t="s">
        <v>4669</v>
      </c>
      <c r="I117" s="225"/>
      <c r="J117" s="225"/>
      <c r="K117" s="227" t="s">
        <v>4017</v>
      </c>
      <c r="L117" s="226" t="s">
        <v>4670</v>
      </c>
      <c r="M117" s="225"/>
      <c r="N117" s="225"/>
      <c r="O117" s="227" t="s">
        <v>4017</v>
      </c>
      <c r="P117" s="214"/>
    </row>
    <row r="118" spans="1:16" ht="22.5">
      <c r="A118" s="214"/>
      <c r="B118" s="229" t="s">
        <v>4029</v>
      </c>
      <c r="C118" s="230" t="s">
        <v>4030</v>
      </c>
      <c r="D118" s="231" t="s">
        <v>4031</v>
      </c>
      <c r="E118" s="232" t="s">
        <v>3968</v>
      </c>
      <c r="F118" s="232" t="s">
        <v>4032</v>
      </c>
      <c r="G118" s="227" t="s">
        <v>4033</v>
      </c>
      <c r="H118" s="231" t="s">
        <v>4031</v>
      </c>
      <c r="I118" s="232" t="s">
        <v>3968</v>
      </c>
      <c r="J118" s="232" t="s">
        <v>4032</v>
      </c>
      <c r="K118" s="227" t="s">
        <v>4033</v>
      </c>
      <c r="L118" s="231" t="s">
        <v>4031</v>
      </c>
      <c r="M118" s="232" t="s">
        <v>3968</v>
      </c>
      <c r="N118" s="232" t="s">
        <v>4032</v>
      </c>
      <c r="O118" s="227" t="s">
        <v>4033</v>
      </c>
      <c r="P118" s="214"/>
    </row>
    <row r="119" spans="1:16">
      <c r="A119" s="214"/>
      <c r="B119" s="233"/>
      <c r="C119" s="233"/>
      <c r="D119" s="234" t="s">
        <v>4034</v>
      </c>
      <c r="E119" s="235" t="s">
        <v>4035</v>
      </c>
      <c r="F119" s="235" t="s">
        <v>4036</v>
      </c>
      <c r="G119" s="236" t="s">
        <v>4036</v>
      </c>
      <c r="H119" s="234" t="s">
        <v>4034</v>
      </c>
      <c r="I119" s="235" t="s">
        <v>4035</v>
      </c>
      <c r="J119" s="235" t="s">
        <v>4036</v>
      </c>
      <c r="K119" s="236" t="s">
        <v>4036</v>
      </c>
      <c r="L119" s="234" t="s">
        <v>4034</v>
      </c>
      <c r="M119" s="235" t="s">
        <v>4035</v>
      </c>
      <c r="N119" s="235" t="s">
        <v>4036</v>
      </c>
      <c r="O119" s="236" t="s">
        <v>4036</v>
      </c>
      <c r="P119" s="214"/>
    </row>
    <row r="120" spans="1:16">
      <c r="A120" s="214"/>
      <c r="B120" s="235">
        <v>0</v>
      </c>
      <c r="C120" s="233" t="s">
        <v>4037</v>
      </c>
      <c r="D120" s="238">
        <v>0</v>
      </c>
      <c r="E120" s="239">
        <v>312.67447659999999</v>
      </c>
      <c r="F120" s="240">
        <v>1.7990533652169569</v>
      </c>
      <c r="G120" s="241">
        <v>201.40590000000003</v>
      </c>
      <c r="H120" s="238">
        <v>0</v>
      </c>
      <c r="I120" s="239">
        <v>312.67447659999999</v>
      </c>
      <c r="J120" s="240">
        <v>1.7990533652169569</v>
      </c>
      <c r="K120" s="241">
        <v>201.40590000000003</v>
      </c>
      <c r="L120" s="238">
        <v>0</v>
      </c>
      <c r="M120" s="242">
        <v>312.67447659999999</v>
      </c>
      <c r="N120" s="412">
        <v>1.7990533652169569</v>
      </c>
      <c r="O120" s="246">
        <v>201.40590000000003</v>
      </c>
      <c r="P120" s="214"/>
    </row>
    <row r="121" spans="1:16">
      <c r="A121" s="214"/>
      <c r="B121" s="235">
        <v>1</v>
      </c>
      <c r="C121" s="233" t="s">
        <v>4038</v>
      </c>
      <c r="D121" s="251">
        <v>0.1</v>
      </c>
      <c r="E121" s="239">
        <v>281.40702893999998</v>
      </c>
      <c r="F121" s="240">
        <v>1.8584344778732069</v>
      </c>
      <c r="G121" s="241">
        <v>216.8801</v>
      </c>
      <c r="H121" s="251">
        <v>0.1</v>
      </c>
      <c r="I121" s="239">
        <v>281.40702893999998</v>
      </c>
      <c r="J121" s="240">
        <v>1.8584344778732069</v>
      </c>
      <c r="K121" s="241">
        <v>216.8801</v>
      </c>
      <c r="L121" s="251">
        <v>0.1</v>
      </c>
      <c r="M121" s="242">
        <v>281.40702893999998</v>
      </c>
      <c r="N121" s="412">
        <v>1.8584344778732069</v>
      </c>
      <c r="O121" s="246">
        <v>216.8801</v>
      </c>
      <c r="P121" s="214"/>
    </row>
    <row r="122" spans="1:16">
      <c r="A122" s="214"/>
      <c r="B122" s="235">
        <v>2</v>
      </c>
      <c r="C122" s="233" t="s">
        <v>4039</v>
      </c>
      <c r="D122" s="251">
        <v>0.15</v>
      </c>
      <c r="E122" s="239">
        <v>265.77330511000002</v>
      </c>
      <c r="F122" s="240">
        <v>1.8815618585919569</v>
      </c>
      <c r="G122" s="241">
        <v>255.42770000000004</v>
      </c>
      <c r="H122" s="251">
        <v>0.15</v>
      </c>
      <c r="I122" s="239">
        <v>265.77330511000002</v>
      </c>
      <c r="J122" s="240">
        <v>1.8815618585919569</v>
      </c>
      <c r="K122" s="241">
        <v>255.42770000000004</v>
      </c>
      <c r="L122" s="251">
        <v>0.15</v>
      </c>
      <c r="M122" s="242">
        <v>265.77330511000002</v>
      </c>
      <c r="N122" s="412">
        <v>1.8815618585919569</v>
      </c>
      <c r="O122" s="246">
        <v>255.42770000000004</v>
      </c>
      <c r="P122" s="214"/>
    </row>
    <row r="123" spans="1:16">
      <c r="A123" s="214"/>
      <c r="B123" s="235">
        <v>3</v>
      </c>
      <c r="C123" s="233" t="s">
        <v>4040</v>
      </c>
      <c r="D123" s="251">
        <v>0.2</v>
      </c>
      <c r="E123" s="239">
        <v>250.13958127999996</v>
      </c>
      <c r="F123" s="240">
        <v>1.8815618585919569</v>
      </c>
      <c r="G123" s="241">
        <v>272.48350000000011</v>
      </c>
      <c r="H123" s="251">
        <v>0.2</v>
      </c>
      <c r="I123" s="239">
        <v>250.13958127999996</v>
      </c>
      <c r="J123" s="240">
        <v>1.8815618585919569</v>
      </c>
      <c r="K123" s="241">
        <v>272.48350000000011</v>
      </c>
      <c r="L123" s="251">
        <v>0.2</v>
      </c>
      <c r="M123" s="242">
        <v>250.13958127999996</v>
      </c>
      <c r="N123" s="412">
        <v>1.8815618585919569</v>
      </c>
      <c r="O123" s="246">
        <v>272.48350000000011</v>
      </c>
      <c r="P123" s="214"/>
    </row>
    <row r="124" spans="1:16">
      <c r="A124" s="214"/>
      <c r="B124" s="235">
        <v>4</v>
      </c>
      <c r="C124" s="233" t="s">
        <v>4041</v>
      </c>
      <c r="D124" s="251">
        <v>0.25</v>
      </c>
      <c r="E124" s="239">
        <v>234.50585744999998</v>
      </c>
      <c r="F124" s="240">
        <v>1.8815618585919569</v>
      </c>
      <c r="G124" s="241">
        <v>298.70949999999993</v>
      </c>
      <c r="H124" s="251">
        <v>0.25</v>
      </c>
      <c r="I124" s="239">
        <v>234.50585744999998</v>
      </c>
      <c r="J124" s="240">
        <v>1.8815618585919569</v>
      </c>
      <c r="K124" s="241">
        <v>298.70949999999993</v>
      </c>
      <c r="L124" s="251">
        <v>0.25</v>
      </c>
      <c r="M124" s="242">
        <v>234.50585744999998</v>
      </c>
      <c r="N124" s="412">
        <v>1.8815618585919569</v>
      </c>
      <c r="O124" s="246">
        <v>298.70949999999993</v>
      </c>
      <c r="P124" s="214"/>
    </row>
    <row r="125" spans="1:16">
      <c r="A125" s="214"/>
      <c r="B125" s="235">
        <v>5</v>
      </c>
      <c r="C125" s="233" t="s">
        <v>4042</v>
      </c>
      <c r="D125" s="251">
        <v>0.3</v>
      </c>
      <c r="E125" s="239">
        <v>218.87213361999997</v>
      </c>
      <c r="F125" s="240">
        <v>2.4991254302169565</v>
      </c>
      <c r="G125" s="241">
        <v>313.70570000000004</v>
      </c>
      <c r="H125" s="251">
        <v>0.3</v>
      </c>
      <c r="I125" s="239">
        <v>218.87213361999997</v>
      </c>
      <c r="J125" s="240">
        <v>2.4991254302169565</v>
      </c>
      <c r="K125" s="241">
        <v>313.70570000000004</v>
      </c>
      <c r="L125" s="251">
        <v>0.3</v>
      </c>
      <c r="M125" s="242">
        <v>218.87213361999997</v>
      </c>
      <c r="N125" s="412">
        <v>2.4991254302169565</v>
      </c>
      <c r="O125" s="246">
        <v>313.70570000000004</v>
      </c>
      <c r="P125" s="214"/>
    </row>
    <row r="126" spans="1:16">
      <c r="A126" s="214"/>
      <c r="B126" s="235">
        <v>6</v>
      </c>
      <c r="C126" s="233" t="s">
        <v>4043</v>
      </c>
      <c r="D126" s="251">
        <v>0.35</v>
      </c>
      <c r="E126" s="239">
        <v>203.23840978999996</v>
      </c>
      <c r="F126" s="240">
        <v>2.4991254302169565</v>
      </c>
      <c r="G126" s="241">
        <v>353.08849999999995</v>
      </c>
      <c r="H126" s="251">
        <v>0.35</v>
      </c>
      <c r="I126" s="239">
        <v>203.23840978999996</v>
      </c>
      <c r="J126" s="240">
        <v>2.4991254302169565</v>
      </c>
      <c r="K126" s="241">
        <v>353.08849999999995</v>
      </c>
      <c r="L126" s="251">
        <v>0.35</v>
      </c>
      <c r="M126" s="242">
        <v>203.23840978999996</v>
      </c>
      <c r="N126" s="412">
        <v>2.4991254302169565</v>
      </c>
      <c r="O126" s="246">
        <v>353.08849999999995</v>
      </c>
      <c r="P126" s="214"/>
    </row>
    <row r="127" spans="1:16">
      <c r="A127" s="214"/>
      <c r="B127" s="235">
        <v>7</v>
      </c>
      <c r="C127" s="233" t="s">
        <v>4626</v>
      </c>
      <c r="D127" s="251">
        <v>0.39</v>
      </c>
      <c r="E127" s="239">
        <v>191.56783495090502</v>
      </c>
      <c r="F127" s="240">
        <v>2.4991254302169565</v>
      </c>
      <c r="G127" s="241">
        <v>395.13300000000004</v>
      </c>
      <c r="H127" s="251">
        <v>0.39</v>
      </c>
      <c r="I127" s="239">
        <v>191.56783495090502</v>
      </c>
      <c r="J127" s="240">
        <v>2.4991254302169565</v>
      </c>
      <c r="K127" s="241">
        <v>395.13300000000004</v>
      </c>
      <c r="L127" s="251">
        <v>0.39</v>
      </c>
      <c r="M127" s="242">
        <v>191.56783495090502</v>
      </c>
      <c r="N127" s="412">
        <v>2.4991254302169565</v>
      </c>
      <c r="O127" s="246">
        <v>395.13300000000004</v>
      </c>
      <c r="P127" s="214"/>
    </row>
    <row r="128" spans="1:16">
      <c r="A128" s="214"/>
      <c r="B128" s="214"/>
      <c r="C128" s="214"/>
      <c r="D128" s="256" t="s">
        <v>4671</v>
      </c>
      <c r="E128" s="257"/>
      <c r="F128" s="257"/>
      <c r="G128" s="258"/>
      <c r="H128" s="256" t="s">
        <v>4671</v>
      </c>
      <c r="I128" s="257"/>
      <c r="J128" s="257"/>
      <c r="K128" s="258"/>
      <c r="L128" s="214"/>
      <c r="M128" s="214"/>
      <c r="N128" s="214"/>
      <c r="O128" s="214"/>
      <c r="P128" s="214"/>
    </row>
    <row r="129" spans="1:16">
      <c r="A129" s="214"/>
      <c r="B129" s="214"/>
      <c r="C129" s="214"/>
      <c r="D129" s="214"/>
      <c r="E129" s="214"/>
      <c r="F129" s="214"/>
      <c r="G129" s="214"/>
      <c r="H129" s="214"/>
      <c r="I129" s="214"/>
      <c r="J129" s="214"/>
      <c r="K129" s="214"/>
      <c r="L129" s="214"/>
      <c r="M129" s="214"/>
      <c r="N129" s="214"/>
      <c r="O129" s="214"/>
      <c r="P129" s="214"/>
    </row>
  </sheetData>
  <mergeCells count="9">
    <mergeCell ref="B72:D73"/>
    <mergeCell ref="F86:F90"/>
    <mergeCell ref="J86:J90"/>
    <mergeCell ref="B20:D21"/>
    <mergeCell ref="F34:F38"/>
    <mergeCell ref="J34:J38"/>
    <mergeCell ref="B46:D47"/>
    <mergeCell ref="F60:F64"/>
    <mergeCell ref="J60:J64"/>
  </mergeCells>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Sheet24">
    <tabColor theme="5" tint="0.79998168889431442"/>
  </sheetPr>
  <dimension ref="A1:BM47"/>
  <sheetViews>
    <sheetView workbookViewId="0">
      <pane xSplit="3" ySplit="5" topLeftCell="D24" activePane="bottomRight" state="frozen"/>
      <selection pane="topRight" activeCell="D1" sqref="D1"/>
      <selection pane="bottomLeft" activeCell="A6" sqref="A6"/>
      <selection pane="bottomRight" activeCell="F26" sqref="F26"/>
    </sheetView>
  </sheetViews>
  <sheetFormatPr defaultRowHeight="12.75"/>
  <cols>
    <col min="1" max="1" width="15.140625" style="9" customWidth="1"/>
    <col min="2" max="3" width="9.140625" style="9"/>
    <col min="4" max="9" width="15.140625" style="9" customWidth="1"/>
    <col min="10" max="10" width="3.85546875" style="9" customWidth="1"/>
    <col min="11" max="16" width="15.140625" style="184" customWidth="1"/>
    <col min="17" max="17" width="3.85546875" style="9" customWidth="1"/>
    <col min="18" max="23" width="15.140625" style="44" customWidth="1"/>
    <col min="24" max="24" width="3.42578125" style="9" customWidth="1"/>
    <col min="25" max="30" width="15.140625" style="44" customWidth="1"/>
    <col min="31" max="31" width="4" style="44" customWidth="1"/>
    <col min="32" max="37" width="15.140625" style="44" customWidth="1"/>
    <col min="38" max="38" width="4" style="63" customWidth="1"/>
    <col min="39" max="44" width="15.140625" style="44" customWidth="1"/>
    <col min="45" max="45" width="9.140625" style="56"/>
    <col min="46" max="51" width="15.140625" style="38" customWidth="1"/>
    <col min="52" max="52" width="9.140625" style="56"/>
    <col min="53" max="58" width="15.140625" style="63" customWidth="1"/>
    <col min="59" max="59" width="9.140625" style="56"/>
    <col min="60" max="65" width="15.140625" style="56" customWidth="1"/>
    <col min="66" max="16384" width="9.140625" style="56"/>
  </cols>
  <sheetData>
    <row r="1" spans="1:65">
      <c r="A1" s="284" t="s">
        <v>4551</v>
      </c>
    </row>
    <row r="2" spans="1:65">
      <c r="AF2" s="9"/>
    </row>
    <row r="3" spans="1:65">
      <c r="D3" s="285" t="s">
        <v>4552</v>
      </c>
      <c r="E3" s="286"/>
      <c r="F3" s="286"/>
      <c r="G3" s="286"/>
      <c r="H3" s="285"/>
      <c r="I3" s="286"/>
      <c r="K3" s="287" t="s">
        <v>4553</v>
      </c>
      <c r="L3" s="288"/>
      <c r="M3" s="288"/>
      <c r="N3" s="288"/>
      <c r="O3" s="288"/>
      <c r="P3" s="288"/>
      <c r="R3" s="289" t="s">
        <v>4554</v>
      </c>
      <c r="S3" s="290"/>
      <c r="T3" s="290"/>
      <c r="U3" s="290"/>
      <c r="V3" s="290"/>
      <c r="W3" s="290"/>
      <c r="Y3" s="287" t="s">
        <v>4555</v>
      </c>
      <c r="Z3" s="288"/>
      <c r="AA3" s="288"/>
      <c r="AB3" s="288"/>
      <c r="AC3" s="288"/>
      <c r="AD3" s="288"/>
      <c r="AE3" s="291"/>
      <c r="AF3" s="287" t="s">
        <v>4556</v>
      </c>
      <c r="AG3" s="290"/>
      <c r="AH3" s="290"/>
      <c r="AI3" s="290"/>
      <c r="AJ3" s="290"/>
      <c r="AK3" s="290"/>
      <c r="AL3" s="291"/>
      <c r="AM3" s="289" t="s">
        <v>4967</v>
      </c>
      <c r="AN3" s="290"/>
      <c r="AO3" s="290"/>
      <c r="AP3" s="290"/>
      <c r="AQ3" s="290"/>
      <c r="AR3" s="290"/>
      <c r="AT3" s="292" t="s">
        <v>3963</v>
      </c>
      <c r="AU3" s="293"/>
      <c r="AV3" s="293"/>
      <c r="AW3" s="293"/>
      <c r="AX3" s="293"/>
      <c r="AY3" s="293"/>
      <c r="BA3" s="289" t="s">
        <v>4557</v>
      </c>
      <c r="BB3" s="290"/>
      <c r="BC3" s="290"/>
      <c r="BD3" s="290"/>
      <c r="BE3" s="290"/>
      <c r="BF3" s="290"/>
      <c r="BH3" s="289" t="s">
        <v>4968</v>
      </c>
      <c r="BI3" s="290"/>
      <c r="BJ3" s="290"/>
      <c r="BK3" s="290"/>
      <c r="BL3" s="290"/>
      <c r="BM3" s="290"/>
    </row>
    <row r="4" spans="1:65">
      <c r="D4" s="294" t="s">
        <v>4030</v>
      </c>
      <c r="E4" s="294"/>
      <c r="F4" s="294"/>
      <c r="G4" s="294"/>
      <c r="H4" s="294"/>
      <c r="I4" s="294"/>
      <c r="K4" s="551" t="s">
        <v>4030</v>
      </c>
      <c r="L4" s="551"/>
      <c r="M4" s="551"/>
      <c r="N4" s="551"/>
      <c r="O4" s="551"/>
      <c r="P4" s="551"/>
      <c r="R4" s="551" t="s">
        <v>4030</v>
      </c>
      <c r="S4" s="551"/>
      <c r="T4" s="551"/>
      <c r="U4" s="551"/>
      <c r="V4" s="551"/>
      <c r="W4" s="551"/>
      <c r="Y4" s="551" t="s">
        <v>4030</v>
      </c>
      <c r="Z4" s="551"/>
      <c r="AA4" s="551"/>
      <c r="AB4" s="551"/>
      <c r="AC4" s="551"/>
      <c r="AD4" s="551"/>
      <c r="AE4" s="295"/>
      <c r="AF4" s="551" t="s">
        <v>4030</v>
      </c>
      <c r="AG4" s="551"/>
      <c r="AH4" s="551"/>
      <c r="AI4" s="551"/>
      <c r="AJ4" s="551"/>
      <c r="AK4" s="551"/>
      <c r="AL4" s="296"/>
      <c r="AM4" s="551" t="s">
        <v>4030</v>
      </c>
      <c r="AN4" s="551"/>
      <c r="AO4" s="551"/>
      <c r="AP4" s="551"/>
      <c r="AQ4" s="551"/>
      <c r="AR4" s="551"/>
      <c r="AT4" s="556"/>
      <c r="AU4" s="556"/>
      <c r="AV4" s="556"/>
      <c r="AW4" s="556"/>
      <c r="AX4" s="556"/>
      <c r="AY4" s="556"/>
      <c r="BA4" s="552"/>
      <c r="BB4" s="552"/>
      <c r="BC4" s="552"/>
      <c r="BD4" s="552"/>
      <c r="BE4" s="552"/>
      <c r="BF4" s="552"/>
      <c r="BH4" s="552"/>
      <c r="BI4" s="552"/>
      <c r="BJ4" s="552"/>
      <c r="BK4" s="552"/>
      <c r="BL4" s="552"/>
      <c r="BM4" s="552"/>
    </row>
    <row r="5" spans="1:65" ht="41.25" customHeight="1">
      <c r="C5" s="190" t="s">
        <v>205</v>
      </c>
      <c r="D5" s="297" t="s">
        <v>3985</v>
      </c>
      <c r="E5" s="298" t="s">
        <v>3987</v>
      </c>
      <c r="F5" s="298" t="s">
        <v>3988</v>
      </c>
      <c r="G5" s="298" t="s">
        <v>3989</v>
      </c>
      <c r="H5" s="297" t="s">
        <v>3990</v>
      </c>
      <c r="I5" s="298" t="s">
        <v>4558</v>
      </c>
      <c r="J5" s="299"/>
      <c r="K5" s="297" t="s">
        <v>3985</v>
      </c>
      <c r="L5" s="297" t="str">
        <f>E5</f>
        <v>Tier 1 - 10% to 15% better than Standard</v>
      </c>
      <c r="M5" s="297" t="str">
        <f>F5</f>
        <v>Tier 2 - 15% to 20% better than Standard</v>
      </c>
      <c r="N5" s="297" t="str">
        <f>G5</f>
        <v>Tier 3 - 20%  or better than Standard</v>
      </c>
      <c r="O5" s="297" t="s">
        <v>3990</v>
      </c>
      <c r="P5" s="297" t="s">
        <v>4558</v>
      </c>
      <c r="R5" s="297" t="s">
        <v>3985</v>
      </c>
      <c r="S5" s="300" t="str">
        <f>E5</f>
        <v>Tier 1 - 10% to 15% better than Standard</v>
      </c>
      <c r="T5" s="300" t="str">
        <f>F5</f>
        <v>Tier 2 - 15% to 20% better than Standard</v>
      </c>
      <c r="U5" s="300" t="str">
        <f>G5</f>
        <v>Tier 3 - 20%  or better than Standard</v>
      </c>
      <c r="V5" s="297" t="s">
        <v>3990</v>
      </c>
      <c r="W5" s="300" t="s">
        <v>4558</v>
      </c>
      <c r="Y5" s="297" t="s">
        <v>3985</v>
      </c>
      <c r="Z5" s="300" t="str">
        <f t="shared" ref="Z5:AB5" si="0">L5</f>
        <v>Tier 1 - 10% to 15% better than Standard</v>
      </c>
      <c r="AA5" s="300" t="str">
        <f t="shared" si="0"/>
        <v>Tier 2 - 15% to 20% better than Standard</v>
      </c>
      <c r="AB5" s="300" t="str">
        <f t="shared" si="0"/>
        <v>Tier 3 - 20%  or better than Standard</v>
      </c>
      <c r="AC5" s="297" t="s">
        <v>3990</v>
      </c>
      <c r="AD5" s="300" t="s">
        <v>4558</v>
      </c>
      <c r="AE5" s="301"/>
      <c r="AF5" s="297" t="s">
        <v>3985</v>
      </c>
      <c r="AG5" s="300" t="str">
        <f>S5</f>
        <v>Tier 1 - 10% to 15% better than Standard</v>
      </c>
      <c r="AH5" s="300" t="str">
        <f>T5</f>
        <v>Tier 2 - 15% to 20% better than Standard</v>
      </c>
      <c r="AI5" s="300" t="str">
        <f>U5</f>
        <v>Tier 3 - 20%  or better than Standard</v>
      </c>
      <c r="AJ5" s="297" t="s">
        <v>3990</v>
      </c>
      <c r="AK5" s="300" t="s">
        <v>4558</v>
      </c>
      <c r="AL5" s="302"/>
      <c r="AM5" s="297" t="s">
        <v>3985</v>
      </c>
      <c r="AN5" s="300" t="str">
        <f>Z5</f>
        <v>Tier 1 - 10% to 15% better than Standard</v>
      </c>
      <c r="AO5" s="300" t="str">
        <f>AA5</f>
        <v>Tier 2 - 15% to 20% better than Standard</v>
      </c>
      <c r="AP5" s="300" t="str">
        <f>AB5</f>
        <v>Tier 3 - 20%  or better than Standard</v>
      </c>
      <c r="AQ5" s="297" t="s">
        <v>3990</v>
      </c>
      <c r="AR5" s="300" t="s">
        <v>4558</v>
      </c>
      <c r="AT5" s="303" t="str">
        <f>D5</f>
        <v>Less than 10% better than Standard</v>
      </c>
      <c r="AU5" s="304" t="str">
        <f t="shared" ref="AU5:AY5" si="1">E5</f>
        <v>Tier 1 - 10% to 15% better than Standard</v>
      </c>
      <c r="AV5" s="304" t="str">
        <f t="shared" si="1"/>
        <v>Tier 2 - 15% to 20% better than Standard</v>
      </c>
      <c r="AW5" s="304" t="str">
        <f t="shared" si="1"/>
        <v>Tier 3 - 20%  or better than Standard</v>
      </c>
      <c r="AX5" s="303" t="str">
        <f t="shared" si="1"/>
        <v>Energy Star - 10% or better than Standard</v>
      </c>
      <c r="AY5" s="304" t="str">
        <f t="shared" si="1"/>
        <v>All Standard compliant</v>
      </c>
      <c r="BA5" s="305" t="str">
        <f>K5</f>
        <v>Less than 10% better than Standard</v>
      </c>
      <c r="BB5" s="300" t="str">
        <f t="shared" ref="BB5:BF5" si="2">L5</f>
        <v>Tier 1 - 10% to 15% better than Standard</v>
      </c>
      <c r="BC5" s="300" t="str">
        <f t="shared" si="2"/>
        <v>Tier 2 - 15% to 20% better than Standard</v>
      </c>
      <c r="BD5" s="300" t="str">
        <f t="shared" si="2"/>
        <v>Tier 3 - 20%  or better than Standard</v>
      </c>
      <c r="BE5" s="305" t="str">
        <f t="shared" si="2"/>
        <v>Energy Star - 10% or better than Standard</v>
      </c>
      <c r="BF5" s="300" t="str">
        <f t="shared" si="2"/>
        <v>All Standard compliant</v>
      </c>
      <c r="BH5" s="305" t="str">
        <f>R5</f>
        <v>Less than 10% better than Standard</v>
      </c>
      <c r="BI5" s="300" t="str">
        <f t="shared" ref="BI5:BM5" si="3">S5</f>
        <v>Tier 1 - 10% to 15% better than Standard</v>
      </c>
      <c r="BJ5" s="300" t="str">
        <f t="shared" si="3"/>
        <v>Tier 2 - 15% to 20% better than Standard</v>
      </c>
      <c r="BK5" s="300" t="str">
        <f t="shared" si="3"/>
        <v>Tier 3 - 20%  or better than Standard</v>
      </c>
      <c r="BL5" s="305" t="str">
        <f t="shared" si="3"/>
        <v>Energy Star - 10% or better than Standard</v>
      </c>
      <c r="BM5" s="300" t="str">
        <f t="shared" si="3"/>
        <v>All Standard compliant</v>
      </c>
    </row>
    <row r="6" spans="1:65">
      <c r="A6" s="553" t="s">
        <v>4559</v>
      </c>
      <c r="B6" s="306"/>
      <c r="C6" s="307" t="s">
        <v>4560</v>
      </c>
      <c r="D6" s="308">
        <f>COUNTIF('CEC DB for analysis'!$AO$9:$AO$600,$C6&amp;"_"&amp;D$5)</f>
        <v>0</v>
      </c>
      <c r="E6" s="308">
        <f>COUNTIF('CEC DB for analysis'!$AO$9:$AO$600,$C6&amp;"_"&amp;E$5)</f>
        <v>0</v>
      </c>
      <c r="F6" s="308">
        <f>COUNTIF('CEC DB for analysis'!$AO$9:$AO$600,$C6&amp;"_"&amp;F$5)</f>
        <v>0</v>
      </c>
      <c r="G6" s="308">
        <f>COUNTIF('CEC DB for analysis'!$AO$9:$AO$600,$C6&amp;"_"&amp;G$5)</f>
        <v>0</v>
      </c>
      <c r="H6" s="308">
        <f>COUNTIF('CEC DB for analysis'!$AP$9:$AP$600,'CEC analysis'!C6&amp;"_YES")</f>
        <v>0</v>
      </c>
      <c r="I6" s="308">
        <f t="shared" ref="I6:I47" si="4">SUM(D6:G6)</f>
        <v>0</v>
      </c>
      <c r="J6" s="306"/>
      <c r="K6" s="309" t="str">
        <f>IFERROR(AVERAGEIF('CEC DB for analysis'!$AO$9:$AO$600,'CEC analysis'!$C6&amp;"_"&amp;'CEC analysis'!K$5,'CEC DB for analysis'!$AG$9:$AG$600),"")</f>
        <v/>
      </c>
      <c r="L6" s="309" t="str">
        <f>IFERROR(AVERAGEIF('CEC DB for analysis'!$AO$9:$AO$600,'CEC analysis'!$C6&amp;"_"&amp;'CEC analysis'!L$5,'CEC DB for analysis'!$AG$9:$AG$600),"")</f>
        <v/>
      </c>
      <c r="M6" s="309" t="str">
        <f>IFERROR(AVERAGEIF('CEC DB for analysis'!$AO$9:$AO$600,'CEC analysis'!$C6&amp;"_"&amp;'CEC analysis'!M$5,'CEC DB for analysis'!$AG$9:$AG$600),"")</f>
        <v/>
      </c>
      <c r="N6" s="309" t="str">
        <f>IFERROR(AVERAGEIF('CEC DB for analysis'!$AO$9:$AO$600,'CEC analysis'!$C6&amp;"_"&amp;'CEC analysis'!N$5,'CEC DB for analysis'!$AG$9:$AG$600),"")</f>
        <v/>
      </c>
      <c r="O6" s="309" t="str">
        <f>IFERROR(AVERAGEIF('CEC DB for analysis'!$AP$9:$AP$600,'CEC analysis'!$C6&amp;"_YES",'CEC DB for analysis'!$AG$9:$AG$600),"")</f>
        <v/>
      </c>
      <c r="P6" s="309" t="str">
        <f t="shared" ref="P6:P47" si="5">IF(I6=0,"",SUMPRODUCT(K6:N6,D6:G6)/SUM(D6:G6))</f>
        <v/>
      </c>
      <c r="Q6" s="306"/>
      <c r="R6" s="310" t="str">
        <f>IFERROR(AVERAGEIF('CEC DB for analysis'!$AO$9:$AO$600,'CEC analysis'!$C6&amp;"_"&amp;'CEC analysis'!K$5,'CEC DB for analysis'!$AF$9:$AF$600),"")</f>
        <v/>
      </c>
      <c r="S6" s="310" t="str">
        <f>IFERROR(AVERAGEIF('CEC DB for analysis'!$AO$9:$AO$600,'CEC analysis'!$C6&amp;"_"&amp;'CEC analysis'!L$5,'CEC DB for analysis'!$AF$9:$AF$600),"")</f>
        <v/>
      </c>
      <c r="T6" s="310" t="str">
        <f>IFERROR(AVERAGEIF('CEC DB for analysis'!$AO$9:$AO$600,'CEC analysis'!$C6&amp;"_"&amp;'CEC analysis'!M$5,'CEC DB for analysis'!$AF$9:$AF$600),"")</f>
        <v/>
      </c>
      <c r="U6" s="310" t="str">
        <f>IFERROR(AVERAGEIF('CEC DB for analysis'!$AO$9:$AO$600,'CEC analysis'!$C6&amp;"_"&amp;'CEC analysis'!N$5,'CEC DB for analysis'!$AF$9:$AF$600),"")</f>
        <v/>
      </c>
      <c r="V6" s="310" t="str">
        <f>IFERROR(AVERAGEIF('CEC DB for analysis'!$AP$9:$AP$600,'CEC analysis'!$C6&amp;"_YES",'CEC DB for analysis'!$AF$9:$AF$600),"")</f>
        <v/>
      </c>
      <c r="W6" s="310" t="str">
        <f t="shared" ref="W6:W47" si="6">IF(I6=0,"",SUMPRODUCT(R6:U6,D6:G6)/SUM(D6:G6))</f>
        <v/>
      </c>
      <c r="X6" s="306"/>
      <c r="Y6" s="310" t="str">
        <f>IFERROR(R6-$W6,"")</f>
        <v/>
      </c>
      <c r="Z6" s="310" t="str">
        <f t="shared" ref="Z6:AD47" si="7">IFERROR(S6-$W6,"")</f>
        <v/>
      </c>
      <c r="AA6" s="310" t="str">
        <f t="shared" si="7"/>
        <v/>
      </c>
      <c r="AB6" s="310" t="str">
        <f t="shared" si="7"/>
        <v/>
      </c>
      <c r="AC6" s="310" t="str">
        <f t="shared" si="7"/>
        <v/>
      </c>
      <c r="AD6" s="310" t="str">
        <f t="shared" si="7"/>
        <v/>
      </c>
      <c r="AE6" s="311"/>
      <c r="AF6" s="312">
        <f t="shared" ref="AF6:AK6" si="8">SUMPRODUCT(Y6:Y27,D6:D27)/SUM(D6:D27)</f>
        <v>-11.796088813221981</v>
      </c>
      <c r="AG6" s="313">
        <f t="shared" si="8"/>
        <v>10.842807929192544</v>
      </c>
      <c r="AH6" s="313">
        <f t="shared" si="8"/>
        <v>47.866995551282059</v>
      </c>
      <c r="AI6" s="313">
        <f t="shared" si="8"/>
        <v>112.42572178653531</v>
      </c>
      <c r="AJ6" s="313">
        <f t="shared" si="8"/>
        <v>45.18124583177476</v>
      </c>
      <c r="AK6" s="312">
        <f t="shared" si="8"/>
        <v>0</v>
      </c>
      <c r="AL6" s="314"/>
      <c r="AM6" s="315">
        <f>SUMPRODUCT(K6:K27,D6:D27)/SUM(D6:D27)</f>
        <v>4.1639237327828774E-2</v>
      </c>
      <c r="AN6" s="315">
        <f t="shared" ref="AN6:AR6" si="9">SUMPRODUCT(L6:L27,E6:E27)/SUM(E6:E27)</f>
        <v>0.10501149534026209</v>
      </c>
      <c r="AO6" s="315">
        <f t="shared" si="9"/>
        <v>0.17868029783345762</v>
      </c>
      <c r="AP6" s="315">
        <f t="shared" si="9"/>
        <v>0.25748378970457242</v>
      </c>
      <c r="AQ6" s="315">
        <f t="shared" si="9"/>
        <v>0.15928385072536061</v>
      </c>
      <c r="AR6" s="315">
        <f t="shared" si="9"/>
        <v>6.5995348695286532E-2</v>
      </c>
      <c r="AT6" s="316" t="str">
        <f>IFERROR(AVERAGEIF('CEC DB for analysis'!$AO$9:$AO$600,'CEC analysis'!$C6&amp;"_"&amp;'CEC analysis'!K$5,'CEC DB for analysis'!$AB$9:$AB$600),"")</f>
        <v/>
      </c>
      <c r="AU6" s="316" t="str">
        <f>IFERROR(AVERAGEIF('CEC DB for analysis'!$AO$9:$AO$600,'CEC analysis'!$C6&amp;"_"&amp;'CEC analysis'!L$5,'CEC DB for analysis'!$AB$9:$AB$600),"")</f>
        <v/>
      </c>
      <c r="AV6" s="316" t="str">
        <f>IFERROR(AVERAGEIF('CEC DB for analysis'!$AO$9:$AO$600,'CEC analysis'!$C6&amp;"_"&amp;'CEC analysis'!M$5,'CEC DB for analysis'!$AB$9:$AB$600),"")</f>
        <v/>
      </c>
      <c r="AW6" s="316" t="str">
        <f>IFERROR(AVERAGEIF('CEC DB for analysis'!$AO$9:$AO$600,'CEC analysis'!$C6&amp;"_"&amp;'CEC analysis'!N$5,'CEC DB for analysis'!$AB$9:$AB$600),"")</f>
        <v/>
      </c>
      <c r="AX6" s="316" t="str">
        <f>IFERROR(AVERAGEIF('CEC DB for analysis'!$AP$9:$AP$600,'CEC analysis'!$C6&amp;"_YES",'CEC DB for analysis'!$AB$9:$AB$600),"")</f>
        <v/>
      </c>
      <c r="AY6" s="316" t="str">
        <f>IF(I6=0,"",SUMPRODUCT(AT6:AW6,D6:G6)/SUM(D6:G6))</f>
        <v/>
      </c>
      <c r="BA6" s="310" t="str">
        <f>IFERROR(AVERAGEIF('CEC DB for analysis'!$AO$9:$AO$600,'CEC analysis'!$C6&amp;"_"&amp;'CEC analysis'!R$5,'CEC DB for analysis'!$V$9:$V$600),"")</f>
        <v/>
      </c>
      <c r="BB6" s="310" t="str">
        <f>IFERROR(AVERAGEIF('CEC DB for analysis'!$AO$9:$AO$600,'CEC analysis'!$C6&amp;"_"&amp;'CEC analysis'!S$5,'CEC DB for analysis'!$V$9:$V$600),"")</f>
        <v/>
      </c>
      <c r="BC6" s="310" t="str">
        <f>IFERROR(AVERAGEIF('CEC DB for analysis'!$AO$9:$AO$600,'CEC analysis'!$C6&amp;"_"&amp;'CEC analysis'!T$5,'CEC DB for analysis'!$V$9:$V$600),"")</f>
        <v/>
      </c>
      <c r="BD6" s="310" t="str">
        <f>IFERROR(AVERAGEIF('CEC DB for analysis'!$AO$9:$AO$600,'CEC analysis'!$C6&amp;"_"&amp;'CEC analysis'!U$5,'CEC DB for analysis'!$V$9:$V$600),"")</f>
        <v/>
      </c>
      <c r="BE6" s="310" t="str">
        <f>IFERROR(AVERAGEIF('CEC DB for analysis'!$AP$9:$AP$600,'CEC analysis'!$C6&amp;"_YES",'CEC DB for analysis'!$V$9:$V$600),"")</f>
        <v/>
      </c>
      <c r="BF6" s="310" t="str">
        <f>IF(I6=0,"",SUMPRODUCT(BA6:BD6,D6:G6)/SUM(D6:G6))</f>
        <v/>
      </c>
      <c r="BH6" s="310">
        <f>SUMPRODUCT(BA6:BA27,D6:D27)/SUM(D6:D27)</f>
        <v>609.61083743842369</v>
      </c>
      <c r="BI6" s="310">
        <f t="shared" ref="BI6:BM6" si="10">SUMPRODUCT(BB6:BB27,E6:E27)/SUM(E6:E27)</f>
        <v>368.63333333333333</v>
      </c>
      <c r="BJ6" s="310">
        <f t="shared" si="10"/>
        <v>470.625</v>
      </c>
      <c r="BK6" s="310">
        <f t="shared" si="10"/>
        <v>493</v>
      </c>
      <c r="BL6" s="310">
        <f t="shared" si="10"/>
        <v>419.22641509433964</v>
      </c>
      <c r="BM6" s="310">
        <f t="shared" si="10"/>
        <v>570.1953125</v>
      </c>
    </row>
    <row r="7" spans="1:65">
      <c r="A7" s="553"/>
      <c r="B7" s="306"/>
      <c r="C7" s="307" t="s">
        <v>211</v>
      </c>
      <c r="D7" s="308">
        <f>COUNTIF('CEC DB for analysis'!$AO$9:$AO$600,$C7&amp;"_"&amp;D$5)</f>
        <v>0</v>
      </c>
      <c r="E7" s="308">
        <f>COUNTIF('CEC DB for analysis'!$AO$9:$AO$600,$C7&amp;"_"&amp;E$5)</f>
        <v>0</v>
      </c>
      <c r="F7" s="308">
        <f>COUNTIF('CEC DB for analysis'!$AO$9:$AO$600,$C7&amp;"_"&amp;F$5)</f>
        <v>0</v>
      </c>
      <c r="G7" s="308">
        <f>COUNTIF('CEC DB for analysis'!$AO$9:$AO$600,$C7&amp;"_"&amp;G$5)</f>
        <v>0</v>
      </c>
      <c r="H7" s="308">
        <f>COUNTIF('CEC DB for analysis'!$AP$9:$AP$600,'CEC analysis'!C7&amp;"_YES")</f>
        <v>0</v>
      </c>
      <c r="I7" s="308">
        <f t="shared" si="4"/>
        <v>0</v>
      </c>
      <c r="J7" s="306"/>
      <c r="K7" s="309" t="str">
        <f>IFERROR(AVERAGEIF('CEC DB for analysis'!$AO$9:$AO$600,'CEC analysis'!$C7&amp;"_"&amp;'CEC analysis'!K$5,'CEC DB for analysis'!$AG$9:$AG$600),"")</f>
        <v/>
      </c>
      <c r="L7" s="309" t="str">
        <f>IFERROR(AVERAGEIF('CEC DB for analysis'!$AO$9:$AO$600,'CEC analysis'!$C7&amp;"_"&amp;'CEC analysis'!L$5,'CEC DB for analysis'!$AG$9:$AG$600),"")</f>
        <v/>
      </c>
      <c r="M7" s="309" t="str">
        <f>IFERROR(AVERAGEIF('CEC DB for analysis'!$AO$9:$AO$600,'CEC analysis'!$C7&amp;"_"&amp;'CEC analysis'!M$5,'CEC DB for analysis'!$AG$9:$AG$600),"")</f>
        <v/>
      </c>
      <c r="N7" s="309" t="str">
        <f>IFERROR(AVERAGEIF('CEC DB for analysis'!$AO$9:$AO$600,'CEC analysis'!$C7&amp;"_"&amp;'CEC analysis'!N$5,'CEC DB for analysis'!$AG$9:$AG$600),"")</f>
        <v/>
      </c>
      <c r="O7" s="309" t="str">
        <f>IFERROR(AVERAGEIF('CEC DB for analysis'!$AP$9:$AP$600,'CEC analysis'!$C7&amp;"_YES",'CEC DB for analysis'!$AG$9:$AG$600),"")</f>
        <v/>
      </c>
      <c r="P7" s="309" t="str">
        <f t="shared" si="5"/>
        <v/>
      </c>
      <c r="Q7" s="306"/>
      <c r="R7" s="310" t="str">
        <f>IFERROR(AVERAGEIF('CEC DB for analysis'!$AO$9:$AO$600,'CEC analysis'!$C7&amp;"_"&amp;'CEC analysis'!K$5,'CEC DB for analysis'!$AF$9:$AF$600),"")</f>
        <v/>
      </c>
      <c r="S7" s="310" t="str">
        <f>IFERROR(AVERAGEIF('CEC DB for analysis'!$AO$9:$AO$600,'CEC analysis'!$C7&amp;"_"&amp;'CEC analysis'!L$5,'CEC DB for analysis'!$AF$9:$AF$600),"")</f>
        <v/>
      </c>
      <c r="T7" s="310" t="str">
        <f>IFERROR(AVERAGEIF('CEC DB for analysis'!$AO$9:$AO$600,'CEC analysis'!$C7&amp;"_"&amp;'CEC analysis'!M$5,'CEC DB for analysis'!$AF$9:$AF$600),"")</f>
        <v/>
      </c>
      <c r="U7" s="310" t="str">
        <f>IFERROR(AVERAGEIF('CEC DB for analysis'!$AO$9:$AO$600,'CEC analysis'!$C7&amp;"_"&amp;'CEC analysis'!N$5,'CEC DB for analysis'!$AF$9:$AF$600),"")</f>
        <v/>
      </c>
      <c r="V7" s="310" t="str">
        <f>IFERROR(AVERAGEIF('CEC DB for analysis'!$AP$9:$AP$600,'CEC analysis'!$C7&amp;"_YES",'CEC DB for analysis'!$AF$9:$AF$600),"")</f>
        <v/>
      </c>
      <c r="W7" s="310" t="str">
        <f t="shared" si="6"/>
        <v/>
      </c>
      <c r="X7" s="306"/>
      <c r="Y7" s="310" t="str">
        <f t="shared" ref="Y7:AD47" si="11">IFERROR(R7-$W7,"")</f>
        <v/>
      </c>
      <c r="Z7" s="310" t="str">
        <f t="shared" si="7"/>
        <v/>
      </c>
      <c r="AA7" s="310" t="str">
        <f t="shared" si="7"/>
        <v/>
      </c>
      <c r="AB7" s="310" t="str">
        <f t="shared" si="7"/>
        <v/>
      </c>
      <c r="AC7" s="310" t="str">
        <f t="shared" si="7"/>
        <v/>
      </c>
      <c r="AD7" s="310" t="str">
        <f t="shared" si="7"/>
        <v/>
      </c>
      <c r="AE7" s="311"/>
      <c r="AF7" s="310" t="str">
        <f>IFERROR(AVERAGEIF('CEC DB for analysis'!$AO$9:$AO$600,'CEC analysis'!$C7&amp;"_"&amp;'CEC analysis'!Y$5,'CEC DB for analysis'!$AF$9:$AF$600),"")</f>
        <v/>
      </c>
      <c r="AG7" s="310" t="str">
        <f>IFERROR(AVERAGEIF('CEC DB for analysis'!$AO$9:$AO$600,'CEC analysis'!$C7&amp;"_"&amp;'CEC analysis'!Z$5,'CEC DB for analysis'!$AF$9:$AF$600),"")</f>
        <v/>
      </c>
      <c r="AH7" s="310" t="str">
        <f>IFERROR(AVERAGEIF('CEC DB for analysis'!$AO$9:$AO$600,'CEC analysis'!$C7&amp;"_"&amp;'CEC analysis'!AA$5,'CEC DB for analysis'!$AF$9:$AF$600),"")</f>
        <v/>
      </c>
      <c r="AI7" s="310" t="str">
        <f>IFERROR(AVERAGEIF('CEC DB for analysis'!$AO$9:$AO$600,'CEC analysis'!$C7&amp;"_"&amp;'CEC analysis'!AB$5,'CEC DB for analysis'!$AF$9:$AF$600),"")</f>
        <v/>
      </c>
      <c r="AJ7" s="310" t="str">
        <f>IFERROR(AVERAGEIF('CEC DB for analysis'!$AP$9:$AP$600,'CEC analysis'!$C7&amp;"_YES",'CEC DB for analysis'!$AF$9:$AF$600),"")</f>
        <v/>
      </c>
      <c r="AK7" s="310"/>
      <c r="AL7" s="314"/>
      <c r="AM7" s="310" t="str">
        <f>IFERROR(AVERAGEIF('CEC DB for analysis'!$AO$9:$AO$600,'CEC analysis'!$C7&amp;"_"&amp;'CEC analysis'!AF$5,'CEC DB for analysis'!$AF$9:$AF$600),"")</f>
        <v/>
      </c>
      <c r="AN7" s="310" t="str">
        <f>IFERROR(AVERAGEIF('CEC DB for analysis'!$AO$9:$AO$600,'CEC analysis'!$C7&amp;"_"&amp;'CEC analysis'!AG$5,'CEC DB for analysis'!$AF$9:$AF$600),"")</f>
        <v/>
      </c>
      <c r="AO7" s="310" t="str">
        <f>IFERROR(AVERAGEIF('CEC DB for analysis'!$AO$9:$AO$600,'CEC analysis'!$C7&amp;"_"&amp;'CEC analysis'!AH$5,'CEC DB for analysis'!$AF$9:$AF$600),"")</f>
        <v/>
      </c>
      <c r="AP7" s="310" t="str">
        <f>IFERROR(AVERAGEIF('CEC DB for analysis'!$AO$9:$AO$600,'CEC analysis'!$C7&amp;"_"&amp;'CEC analysis'!AI$5,'CEC DB for analysis'!$AF$9:$AF$600),"")</f>
        <v/>
      </c>
      <c r="AQ7" s="310" t="str">
        <f>IFERROR(AVERAGEIF('CEC DB for analysis'!$AP$9:$AP$600,'CEC analysis'!$C7&amp;"_YES",'CEC DB for analysis'!$AF$9:$AF$600),"")</f>
        <v/>
      </c>
      <c r="AR7" s="310"/>
      <c r="AT7" s="316" t="str">
        <f>IFERROR(AVERAGEIF('CEC DB for analysis'!$AO$9:$AO$600,'CEC analysis'!$C7&amp;"_"&amp;'CEC analysis'!K$5,'CEC DB for analysis'!$AB$9:$AB$600),"")</f>
        <v/>
      </c>
      <c r="AU7" s="316" t="str">
        <f>IFERROR(AVERAGEIF('CEC DB for analysis'!$AO$9:$AO$600,'CEC analysis'!$C7&amp;"_"&amp;'CEC analysis'!L$5,'CEC DB for analysis'!$AB$9:$AB$600),"")</f>
        <v/>
      </c>
      <c r="AV7" s="316" t="str">
        <f>IFERROR(AVERAGEIF('CEC DB for analysis'!$AO$9:$AO$600,'CEC analysis'!$C7&amp;"_"&amp;'CEC analysis'!M$5,'CEC DB for analysis'!$AB$9:$AB$600),"")</f>
        <v/>
      </c>
      <c r="AW7" s="316" t="str">
        <f>IFERROR(AVERAGEIF('CEC DB for analysis'!$AO$9:$AO$600,'CEC analysis'!$C7&amp;"_"&amp;'CEC analysis'!N$5,'CEC DB for analysis'!$AB$9:$AB$600),"")</f>
        <v/>
      </c>
      <c r="AX7" s="316" t="str">
        <f>IFERROR(AVERAGEIF('CEC DB for analysis'!$AP$9:$AP$600,'CEC analysis'!$C7&amp;"_YES",'CEC DB for analysis'!$AB$9:$AB$600),"")</f>
        <v/>
      </c>
      <c r="AY7" s="316" t="str">
        <f t="shared" ref="AY7:AY47" si="12">IF(I7=0,"",SUMPRODUCT(AT7:AW7,D7:G7)/SUM(D7:G7))</f>
        <v/>
      </c>
      <c r="BA7" s="310" t="str">
        <f>IFERROR(AVERAGEIF('CEC DB for analysis'!$AO$9:$AO$600,'CEC analysis'!$C7&amp;"_"&amp;'CEC analysis'!R$5,'CEC DB for analysis'!$V$9:$V$600),"")</f>
        <v/>
      </c>
      <c r="BB7" s="310" t="str">
        <f>IFERROR(AVERAGEIF('CEC DB for analysis'!$AO$9:$AO$600,'CEC analysis'!$C7&amp;"_"&amp;'CEC analysis'!S$5,'CEC DB for analysis'!$V$9:$V$600),"")</f>
        <v/>
      </c>
      <c r="BC7" s="310" t="str">
        <f>IFERROR(AVERAGEIF('CEC DB for analysis'!$AO$9:$AO$600,'CEC analysis'!$C7&amp;"_"&amp;'CEC analysis'!T$5,'CEC DB for analysis'!$V$9:$V$600),"")</f>
        <v/>
      </c>
      <c r="BD7" s="310" t="str">
        <f>IFERROR(AVERAGEIF('CEC DB for analysis'!$AO$9:$AO$600,'CEC analysis'!$C7&amp;"_"&amp;'CEC analysis'!U$5,'CEC DB for analysis'!$V$9:$V$600),"")</f>
        <v/>
      </c>
      <c r="BE7" s="310" t="str">
        <f>IFERROR(AVERAGEIF('CEC DB for analysis'!$AP$9:$AP$600,'CEC analysis'!$C7&amp;"_YES",'CEC DB for analysis'!$V$9:$V$600),"")</f>
        <v/>
      </c>
      <c r="BF7" s="310" t="str">
        <f t="shared" ref="BF7:BF47" si="13">IF(I7=0,"",SUMPRODUCT(BA7:BD7,D7:G7)/SUM(D7:G7))</f>
        <v/>
      </c>
      <c r="BH7" s="310"/>
      <c r="BI7" s="310"/>
      <c r="BJ7" s="310"/>
      <c r="BK7" s="310"/>
      <c r="BL7" s="310"/>
      <c r="BM7" s="310"/>
    </row>
    <row r="8" spans="1:65">
      <c r="A8" s="553"/>
      <c r="B8" s="306"/>
      <c r="C8" s="307" t="s">
        <v>4561</v>
      </c>
      <c r="D8" s="308">
        <f>COUNTIF('CEC DB for analysis'!$AO$9:$AO$600,$C8&amp;"_"&amp;D$5)</f>
        <v>0</v>
      </c>
      <c r="E8" s="308">
        <f>COUNTIF('CEC DB for analysis'!$AO$9:$AO$600,$C8&amp;"_"&amp;E$5)</f>
        <v>0</v>
      </c>
      <c r="F8" s="308">
        <f>COUNTIF('CEC DB for analysis'!$AO$9:$AO$600,$C8&amp;"_"&amp;F$5)</f>
        <v>0</v>
      </c>
      <c r="G8" s="308">
        <f>COUNTIF('CEC DB for analysis'!$AO$9:$AO$600,$C8&amp;"_"&amp;G$5)</f>
        <v>0</v>
      </c>
      <c r="H8" s="308">
        <f>COUNTIF('CEC DB for analysis'!$AP$9:$AP$600,'CEC analysis'!C8&amp;"_YES")</f>
        <v>0</v>
      </c>
      <c r="I8" s="308">
        <f t="shared" si="4"/>
        <v>0</v>
      </c>
      <c r="J8" s="306"/>
      <c r="K8" s="309" t="str">
        <f>IFERROR(AVERAGEIF('CEC DB for analysis'!$AO$9:$AO$600,'CEC analysis'!$C8&amp;"_"&amp;'CEC analysis'!K$5,'CEC DB for analysis'!$AG$9:$AG$600),"")</f>
        <v/>
      </c>
      <c r="L8" s="309" t="str">
        <f>IFERROR(AVERAGEIF('CEC DB for analysis'!$AO$9:$AO$600,'CEC analysis'!$C8&amp;"_"&amp;'CEC analysis'!L$5,'CEC DB for analysis'!$AG$9:$AG$600),"")</f>
        <v/>
      </c>
      <c r="M8" s="309" t="str">
        <f>IFERROR(AVERAGEIF('CEC DB for analysis'!$AO$9:$AO$600,'CEC analysis'!$C8&amp;"_"&amp;'CEC analysis'!M$5,'CEC DB for analysis'!$AG$9:$AG$600),"")</f>
        <v/>
      </c>
      <c r="N8" s="309" t="str">
        <f>IFERROR(AVERAGEIF('CEC DB for analysis'!$AO$9:$AO$600,'CEC analysis'!$C8&amp;"_"&amp;'CEC analysis'!N$5,'CEC DB for analysis'!$AG$9:$AG$600),"")</f>
        <v/>
      </c>
      <c r="O8" s="309" t="str">
        <f>IFERROR(AVERAGEIF('CEC DB for analysis'!$AP$9:$AP$600,'CEC analysis'!$C8&amp;"_YES",'CEC DB for analysis'!$AG$9:$AG$600),"")</f>
        <v/>
      </c>
      <c r="P8" s="309" t="str">
        <f t="shared" si="5"/>
        <v/>
      </c>
      <c r="Q8" s="306"/>
      <c r="R8" s="310" t="str">
        <f>IFERROR(AVERAGEIF('CEC DB for analysis'!$AO$9:$AO$600,'CEC analysis'!$C8&amp;"_"&amp;'CEC analysis'!K$5,'CEC DB for analysis'!$AF$9:$AF$600),"")</f>
        <v/>
      </c>
      <c r="S8" s="310" t="str">
        <f>IFERROR(AVERAGEIF('CEC DB for analysis'!$AO$9:$AO$600,'CEC analysis'!$C8&amp;"_"&amp;'CEC analysis'!L$5,'CEC DB for analysis'!$AF$9:$AF$600),"")</f>
        <v/>
      </c>
      <c r="T8" s="310" t="str">
        <f>IFERROR(AVERAGEIF('CEC DB for analysis'!$AO$9:$AO$600,'CEC analysis'!$C8&amp;"_"&amp;'CEC analysis'!M$5,'CEC DB for analysis'!$AF$9:$AF$600),"")</f>
        <v/>
      </c>
      <c r="U8" s="310" t="str">
        <f>IFERROR(AVERAGEIF('CEC DB for analysis'!$AO$9:$AO$600,'CEC analysis'!$C8&amp;"_"&amp;'CEC analysis'!N$5,'CEC DB for analysis'!$AF$9:$AF$600),"")</f>
        <v/>
      </c>
      <c r="V8" s="310" t="str">
        <f>IFERROR(AVERAGEIF('CEC DB for analysis'!$AP$9:$AP$600,'CEC analysis'!$C8&amp;"_YES",'CEC DB for analysis'!$AF$9:$AF$600),"")</f>
        <v/>
      </c>
      <c r="W8" s="310" t="str">
        <f t="shared" si="6"/>
        <v/>
      </c>
      <c r="X8" s="306"/>
      <c r="Y8" s="310" t="str">
        <f t="shared" si="11"/>
        <v/>
      </c>
      <c r="Z8" s="310" t="str">
        <f t="shared" si="7"/>
        <v/>
      </c>
      <c r="AA8" s="310" t="str">
        <f t="shared" si="7"/>
        <v/>
      </c>
      <c r="AB8" s="310" t="str">
        <f t="shared" si="7"/>
        <v/>
      </c>
      <c r="AC8" s="310" t="str">
        <f t="shared" si="7"/>
        <v/>
      </c>
      <c r="AD8" s="310" t="str">
        <f t="shared" si="7"/>
        <v/>
      </c>
      <c r="AE8" s="311"/>
      <c r="AF8" s="310" t="str">
        <f>IFERROR(AVERAGEIF('CEC DB for analysis'!$AO$9:$AO$600,'CEC analysis'!$C8&amp;"_"&amp;'CEC analysis'!Y$5,'CEC DB for analysis'!$AF$9:$AF$600),"")</f>
        <v/>
      </c>
      <c r="AG8" s="310" t="str">
        <f>IFERROR(AVERAGEIF('CEC DB for analysis'!$AO$9:$AO$600,'CEC analysis'!$C8&amp;"_"&amp;'CEC analysis'!Z$5,'CEC DB for analysis'!$AF$9:$AF$600),"")</f>
        <v/>
      </c>
      <c r="AH8" s="310" t="str">
        <f>IFERROR(AVERAGEIF('CEC DB for analysis'!$AO$9:$AO$600,'CEC analysis'!$C8&amp;"_"&amp;'CEC analysis'!AA$5,'CEC DB for analysis'!$AF$9:$AF$600),"")</f>
        <v/>
      </c>
      <c r="AI8" s="310" t="str">
        <f>IFERROR(AVERAGEIF('CEC DB for analysis'!$AO$9:$AO$600,'CEC analysis'!$C8&amp;"_"&amp;'CEC analysis'!AB$5,'CEC DB for analysis'!$AF$9:$AF$600),"")</f>
        <v/>
      </c>
      <c r="AJ8" s="310" t="str">
        <f>IFERROR(AVERAGEIF('CEC DB for analysis'!$AP$9:$AP$600,'CEC analysis'!$C8&amp;"_YES",'CEC DB for analysis'!$AF$9:$AF$600),"")</f>
        <v/>
      </c>
      <c r="AK8" s="310"/>
      <c r="AL8" s="314"/>
      <c r="AM8" s="310" t="str">
        <f>IFERROR(AVERAGEIF('CEC DB for analysis'!$AO$9:$AO$600,'CEC analysis'!$C8&amp;"_"&amp;'CEC analysis'!AF$5,'CEC DB for analysis'!$AF$9:$AF$600),"")</f>
        <v/>
      </c>
      <c r="AN8" s="310" t="str">
        <f>IFERROR(AVERAGEIF('CEC DB for analysis'!$AO$9:$AO$600,'CEC analysis'!$C8&amp;"_"&amp;'CEC analysis'!AG$5,'CEC DB for analysis'!$AF$9:$AF$600),"")</f>
        <v/>
      </c>
      <c r="AO8" s="310" t="str">
        <f>IFERROR(AVERAGEIF('CEC DB for analysis'!$AO$9:$AO$600,'CEC analysis'!$C8&amp;"_"&amp;'CEC analysis'!AH$5,'CEC DB for analysis'!$AF$9:$AF$600),"")</f>
        <v/>
      </c>
      <c r="AP8" s="310" t="str">
        <f>IFERROR(AVERAGEIF('CEC DB for analysis'!$AO$9:$AO$600,'CEC analysis'!$C8&amp;"_"&amp;'CEC analysis'!AI$5,'CEC DB for analysis'!$AF$9:$AF$600),"")</f>
        <v/>
      </c>
      <c r="AQ8" s="310" t="str">
        <f>IFERROR(AVERAGEIF('CEC DB for analysis'!$AP$9:$AP$600,'CEC analysis'!$C8&amp;"_YES",'CEC DB for analysis'!$AF$9:$AF$600),"")</f>
        <v/>
      </c>
      <c r="AR8" s="310"/>
      <c r="AT8" s="316" t="str">
        <f>IFERROR(AVERAGEIF('CEC DB for analysis'!$AO$9:$AO$600,'CEC analysis'!$C8&amp;"_"&amp;'CEC analysis'!K$5,'CEC DB for analysis'!$AB$9:$AB$600),"")</f>
        <v/>
      </c>
      <c r="AU8" s="316" t="str">
        <f>IFERROR(AVERAGEIF('CEC DB for analysis'!$AO$9:$AO$600,'CEC analysis'!$C8&amp;"_"&amp;'CEC analysis'!L$5,'CEC DB for analysis'!$AB$9:$AB$600),"")</f>
        <v/>
      </c>
      <c r="AV8" s="316" t="str">
        <f>IFERROR(AVERAGEIF('CEC DB for analysis'!$AO$9:$AO$600,'CEC analysis'!$C8&amp;"_"&amp;'CEC analysis'!M$5,'CEC DB for analysis'!$AB$9:$AB$600),"")</f>
        <v/>
      </c>
      <c r="AW8" s="316" t="str">
        <f>IFERROR(AVERAGEIF('CEC DB for analysis'!$AO$9:$AO$600,'CEC analysis'!$C8&amp;"_"&amp;'CEC analysis'!N$5,'CEC DB for analysis'!$AB$9:$AB$600),"")</f>
        <v/>
      </c>
      <c r="AX8" s="316" t="str">
        <f>IFERROR(AVERAGEIF('CEC DB for analysis'!$AP$9:$AP$600,'CEC analysis'!$C8&amp;"_YES",'CEC DB for analysis'!$AB$9:$AB$600),"")</f>
        <v/>
      </c>
      <c r="AY8" s="316" t="str">
        <f t="shared" si="12"/>
        <v/>
      </c>
      <c r="BA8" s="310" t="str">
        <f>IFERROR(AVERAGEIF('CEC DB for analysis'!$AO$9:$AO$600,'CEC analysis'!$C8&amp;"_"&amp;'CEC analysis'!R$5,'CEC DB for analysis'!$V$9:$V$600),"")</f>
        <v/>
      </c>
      <c r="BB8" s="310" t="str">
        <f>IFERROR(AVERAGEIF('CEC DB for analysis'!$AO$9:$AO$600,'CEC analysis'!$C8&amp;"_"&amp;'CEC analysis'!S$5,'CEC DB for analysis'!$V$9:$V$600),"")</f>
        <v/>
      </c>
      <c r="BC8" s="310" t="str">
        <f>IFERROR(AVERAGEIF('CEC DB for analysis'!$AO$9:$AO$600,'CEC analysis'!$C8&amp;"_"&amp;'CEC analysis'!T$5,'CEC DB for analysis'!$V$9:$V$600),"")</f>
        <v/>
      </c>
      <c r="BD8" s="310" t="str">
        <f>IFERROR(AVERAGEIF('CEC DB for analysis'!$AO$9:$AO$600,'CEC analysis'!$C8&amp;"_"&amp;'CEC analysis'!U$5,'CEC DB for analysis'!$V$9:$V$600),"")</f>
        <v/>
      </c>
      <c r="BE8" s="310" t="str">
        <f>IFERROR(AVERAGEIF('CEC DB for analysis'!$AP$9:$AP$600,'CEC analysis'!$C8&amp;"_YES",'CEC DB for analysis'!$V$9:$V$600),"")</f>
        <v/>
      </c>
      <c r="BF8" s="310" t="str">
        <f t="shared" si="13"/>
        <v/>
      </c>
      <c r="BH8" s="310"/>
      <c r="BI8" s="310"/>
      <c r="BJ8" s="310"/>
      <c r="BK8" s="310"/>
      <c r="BL8" s="310"/>
      <c r="BM8" s="310"/>
    </row>
    <row r="9" spans="1:65" s="470" customFormat="1">
      <c r="A9" s="553"/>
      <c r="C9" s="471" t="s">
        <v>4562</v>
      </c>
      <c r="D9" s="472">
        <f>COUNTIF('CEC DB for analysis'!$AO$9:$AO$600,$C9&amp;"_"&amp;D$5)</f>
        <v>29</v>
      </c>
      <c r="E9" s="472">
        <f>COUNTIF('CEC DB for analysis'!$AO$9:$AO$600,$C9&amp;"_"&amp;E$5)</f>
        <v>17</v>
      </c>
      <c r="F9" s="472">
        <f>COUNTIF('CEC DB for analysis'!$AO$9:$AO$600,$C9&amp;"_"&amp;F$5)</f>
        <v>0</v>
      </c>
      <c r="G9" s="472">
        <f>COUNTIF('CEC DB for analysis'!$AO$9:$AO$600,$C9&amp;"_"&amp;G$5)</f>
        <v>0</v>
      </c>
      <c r="H9" s="472">
        <f>COUNTIF('CEC DB for analysis'!$AP$9:$AP$600,'CEC analysis'!C9&amp;"_YES")</f>
        <v>17</v>
      </c>
      <c r="I9" s="472">
        <f t="shared" si="4"/>
        <v>46</v>
      </c>
      <c r="K9" s="473">
        <f>IFERROR(AVERAGEIF('CEC DB for analysis'!$AO$9:$AO$600,'CEC analysis'!$C9&amp;"_"&amp;'CEC analysis'!K$5,'CEC DB for analysis'!$AG$9:$AG$600),"")</f>
        <v>1.9858764231137246E-2</v>
      </c>
      <c r="L9" s="473">
        <f>IFERROR(AVERAGEIF('CEC DB for analysis'!$AO$9:$AO$600,'CEC analysis'!$C9&amp;"_"&amp;'CEC analysis'!L$5,'CEC DB for analysis'!$AG$9:$AG$600),"")</f>
        <v>0.10231376128144518</v>
      </c>
      <c r="M9" s="473" t="str">
        <f>IFERROR(AVERAGEIF('CEC DB for analysis'!$AO$9:$AO$600,'CEC analysis'!$C9&amp;"_"&amp;'CEC analysis'!M$5,'CEC DB for analysis'!$AG$9:$AG$600),"")</f>
        <v/>
      </c>
      <c r="N9" s="473" t="str">
        <f>IFERROR(AVERAGEIF('CEC DB for analysis'!$AO$9:$AO$600,'CEC analysis'!$C9&amp;"_"&amp;'CEC analysis'!N$5,'CEC DB for analysis'!$AG$9:$AG$600),"")</f>
        <v/>
      </c>
      <c r="O9" s="473">
        <f>IFERROR(AVERAGEIF('CEC DB for analysis'!$AP$9:$AP$600,'CEC analysis'!$C9&amp;"_YES",'CEC DB for analysis'!$AG$9:$AG$600),"")</f>
        <v>0.10231376128144518</v>
      </c>
      <c r="P9" s="473">
        <f t="shared" si="5"/>
        <v>5.0331263141033658E-2</v>
      </c>
      <c r="R9" s="474">
        <f>IFERROR(AVERAGEIF('CEC DB for analysis'!$AO$9:$AO$600,'CEC analysis'!$C9&amp;"_"&amp;'CEC analysis'!K$5,'CEC DB for analysis'!$AF$9:$AF$600),"")</f>
        <v>7.9148096551724052</v>
      </c>
      <c r="S9" s="474">
        <f>IFERROR(AVERAGEIF('CEC DB for analysis'!$AO$9:$AO$600,'CEC analysis'!$C9&amp;"_"&amp;'CEC analysis'!L$5,'CEC DB for analysis'!$AF$9:$AF$600),"")</f>
        <v>39.736152705882347</v>
      </c>
      <c r="T9" s="474" t="str">
        <f>IFERROR(AVERAGEIF('CEC DB for analysis'!$AO$9:$AO$600,'CEC analysis'!$C9&amp;"_"&amp;'CEC analysis'!M$5,'CEC DB for analysis'!$AF$9:$AF$600),"")</f>
        <v/>
      </c>
      <c r="U9" s="474" t="str">
        <f>IFERROR(AVERAGEIF('CEC DB for analysis'!$AO$9:$AO$600,'CEC analysis'!$C9&amp;"_"&amp;'CEC analysis'!N$5,'CEC DB for analysis'!$AF$9:$AF$600),"")</f>
        <v/>
      </c>
      <c r="V9" s="474">
        <f>IFERROR(AVERAGEIF('CEC DB for analysis'!$AP$9:$AP$600,'CEC analysis'!$C9&amp;"_YES",'CEC DB for analysis'!$AF$9:$AF$600),"")</f>
        <v>39.736152705882347</v>
      </c>
      <c r="W9" s="474">
        <f>IF(I9=0,"",SUMPRODUCT(R9:U9,D9:G9)/SUM(D9:G9))</f>
        <v>19.674871217391296</v>
      </c>
      <c r="Y9" s="474">
        <f t="shared" si="11"/>
        <v>-11.76006156221889</v>
      </c>
      <c r="Z9" s="474">
        <f t="shared" si="11"/>
        <v>20.061281488491051</v>
      </c>
      <c r="AA9" s="474" t="str">
        <f t="shared" si="11"/>
        <v/>
      </c>
      <c r="AB9" s="474" t="str">
        <f t="shared" si="11"/>
        <v/>
      </c>
      <c r="AC9" s="474">
        <f t="shared" si="11"/>
        <v>20.061281488491051</v>
      </c>
      <c r="AD9" s="474">
        <f t="shared" si="11"/>
        <v>0</v>
      </c>
      <c r="AE9" s="475"/>
      <c r="AF9" s="474"/>
      <c r="AG9" s="474"/>
      <c r="AH9" s="474"/>
      <c r="AI9" s="474"/>
      <c r="AJ9" s="474"/>
      <c r="AK9" s="474"/>
      <c r="AL9" s="475"/>
      <c r="AM9" s="474"/>
      <c r="AN9" s="474"/>
      <c r="AO9" s="474"/>
      <c r="AP9" s="474"/>
      <c r="AQ9" s="474"/>
      <c r="AR9" s="474"/>
      <c r="AT9" s="476">
        <f>IFERROR(AVERAGEIF('CEC DB for analysis'!$AO$9:$AO$600,'CEC analysis'!$C9&amp;"_"&amp;'CEC analysis'!K$5,'CEC DB for analysis'!$AB$9:$AB$600),"")</f>
        <v>18.481517241379311</v>
      </c>
      <c r="AU9" s="476">
        <f>IFERROR(AVERAGEIF('CEC DB for analysis'!$AO$9:$AO$600,'CEC analysis'!$C9&amp;"_"&amp;'CEC analysis'!L$5,'CEC DB for analysis'!$AB$9:$AB$600),"")</f>
        <v>19.153105882352943</v>
      </c>
      <c r="AV9" s="476" t="str">
        <f>IFERROR(AVERAGEIF('CEC DB for analysis'!$AO$9:$AO$600,'CEC analysis'!$C9&amp;"_"&amp;'CEC analysis'!M$5,'CEC DB for analysis'!$AB$9:$AB$600),"")</f>
        <v/>
      </c>
      <c r="AW9" s="476" t="str">
        <f>IFERROR(AVERAGEIF('CEC DB for analysis'!$AO$9:$AO$600,'CEC analysis'!$C9&amp;"_"&amp;'CEC analysis'!N$5,'CEC DB for analysis'!$AB$9:$AB$600),"")</f>
        <v/>
      </c>
      <c r="AX9" s="476">
        <f>IFERROR(AVERAGEIF('CEC DB for analysis'!$AP$9:$AP$600,'CEC analysis'!$C9&amp;"_YES",'CEC DB for analysis'!$AB$9:$AB$600),"")</f>
        <v>19.153105882352943</v>
      </c>
      <c r="AY9" s="476">
        <f t="shared" si="12"/>
        <v>18.729713043478263</v>
      </c>
      <c r="BA9" s="474">
        <f>IFERROR(AVERAGEIF('CEC DB for analysis'!$AO$9:$AO$600,'CEC analysis'!$C9&amp;"_"&amp;'CEC analysis'!R$5,'CEC DB for analysis'!$V$9:$V$600),"")</f>
        <v>374.93103448275861</v>
      </c>
      <c r="BB9" s="474">
        <f>IFERROR(AVERAGEIF('CEC DB for analysis'!$AO$9:$AO$600,'CEC analysis'!$C9&amp;"_"&amp;'CEC analysis'!S$5,'CEC DB for analysis'!$V$9:$V$600),"")</f>
        <v>348.52941176470586</v>
      </c>
      <c r="BC9" s="474" t="str">
        <f>IFERROR(AVERAGEIF('CEC DB for analysis'!$AO$9:$AO$600,'CEC analysis'!$C9&amp;"_"&amp;'CEC analysis'!T$5,'CEC DB for analysis'!$V$9:$V$600),"")</f>
        <v/>
      </c>
      <c r="BD9" s="474" t="str">
        <f>IFERROR(AVERAGEIF('CEC DB for analysis'!$AO$9:$AO$600,'CEC analysis'!$C9&amp;"_"&amp;'CEC analysis'!U$5,'CEC DB for analysis'!$V$9:$V$600),"")</f>
        <v/>
      </c>
      <c r="BE9" s="474">
        <f>IFERROR(AVERAGEIF('CEC DB for analysis'!$AP$9:$AP$600,'CEC analysis'!$C9&amp;"_YES",'CEC DB for analysis'!$V$9:$V$600),"")</f>
        <v>348.52941176470586</v>
      </c>
      <c r="BF9" s="474">
        <f t="shared" si="13"/>
        <v>365.17391304347825</v>
      </c>
      <c r="BH9" s="474"/>
      <c r="BI9" s="474"/>
      <c r="BJ9" s="474"/>
      <c r="BK9" s="474"/>
      <c r="BL9" s="474"/>
      <c r="BM9" s="474"/>
    </row>
    <row r="10" spans="1:65" s="477" customFormat="1">
      <c r="A10" s="553"/>
      <c r="C10" s="478" t="s">
        <v>219</v>
      </c>
      <c r="D10" s="479">
        <f>COUNTIF('CEC DB for analysis'!$AO$9:$AO$600,$C10&amp;"_"&amp;D$5)</f>
        <v>0</v>
      </c>
      <c r="E10" s="479">
        <f>COUNTIF('CEC DB for analysis'!$AO$9:$AO$600,$C10&amp;"_"&amp;E$5)</f>
        <v>0</v>
      </c>
      <c r="F10" s="479">
        <f>COUNTIF('CEC DB for analysis'!$AO$9:$AO$600,$C10&amp;"_"&amp;F$5)</f>
        <v>0</v>
      </c>
      <c r="G10" s="479">
        <f>COUNTIF('CEC DB for analysis'!$AO$9:$AO$600,$C10&amp;"_"&amp;G$5)</f>
        <v>0</v>
      </c>
      <c r="H10" s="479">
        <f>COUNTIF('CEC DB for analysis'!$AP$9:$AP$600,'CEC analysis'!C10&amp;"_YES")</f>
        <v>0</v>
      </c>
      <c r="I10" s="479">
        <f t="shared" si="4"/>
        <v>0</v>
      </c>
      <c r="K10" s="480" t="str">
        <f>IFERROR(AVERAGEIF('CEC DB for analysis'!$AO$9:$AO$600,'CEC analysis'!$C10&amp;"_"&amp;'CEC analysis'!K$5,'CEC DB for analysis'!$AG$9:$AG$600),"")</f>
        <v/>
      </c>
      <c r="L10" s="480" t="str">
        <f>IFERROR(AVERAGEIF('CEC DB for analysis'!$AO$9:$AO$600,'CEC analysis'!$C10&amp;"_"&amp;'CEC analysis'!L$5,'CEC DB for analysis'!$AG$9:$AG$600),"")</f>
        <v/>
      </c>
      <c r="M10" s="480" t="str">
        <f>IFERROR(AVERAGEIF('CEC DB for analysis'!$AO$9:$AO$600,'CEC analysis'!$C10&amp;"_"&amp;'CEC analysis'!M$5,'CEC DB for analysis'!$AG$9:$AG$600),"")</f>
        <v/>
      </c>
      <c r="N10" s="480" t="str">
        <f>IFERROR(AVERAGEIF('CEC DB for analysis'!$AO$9:$AO$600,'CEC analysis'!$C10&amp;"_"&amp;'CEC analysis'!N$5,'CEC DB for analysis'!$AG$9:$AG$600),"")</f>
        <v/>
      </c>
      <c r="O10" s="480" t="str">
        <f>IFERROR(AVERAGEIF('CEC DB for analysis'!$AP$9:$AP$600,'CEC analysis'!$C10&amp;"_YES",'CEC DB for analysis'!$AG$9:$AG$600),"")</f>
        <v/>
      </c>
      <c r="P10" s="480" t="str">
        <f t="shared" si="5"/>
        <v/>
      </c>
      <c r="R10" s="481" t="str">
        <f>IFERROR(AVERAGEIF('CEC DB for analysis'!$AO$9:$AO$600,'CEC analysis'!$C10&amp;"_"&amp;'CEC analysis'!K$5,'CEC DB for analysis'!$AF$9:$AF$600),"")</f>
        <v/>
      </c>
      <c r="S10" s="481" t="str">
        <f>IFERROR(AVERAGEIF('CEC DB for analysis'!$AO$9:$AO$600,'CEC analysis'!$C10&amp;"_"&amp;'CEC analysis'!L$5,'CEC DB for analysis'!$AF$9:$AF$600),"")</f>
        <v/>
      </c>
      <c r="T10" s="481" t="str">
        <f>IFERROR(AVERAGEIF('CEC DB for analysis'!$AO$9:$AO$600,'CEC analysis'!$C10&amp;"_"&amp;'CEC analysis'!M$5,'CEC DB for analysis'!$AF$9:$AF$600),"")</f>
        <v/>
      </c>
      <c r="U10" s="481" t="str">
        <f>IFERROR(AVERAGEIF('CEC DB for analysis'!$AO$9:$AO$600,'CEC analysis'!$C10&amp;"_"&amp;'CEC analysis'!N$5,'CEC DB for analysis'!$AF$9:$AF$600),"")</f>
        <v/>
      </c>
      <c r="V10" s="481" t="str">
        <f>IFERROR(AVERAGEIF('CEC DB for analysis'!$AP$9:$AP$600,'CEC analysis'!$C10&amp;"_YES",'CEC DB for analysis'!$AF$9:$AF$600),"")</f>
        <v/>
      </c>
      <c r="W10" s="481" t="str">
        <f>IF(I10=0,"",SUMPRODUCT(R10:U10,D10:G10)/SUM(D10:G10))</f>
        <v/>
      </c>
      <c r="Y10" s="481" t="str">
        <f t="shared" si="11"/>
        <v/>
      </c>
      <c r="Z10" s="481" t="str">
        <f t="shared" si="7"/>
        <v/>
      </c>
      <c r="AA10" s="481" t="str">
        <f t="shared" si="7"/>
        <v/>
      </c>
      <c r="AB10" s="481" t="str">
        <f t="shared" si="7"/>
        <v/>
      </c>
      <c r="AC10" s="481" t="str">
        <f t="shared" si="7"/>
        <v/>
      </c>
      <c r="AD10" s="481" t="str">
        <f t="shared" si="7"/>
        <v/>
      </c>
      <c r="AE10" s="482"/>
      <c r="AF10" s="481"/>
      <c r="AG10" s="481"/>
      <c r="AH10" s="481"/>
      <c r="AI10" s="481"/>
      <c r="AJ10" s="481"/>
      <c r="AK10" s="481"/>
      <c r="AL10" s="482"/>
      <c r="AM10" s="481"/>
      <c r="AN10" s="481"/>
      <c r="AO10" s="481"/>
      <c r="AP10" s="481"/>
      <c r="AQ10" s="481"/>
      <c r="AR10" s="481"/>
      <c r="AT10" s="483" t="str">
        <f>IFERROR(AVERAGEIF('CEC DB for analysis'!$AO$9:$AO$600,'CEC analysis'!$C10&amp;"_"&amp;'CEC analysis'!K$5,'CEC DB for analysis'!$AB$9:$AB$600),"")</f>
        <v/>
      </c>
      <c r="AU10" s="483" t="str">
        <f>IFERROR(AVERAGEIF('CEC DB for analysis'!$AO$9:$AO$600,'CEC analysis'!$C10&amp;"_"&amp;'CEC analysis'!L$5,'CEC DB for analysis'!$AB$9:$AB$600),"")</f>
        <v/>
      </c>
      <c r="AV10" s="483" t="str">
        <f>IFERROR(AVERAGEIF('CEC DB for analysis'!$AO$9:$AO$600,'CEC analysis'!$C10&amp;"_"&amp;'CEC analysis'!M$5,'CEC DB for analysis'!$AB$9:$AB$600),"")</f>
        <v/>
      </c>
      <c r="AW10" s="483" t="str">
        <f>IFERROR(AVERAGEIF('CEC DB for analysis'!$AO$9:$AO$600,'CEC analysis'!$C10&amp;"_"&amp;'CEC analysis'!N$5,'CEC DB for analysis'!$AB$9:$AB$600),"")</f>
        <v/>
      </c>
      <c r="AX10" s="483" t="str">
        <f>IFERROR(AVERAGEIF('CEC DB for analysis'!$AP$9:$AP$600,'CEC analysis'!$C10&amp;"_YES",'CEC DB for analysis'!$AB$9:$AB$600),"")</f>
        <v/>
      </c>
      <c r="AY10" s="483" t="str">
        <f t="shared" si="12"/>
        <v/>
      </c>
      <c r="BA10" s="481" t="str">
        <f>IFERROR(AVERAGEIF('CEC DB for analysis'!$AO$9:$AO$600,'CEC analysis'!$C10&amp;"_"&amp;'CEC analysis'!R$5,'CEC DB for analysis'!$V$9:$V$600),"")</f>
        <v/>
      </c>
      <c r="BB10" s="481" t="str">
        <f>IFERROR(AVERAGEIF('CEC DB for analysis'!$AO$9:$AO$600,'CEC analysis'!$C10&amp;"_"&amp;'CEC analysis'!S$5,'CEC DB for analysis'!$V$9:$V$600),"")</f>
        <v/>
      </c>
      <c r="BC10" s="481" t="str">
        <f>IFERROR(AVERAGEIF('CEC DB for analysis'!$AO$9:$AO$600,'CEC analysis'!$C10&amp;"_"&amp;'CEC analysis'!T$5,'CEC DB for analysis'!$V$9:$V$600),"")</f>
        <v/>
      </c>
      <c r="BD10" s="481" t="str">
        <f>IFERROR(AVERAGEIF('CEC DB for analysis'!$AO$9:$AO$600,'CEC analysis'!$C10&amp;"_"&amp;'CEC analysis'!U$5,'CEC DB for analysis'!$V$9:$V$600),"")</f>
        <v/>
      </c>
      <c r="BE10" s="481" t="str">
        <f>IFERROR(AVERAGEIF('CEC DB for analysis'!$AP$9:$AP$600,'CEC analysis'!$C10&amp;"_YES",'CEC DB for analysis'!$V$9:$V$600),"")</f>
        <v/>
      </c>
      <c r="BF10" s="481" t="str">
        <f t="shared" si="13"/>
        <v/>
      </c>
      <c r="BH10" s="481"/>
      <c r="BI10" s="481"/>
      <c r="BJ10" s="481"/>
      <c r="BK10" s="481"/>
      <c r="BL10" s="481"/>
      <c r="BM10" s="481"/>
    </row>
    <row r="11" spans="1:65" s="477" customFormat="1">
      <c r="A11" s="553"/>
      <c r="C11" s="478" t="s">
        <v>223</v>
      </c>
      <c r="D11" s="479">
        <f>COUNTIF('CEC DB for analysis'!$AO$9:$AO$600,$C11&amp;"_"&amp;D$5)</f>
        <v>13</v>
      </c>
      <c r="E11" s="479">
        <f>COUNTIF('CEC DB for analysis'!$AO$9:$AO$600,$C11&amp;"_"&amp;E$5)</f>
        <v>0</v>
      </c>
      <c r="F11" s="479">
        <f>COUNTIF('CEC DB for analysis'!$AO$9:$AO$600,$C11&amp;"_"&amp;F$5)</f>
        <v>0</v>
      </c>
      <c r="G11" s="479">
        <f>COUNTIF('CEC DB for analysis'!$AO$9:$AO$600,$C11&amp;"_"&amp;G$5)</f>
        <v>0</v>
      </c>
      <c r="H11" s="479">
        <f>COUNTIF('CEC DB for analysis'!$AP$9:$AP$600,'CEC analysis'!C11&amp;"_YES")</f>
        <v>0</v>
      </c>
      <c r="I11" s="479">
        <f t="shared" si="4"/>
        <v>13</v>
      </c>
      <c r="K11" s="480">
        <f>IFERROR(AVERAGEIF('CEC DB for analysis'!$AO$9:$AO$600,'CEC analysis'!$C11&amp;"_"&amp;'CEC analysis'!K$5,'CEC DB for analysis'!$AG$9:$AG$600),"")</f>
        <v>5.281535599738519E-2</v>
      </c>
      <c r="L11" s="480" t="str">
        <f>IFERROR(AVERAGEIF('CEC DB for analysis'!$AO$9:$AO$600,'CEC analysis'!$C11&amp;"_"&amp;'CEC analysis'!L$5,'CEC DB for analysis'!$AG$9:$AG$600),"")</f>
        <v/>
      </c>
      <c r="M11" s="480" t="str">
        <f>IFERROR(AVERAGEIF('CEC DB for analysis'!$AO$9:$AO$600,'CEC analysis'!$C11&amp;"_"&amp;'CEC analysis'!M$5,'CEC DB for analysis'!$AG$9:$AG$600),"")</f>
        <v/>
      </c>
      <c r="N11" s="480" t="str">
        <f>IFERROR(AVERAGEIF('CEC DB for analysis'!$AO$9:$AO$600,'CEC analysis'!$C11&amp;"_"&amp;'CEC analysis'!N$5,'CEC DB for analysis'!$AG$9:$AG$600),"")</f>
        <v/>
      </c>
      <c r="O11" s="480" t="str">
        <f>IFERROR(AVERAGEIF('CEC DB for analysis'!$AP$9:$AP$600,'CEC analysis'!$C11&amp;"_YES",'CEC DB for analysis'!$AG$9:$AG$600),"")</f>
        <v/>
      </c>
      <c r="P11" s="480">
        <f t="shared" si="5"/>
        <v>5.281535599738519E-2</v>
      </c>
      <c r="R11" s="481">
        <f>IFERROR(AVERAGEIF('CEC DB for analysis'!$AO$9:$AO$600,'CEC analysis'!$C11&amp;"_"&amp;'CEC analysis'!K$5,'CEC DB for analysis'!$AF$9:$AF$600),"")</f>
        <v>26.381130769230762</v>
      </c>
      <c r="S11" s="481" t="str">
        <f>IFERROR(AVERAGEIF('CEC DB for analysis'!$AO$9:$AO$600,'CEC analysis'!$C11&amp;"_"&amp;'CEC analysis'!L$5,'CEC DB for analysis'!$AF$9:$AF$600),"")</f>
        <v/>
      </c>
      <c r="T11" s="481" t="str">
        <f>IFERROR(AVERAGEIF('CEC DB for analysis'!$AO$9:$AO$600,'CEC analysis'!$C11&amp;"_"&amp;'CEC analysis'!M$5,'CEC DB for analysis'!$AF$9:$AF$600),"")</f>
        <v/>
      </c>
      <c r="U11" s="481" t="str">
        <f>IFERROR(AVERAGEIF('CEC DB for analysis'!$AO$9:$AO$600,'CEC analysis'!$C11&amp;"_"&amp;'CEC analysis'!N$5,'CEC DB for analysis'!$AF$9:$AF$600),"")</f>
        <v/>
      </c>
      <c r="V11" s="481" t="str">
        <f>IFERROR(AVERAGEIF('CEC DB for analysis'!$AP$9:$AP$600,'CEC analysis'!$C11&amp;"_YES",'CEC DB for analysis'!$AF$9:$AF$600),"")</f>
        <v/>
      </c>
      <c r="W11" s="481">
        <f t="shared" si="6"/>
        <v>26.381130769230762</v>
      </c>
      <c r="Y11" s="481">
        <f t="shared" si="11"/>
        <v>0</v>
      </c>
      <c r="Z11" s="481" t="str">
        <f t="shared" si="7"/>
        <v/>
      </c>
      <c r="AA11" s="481" t="str">
        <f t="shared" si="7"/>
        <v/>
      </c>
      <c r="AB11" s="481" t="str">
        <f t="shared" si="7"/>
        <v/>
      </c>
      <c r="AC11" s="481" t="str">
        <f t="shared" si="7"/>
        <v/>
      </c>
      <c r="AD11" s="481">
        <f t="shared" si="7"/>
        <v>0</v>
      </c>
      <c r="AE11" s="482"/>
      <c r="AF11" s="481"/>
      <c r="AG11" s="481"/>
      <c r="AH11" s="481"/>
      <c r="AI11" s="481"/>
      <c r="AJ11" s="481"/>
      <c r="AK11" s="481"/>
      <c r="AL11" s="482"/>
      <c r="AM11" s="481"/>
      <c r="AN11" s="481"/>
      <c r="AO11" s="481"/>
      <c r="AP11" s="481"/>
      <c r="AQ11" s="481"/>
      <c r="AR11" s="481"/>
      <c r="AT11" s="483">
        <f>IFERROR(AVERAGEIF('CEC DB for analysis'!$AO$9:$AO$600,'CEC analysis'!$C11&amp;"_"&amp;'CEC analysis'!K$5,'CEC DB for analysis'!$AB$9:$AB$600),"")</f>
        <v>22.169999999999998</v>
      </c>
      <c r="AU11" s="483" t="str">
        <f>IFERROR(AVERAGEIF('CEC DB for analysis'!$AO$9:$AO$600,'CEC analysis'!$C11&amp;"_"&amp;'CEC analysis'!L$5,'CEC DB for analysis'!$AB$9:$AB$600),"")</f>
        <v/>
      </c>
      <c r="AV11" s="483" t="str">
        <f>IFERROR(AVERAGEIF('CEC DB for analysis'!$AO$9:$AO$600,'CEC analysis'!$C11&amp;"_"&amp;'CEC analysis'!M$5,'CEC DB for analysis'!$AB$9:$AB$600),"")</f>
        <v/>
      </c>
      <c r="AW11" s="483" t="str">
        <f>IFERROR(AVERAGEIF('CEC DB for analysis'!$AO$9:$AO$600,'CEC analysis'!$C11&amp;"_"&amp;'CEC analysis'!N$5,'CEC DB for analysis'!$AB$9:$AB$600),"")</f>
        <v/>
      </c>
      <c r="AX11" s="483" t="str">
        <f>IFERROR(AVERAGEIF('CEC DB for analysis'!$AP$9:$AP$600,'CEC analysis'!$C11&amp;"_YES",'CEC DB for analysis'!$AB$9:$AB$600),"")</f>
        <v/>
      </c>
      <c r="AY11" s="483">
        <f t="shared" si="12"/>
        <v>22.169999999999998</v>
      </c>
      <c r="BA11" s="481">
        <f>IFERROR(AVERAGEIF('CEC DB for analysis'!$AO$9:$AO$600,'CEC analysis'!$C11&amp;"_"&amp;'CEC analysis'!R$5,'CEC DB for analysis'!$V$9:$V$600),"")</f>
        <v>470.23076923076923</v>
      </c>
      <c r="BB11" s="481" t="str">
        <f>IFERROR(AVERAGEIF('CEC DB for analysis'!$AO$9:$AO$600,'CEC analysis'!$C11&amp;"_"&amp;'CEC analysis'!S$5,'CEC DB for analysis'!$V$9:$V$600),"")</f>
        <v/>
      </c>
      <c r="BC11" s="481" t="str">
        <f>IFERROR(AVERAGEIF('CEC DB for analysis'!$AO$9:$AO$600,'CEC analysis'!$C11&amp;"_"&amp;'CEC analysis'!T$5,'CEC DB for analysis'!$V$9:$V$600),"")</f>
        <v/>
      </c>
      <c r="BD11" s="481" t="str">
        <f>IFERROR(AVERAGEIF('CEC DB for analysis'!$AO$9:$AO$600,'CEC analysis'!$C11&amp;"_"&amp;'CEC analysis'!U$5,'CEC DB for analysis'!$V$9:$V$600),"")</f>
        <v/>
      </c>
      <c r="BE11" s="481" t="str">
        <f>IFERROR(AVERAGEIF('CEC DB for analysis'!$AP$9:$AP$600,'CEC analysis'!$C11&amp;"_YES",'CEC DB for analysis'!$V$9:$V$600),"")</f>
        <v/>
      </c>
      <c r="BF11" s="481">
        <f t="shared" si="13"/>
        <v>470.23076923076923</v>
      </c>
      <c r="BH11" s="481"/>
      <c r="BI11" s="481"/>
      <c r="BJ11" s="481"/>
      <c r="BK11" s="481"/>
      <c r="BL11" s="481"/>
      <c r="BM11" s="481"/>
    </row>
    <row r="12" spans="1:65" s="477" customFormat="1">
      <c r="A12" s="553"/>
      <c r="C12" s="478" t="s">
        <v>227</v>
      </c>
      <c r="D12" s="479">
        <f>COUNTIF('CEC DB for analysis'!$AO$9:$AO$600,$C12&amp;"_"&amp;D$5)</f>
        <v>0</v>
      </c>
      <c r="E12" s="479">
        <f>COUNTIF('CEC DB for analysis'!$AO$9:$AO$600,$C12&amp;"_"&amp;E$5)</f>
        <v>0</v>
      </c>
      <c r="F12" s="479">
        <f>COUNTIF('CEC DB for analysis'!$AO$9:$AO$600,$C12&amp;"_"&amp;F$5)</f>
        <v>0</v>
      </c>
      <c r="G12" s="479">
        <f>COUNTIF('CEC DB for analysis'!$AO$9:$AO$600,$C12&amp;"_"&amp;G$5)</f>
        <v>0</v>
      </c>
      <c r="H12" s="479">
        <f>COUNTIF('CEC DB for analysis'!$AP$9:$AP$600,'CEC analysis'!C12&amp;"_YES")</f>
        <v>0</v>
      </c>
      <c r="I12" s="479">
        <f t="shared" si="4"/>
        <v>0</v>
      </c>
      <c r="K12" s="480" t="str">
        <f>IFERROR(AVERAGEIF('CEC DB for analysis'!$AO$9:$AO$600,'CEC analysis'!$C12&amp;"_"&amp;'CEC analysis'!K$5,'CEC DB for analysis'!$AG$9:$AG$600),"")</f>
        <v/>
      </c>
      <c r="L12" s="480" t="str">
        <f>IFERROR(AVERAGEIF('CEC DB for analysis'!$AO$9:$AO$600,'CEC analysis'!$C12&amp;"_"&amp;'CEC analysis'!L$5,'CEC DB for analysis'!$AG$9:$AG$600),"")</f>
        <v/>
      </c>
      <c r="M12" s="480" t="str">
        <f>IFERROR(AVERAGEIF('CEC DB for analysis'!$AO$9:$AO$600,'CEC analysis'!$C12&amp;"_"&amp;'CEC analysis'!M$5,'CEC DB for analysis'!$AG$9:$AG$600),"")</f>
        <v/>
      </c>
      <c r="N12" s="480" t="str">
        <f>IFERROR(AVERAGEIF('CEC DB for analysis'!$AO$9:$AO$600,'CEC analysis'!$C12&amp;"_"&amp;'CEC analysis'!N$5,'CEC DB for analysis'!$AG$9:$AG$600),"")</f>
        <v/>
      </c>
      <c r="O12" s="480" t="str">
        <f>IFERROR(AVERAGEIF('CEC DB for analysis'!$AP$9:$AP$600,'CEC analysis'!$C12&amp;"_YES",'CEC DB for analysis'!$AG$9:$AG$600),"")</f>
        <v/>
      </c>
      <c r="P12" s="480" t="str">
        <f t="shared" si="5"/>
        <v/>
      </c>
      <c r="R12" s="481" t="str">
        <f>IFERROR(AVERAGEIF('CEC DB for analysis'!$AO$9:$AO$600,'CEC analysis'!$C12&amp;"_"&amp;'CEC analysis'!K$5,'CEC DB for analysis'!$AF$9:$AF$600),"")</f>
        <v/>
      </c>
      <c r="S12" s="481" t="str">
        <f>IFERROR(AVERAGEIF('CEC DB for analysis'!$AO$9:$AO$600,'CEC analysis'!$C12&amp;"_"&amp;'CEC analysis'!L$5,'CEC DB for analysis'!$AF$9:$AF$600),"")</f>
        <v/>
      </c>
      <c r="T12" s="481" t="str">
        <f>IFERROR(AVERAGEIF('CEC DB for analysis'!$AO$9:$AO$600,'CEC analysis'!$C12&amp;"_"&amp;'CEC analysis'!M$5,'CEC DB for analysis'!$AF$9:$AF$600),"")</f>
        <v/>
      </c>
      <c r="U12" s="481" t="str">
        <f>IFERROR(AVERAGEIF('CEC DB for analysis'!$AO$9:$AO$600,'CEC analysis'!$C12&amp;"_"&amp;'CEC analysis'!N$5,'CEC DB for analysis'!$AF$9:$AF$600),"")</f>
        <v/>
      </c>
      <c r="V12" s="481" t="str">
        <f>IFERROR(AVERAGEIF('CEC DB for analysis'!$AP$9:$AP$600,'CEC analysis'!$C12&amp;"_YES",'CEC DB for analysis'!$AF$9:$AF$600),"")</f>
        <v/>
      </c>
      <c r="W12" s="481" t="str">
        <f t="shared" si="6"/>
        <v/>
      </c>
      <c r="Y12" s="481" t="str">
        <f t="shared" si="11"/>
        <v/>
      </c>
      <c r="Z12" s="481" t="str">
        <f t="shared" si="7"/>
        <v/>
      </c>
      <c r="AA12" s="481" t="str">
        <f t="shared" si="7"/>
        <v/>
      </c>
      <c r="AB12" s="481" t="str">
        <f t="shared" si="7"/>
        <v/>
      </c>
      <c r="AC12" s="481" t="str">
        <f t="shared" si="7"/>
        <v/>
      </c>
      <c r="AD12" s="481" t="str">
        <f t="shared" si="7"/>
        <v/>
      </c>
      <c r="AE12" s="482"/>
      <c r="AF12" s="481"/>
      <c r="AG12" s="481"/>
      <c r="AH12" s="481"/>
      <c r="AI12" s="481"/>
      <c r="AJ12" s="481"/>
      <c r="AK12" s="481"/>
      <c r="AL12" s="482"/>
      <c r="AM12" s="481"/>
      <c r="AN12" s="481"/>
      <c r="AO12" s="481"/>
      <c r="AP12" s="481"/>
      <c r="AQ12" s="481"/>
      <c r="AR12" s="481"/>
      <c r="AT12" s="483" t="str">
        <f>IFERROR(AVERAGEIF('CEC DB for analysis'!$AO$9:$AO$600,'CEC analysis'!$C12&amp;"_"&amp;'CEC analysis'!K$5,'CEC DB for analysis'!$AB$9:$AB$600),"")</f>
        <v/>
      </c>
      <c r="AU12" s="483" t="str">
        <f>IFERROR(AVERAGEIF('CEC DB for analysis'!$AO$9:$AO$600,'CEC analysis'!$C12&amp;"_"&amp;'CEC analysis'!L$5,'CEC DB for analysis'!$AB$9:$AB$600),"")</f>
        <v/>
      </c>
      <c r="AV12" s="483" t="str">
        <f>IFERROR(AVERAGEIF('CEC DB for analysis'!$AO$9:$AO$600,'CEC analysis'!$C12&amp;"_"&amp;'CEC analysis'!M$5,'CEC DB for analysis'!$AB$9:$AB$600),"")</f>
        <v/>
      </c>
      <c r="AW12" s="483" t="str">
        <f>IFERROR(AVERAGEIF('CEC DB for analysis'!$AO$9:$AO$600,'CEC analysis'!$C12&amp;"_"&amp;'CEC analysis'!N$5,'CEC DB for analysis'!$AB$9:$AB$600),"")</f>
        <v/>
      </c>
      <c r="AX12" s="483" t="str">
        <f>IFERROR(AVERAGEIF('CEC DB for analysis'!$AP$9:$AP$600,'CEC analysis'!$C12&amp;"_YES",'CEC DB for analysis'!$AB$9:$AB$600),"")</f>
        <v/>
      </c>
      <c r="AY12" s="483" t="str">
        <f t="shared" si="12"/>
        <v/>
      </c>
      <c r="BA12" s="481" t="str">
        <f>IFERROR(AVERAGEIF('CEC DB for analysis'!$AO$9:$AO$600,'CEC analysis'!$C12&amp;"_"&amp;'CEC analysis'!R$5,'CEC DB for analysis'!$V$9:$V$600),"")</f>
        <v/>
      </c>
      <c r="BB12" s="481" t="str">
        <f>IFERROR(AVERAGEIF('CEC DB for analysis'!$AO$9:$AO$600,'CEC analysis'!$C12&amp;"_"&amp;'CEC analysis'!S$5,'CEC DB for analysis'!$V$9:$V$600),"")</f>
        <v/>
      </c>
      <c r="BC12" s="481" t="str">
        <f>IFERROR(AVERAGEIF('CEC DB for analysis'!$AO$9:$AO$600,'CEC analysis'!$C12&amp;"_"&amp;'CEC analysis'!T$5,'CEC DB for analysis'!$V$9:$V$600),"")</f>
        <v/>
      </c>
      <c r="BD12" s="481" t="str">
        <f>IFERROR(AVERAGEIF('CEC DB for analysis'!$AO$9:$AO$600,'CEC analysis'!$C12&amp;"_"&amp;'CEC analysis'!U$5,'CEC DB for analysis'!$V$9:$V$600),"")</f>
        <v/>
      </c>
      <c r="BE12" s="481" t="str">
        <f>IFERROR(AVERAGEIF('CEC DB for analysis'!$AP$9:$AP$600,'CEC analysis'!$C12&amp;"_YES",'CEC DB for analysis'!$V$9:$V$600),"")</f>
        <v/>
      </c>
      <c r="BF12" s="481" t="str">
        <f t="shared" si="13"/>
        <v/>
      </c>
      <c r="BH12" s="481"/>
      <c r="BI12" s="481"/>
      <c r="BJ12" s="481"/>
      <c r="BK12" s="481"/>
      <c r="BL12" s="481"/>
      <c r="BM12" s="481"/>
    </row>
    <row r="13" spans="1:65" s="477" customFormat="1">
      <c r="A13" s="553"/>
      <c r="C13" s="478" t="s">
        <v>231</v>
      </c>
      <c r="D13" s="479">
        <f>COUNTIF('CEC DB for analysis'!$AO$9:$AO$600,$C13&amp;"_"&amp;D$5)</f>
        <v>4</v>
      </c>
      <c r="E13" s="479">
        <f>COUNTIF('CEC DB for analysis'!$AO$9:$AO$600,$C13&amp;"_"&amp;E$5)</f>
        <v>3</v>
      </c>
      <c r="F13" s="479">
        <f>COUNTIF('CEC DB for analysis'!$AO$9:$AO$600,$C13&amp;"_"&amp;F$5)</f>
        <v>0</v>
      </c>
      <c r="G13" s="479">
        <f>COUNTIF('CEC DB for analysis'!$AO$9:$AO$600,$C13&amp;"_"&amp;G$5)</f>
        <v>0</v>
      </c>
      <c r="H13" s="479">
        <f>COUNTIF('CEC DB for analysis'!$AP$9:$AP$600,'CEC analysis'!C13&amp;"_YES")</f>
        <v>3</v>
      </c>
      <c r="I13" s="479">
        <f t="shared" si="4"/>
        <v>7</v>
      </c>
      <c r="K13" s="480">
        <f>IFERROR(AVERAGEIF('CEC DB for analysis'!$AO$9:$AO$600,'CEC analysis'!$C13&amp;"_"&amp;'CEC analysis'!K$5,'CEC DB for analysis'!$AG$9:$AG$600),"")</f>
        <v>4.2168068997674264E-3</v>
      </c>
      <c r="L13" s="480">
        <f>IFERROR(AVERAGEIF('CEC DB for analysis'!$AO$9:$AO$600,'CEC analysis'!$C13&amp;"_"&amp;'CEC analysis'!L$5,'CEC DB for analysis'!$AG$9:$AG$600),"")</f>
        <v>0.10598189020794692</v>
      </c>
      <c r="M13" s="480" t="str">
        <f>IFERROR(AVERAGEIF('CEC DB for analysis'!$AO$9:$AO$600,'CEC analysis'!$C13&amp;"_"&amp;'CEC analysis'!M$5,'CEC DB for analysis'!$AG$9:$AG$600),"")</f>
        <v/>
      </c>
      <c r="N13" s="480" t="str">
        <f>IFERROR(AVERAGEIF('CEC DB for analysis'!$AO$9:$AO$600,'CEC analysis'!$C13&amp;"_"&amp;'CEC analysis'!N$5,'CEC DB for analysis'!$AG$9:$AG$600),"")</f>
        <v/>
      </c>
      <c r="O13" s="480">
        <f>IFERROR(AVERAGEIF('CEC DB for analysis'!$AP$9:$AP$600,'CEC analysis'!$C13&amp;"_YES",'CEC DB for analysis'!$AG$9:$AG$600),"")</f>
        <v>0.10598189020794692</v>
      </c>
      <c r="P13" s="480">
        <f t="shared" si="5"/>
        <v>4.7830414031844355E-2</v>
      </c>
      <c r="R13" s="481">
        <f>IFERROR(AVERAGEIF('CEC DB for analysis'!$AO$9:$AO$600,'CEC analysis'!$C13&amp;"_"&amp;'CEC analysis'!K$5,'CEC DB for analysis'!$AF$9:$AF$600),"")</f>
        <v>1.4052000000000078</v>
      </c>
      <c r="S13" s="481">
        <f>IFERROR(AVERAGEIF('CEC DB for analysis'!$AO$9:$AO$600,'CEC analysis'!$C13&amp;"_"&amp;'CEC analysis'!L$5,'CEC DB for analysis'!$AF$9:$AF$600),"")</f>
        <v>33.359700000000011</v>
      </c>
      <c r="T13" s="481" t="str">
        <f>IFERROR(AVERAGEIF('CEC DB for analysis'!$AO$9:$AO$600,'CEC analysis'!$C13&amp;"_"&amp;'CEC analysis'!M$5,'CEC DB for analysis'!$AF$9:$AF$600),"")</f>
        <v/>
      </c>
      <c r="U13" s="481" t="str">
        <f>IFERROR(AVERAGEIF('CEC DB for analysis'!$AO$9:$AO$600,'CEC analysis'!$C13&amp;"_"&amp;'CEC analysis'!N$5,'CEC DB for analysis'!$AF$9:$AF$600),"")</f>
        <v/>
      </c>
      <c r="V13" s="481">
        <f>IFERROR(AVERAGEIF('CEC DB for analysis'!$AP$9:$AP$600,'CEC analysis'!$C13&amp;"_YES",'CEC DB for analysis'!$AF$9:$AF$600),"")</f>
        <v>33.359700000000011</v>
      </c>
      <c r="W13" s="481">
        <f t="shared" si="6"/>
        <v>15.099985714285724</v>
      </c>
      <c r="Y13" s="481">
        <f t="shared" si="11"/>
        <v>-13.694785714285716</v>
      </c>
      <c r="Z13" s="481">
        <f t="shared" si="7"/>
        <v>18.259714285714288</v>
      </c>
      <c r="AA13" s="481" t="str">
        <f t="shared" si="7"/>
        <v/>
      </c>
      <c r="AB13" s="481" t="str">
        <f t="shared" si="7"/>
        <v/>
      </c>
      <c r="AC13" s="481">
        <f t="shared" si="7"/>
        <v>18.259714285714288</v>
      </c>
      <c r="AD13" s="481">
        <f t="shared" si="7"/>
        <v>0</v>
      </c>
      <c r="AE13" s="482"/>
      <c r="AF13" s="481"/>
      <c r="AG13" s="481"/>
      <c r="AH13" s="481"/>
      <c r="AI13" s="481"/>
      <c r="AJ13" s="481"/>
      <c r="AK13" s="481"/>
      <c r="AL13" s="482"/>
      <c r="AM13" s="481"/>
      <c r="AN13" s="481"/>
      <c r="AO13" s="481"/>
      <c r="AP13" s="481"/>
      <c r="AQ13" s="481"/>
      <c r="AR13" s="481"/>
      <c r="AT13" s="483">
        <f>IFERROR(AVERAGEIF('CEC DB for analysis'!$AO$9:$AO$600,'CEC analysis'!$C13&amp;"_"&amp;'CEC analysis'!K$5,'CEC DB for analysis'!$AB$9:$AB$600),"")</f>
        <v>18.36</v>
      </c>
      <c r="AU13" s="483">
        <f>IFERROR(AVERAGEIF('CEC DB for analysis'!$AO$9:$AO$600,'CEC analysis'!$C13&amp;"_"&amp;'CEC analysis'!L$5,'CEC DB for analysis'!$AB$9:$AB$600),"")</f>
        <v>16.043333333333333</v>
      </c>
      <c r="AV13" s="483" t="str">
        <f>IFERROR(AVERAGEIF('CEC DB for analysis'!$AO$9:$AO$600,'CEC analysis'!$C13&amp;"_"&amp;'CEC analysis'!M$5,'CEC DB for analysis'!$AB$9:$AB$600),"")</f>
        <v/>
      </c>
      <c r="AW13" s="483" t="str">
        <f>IFERROR(AVERAGEIF('CEC DB for analysis'!$AO$9:$AO$600,'CEC analysis'!$C13&amp;"_"&amp;'CEC analysis'!N$5,'CEC DB for analysis'!$AB$9:$AB$600),"")</f>
        <v/>
      </c>
      <c r="AX13" s="483">
        <f>IFERROR(AVERAGEIF('CEC DB for analysis'!$AP$9:$AP$600,'CEC analysis'!$C13&amp;"_YES",'CEC DB for analysis'!$AB$9:$AB$600),"")</f>
        <v>16.043333333333333</v>
      </c>
      <c r="AY13" s="483">
        <f t="shared" si="12"/>
        <v>17.367142857142856</v>
      </c>
      <c r="BA13" s="481">
        <f>IFERROR(AVERAGEIF('CEC DB for analysis'!$AO$9:$AO$600,'CEC analysis'!$C13&amp;"_"&amp;'CEC analysis'!R$5,'CEC DB for analysis'!$V$9:$V$600),"")</f>
        <v>330</v>
      </c>
      <c r="BB13" s="481">
        <f>IFERROR(AVERAGEIF('CEC DB for analysis'!$AO$9:$AO$600,'CEC analysis'!$C13&amp;"_"&amp;'CEC analysis'!S$5,'CEC DB for analysis'!$V$9:$V$600),"")</f>
        <v>281.66666666666669</v>
      </c>
      <c r="BC13" s="481" t="str">
        <f>IFERROR(AVERAGEIF('CEC DB for analysis'!$AO$9:$AO$600,'CEC analysis'!$C13&amp;"_"&amp;'CEC analysis'!T$5,'CEC DB for analysis'!$V$9:$V$600),"")</f>
        <v/>
      </c>
      <c r="BD13" s="481" t="str">
        <f>IFERROR(AVERAGEIF('CEC DB for analysis'!$AO$9:$AO$600,'CEC analysis'!$C13&amp;"_"&amp;'CEC analysis'!U$5,'CEC DB for analysis'!$V$9:$V$600),"")</f>
        <v/>
      </c>
      <c r="BE13" s="481">
        <f>IFERROR(AVERAGEIF('CEC DB for analysis'!$AP$9:$AP$600,'CEC analysis'!$C13&amp;"_YES",'CEC DB for analysis'!$V$9:$V$600),"")</f>
        <v>281.66666666666669</v>
      </c>
      <c r="BF13" s="481">
        <f t="shared" si="13"/>
        <v>309.28571428571428</v>
      </c>
      <c r="BH13" s="481"/>
      <c r="BI13" s="481"/>
      <c r="BJ13" s="481"/>
      <c r="BK13" s="481"/>
      <c r="BL13" s="481"/>
      <c r="BM13" s="481"/>
    </row>
    <row r="14" spans="1:65" s="477" customFormat="1">
      <c r="A14" s="553"/>
      <c r="C14" s="478" t="s">
        <v>235</v>
      </c>
      <c r="D14" s="479">
        <f>COUNTIF('CEC DB for analysis'!$AO$9:$AO$600,$C14&amp;"_"&amp;D$5)</f>
        <v>0</v>
      </c>
      <c r="E14" s="479">
        <f>COUNTIF('CEC DB for analysis'!$AO$9:$AO$600,$C14&amp;"_"&amp;E$5)</f>
        <v>1</v>
      </c>
      <c r="F14" s="479">
        <f>COUNTIF('CEC DB for analysis'!$AO$9:$AO$600,$C14&amp;"_"&amp;F$5)</f>
        <v>0</v>
      </c>
      <c r="G14" s="479">
        <f>COUNTIF('CEC DB for analysis'!$AO$9:$AO$600,$C14&amp;"_"&amp;G$5)</f>
        <v>0</v>
      </c>
      <c r="H14" s="479">
        <f>COUNTIF('CEC DB for analysis'!$AP$9:$AP$600,'CEC analysis'!C14&amp;"_YES")</f>
        <v>1</v>
      </c>
      <c r="I14" s="479">
        <f t="shared" si="4"/>
        <v>1</v>
      </c>
      <c r="K14" s="480" t="str">
        <f>IFERROR(AVERAGEIF('CEC DB for analysis'!$AO$9:$AO$600,'CEC analysis'!$C14&amp;"_"&amp;'CEC analysis'!K$5,'CEC DB for analysis'!$AG$9:$AG$600),"")</f>
        <v/>
      </c>
      <c r="L14" s="480">
        <f>IFERROR(AVERAGEIF('CEC DB for analysis'!$AO$9:$AO$600,'CEC analysis'!$C14&amp;"_"&amp;'CEC analysis'!L$5,'CEC DB for analysis'!$AG$9:$AG$600),"")</f>
        <v>0.10303795854404521</v>
      </c>
      <c r="M14" s="480" t="str">
        <f>IFERROR(AVERAGEIF('CEC DB for analysis'!$AO$9:$AO$600,'CEC analysis'!$C14&amp;"_"&amp;'CEC analysis'!M$5,'CEC DB for analysis'!$AG$9:$AG$600),"")</f>
        <v/>
      </c>
      <c r="N14" s="480" t="str">
        <f>IFERROR(AVERAGEIF('CEC DB for analysis'!$AO$9:$AO$600,'CEC analysis'!$C14&amp;"_"&amp;'CEC analysis'!N$5,'CEC DB for analysis'!$AG$9:$AG$600),"")</f>
        <v/>
      </c>
      <c r="O14" s="480">
        <f>IFERROR(AVERAGEIF('CEC DB for analysis'!$AP$9:$AP$600,'CEC analysis'!$C14&amp;"_YES",'CEC DB for analysis'!$AG$9:$AG$600),"")</f>
        <v>0.10303795854404521</v>
      </c>
      <c r="P14" s="480">
        <f t="shared" si="5"/>
        <v>0.10303795854404521</v>
      </c>
      <c r="R14" s="481" t="str">
        <f>IFERROR(AVERAGEIF('CEC DB for analysis'!$AO$9:$AO$600,'CEC analysis'!$C14&amp;"_"&amp;'CEC analysis'!K$5,'CEC DB for analysis'!$AF$9:$AF$600),"")</f>
        <v/>
      </c>
      <c r="S14" s="481">
        <f>IFERROR(AVERAGEIF('CEC DB for analysis'!$AO$9:$AO$600,'CEC analysis'!$C14&amp;"_"&amp;'CEC analysis'!L$5,'CEC DB for analysis'!$AF$9:$AF$600),"")</f>
        <v>41.699399999999969</v>
      </c>
      <c r="T14" s="481" t="str">
        <f>IFERROR(AVERAGEIF('CEC DB for analysis'!$AO$9:$AO$600,'CEC analysis'!$C14&amp;"_"&amp;'CEC analysis'!M$5,'CEC DB for analysis'!$AF$9:$AF$600),"")</f>
        <v/>
      </c>
      <c r="U14" s="481" t="str">
        <f>IFERROR(AVERAGEIF('CEC DB for analysis'!$AO$9:$AO$600,'CEC analysis'!$C14&amp;"_"&amp;'CEC analysis'!N$5,'CEC DB for analysis'!$AF$9:$AF$600),"")</f>
        <v/>
      </c>
      <c r="V14" s="481">
        <f>IFERROR(AVERAGEIF('CEC DB for analysis'!$AP$9:$AP$600,'CEC analysis'!$C14&amp;"_YES",'CEC DB for analysis'!$AF$9:$AF$600),"")</f>
        <v>41.699399999999969</v>
      </c>
      <c r="W14" s="481">
        <f t="shared" si="6"/>
        <v>41.699399999999969</v>
      </c>
      <c r="Y14" s="481" t="str">
        <f t="shared" si="11"/>
        <v/>
      </c>
      <c r="Z14" s="481">
        <f t="shared" si="7"/>
        <v>0</v>
      </c>
      <c r="AA14" s="481" t="str">
        <f t="shared" si="7"/>
        <v/>
      </c>
      <c r="AB14" s="481" t="str">
        <f t="shared" si="7"/>
        <v/>
      </c>
      <c r="AC14" s="481">
        <f t="shared" si="7"/>
        <v>0</v>
      </c>
      <c r="AD14" s="481">
        <f t="shared" si="7"/>
        <v>0</v>
      </c>
      <c r="AE14" s="482"/>
      <c r="AF14" s="481"/>
      <c r="AG14" s="481"/>
      <c r="AH14" s="481"/>
      <c r="AI14" s="481"/>
      <c r="AJ14" s="481"/>
      <c r="AK14" s="481"/>
      <c r="AL14" s="482"/>
      <c r="AM14" s="481"/>
      <c r="AN14" s="481"/>
      <c r="AO14" s="481"/>
      <c r="AP14" s="481"/>
      <c r="AQ14" s="481"/>
      <c r="AR14" s="481"/>
      <c r="AT14" s="483" t="str">
        <f>IFERROR(AVERAGEIF('CEC DB for analysis'!$AO$9:$AO$600,'CEC analysis'!$C14&amp;"_"&amp;'CEC analysis'!K$5,'CEC DB for analysis'!$AB$9:$AB$600),"")</f>
        <v/>
      </c>
      <c r="AU14" s="483">
        <f>IFERROR(AVERAGEIF('CEC DB for analysis'!$AO$9:$AO$600,'CEC analysis'!$C14&amp;"_"&amp;'CEC analysis'!L$5,'CEC DB for analysis'!$AB$9:$AB$600),"")</f>
        <v>21.97</v>
      </c>
      <c r="AV14" s="483" t="str">
        <f>IFERROR(AVERAGEIF('CEC DB for analysis'!$AO$9:$AO$600,'CEC analysis'!$C14&amp;"_"&amp;'CEC analysis'!M$5,'CEC DB for analysis'!$AB$9:$AB$600),"")</f>
        <v/>
      </c>
      <c r="AW14" s="483" t="str">
        <f>IFERROR(AVERAGEIF('CEC DB for analysis'!$AO$9:$AO$600,'CEC analysis'!$C14&amp;"_"&amp;'CEC analysis'!N$5,'CEC DB for analysis'!$AB$9:$AB$600),"")</f>
        <v/>
      </c>
      <c r="AX14" s="483">
        <f>IFERROR(AVERAGEIF('CEC DB for analysis'!$AP$9:$AP$600,'CEC analysis'!$C14&amp;"_YES",'CEC DB for analysis'!$AB$9:$AB$600),"")</f>
        <v>21.97</v>
      </c>
      <c r="AY14" s="483">
        <f t="shared" si="12"/>
        <v>21.97</v>
      </c>
      <c r="BA14" s="481" t="str">
        <f>IFERROR(AVERAGEIF('CEC DB for analysis'!$AO$9:$AO$600,'CEC analysis'!$C14&amp;"_"&amp;'CEC analysis'!R$5,'CEC DB for analysis'!$V$9:$V$600),"")</f>
        <v/>
      </c>
      <c r="BB14" s="481">
        <f>IFERROR(AVERAGEIF('CEC DB for analysis'!$AO$9:$AO$600,'CEC analysis'!$C14&amp;"_"&amp;'CEC analysis'!S$5,'CEC DB for analysis'!$V$9:$V$600),"")</f>
        <v>363</v>
      </c>
      <c r="BC14" s="481" t="str">
        <f>IFERROR(AVERAGEIF('CEC DB for analysis'!$AO$9:$AO$600,'CEC analysis'!$C14&amp;"_"&amp;'CEC analysis'!T$5,'CEC DB for analysis'!$V$9:$V$600),"")</f>
        <v/>
      </c>
      <c r="BD14" s="481" t="str">
        <f>IFERROR(AVERAGEIF('CEC DB for analysis'!$AO$9:$AO$600,'CEC analysis'!$C14&amp;"_"&amp;'CEC analysis'!U$5,'CEC DB for analysis'!$V$9:$V$600),"")</f>
        <v/>
      </c>
      <c r="BE14" s="481">
        <f>IFERROR(AVERAGEIF('CEC DB for analysis'!$AP$9:$AP$600,'CEC analysis'!$C14&amp;"_YES",'CEC DB for analysis'!$V$9:$V$600),"")</f>
        <v>363</v>
      </c>
      <c r="BF14" s="481">
        <f t="shared" si="13"/>
        <v>363</v>
      </c>
      <c r="BH14" s="481"/>
      <c r="BI14" s="481"/>
      <c r="BJ14" s="481"/>
      <c r="BK14" s="481"/>
      <c r="BL14" s="481"/>
      <c r="BM14" s="481"/>
    </row>
    <row r="15" spans="1:65">
      <c r="A15" s="553"/>
      <c r="B15" s="306"/>
      <c r="C15" s="307" t="s">
        <v>4563</v>
      </c>
      <c r="D15" s="308">
        <f>COUNTIF('CEC DB for analysis'!$AO$9:$AO$600,$C15&amp;"_"&amp;D$5)</f>
        <v>3</v>
      </c>
      <c r="E15" s="308">
        <f>COUNTIF('CEC DB for analysis'!$AO$9:$AO$600,$C15&amp;"_"&amp;E$5)</f>
        <v>0</v>
      </c>
      <c r="F15" s="308">
        <f>COUNTIF('CEC DB for analysis'!$AO$9:$AO$600,$C15&amp;"_"&amp;F$5)</f>
        <v>0</v>
      </c>
      <c r="G15" s="308">
        <f>COUNTIF('CEC DB for analysis'!$AO$9:$AO$600,$C15&amp;"_"&amp;G$5)</f>
        <v>0</v>
      </c>
      <c r="H15" s="308">
        <f>COUNTIF('CEC DB for analysis'!$AP$9:$AP$600,'CEC analysis'!C15&amp;"_YES")</f>
        <v>0</v>
      </c>
      <c r="I15" s="308">
        <f t="shared" si="4"/>
        <v>3</v>
      </c>
      <c r="J15" s="306"/>
      <c r="K15" s="309">
        <f>IFERROR(AVERAGEIF('CEC DB for analysis'!$AO$9:$AO$600,'CEC analysis'!$C15&amp;"_"&amp;'CEC analysis'!K$5,'CEC DB for analysis'!$AG$9:$AG$600),"")</f>
        <v>1.3178052653839189E-2</v>
      </c>
      <c r="L15" s="309" t="str">
        <f>IFERROR(AVERAGEIF('CEC DB for analysis'!$AO$9:$AO$600,'CEC analysis'!$C15&amp;"_"&amp;'CEC analysis'!L$5,'CEC DB for analysis'!$AG$9:$AG$600),"")</f>
        <v/>
      </c>
      <c r="M15" s="309" t="str">
        <f>IFERROR(AVERAGEIF('CEC DB for analysis'!$AO$9:$AO$600,'CEC analysis'!$C15&amp;"_"&amp;'CEC analysis'!M$5,'CEC DB for analysis'!$AG$9:$AG$600),"")</f>
        <v/>
      </c>
      <c r="N15" s="309" t="str">
        <f>IFERROR(AVERAGEIF('CEC DB for analysis'!$AO$9:$AO$600,'CEC analysis'!$C15&amp;"_"&amp;'CEC analysis'!N$5,'CEC DB for analysis'!$AG$9:$AG$600),"")</f>
        <v/>
      </c>
      <c r="O15" s="309" t="str">
        <f>IFERROR(AVERAGEIF('CEC DB for analysis'!$AP$9:$AP$600,'CEC analysis'!$C15&amp;"_YES",'CEC DB for analysis'!$AG$9:$AG$600),"")</f>
        <v/>
      </c>
      <c r="P15" s="309">
        <f t="shared" si="5"/>
        <v>1.3178052653839189E-2</v>
      </c>
      <c r="Q15" s="306"/>
      <c r="R15" s="310">
        <f>IFERROR(AVERAGEIF('CEC DB for analysis'!$AO$9:$AO$600,'CEC analysis'!$C15&amp;"_"&amp;'CEC analysis'!K$5,'CEC DB for analysis'!$AF$9:$AF$600),"")</f>
        <v>6.9833119999999935</v>
      </c>
      <c r="S15" s="310" t="str">
        <f>IFERROR(AVERAGEIF('CEC DB for analysis'!$AO$9:$AO$600,'CEC analysis'!$C15&amp;"_"&amp;'CEC analysis'!L$5,'CEC DB for analysis'!$AF$9:$AF$600),"")</f>
        <v/>
      </c>
      <c r="T15" s="310" t="str">
        <f>IFERROR(AVERAGEIF('CEC DB for analysis'!$AO$9:$AO$600,'CEC analysis'!$C15&amp;"_"&amp;'CEC analysis'!M$5,'CEC DB for analysis'!$AF$9:$AF$600),"")</f>
        <v/>
      </c>
      <c r="U15" s="310" t="str">
        <f>IFERROR(AVERAGEIF('CEC DB for analysis'!$AO$9:$AO$600,'CEC analysis'!$C15&amp;"_"&amp;'CEC analysis'!N$5,'CEC DB for analysis'!$AF$9:$AF$600),"")</f>
        <v/>
      </c>
      <c r="V15" s="310" t="str">
        <f>IFERROR(AVERAGEIF('CEC DB for analysis'!$AP$9:$AP$600,'CEC analysis'!$C15&amp;"_YES",'CEC DB for analysis'!$AF$9:$AF$600),"")</f>
        <v/>
      </c>
      <c r="W15" s="310">
        <f t="shared" si="6"/>
        <v>6.9833119999999935</v>
      </c>
      <c r="X15" s="306"/>
      <c r="Y15" s="310">
        <f t="shared" si="11"/>
        <v>0</v>
      </c>
      <c r="Z15" s="310" t="str">
        <f t="shared" si="7"/>
        <v/>
      </c>
      <c r="AA15" s="310" t="str">
        <f t="shared" si="7"/>
        <v/>
      </c>
      <c r="AB15" s="310" t="str">
        <f t="shared" si="7"/>
        <v/>
      </c>
      <c r="AC15" s="310" t="str">
        <f t="shared" si="7"/>
        <v/>
      </c>
      <c r="AD15" s="310">
        <f t="shared" si="7"/>
        <v>0</v>
      </c>
      <c r="AE15" s="311"/>
      <c r="AF15" s="310"/>
      <c r="AG15" s="310"/>
      <c r="AH15" s="310"/>
      <c r="AI15" s="310"/>
      <c r="AJ15" s="310"/>
      <c r="AK15" s="310"/>
      <c r="AL15" s="314"/>
      <c r="AM15" s="310"/>
      <c r="AN15" s="310"/>
      <c r="AO15" s="310"/>
      <c r="AP15" s="310"/>
      <c r="AQ15" s="310"/>
      <c r="AR15" s="310"/>
      <c r="AT15" s="316">
        <f>IFERROR(AVERAGEIF('CEC DB for analysis'!$AO$9:$AO$600,'CEC analysis'!$C15&amp;"_"&amp;'CEC analysis'!K$5,'CEC DB for analysis'!$AB$9:$AB$600),"")</f>
        <v>28.811199999999996</v>
      </c>
      <c r="AU15" s="316" t="str">
        <f>IFERROR(AVERAGEIF('CEC DB for analysis'!$AO$9:$AO$600,'CEC analysis'!$C15&amp;"_"&amp;'CEC analysis'!L$5,'CEC DB for analysis'!$AB$9:$AB$600),"")</f>
        <v/>
      </c>
      <c r="AV15" s="316" t="str">
        <f>IFERROR(AVERAGEIF('CEC DB for analysis'!$AO$9:$AO$600,'CEC analysis'!$C15&amp;"_"&amp;'CEC analysis'!M$5,'CEC DB for analysis'!$AB$9:$AB$600),"")</f>
        <v/>
      </c>
      <c r="AW15" s="316" t="str">
        <f>IFERROR(AVERAGEIF('CEC DB for analysis'!$AO$9:$AO$600,'CEC analysis'!$C15&amp;"_"&amp;'CEC analysis'!N$5,'CEC DB for analysis'!$AB$9:$AB$600),"")</f>
        <v/>
      </c>
      <c r="AX15" s="316" t="str">
        <f>IFERROR(AVERAGEIF('CEC DB for analysis'!$AP$9:$AP$600,'CEC analysis'!$C15&amp;"_YES",'CEC DB for analysis'!$AB$9:$AB$600),"")</f>
        <v/>
      </c>
      <c r="AY15" s="316">
        <f t="shared" si="12"/>
        <v>28.811199999999996</v>
      </c>
      <c r="BA15" s="310">
        <f>IFERROR(AVERAGEIF('CEC DB for analysis'!$AO$9:$AO$600,'CEC analysis'!$C15&amp;"_"&amp;'CEC analysis'!R$5,'CEC DB for analysis'!$V$9:$V$600),"")</f>
        <v>536</v>
      </c>
      <c r="BB15" s="310" t="str">
        <f>IFERROR(AVERAGEIF('CEC DB for analysis'!$AO$9:$AO$600,'CEC analysis'!$C15&amp;"_"&amp;'CEC analysis'!S$5,'CEC DB for analysis'!$V$9:$V$600),"")</f>
        <v/>
      </c>
      <c r="BC15" s="310" t="str">
        <f>IFERROR(AVERAGEIF('CEC DB for analysis'!$AO$9:$AO$600,'CEC analysis'!$C15&amp;"_"&amp;'CEC analysis'!T$5,'CEC DB for analysis'!$V$9:$V$600),"")</f>
        <v/>
      </c>
      <c r="BD15" s="310" t="str">
        <f>IFERROR(AVERAGEIF('CEC DB for analysis'!$AO$9:$AO$600,'CEC analysis'!$C15&amp;"_"&amp;'CEC analysis'!U$5,'CEC DB for analysis'!$V$9:$V$600),"")</f>
        <v/>
      </c>
      <c r="BE15" s="310" t="str">
        <f>IFERROR(AVERAGEIF('CEC DB for analysis'!$AP$9:$AP$600,'CEC analysis'!$C15&amp;"_YES",'CEC DB for analysis'!$V$9:$V$600),"")</f>
        <v/>
      </c>
      <c r="BF15" s="310">
        <f t="shared" si="13"/>
        <v>536</v>
      </c>
      <c r="BH15" s="310"/>
      <c r="BI15" s="310"/>
      <c r="BJ15" s="310"/>
      <c r="BK15" s="310"/>
      <c r="BL15" s="310"/>
      <c r="BM15" s="310"/>
    </row>
    <row r="16" spans="1:65">
      <c r="A16" s="553"/>
      <c r="B16" s="306"/>
      <c r="C16" s="307" t="s">
        <v>242</v>
      </c>
      <c r="D16" s="308">
        <f>COUNTIF('CEC DB for analysis'!$AO$9:$AO$600,$C16&amp;"_"&amp;D$5)</f>
        <v>0</v>
      </c>
      <c r="E16" s="308">
        <f>COUNTIF('CEC DB for analysis'!$AO$9:$AO$600,$C16&amp;"_"&amp;E$5)</f>
        <v>0</v>
      </c>
      <c r="F16" s="308">
        <f>COUNTIF('CEC DB for analysis'!$AO$9:$AO$600,$C16&amp;"_"&amp;F$5)</f>
        <v>0</v>
      </c>
      <c r="G16" s="308">
        <f>COUNTIF('CEC DB for analysis'!$AO$9:$AO$600,$C16&amp;"_"&amp;G$5)</f>
        <v>0</v>
      </c>
      <c r="H16" s="308">
        <f>COUNTIF('CEC DB for analysis'!$AP$9:$AP$600,'CEC analysis'!C16&amp;"_YES")</f>
        <v>0</v>
      </c>
      <c r="I16" s="308">
        <f t="shared" si="4"/>
        <v>0</v>
      </c>
      <c r="J16" s="306"/>
      <c r="K16" s="309" t="str">
        <f>IFERROR(AVERAGEIF('CEC DB for analysis'!$AO$9:$AO$600,'CEC analysis'!$C16&amp;"_"&amp;'CEC analysis'!K$5,'CEC DB for analysis'!$AG$9:$AG$600),"")</f>
        <v/>
      </c>
      <c r="L16" s="309" t="str">
        <f>IFERROR(AVERAGEIF('CEC DB for analysis'!$AO$9:$AO$600,'CEC analysis'!$C16&amp;"_"&amp;'CEC analysis'!L$5,'CEC DB for analysis'!$AG$9:$AG$600),"")</f>
        <v/>
      </c>
      <c r="M16" s="309" t="str">
        <f>IFERROR(AVERAGEIF('CEC DB for analysis'!$AO$9:$AO$600,'CEC analysis'!$C16&amp;"_"&amp;'CEC analysis'!M$5,'CEC DB for analysis'!$AG$9:$AG$600),"")</f>
        <v/>
      </c>
      <c r="N16" s="309" t="str">
        <f>IFERROR(AVERAGEIF('CEC DB for analysis'!$AO$9:$AO$600,'CEC analysis'!$C16&amp;"_"&amp;'CEC analysis'!N$5,'CEC DB for analysis'!$AG$9:$AG$600),"")</f>
        <v/>
      </c>
      <c r="O16" s="309" t="str">
        <f>IFERROR(AVERAGEIF('CEC DB for analysis'!$AP$9:$AP$600,'CEC analysis'!$C16&amp;"_YES",'CEC DB for analysis'!$AG$9:$AG$600),"")</f>
        <v/>
      </c>
      <c r="P16" s="309" t="str">
        <f t="shared" si="5"/>
        <v/>
      </c>
      <c r="Q16" s="306"/>
      <c r="R16" s="310" t="str">
        <f>IFERROR(AVERAGEIF('CEC DB for analysis'!$AO$9:$AO$600,'CEC analysis'!$C16&amp;"_"&amp;'CEC analysis'!K$5,'CEC DB for analysis'!$AF$9:$AF$600),"")</f>
        <v/>
      </c>
      <c r="S16" s="310" t="str">
        <f>IFERROR(AVERAGEIF('CEC DB for analysis'!$AO$9:$AO$600,'CEC analysis'!$C16&amp;"_"&amp;'CEC analysis'!L$5,'CEC DB for analysis'!$AF$9:$AF$600),"")</f>
        <v/>
      </c>
      <c r="T16" s="310" t="str">
        <f>IFERROR(AVERAGEIF('CEC DB for analysis'!$AO$9:$AO$600,'CEC analysis'!$C16&amp;"_"&amp;'CEC analysis'!M$5,'CEC DB for analysis'!$AF$9:$AF$600),"")</f>
        <v/>
      </c>
      <c r="U16" s="310" t="str">
        <f>IFERROR(AVERAGEIF('CEC DB for analysis'!$AO$9:$AO$600,'CEC analysis'!$C16&amp;"_"&amp;'CEC analysis'!N$5,'CEC DB for analysis'!$AF$9:$AF$600),"")</f>
        <v/>
      </c>
      <c r="V16" s="310" t="str">
        <f>IFERROR(AVERAGEIF('CEC DB for analysis'!$AP$9:$AP$600,'CEC analysis'!$C16&amp;"_YES",'CEC DB for analysis'!$AF$9:$AF$600),"")</f>
        <v/>
      </c>
      <c r="W16" s="310" t="str">
        <f t="shared" si="6"/>
        <v/>
      </c>
      <c r="X16" s="306"/>
      <c r="Y16" s="310" t="str">
        <f t="shared" si="11"/>
        <v/>
      </c>
      <c r="Z16" s="310" t="str">
        <f t="shared" si="7"/>
        <v/>
      </c>
      <c r="AA16" s="310" t="str">
        <f t="shared" si="7"/>
        <v/>
      </c>
      <c r="AB16" s="310" t="str">
        <f t="shared" si="7"/>
        <v/>
      </c>
      <c r="AC16" s="310" t="str">
        <f t="shared" si="7"/>
        <v/>
      </c>
      <c r="AD16" s="310" t="str">
        <f t="shared" si="7"/>
        <v/>
      </c>
      <c r="AE16" s="311"/>
      <c r="AF16" s="310"/>
      <c r="AG16" s="310"/>
      <c r="AH16" s="310"/>
      <c r="AI16" s="310"/>
      <c r="AJ16" s="310"/>
      <c r="AK16" s="310"/>
      <c r="AL16" s="314"/>
      <c r="AM16" s="310"/>
      <c r="AN16" s="310"/>
      <c r="AO16" s="310"/>
      <c r="AP16" s="310"/>
      <c r="AQ16" s="310"/>
      <c r="AR16" s="310"/>
      <c r="AT16" s="316" t="str">
        <f>IFERROR(AVERAGEIF('CEC DB for analysis'!$AO$9:$AO$600,'CEC analysis'!$C16&amp;"_"&amp;'CEC analysis'!K$5,'CEC DB for analysis'!$AB$9:$AB$600),"")</f>
        <v/>
      </c>
      <c r="AU16" s="316" t="str">
        <f>IFERROR(AVERAGEIF('CEC DB for analysis'!$AO$9:$AO$600,'CEC analysis'!$C16&amp;"_"&amp;'CEC analysis'!L$5,'CEC DB for analysis'!$AB$9:$AB$600),"")</f>
        <v/>
      </c>
      <c r="AV16" s="316" t="str">
        <f>IFERROR(AVERAGEIF('CEC DB for analysis'!$AO$9:$AO$600,'CEC analysis'!$C16&amp;"_"&amp;'CEC analysis'!M$5,'CEC DB for analysis'!$AB$9:$AB$600),"")</f>
        <v/>
      </c>
      <c r="AW16" s="316" t="str">
        <f>IFERROR(AVERAGEIF('CEC DB for analysis'!$AO$9:$AO$600,'CEC analysis'!$C16&amp;"_"&amp;'CEC analysis'!N$5,'CEC DB for analysis'!$AB$9:$AB$600),"")</f>
        <v/>
      </c>
      <c r="AX16" s="316" t="str">
        <f>IFERROR(AVERAGEIF('CEC DB for analysis'!$AP$9:$AP$600,'CEC analysis'!$C16&amp;"_YES",'CEC DB for analysis'!$AB$9:$AB$600),"")</f>
        <v/>
      </c>
      <c r="AY16" s="316" t="str">
        <f t="shared" si="12"/>
        <v/>
      </c>
      <c r="BA16" s="310" t="str">
        <f>IFERROR(AVERAGEIF('CEC DB for analysis'!$AO$9:$AO$600,'CEC analysis'!$C16&amp;"_"&amp;'CEC analysis'!R$5,'CEC DB for analysis'!$V$9:$V$600),"")</f>
        <v/>
      </c>
      <c r="BB16" s="310" t="str">
        <f>IFERROR(AVERAGEIF('CEC DB for analysis'!$AO$9:$AO$600,'CEC analysis'!$C16&amp;"_"&amp;'CEC analysis'!S$5,'CEC DB for analysis'!$V$9:$V$600),"")</f>
        <v/>
      </c>
      <c r="BC16" s="310" t="str">
        <f>IFERROR(AVERAGEIF('CEC DB for analysis'!$AO$9:$AO$600,'CEC analysis'!$C16&amp;"_"&amp;'CEC analysis'!T$5,'CEC DB for analysis'!$V$9:$V$600),"")</f>
        <v/>
      </c>
      <c r="BD16" s="310" t="str">
        <f>IFERROR(AVERAGEIF('CEC DB for analysis'!$AO$9:$AO$600,'CEC analysis'!$C16&amp;"_"&amp;'CEC analysis'!U$5,'CEC DB for analysis'!$V$9:$V$600),"")</f>
        <v/>
      </c>
      <c r="BE16" s="310" t="str">
        <f>IFERROR(AVERAGEIF('CEC DB for analysis'!$AP$9:$AP$600,'CEC analysis'!$C16&amp;"_YES",'CEC DB for analysis'!$V$9:$V$600),"")</f>
        <v/>
      </c>
      <c r="BF16" s="310" t="str">
        <f t="shared" si="13"/>
        <v/>
      </c>
      <c r="BH16" s="310"/>
      <c r="BI16" s="310"/>
      <c r="BJ16" s="310"/>
      <c r="BK16" s="310"/>
      <c r="BL16" s="310"/>
      <c r="BM16" s="310"/>
    </row>
    <row r="17" spans="1:65">
      <c r="A17" s="553"/>
      <c r="B17" s="306"/>
      <c r="C17" s="307" t="s">
        <v>246</v>
      </c>
      <c r="D17" s="308">
        <f>COUNTIF('CEC DB for analysis'!$AO$9:$AO$600,$C17&amp;"_"&amp;D$5)</f>
        <v>0</v>
      </c>
      <c r="E17" s="308">
        <f>COUNTIF('CEC DB for analysis'!$AO$9:$AO$600,$C17&amp;"_"&amp;E$5)</f>
        <v>0</v>
      </c>
      <c r="F17" s="308">
        <f>COUNTIF('CEC DB for analysis'!$AO$9:$AO$600,$C17&amp;"_"&amp;F$5)</f>
        <v>0</v>
      </c>
      <c r="G17" s="308">
        <f>COUNTIF('CEC DB for analysis'!$AO$9:$AO$600,$C17&amp;"_"&amp;G$5)</f>
        <v>0</v>
      </c>
      <c r="H17" s="308">
        <f>COUNTIF('CEC DB for analysis'!$AP$9:$AP$600,'CEC analysis'!C17&amp;"_YES")</f>
        <v>0</v>
      </c>
      <c r="I17" s="308">
        <f t="shared" si="4"/>
        <v>0</v>
      </c>
      <c r="J17" s="306"/>
      <c r="K17" s="309" t="str">
        <f>IFERROR(AVERAGEIF('CEC DB for analysis'!$AO$9:$AO$600,'CEC analysis'!$C17&amp;"_"&amp;'CEC analysis'!K$5,'CEC DB for analysis'!$AG$9:$AG$600),"")</f>
        <v/>
      </c>
      <c r="L17" s="309" t="str">
        <f>IFERROR(AVERAGEIF('CEC DB for analysis'!$AO$9:$AO$600,'CEC analysis'!$C17&amp;"_"&amp;'CEC analysis'!L$5,'CEC DB for analysis'!$AG$9:$AG$600),"")</f>
        <v/>
      </c>
      <c r="M17" s="309" t="str">
        <f>IFERROR(AVERAGEIF('CEC DB for analysis'!$AO$9:$AO$600,'CEC analysis'!$C17&amp;"_"&amp;'CEC analysis'!M$5,'CEC DB for analysis'!$AG$9:$AG$600),"")</f>
        <v/>
      </c>
      <c r="N17" s="309" t="str">
        <f>IFERROR(AVERAGEIF('CEC DB for analysis'!$AO$9:$AO$600,'CEC analysis'!$C17&amp;"_"&amp;'CEC analysis'!N$5,'CEC DB for analysis'!$AG$9:$AG$600),"")</f>
        <v/>
      </c>
      <c r="O17" s="309" t="str">
        <f>IFERROR(AVERAGEIF('CEC DB for analysis'!$AP$9:$AP$600,'CEC analysis'!$C17&amp;"_YES",'CEC DB for analysis'!$AG$9:$AG$600),"")</f>
        <v/>
      </c>
      <c r="P17" s="309" t="str">
        <f t="shared" si="5"/>
        <v/>
      </c>
      <c r="Q17" s="306"/>
      <c r="R17" s="310" t="str">
        <f>IFERROR(AVERAGEIF('CEC DB for analysis'!$AO$9:$AO$600,'CEC analysis'!$C17&amp;"_"&amp;'CEC analysis'!K$5,'CEC DB for analysis'!$AF$9:$AF$600),"")</f>
        <v/>
      </c>
      <c r="S17" s="310" t="str">
        <f>IFERROR(AVERAGEIF('CEC DB for analysis'!$AO$9:$AO$600,'CEC analysis'!$C17&amp;"_"&amp;'CEC analysis'!L$5,'CEC DB for analysis'!$AF$9:$AF$600),"")</f>
        <v/>
      </c>
      <c r="T17" s="310" t="str">
        <f>IFERROR(AVERAGEIF('CEC DB for analysis'!$AO$9:$AO$600,'CEC analysis'!$C17&amp;"_"&amp;'CEC analysis'!M$5,'CEC DB for analysis'!$AF$9:$AF$600),"")</f>
        <v/>
      </c>
      <c r="U17" s="310" t="str">
        <f>IFERROR(AVERAGEIF('CEC DB for analysis'!$AO$9:$AO$600,'CEC analysis'!$C17&amp;"_"&amp;'CEC analysis'!N$5,'CEC DB for analysis'!$AF$9:$AF$600),"")</f>
        <v/>
      </c>
      <c r="V17" s="310" t="str">
        <f>IFERROR(AVERAGEIF('CEC DB for analysis'!$AP$9:$AP$600,'CEC analysis'!$C17&amp;"_YES",'CEC DB for analysis'!$AF$9:$AF$600),"")</f>
        <v/>
      </c>
      <c r="W17" s="310" t="str">
        <f t="shared" si="6"/>
        <v/>
      </c>
      <c r="X17" s="306"/>
      <c r="Y17" s="310" t="str">
        <f t="shared" si="11"/>
        <v/>
      </c>
      <c r="Z17" s="310" t="str">
        <f t="shared" si="7"/>
        <v/>
      </c>
      <c r="AA17" s="310" t="str">
        <f t="shared" si="7"/>
        <v/>
      </c>
      <c r="AB17" s="310" t="str">
        <f t="shared" si="7"/>
        <v/>
      </c>
      <c r="AC17" s="310" t="str">
        <f t="shared" si="7"/>
        <v/>
      </c>
      <c r="AD17" s="310" t="str">
        <f t="shared" si="7"/>
        <v/>
      </c>
      <c r="AE17" s="311"/>
      <c r="AF17" s="310"/>
      <c r="AG17" s="310"/>
      <c r="AH17" s="310"/>
      <c r="AI17" s="310"/>
      <c r="AJ17" s="310"/>
      <c r="AK17" s="310"/>
      <c r="AL17" s="314"/>
      <c r="AM17" s="310"/>
      <c r="AN17" s="310"/>
      <c r="AO17" s="310"/>
      <c r="AP17" s="310"/>
      <c r="AQ17" s="310"/>
      <c r="AR17" s="310"/>
      <c r="AT17" s="316" t="str">
        <f>IFERROR(AVERAGEIF('CEC DB for analysis'!$AO$9:$AO$600,'CEC analysis'!$C17&amp;"_"&amp;'CEC analysis'!K$5,'CEC DB for analysis'!$AB$9:$AB$600),"")</f>
        <v/>
      </c>
      <c r="AU17" s="316" t="str">
        <f>IFERROR(AVERAGEIF('CEC DB for analysis'!$AO$9:$AO$600,'CEC analysis'!$C17&amp;"_"&amp;'CEC analysis'!L$5,'CEC DB for analysis'!$AB$9:$AB$600),"")</f>
        <v/>
      </c>
      <c r="AV17" s="316" t="str">
        <f>IFERROR(AVERAGEIF('CEC DB for analysis'!$AO$9:$AO$600,'CEC analysis'!$C17&amp;"_"&amp;'CEC analysis'!M$5,'CEC DB for analysis'!$AB$9:$AB$600),"")</f>
        <v/>
      </c>
      <c r="AW17" s="316" t="str">
        <f>IFERROR(AVERAGEIF('CEC DB for analysis'!$AO$9:$AO$600,'CEC analysis'!$C17&amp;"_"&amp;'CEC analysis'!N$5,'CEC DB for analysis'!$AB$9:$AB$600),"")</f>
        <v/>
      </c>
      <c r="AX17" s="316" t="str">
        <f>IFERROR(AVERAGEIF('CEC DB for analysis'!$AP$9:$AP$600,'CEC analysis'!$C17&amp;"_YES",'CEC DB for analysis'!$AB$9:$AB$600),"")</f>
        <v/>
      </c>
      <c r="AY17" s="316" t="str">
        <f t="shared" si="12"/>
        <v/>
      </c>
      <c r="BA17" s="310" t="str">
        <f>IFERROR(AVERAGEIF('CEC DB for analysis'!$AO$9:$AO$600,'CEC analysis'!$C17&amp;"_"&amp;'CEC analysis'!R$5,'CEC DB for analysis'!$V$9:$V$600),"")</f>
        <v/>
      </c>
      <c r="BB17" s="310" t="str">
        <f>IFERROR(AVERAGEIF('CEC DB for analysis'!$AO$9:$AO$600,'CEC analysis'!$C17&amp;"_"&amp;'CEC analysis'!S$5,'CEC DB for analysis'!$V$9:$V$600),"")</f>
        <v/>
      </c>
      <c r="BC17" s="310" t="str">
        <f>IFERROR(AVERAGEIF('CEC DB for analysis'!$AO$9:$AO$600,'CEC analysis'!$C17&amp;"_"&amp;'CEC analysis'!T$5,'CEC DB for analysis'!$V$9:$V$600),"")</f>
        <v/>
      </c>
      <c r="BD17" s="310" t="str">
        <f>IFERROR(AVERAGEIF('CEC DB for analysis'!$AO$9:$AO$600,'CEC analysis'!$C17&amp;"_"&amp;'CEC analysis'!U$5,'CEC DB for analysis'!$V$9:$V$600),"")</f>
        <v/>
      </c>
      <c r="BE17" s="310" t="str">
        <f>IFERROR(AVERAGEIF('CEC DB for analysis'!$AP$9:$AP$600,'CEC analysis'!$C17&amp;"_YES",'CEC DB for analysis'!$V$9:$V$600),"")</f>
        <v/>
      </c>
      <c r="BF17" s="310" t="str">
        <f t="shared" si="13"/>
        <v/>
      </c>
      <c r="BH17" s="310"/>
      <c r="BI17" s="310"/>
      <c r="BJ17" s="310"/>
      <c r="BK17" s="310"/>
      <c r="BL17" s="310"/>
      <c r="BM17" s="310"/>
    </row>
    <row r="18" spans="1:65">
      <c r="A18" s="553"/>
      <c r="B18" s="306"/>
      <c r="C18" s="307" t="s">
        <v>250</v>
      </c>
      <c r="D18" s="308">
        <f>COUNTIF('CEC DB for analysis'!$AO$9:$AO$600,$C18&amp;"_"&amp;D$5)</f>
        <v>4</v>
      </c>
      <c r="E18" s="308">
        <f>COUNTIF('CEC DB for analysis'!$AO$9:$AO$600,$C18&amp;"_"&amp;E$5)</f>
        <v>0</v>
      </c>
      <c r="F18" s="308">
        <f>COUNTIF('CEC DB for analysis'!$AO$9:$AO$600,$C18&amp;"_"&amp;F$5)</f>
        <v>0</v>
      </c>
      <c r="G18" s="308">
        <f>COUNTIF('CEC DB for analysis'!$AO$9:$AO$600,$C18&amp;"_"&amp;G$5)</f>
        <v>0</v>
      </c>
      <c r="H18" s="308">
        <f>COUNTIF('CEC DB for analysis'!$AP$9:$AP$600,'CEC analysis'!C18&amp;"_YES")</f>
        <v>0</v>
      </c>
      <c r="I18" s="308">
        <f t="shared" si="4"/>
        <v>4</v>
      </c>
      <c r="J18" s="306"/>
      <c r="K18" s="309">
        <f>IFERROR(AVERAGEIF('CEC DB for analysis'!$AO$9:$AO$600,'CEC analysis'!$C18&amp;"_"&amp;'CEC analysis'!K$5,'CEC DB for analysis'!$AG$9:$AG$600),"")</f>
        <v>5.6256442872832388E-4</v>
      </c>
      <c r="L18" s="309" t="str">
        <f>IFERROR(AVERAGEIF('CEC DB for analysis'!$AO$9:$AO$600,'CEC analysis'!$C18&amp;"_"&amp;'CEC analysis'!L$5,'CEC DB for analysis'!$AG$9:$AG$600),"")</f>
        <v/>
      </c>
      <c r="M18" s="309" t="str">
        <f>IFERROR(AVERAGEIF('CEC DB for analysis'!$AO$9:$AO$600,'CEC analysis'!$C18&amp;"_"&amp;'CEC analysis'!M$5,'CEC DB for analysis'!$AG$9:$AG$600),"")</f>
        <v/>
      </c>
      <c r="N18" s="309" t="str">
        <f>IFERROR(AVERAGEIF('CEC DB for analysis'!$AO$9:$AO$600,'CEC analysis'!$C18&amp;"_"&amp;'CEC analysis'!N$5,'CEC DB for analysis'!$AG$9:$AG$600),"")</f>
        <v/>
      </c>
      <c r="O18" s="309" t="str">
        <f>IFERROR(AVERAGEIF('CEC DB for analysis'!$AP$9:$AP$600,'CEC analysis'!$C18&amp;"_YES",'CEC DB for analysis'!$AG$9:$AG$600),"")</f>
        <v/>
      </c>
      <c r="P18" s="309">
        <f t="shared" si="5"/>
        <v>5.6256442872832388E-4</v>
      </c>
      <c r="Q18" s="306"/>
      <c r="R18" s="310">
        <f>IFERROR(AVERAGEIF('CEC DB for analysis'!$AO$9:$AO$600,'CEC analysis'!$C18&amp;"_"&amp;'CEC analysis'!K$5,'CEC DB for analysis'!$AF$9:$AF$600),"")</f>
        <v>0.44925400000002469</v>
      </c>
      <c r="S18" s="310" t="str">
        <f>IFERROR(AVERAGEIF('CEC DB for analysis'!$AO$9:$AO$600,'CEC analysis'!$C18&amp;"_"&amp;'CEC analysis'!L$5,'CEC DB for analysis'!$AF$9:$AF$600),"")</f>
        <v/>
      </c>
      <c r="T18" s="310" t="str">
        <f>IFERROR(AVERAGEIF('CEC DB for analysis'!$AO$9:$AO$600,'CEC analysis'!$C18&amp;"_"&amp;'CEC analysis'!M$5,'CEC DB for analysis'!$AF$9:$AF$600),"")</f>
        <v/>
      </c>
      <c r="U18" s="310" t="str">
        <f>IFERROR(AVERAGEIF('CEC DB for analysis'!$AO$9:$AO$600,'CEC analysis'!$C18&amp;"_"&amp;'CEC analysis'!N$5,'CEC DB for analysis'!$AF$9:$AF$600),"")</f>
        <v/>
      </c>
      <c r="V18" s="310" t="str">
        <f>IFERROR(AVERAGEIF('CEC DB for analysis'!$AP$9:$AP$600,'CEC analysis'!$C18&amp;"_YES",'CEC DB for analysis'!$AF$9:$AF$600),"")</f>
        <v/>
      </c>
      <c r="W18" s="310">
        <f t="shared" si="6"/>
        <v>0.44925400000002469</v>
      </c>
      <c r="X18" s="306"/>
      <c r="Y18" s="310">
        <f t="shared" si="11"/>
        <v>0</v>
      </c>
      <c r="Z18" s="310" t="str">
        <f t="shared" si="7"/>
        <v/>
      </c>
      <c r="AA18" s="310" t="str">
        <f t="shared" si="7"/>
        <v/>
      </c>
      <c r="AB18" s="310" t="str">
        <f t="shared" si="7"/>
        <v/>
      </c>
      <c r="AC18" s="310" t="str">
        <f t="shared" si="7"/>
        <v/>
      </c>
      <c r="AD18" s="310">
        <f t="shared" si="7"/>
        <v>0</v>
      </c>
      <c r="AE18" s="311"/>
      <c r="AF18" s="310"/>
      <c r="AG18" s="310"/>
      <c r="AH18" s="310"/>
      <c r="AI18" s="310"/>
      <c r="AJ18" s="310"/>
      <c r="AK18" s="310"/>
      <c r="AL18" s="314"/>
      <c r="AM18" s="310"/>
      <c r="AN18" s="310"/>
      <c r="AO18" s="310"/>
      <c r="AP18" s="310"/>
      <c r="AQ18" s="310"/>
      <c r="AR18" s="310"/>
      <c r="AT18" s="316">
        <f>IFERROR(AVERAGEIF('CEC DB for analysis'!$AO$9:$AO$600,'CEC analysis'!$C18&amp;"_"&amp;'CEC analysis'!K$5,'CEC DB for analysis'!$AB$9:$AB$600),"")</f>
        <v>34.055700000000002</v>
      </c>
      <c r="AU18" s="316" t="str">
        <f>IFERROR(AVERAGEIF('CEC DB for analysis'!$AO$9:$AO$600,'CEC analysis'!$C18&amp;"_"&amp;'CEC analysis'!L$5,'CEC DB for analysis'!$AB$9:$AB$600),"")</f>
        <v/>
      </c>
      <c r="AV18" s="316" t="str">
        <f>IFERROR(AVERAGEIF('CEC DB for analysis'!$AO$9:$AO$600,'CEC analysis'!$C18&amp;"_"&amp;'CEC analysis'!M$5,'CEC DB for analysis'!$AB$9:$AB$600),"")</f>
        <v/>
      </c>
      <c r="AW18" s="316" t="str">
        <f>IFERROR(AVERAGEIF('CEC DB for analysis'!$AO$9:$AO$600,'CEC analysis'!$C18&amp;"_"&amp;'CEC analysis'!N$5,'CEC DB for analysis'!$AB$9:$AB$600),"")</f>
        <v/>
      </c>
      <c r="AX18" s="316" t="str">
        <f>IFERROR(AVERAGEIF('CEC DB for analysis'!$AP$9:$AP$600,'CEC analysis'!$C18&amp;"_YES",'CEC DB for analysis'!$AB$9:$AB$600),"")</f>
        <v/>
      </c>
      <c r="AY18" s="316">
        <f t="shared" si="12"/>
        <v>34.055700000000002</v>
      </c>
      <c r="BA18" s="310">
        <f>IFERROR(AVERAGEIF('CEC DB for analysis'!$AO$9:$AO$600,'CEC analysis'!$C18&amp;"_"&amp;'CEC analysis'!R$5,'CEC DB for analysis'!$V$9:$V$600),"")</f>
        <v>789</v>
      </c>
      <c r="BB18" s="310" t="str">
        <f>IFERROR(AVERAGEIF('CEC DB for analysis'!$AO$9:$AO$600,'CEC analysis'!$C18&amp;"_"&amp;'CEC analysis'!S$5,'CEC DB for analysis'!$V$9:$V$600),"")</f>
        <v/>
      </c>
      <c r="BC18" s="310" t="str">
        <f>IFERROR(AVERAGEIF('CEC DB for analysis'!$AO$9:$AO$600,'CEC analysis'!$C18&amp;"_"&amp;'CEC analysis'!T$5,'CEC DB for analysis'!$V$9:$V$600),"")</f>
        <v/>
      </c>
      <c r="BD18" s="310" t="str">
        <f>IFERROR(AVERAGEIF('CEC DB for analysis'!$AO$9:$AO$600,'CEC analysis'!$C18&amp;"_"&amp;'CEC analysis'!U$5,'CEC DB for analysis'!$V$9:$V$600),"")</f>
        <v/>
      </c>
      <c r="BE18" s="310" t="str">
        <f>IFERROR(AVERAGEIF('CEC DB for analysis'!$AP$9:$AP$600,'CEC analysis'!$C18&amp;"_YES",'CEC DB for analysis'!$V$9:$V$600),"")</f>
        <v/>
      </c>
      <c r="BF18" s="310">
        <f t="shared" si="13"/>
        <v>789</v>
      </c>
      <c r="BH18" s="310"/>
      <c r="BI18" s="310"/>
      <c r="BJ18" s="310"/>
      <c r="BK18" s="310"/>
      <c r="BL18" s="310"/>
      <c r="BM18" s="310"/>
    </row>
    <row r="19" spans="1:65" s="470" customFormat="1">
      <c r="A19" s="553"/>
      <c r="C19" s="471" t="s">
        <v>4564</v>
      </c>
      <c r="D19" s="472">
        <f>COUNTIF('CEC DB for analysis'!$AO$9:$AO$600,$C19&amp;"_"&amp;D$5)</f>
        <v>10</v>
      </c>
      <c r="E19" s="472">
        <f>COUNTIF('CEC DB for analysis'!$AO$9:$AO$600,$C19&amp;"_"&amp;E$5)</f>
        <v>8</v>
      </c>
      <c r="F19" s="472">
        <f>COUNTIF('CEC DB for analysis'!$AO$9:$AO$600,$C19&amp;"_"&amp;F$5)</f>
        <v>6</v>
      </c>
      <c r="G19" s="472">
        <f>COUNTIF('CEC DB for analysis'!$AO$9:$AO$600,$C19&amp;"_"&amp;G$5)</f>
        <v>6</v>
      </c>
      <c r="H19" s="472">
        <f>COUNTIF('CEC DB for analysis'!$AP$9:$AP$600,'CEC analysis'!C19&amp;"_YES")</f>
        <v>20</v>
      </c>
      <c r="I19" s="472">
        <f t="shared" si="4"/>
        <v>30</v>
      </c>
      <c r="K19" s="473">
        <f>IFERROR(AVERAGEIF('CEC DB for analysis'!$AO$9:$AO$600,'CEC analysis'!$C19&amp;"_"&amp;'CEC analysis'!K$5,'CEC DB for analysis'!$AG$9:$AG$600),"")</f>
        <v>3.6091994334763712E-2</v>
      </c>
      <c r="L19" s="473">
        <f>IFERROR(AVERAGEIF('CEC DB for analysis'!$AO$9:$AO$600,'CEC analysis'!$C19&amp;"_"&amp;'CEC analysis'!L$5,'CEC DB for analysis'!$AG$9:$AG$600),"")</f>
        <v>0.10689468288136926</v>
      </c>
      <c r="M19" s="473">
        <f>IFERROR(AVERAGEIF('CEC DB for analysis'!$AO$9:$AO$600,'CEC analysis'!$C19&amp;"_"&amp;'CEC analysis'!M$5,'CEC DB for analysis'!$AG$9:$AG$600),"")</f>
        <v>0.17517874596585439</v>
      </c>
      <c r="N19" s="473">
        <f>IFERROR(AVERAGEIF('CEC DB for analysis'!$AO$9:$AO$600,'CEC analysis'!$C19&amp;"_"&amp;'CEC analysis'!N$5,'CEC DB for analysis'!$AG$9:$AG$600),"")</f>
        <v>0.23753465702200868</v>
      </c>
      <c r="O19" s="473">
        <f>IFERROR(AVERAGEIF('CEC DB for analysis'!$AP$9:$AP$600,'CEC analysis'!$C19&amp;"_YES",'CEC DB for analysis'!$AG$9:$AG$600),"")</f>
        <v>0.16657189404890663</v>
      </c>
      <c r="P19" s="473">
        <f t="shared" si="5"/>
        <v>0.12307859414419232</v>
      </c>
      <c r="R19" s="474">
        <f>IFERROR(AVERAGEIF('CEC DB for analysis'!$AO$9:$AO$600,'CEC analysis'!$C19&amp;"_"&amp;'CEC analysis'!K$5,'CEC DB for analysis'!$AF$9:$AF$600),"")</f>
        <v>18.498693999999993</v>
      </c>
      <c r="S19" s="474">
        <f>IFERROR(AVERAGEIF('CEC DB for analysis'!$AO$9:$AO$600,'CEC analysis'!$C19&amp;"_"&amp;'CEC analysis'!L$5,'CEC DB for analysis'!$AF$9:$AF$600),"")</f>
        <v>50.946404999999977</v>
      </c>
      <c r="T19" s="474">
        <f>IFERROR(AVERAGEIF('CEC DB for analysis'!$AO$9:$AO$600,'CEC analysis'!$C19&amp;"_"&amp;'CEC analysis'!M$5,'CEC DB for analysis'!$AF$9:$AF$600),"")</f>
        <v>92.849679999999992</v>
      </c>
      <c r="U19" s="474">
        <f>IFERROR(AVERAGEIF('CEC DB for analysis'!$AO$9:$AO$600,'CEC analysis'!$C19&amp;"_"&amp;'CEC analysis'!N$5,'CEC DB for analysis'!$AF$9:$AF$600),"")</f>
        <v>130.6709533333333</v>
      </c>
      <c r="V19" s="474">
        <f>IFERROR(AVERAGEIF('CEC DB for analysis'!$AP$9:$AP$600,'CEC analysis'!$C19&amp;"_YES",'CEC DB for analysis'!$AF$9:$AF$600),"")</f>
        <v>87.434751999999975</v>
      </c>
      <c r="W19" s="474">
        <f t="shared" si="6"/>
        <v>64.456065999999993</v>
      </c>
      <c r="Y19" s="474">
        <f t="shared" si="11"/>
        <v>-45.957371999999999</v>
      </c>
      <c r="Z19" s="474">
        <f t="shared" si="7"/>
        <v>-13.509661000000015</v>
      </c>
      <c r="AA19" s="474">
        <f t="shared" si="7"/>
        <v>28.393613999999999</v>
      </c>
      <c r="AB19" s="474">
        <f t="shared" si="7"/>
        <v>66.214887333333309</v>
      </c>
      <c r="AC19" s="474">
        <f t="shared" si="7"/>
        <v>22.978685999999982</v>
      </c>
      <c r="AD19" s="474">
        <f t="shared" si="7"/>
        <v>0</v>
      </c>
      <c r="AE19" s="475"/>
      <c r="AF19" s="474"/>
      <c r="AG19" s="474"/>
      <c r="AH19" s="474"/>
      <c r="AI19" s="474"/>
      <c r="AJ19" s="474"/>
      <c r="AK19" s="474"/>
      <c r="AL19" s="475"/>
      <c r="AM19" s="474"/>
      <c r="AN19" s="474"/>
      <c r="AO19" s="474"/>
      <c r="AP19" s="474"/>
      <c r="AQ19" s="474"/>
      <c r="AR19" s="474"/>
      <c r="AT19" s="476">
        <f>IFERROR(AVERAGEIF('CEC DB for analysis'!$AO$9:$AO$600,'CEC analysis'!$C19&amp;"_"&amp;'CEC analysis'!K$5,'CEC DB for analysis'!$AB$9:$AB$600),"")</f>
        <v>18.248439999999999</v>
      </c>
      <c r="AU19" s="476">
        <f>IFERROR(AVERAGEIF('CEC DB for analysis'!$AO$9:$AO$600,'CEC analysis'!$C19&amp;"_"&amp;'CEC analysis'!L$5,'CEC DB for analysis'!$AB$9:$AB$600),"")</f>
        <v>17.875299999999999</v>
      </c>
      <c r="AV19" s="476">
        <f>IFERROR(AVERAGEIF('CEC DB for analysis'!$AO$9:$AO$600,'CEC analysis'!$C19&amp;"_"&amp;'CEC analysis'!M$5,'CEC DB for analysis'!$AB$9:$AB$600),"")</f>
        <v>24.276799999999998</v>
      </c>
      <c r="AW19" s="476">
        <f>IFERROR(AVERAGEIF('CEC DB for analysis'!$AO$9:$AO$600,'CEC analysis'!$C19&amp;"_"&amp;'CEC analysis'!N$5,'CEC DB for analysis'!$AB$9:$AB$600),"")</f>
        <v>25.687866666666665</v>
      </c>
      <c r="AX19" s="476">
        <f>IFERROR(AVERAGEIF('CEC DB for analysis'!$AP$9:$AP$600,'CEC analysis'!$C19&amp;"_YES",'CEC DB for analysis'!$AB$9:$AB$600),"")</f>
        <v>22.139519999999997</v>
      </c>
      <c r="AY19" s="476">
        <f t="shared" si="12"/>
        <v>20.842493333333334</v>
      </c>
      <c r="BA19" s="474">
        <f>IFERROR(AVERAGEIF('CEC DB for analysis'!$AO$9:$AO$600,'CEC analysis'!$C19&amp;"_"&amp;'CEC analysis'!R$5,'CEC DB for analysis'!$V$9:$V$600),"")</f>
        <v>460</v>
      </c>
      <c r="BB19" s="474">
        <f>IFERROR(AVERAGEIF('CEC DB for analysis'!$AO$9:$AO$600,'CEC analysis'!$C19&amp;"_"&amp;'CEC analysis'!S$5,'CEC DB for analysis'!$V$9:$V$600),"")</f>
        <v>424.25</v>
      </c>
      <c r="BC19" s="474">
        <f>IFERROR(AVERAGEIF('CEC DB for analysis'!$AO$9:$AO$600,'CEC analysis'!$C19&amp;"_"&amp;'CEC analysis'!T$5,'CEC DB for analysis'!$V$9:$V$600),"")</f>
        <v>439</v>
      </c>
      <c r="BD19" s="474">
        <f>IFERROR(AVERAGEIF('CEC DB for analysis'!$AO$9:$AO$600,'CEC analysis'!$C19&amp;"_"&amp;'CEC analysis'!U$5,'CEC DB for analysis'!$V$9:$V$600),"")</f>
        <v>413.66666666666669</v>
      </c>
      <c r="BE19" s="474">
        <f>IFERROR(AVERAGEIF('CEC DB for analysis'!$AP$9:$AP$600,'CEC analysis'!$C19&amp;"_YES",'CEC DB for analysis'!$V$9:$V$600),"")</f>
        <v>425.5</v>
      </c>
      <c r="BF19" s="474">
        <f t="shared" si="13"/>
        <v>437</v>
      </c>
      <c r="BH19" s="474"/>
      <c r="BI19" s="474"/>
      <c r="BJ19" s="474"/>
      <c r="BK19" s="474"/>
      <c r="BL19" s="474"/>
      <c r="BM19" s="474"/>
    </row>
    <row r="20" spans="1:65" s="477" customFormat="1">
      <c r="A20" s="553"/>
      <c r="C20" s="478" t="s">
        <v>257</v>
      </c>
      <c r="D20" s="479">
        <f>COUNTIF('CEC DB for analysis'!$AO$9:$AO$600,$C20&amp;"_"&amp;D$5)</f>
        <v>0</v>
      </c>
      <c r="E20" s="479">
        <f>COUNTIF('CEC DB for analysis'!$AO$9:$AO$600,$C20&amp;"_"&amp;E$5)</f>
        <v>0</v>
      </c>
      <c r="F20" s="479">
        <f>COUNTIF('CEC DB for analysis'!$AO$9:$AO$600,$C20&amp;"_"&amp;F$5)</f>
        <v>0</v>
      </c>
      <c r="G20" s="479">
        <f>COUNTIF('CEC DB for analysis'!$AO$9:$AO$600,$C20&amp;"_"&amp;G$5)</f>
        <v>0</v>
      </c>
      <c r="H20" s="479">
        <f>COUNTIF('CEC DB for analysis'!$AP$9:$AP$600,'CEC analysis'!C20&amp;"_YES")</f>
        <v>0</v>
      </c>
      <c r="I20" s="479">
        <f t="shared" si="4"/>
        <v>0</v>
      </c>
      <c r="K20" s="480" t="str">
        <f>IFERROR(AVERAGEIF('CEC DB for analysis'!$AO$9:$AO$600,'CEC analysis'!$C20&amp;"_"&amp;'CEC analysis'!K$5,'CEC DB for analysis'!$AG$9:$AG$600),"")</f>
        <v/>
      </c>
      <c r="L20" s="480" t="str">
        <f>IFERROR(AVERAGEIF('CEC DB for analysis'!$AO$9:$AO$600,'CEC analysis'!$C20&amp;"_"&amp;'CEC analysis'!L$5,'CEC DB for analysis'!$AG$9:$AG$600),"")</f>
        <v/>
      </c>
      <c r="M20" s="480" t="str">
        <f>IFERROR(AVERAGEIF('CEC DB for analysis'!$AO$9:$AO$600,'CEC analysis'!$C20&amp;"_"&amp;'CEC analysis'!M$5,'CEC DB for analysis'!$AG$9:$AG$600),"")</f>
        <v/>
      </c>
      <c r="N20" s="480" t="str">
        <f>IFERROR(AVERAGEIF('CEC DB for analysis'!$AO$9:$AO$600,'CEC analysis'!$C20&amp;"_"&amp;'CEC analysis'!N$5,'CEC DB for analysis'!$AG$9:$AG$600),"")</f>
        <v/>
      </c>
      <c r="O20" s="480" t="str">
        <f>IFERROR(AVERAGEIF('CEC DB for analysis'!$AP$9:$AP$600,'CEC analysis'!$C20&amp;"_YES",'CEC DB for analysis'!$AG$9:$AG$600),"")</f>
        <v/>
      </c>
      <c r="P20" s="480" t="str">
        <f t="shared" si="5"/>
        <v/>
      </c>
      <c r="R20" s="481" t="str">
        <f>IFERROR(AVERAGEIF('CEC DB for analysis'!$AO$9:$AO$600,'CEC analysis'!$C20&amp;"_"&amp;'CEC analysis'!K$5,'CEC DB for analysis'!$AF$9:$AF$600),"")</f>
        <v/>
      </c>
      <c r="S20" s="481" t="str">
        <f>IFERROR(AVERAGEIF('CEC DB for analysis'!$AO$9:$AO$600,'CEC analysis'!$C20&amp;"_"&amp;'CEC analysis'!L$5,'CEC DB for analysis'!$AF$9:$AF$600),"")</f>
        <v/>
      </c>
      <c r="T20" s="481" t="str">
        <f>IFERROR(AVERAGEIF('CEC DB for analysis'!$AO$9:$AO$600,'CEC analysis'!$C20&amp;"_"&amp;'CEC analysis'!M$5,'CEC DB for analysis'!$AF$9:$AF$600),"")</f>
        <v/>
      </c>
      <c r="U20" s="481" t="str">
        <f>IFERROR(AVERAGEIF('CEC DB for analysis'!$AO$9:$AO$600,'CEC analysis'!$C20&amp;"_"&amp;'CEC analysis'!N$5,'CEC DB for analysis'!$AF$9:$AF$600),"")</f>
        <v/>
      </c>
      <c r="V20" s="481" t="str">
        <f>IFERROR(AVERAGEIF('CEC DB for analysis'!$AP$9:$AP$600,'CEC analysis'!$C20&amp;"_YES",'CEC DB for analysis'!$AF$9:$AF$600),"")</f>
        <v/>
      </c>
      <c r="W20" s="481" t="str">
        <f t="shared" si="6"/>
        <v/>
      </c>
      <c r="Y20" s="481" t="str">
        <f t="shared" si="11"/>
        <v/>
      </c>
      <c r="Z20" s="481" t="str">
        <f t="shared" si="7"/>
        <v/>
      </c>
      <c r="AA20" s="481" t="str">
        <f t="shared" si="7"/>
        <v/>
      </c>
      <c r="AB20" s="481" t="str">
        <f t="shared" si="7"/>
        <v/>
      </c>
      <c r="AC20" s="481" t="str">
        <f t="shared" si="7"/>
        <v/>
      </c>
      <c r="AD20" s="481" t="str">
        <f t="shared" si="7"/>
        <v/>
      </c>
      <c r="AE20" s="482"/>
      <c r="AF20" s="481"/>
      <c r="AG20" s="481"/>
      <c r="AH20" s="481"/>
      <c r="AI20" s="481"/>
      <c r="AJ20" s="481"/>
      <c r="AK20" s="481"/>
      <c r="AL20" s="482"/>
      <c r="AM20" s="481"/>
      <c r="AN20" s="481"/>
      <c r="AO20" s="481"/>
      <c r="AP20" s="481"/>
      <c r="AQ20" s="481"/>
      <c r="AR20" s="481"/>
      <c r="AT20" s="483" t="str">
        <f>IFERROR(AVERAGEIF('CEC DB for analysis'!$AO$9:$AO$600,'CEC analysis'!$C20&amp;"_"&amp;'CEC analysis'!K$5,'CEC DB for analysis'!$AB$9:$AB$600),"")</f>
        <v/>
      </c>
      <c r="AU20" s="483" t="str">
        <f>IFERROR(AVERAGEIF('CEC DB for analysis'!$AO$9:$AO$600,'CEC analysis'!$C20&amp;"_"&amp;'CEC analysis'!L$5,'CEC DB for analysis'!$AB$9:$AB$600),"")</f>
        <v/>
      </c>
      <c r="AV20" s="483" t="str">
        <f>IFERROR(AVERAGEIF('CEC DB for analysis'!$AO$9:$AO$600,'CEC analysis'!$C20&amp;"_"&amp;'CEC analysis'!M$5,'CEC DB for analysis'!$AB$9:$AB$600),"")</f>
        <v/>
      </c>
      <c r="AW20" s="483" t="str">
        <f>IFERROR(AVERAGEIF('CEC DB for analysis'!$AO$9:$AO$600,'CEC analysis'!$C20&amp;"_"&amp;'CEC analysis'!N$5,'CEC DB for analysis'!$AB$9:$AB$600),"")</f>
        <v/>
      </c>
      <c r="AX20" s="483" t="str">
        <f>IFERROR(AVERAGEIF('CEC DB for analysis'!$AP$9:$AP$600,'CEC analysis'!$C20&amp;"_YES",'CEC DB for analysis'!$AB$9:$AB$600),"")</f>
        <v/>
      </c>
      <c r="AY20" s="483" t="str">
        <f t="shared" si="12"/>
        <v/>
      </c>
      <c r="BA20" s="481" t="str">
        <f>IFERROR(AVERAGEIF('CEC DB for analysis'!$AO$9:$AO$600,'CEC analysis'!$C20&amp;"_"&amp;'CEC analysis'!R$5,'CEC DB for analysis'!$V$9:$V$600),"")</f>
        <v/>
      </c>
      <c r="BB20" s="481" t="str">
        <f>IFERROR(AVERAGEIF('CEC DB for analysis'!$AO$9:$AO$600,'CEC analysis'!$C20&amp;"_"&amp;'CEC analysis'!S$5,'CEC DB for analysis'!$V$9:$V$600),"")</f>
        <v/>
      </c>
      <c r="BC20" s="481" t="str">
        <f>IFERROR(AVERAGEIF('CEC DB for analysis'!$AO$9:$AO$600,'CEC analysis'!$C20&amp;"_"&amp;'CEC analysis'!T$5,'CEC DB for analysis'!$V$9:$V$600),"")</f>
        <v/>
      </c>
      <c r="BD20" s="481" t="str">
        <f>IFERROR(AVERAGEIF('CEC DB for analysis'!$AO$9:$AO$600,'CEC analysis'!$C20&amp;"_"&amp;'CEC analysis'!U$5,'CEC DB for analysis'!$V$9:$V$600),"")</f>
        <v/>
      </c>
      <c r="BE20" s="481" t="str">
        <f>IFERROR(AVERAGEIF('CEC DB for analysis'!$AP$9:$AP$600,'CEC analysis'!$C20&amp;"_YES",'CEC DB for analysis'!$V$9:$V$600),"")</f>
        <v/>
      </c>
      <c r="BF20" s="481" t="str">
        <f t="shared" si="13"/>
        <v/>
      </c>
      <c r="BH20" s="481"/>
      <c r="BI20" s="481"/>
      <c r="BJ20" s="481"/>
      <c r="BK20" s="481"/>
      <c r="BL20" s="481"/>
      <c r="BM20" s="481"/>
    </row>
    <row r="21" spans="1:65" s="477" customFormat="1">
      <c r="A21" s="553"/>
      <c r="C21" s="478" t="s">
        <v>261</v>
      </c>
      <c r="D21" s="479">
        <f>COUNTIF('CEC DB for analysis'!$AO$9:$AO$600,$C21&amp;"_"&amp;D$5)</f>
        <v>31</v>
      </c>
      <c r="E21" s="479">
        <f>COUNTIF('CEC DB for analysis'!$AO$9:$AO$600,$C21&amp;"_"&amp;E$5)</f>
        <v>1</v>
      </c>
      <c r="F21" s="479">
        <f>COUNTIF('CEC DB for analysis'!$AO$9:$AO$600,$C21&amp;"_"&amp;F$5)</f>
        <v>0</v>
      </c>
      <c r="G21" s="479">
        <f>COUNTIF('CEC DB for analysis'!$AO$9:$AO$600,$C21&amp;"_"&amp;G$5)</f>
        <v>3</v>
      </c>
      <c r="H21" s="479">
        <f>COUNTIF('CEC DB for analysis'!$AP$9:$AP$600,'CEC analysis'!C21&amp;"_YES")</f>
        <v>4</v>
      </c>
      <c r="I21" s="479">
        <f t="shared" si="4"/>
        <v>35</v>
      </c>
      <c r="K21" s="480">
        <f>IFERROR(AVERAGEIF('CEC DB for analysis'!$AO$9:$AO$600,'CEC analysis'!$C21&amp;"_"&amp;'CEC analysis'!K$5,'CEC DB for analysis'!$AG$9:$AG$600),"")</f>
        <v>5.1709537885594646E-2</v>
      </c>
      <c r="L21" s="480">
        <f>IFERROR(AVERAGEIF('CEC DB for analysis'!$AO$9:$AO$600,'CEC analysis'!$C21&amp;"_"&amp;'CEC analysis'!L$5,'CEC DB for analysis'!$AG$9:$AG$600),"")</f>
        <v>0.13486982620445476</v>
      </c>
      <c r="M21" s="480" t="str">
        <f>IFERROR(AVERAGEIF('CEC DB for analysis'!$AO$9:$AO$600,'CEC analysis'!$C21&amp;"_"&amp;'CEC analysis'!M$5,'CEC DB for analysis'!$AG$9:$AG$600),"")</f>
        <v/>
      </c>
      <c r="N21" s="480">
        <f>IFERROR(AVERAGEIF('CEC DB for analysis'!$AO$9:$AO$600,'CEC analysis'!$C21&amp;"_"&amp;'CEC analysis'!N$5,'CEC DB for analysis'!$AG$9:$AG$600),"")</f>
        <v>0.23376065494884482</v>
      </c>
      <c r="O21" s="480">
        <f>IFERROR(AVERAGEIF('CEC DB for analysis'!$AP$9:$AP$600,'CEC analysis'!$C21&amp;"_YES",'CEC DB for analysis'!$AG$9:$AG$600),"")</f>
        <v>0.20903794776274731</v>
      </c>
      <c r="P21" s="480">
        <f t="shared" si="5"/>
        <v>6.9689927585840666E-2</v>
      </c>
      <c r="R21" s="481">
        <f>IFERROR(AVERAGEIF('CEC DB for analysis'!$AO$9:$AO$600,'CEC analysis'!$C21&amp;"_"&amp;'CEC analysis'!K$5,'CEC DB for analysis'!$AF$9:$AF$600),"")</f>
        <v>34.048042580645138</v>
      </c>
      <c r="S21" s="481">
        <f>IFERROR(AVERAGEIF('CEC DB for analysis'!$AO$9:$AO$600,'CEC analysis'!$C21&amp;"_"&amp;'CEC analysis'!L$5,'CEC DB for analysis'!$AF$9:$AF$600),"")</f>
        <v>82.936360000000036</v>
      </c>
      <c r="T21" s="481" t="str">
        <f>IFERROR(AVERAGEIF('CEC DB for analysis'!$AO$9:$AO$600,'CEC analysis'!$C21&amp;"_"&amp;'CEC analysis'!M$5,'CEC DB for analysis'!$AF$9:$AF$600),"")</f>
        <v/>
      </c>
      <c r="U21" s="481">
        <f>IFERROR(AVERAGEIF('CEC DB for analysis'!$AO$9:$AO$600,'CEC analysis'!$C21&amp;"_"&amp;'CEC analysis'!N$5,'CEC DB for analysis'!$AF$9:$AF$600),"")</f>
        <v>150.14199999999997</v>
      </c>
      <c r="V21" s="481">
        <f>IFERROR(AVERAGEIF('CEC DB for analysis'!$AP$9:$AP$600,'CEC analysis'!$C21&amp;"_YES",'CEC DB for analysis'!$AF$9:$AF$600),"")</f>
        <v>133.34058999999999</v>
      </c>
      <c r="W21" s="481">
        <f t="shared" si="6"/>
        <v>45.395762285714262</v>
      </c>
      <c r="Y21" s="481">
        <f t="shared" si="11"/>
        <v>-11.347719705069125</v>
      </c>
      <c r="Z21" s="481">
        <f t="shared" si="7"/>
        <v>37.540597714285774</v>
      </c>
      <c r="AA21" s="481" t="str">
        <f t="shared" si="7"/>
        <v/>
      </c>
      <c r="AB21" s="481">
        <f t="shared" si="7"/>
        <v>104.74623771428571</v>
      </c>
      <c r="AC21" s="481">
        <f t="shared" si="7"/>
        <v>87.944827714285736</v>
      </c>
      <c r="AD21" s="481">
        <f t="shared" si="7"/>
        <v>0</v>
      </c>
      <c r="AE21" s="482"/>
      <c r="AF21" s="481"/>
      <c r="AG21" s="481"/>
      <c r="AH21" s="481"/>
      <c r="AI21" s="481"/>
      <c r="AJ21" s="481"/>
      <c r="AK21" s="481"/>
      <c r="AL21" s="482"/>
      <c r="AM21" s="481"/>
      <c r="AN21" s="481"/>
      <c r="AO21" s="481"/>
      <c r="AP21" s="481"/>
      <c r="AQ21" s="481"/>
      <c r="AR21" s="481"/>
      <c r="AT21" s="483">
        <f>IFERROR(AVERAGEIF('CEC DB for analysis'!$AO$9:$AO$600,'CEC analysis'!$C21&amp;"_"&amp;'CEC analysis'!K$5,'CEC DB for analysis'!$AB$9:$AB$600),"")</f>
        <v>27.802038709677419</v>
      </c>
      <c r="AU21" s="483">
        <f>IFERROR(AVERAGEIF('CEC DB for analysis'!$AO$9:$AO$600,'CEC analysis'!$C21&amp;"_"&amp;'CEC analysis'!L$5,'CEC DB for analysis'!$AB$9:$AB$600),"")</f>
        <v>24.1736</v>
      </c>
      <c r="AV21" s="483" t="str">
        <f>IFERROR(AVERAGEIF('CEC DB for analysis'!$AO$9:$AO$600,'CEC analysis'!$C21&amp;"_"&amp;'CEC analysis'!M$5,'CEC DB for analysis'!$AB$9:$AB$600),"")</f>
        <v/>
      </c>
      <c r="AW21" s="483">
        <f>IFERROR(AVERAGEIF('CEC DB for analysis'!$AO$9:$AO$600,'CEC analysis'!$C21&amp;"_"&amp;'CEC analysis'!N$5,'CEC DB for analysis'!$AB$9:$AB$600),"")</f>
        <v>27.586666666666662</v>
      </c>
      <c r="AX21" s="483">
        <f>IFERROR(AVERAGEIF('CEC DB for analysis'!$AP$9:$AP$600,'CEC analysis'!$C21&amp;"_YES",'CEC DB for analysis'!$AB$9:$AB$600),"")</f>
        <v>26.7334</v>
      </c>
      <c r="AY21" s="483">
        <f t="shared" si="12"/>
        <v>27.67990857142857</v>
      </c>
      <c r="BA21" s="481">
        <f>IFERROR(AVERAGEIF('CEC DB for analysis'!$AO$9:$AO$600,'CEC analysis'!$C21&amp;"_"&amp;'CEC analysis'!R$5,'CEC DB for analysis'!$V$9:$V$600),"")</f>
        <v>613</v>
      </c>
      <c r="BB21" s="481">
        <f>IFERROR(AVERAGEIF('CEC DB for analysis'!$AO$9:$AO$600,'CEC analysis'!$C21&amp;"_"&amp;'CEC analysis'!S$5,'CEC DB for analysis'!$V$9:$V$600),"")</f>
        <v>532</v>
      </c>
      <c r="BC21" s="481" t="str">
        <f>IFERROR(AVERAGEIF('CEC DB for analysis'!$AO$9:$AO$600,'CEC analysis'!$C21&amp;"_"&amp;'CEC analysis'!T$5,'CEC DB for analysis'!$V$9:$V$600),"")</f>
        <v/>
      </c>
      <c r="BD21" s="481">
        <f>IFERROR(AVERAGEIF('CEC DB for analysis'!$AO$9:$AO$600,'CEC analysis'!$C21&amp;"_"&amp;'CEC analysis'!U$5,'CEC DB for analysis'!$V$9:$V$600),"")</f>
        <v>495</v>
      </c>
      <c r="BE21" s="481">
        <f>IFERROR(AVERAGEIF('CEC DB for analysis'!$AP$9:$AP$600,'CEC analysis'!$C21&amp;"_YES",'CEC DB for analysis'!$V$9:$V$600),"")</f>
        <v>504.25</v>
      </c>
      <c r="BF21" s="481">
        <f t="shared" si="13"/>
        <v>600.57142857142856</v>
      </c>
      <c r="BH21" s="481"/>
      <c r="BI21" s="481"/>
      <c r="BJ21" s="481"/>
      <c r="BK21" s="481"/>
      <c r="BL21" s="481"/>
      <c r="BM21" s="481"/>
    </row>
    <row r="22" spans="1:65" s="477" customFormat="1">
      <c r="A22" s="553"/>
      <c r="C22" s="478" t="s">
        <v>265</v>
      </c>
      <c r="D22" s="479">
        <f>COUNTIF('CEC DB for analysis'!$AO$9:$AO$600,$C22&amp;"_"&amp;D$5)</f>
        <v>8</v>
      </c>
      <c r="E22" s="479">
        <f>COUNTIF('CEC DB for analysis'!$AO$9:$AO$600,$C22&amp;"_"&amp;E$5)</f>
        <v>0</v>
      </c>
      <c r="F22" s="479">
        <f>COUNTIF('CEC DB for analysis'!$AO$9:$AO$600,$C22&amp;"_"&amp;F$5)</f>
        <v>0</v>
      </c>
      <c r="G22" s="479">
        <f>COUNTIF('CEC DB for analysis'!$AO$9:$AO$600,$C22&amp;"_"&amp;G$5)</f>
        <v>0</v>
      </c>
      <c r="H22" s="479">
        <f>COUNTIF('CEC DB for analysis'!$AP$9:$AP$600,'CEC analysis'!C22&amp;"_YES")</f>
        <v>0</v>
      </c>
      <c r="I22" s="479">
        <f t="shared" si="4"/>
        <v>8</v>
      </c>
      <c r="K22" s="480">
        <f>IFERROR(AVERAGEIF('CEC DB for analysis'!$AO$9:$AO$600,'CEC analysis'!$C22&amp;"_"&amp;'CEC analysis'!K$5,'CEC DB for analysis'!$AG$9:$AG$600),"")</f>
        <v>5.9361641235204911E-2</v>
      </c>
      <c r="L22" s="480" t="str">
        <f>IFERROR(AVERAGEIF('CEC DB for analysis'!$AO$9:$AO$600,'CEC analysis'!$C22&amp;"_"&amp;'CEC analysis'!L$5,'CEC DB for analysis'!$AG$9:$AG$600),"")</f>
        <v/>
      </c>
      <c r="M22" s="480" t="str">
        <f>IFERROR(AVERAGEIF('CEC DB for analysis'!$AO$9:$AO$600,'CEC analysis'!$C22&amp;"_"&amp;'CEC analysis'!M$5,'CEC DB for analysis'!$AG$9:$AG$600),"")</f>
        <v/>
      </c>
      <c r="N22" s="480" t="str">
        <f>IFERROR(AVERAGEIF('CEC DB for analysis'!$AO$9:$AO$600,'CEC analysis'!$C22&amp;"_"&amp;'CEC analysis'!N$5,'CEC DB for analysis'!$AG$9:$AG$600),"")</f>
        <v/>
      </c>
      <c r="O22" s="480" t="str">
        <f>IFERROR(AVERAGEIF('CEC DB for analysis'!$AP$9:$AP$600,'CEC analysis'!$C22&amp;"_YES",'CEC DB for analysis'!$AG$9:$AG$600),"")</f>
        <v/>
      </c>
      <c r="P22" s="480">
        <f t="shared" si="5"/>
        <v>5.9361641235204911E-2</v>
      </c>
      <c r="R22" s="481">
        <f>IFERROR(AVERAGEIF('CEC DB for analysis'!$AO$9:$AO$600,'CEC analysis'!$C22&amp;"_"&amp;'CEC analysis'!K$5,'CEC DB for analysis'!$AF$9:$AF$600),"")</f>
        <v>38.402169999999984</v>
      </c>
      <c r="S22" s="481" t="str">
        <f>IFERROR(AVERAGEIF('CEC DB for analysis'!$AO$9:$AO$600,'CEC analysis'!$C22&amp;"_"&amp;'CEC analysis'!L$5,'CEC DB for analysis'!$AF$9:$AF$600),"")</f>
        <v/>
      </c>
      <c r="T22" s="481" t="str">
        <f>IFERROR(AVERAGEIF('CEC DB for analysis'!$AO$9:$AO$600,'CEC analysis'!$C22&amp;"_"&amp;'CEC analysis'!M$5,'CEC DB for analysis'!$AF$9:$AF$600),"")</f>
        <v/>
      </c>
      <c r="U22" s="481" t="str">
        <f>IFERROR(AVERAGEIF('CEC DB for analysis'!$AO$9:$AO$600,'CEC analysis'!$C22&amp;"_"&amp;'CEC analysis'!N$5,'CEC DB for analysis'!$AF$9:$AF$600),"")</f>
        <v/>
      </c>
      <c r="V22" s="481" t="str">
        <f>IFERROR(AVERAGEIF('CEC DB for analysis'!$AP$9:$AP$600,'CEC analysis'!$C22&amp;"_YES",'CEC DB for analysis'!$AF$9:$AF$600),"")</f>
        <v/>
      </c>
      <c r="W22" s="481">
        <f t="shared" si="6"/>
        <v>38.402169999999984</v>
      </c>
      <c r="Y22" s="481">
        <f t="shared" si="11"/>
        <v>0</v>
      </c>
      <c r="Z22" s="481" t="str">
        <f t="shared" si="7"/>
        <v/>
      </c>
      <c r="AA22" s="481" t="str">
        <f t="shared" si="7"/>
        <v/>
      </c>
      <c r="AB22" s="481" t="str">
        <f t="shared" si="7"/>
        <v/>
      </c>
      <c r="AC22" s="481" t="str">
        <f t="shared" si="7"/>
        <v/>
      </c>
      <c r="AD22" s="481">
        <f t="shared" si="7"/>
        <v>0</v>
      </c>
      <c r="AE22" s="482"/>
      <c r="AF22" s="481"/>
      <c r="AG22" s="481"/>
      <c r="AH22" s="481"/>
      <c r="AI22" s="481"/>
      <c r="AJ22" s="481"/>
      <c r="AK22" s="481"/>
      <c r="AL22" s="482"/>
      <c r="AM22" s="481"/>
      <c r="AN22" s="481"/>
      <c r="AO22" s="481"/>
      <c r="AP22" s="481"/>
      <c r="AQ22" s="481"/>
      <c r="AR22" s="481"/>
      <c r="AT22" s="483">
        <f>IFERROR(AVERAGEIF('CEC DB for analysis'!$AO$9:$AO$600,'CEC analysis'!$C22&amp;"_"&amp;'CEC analysis'!K$5,'CEC DB for analysis'!$AB$9:$AB$600),"")</f>
        <v>24.255549999999999</v>
      </c>
      <c r="AU22" s="483" t="str">
        <f>IFERROR(AVERAGEIF('CEC DB for analysis'!$AO$9:$AO$600,'CEC analysis'!$C22&amp;"_"&amp;'CEC analysis'!L$5,'CEC DB for analysis'!$AB$9:$AB$600),"")</f>
        <v/>
      </c>
      <c r="AV22" s="483" t="str">
        <f>IFERROR(AVERAGEIF('CEC DB for analysis'!$AO$9:$AO$600,'CEC analysis'!$C22&amp;"_"&amp;'CEC analysis'!M$5,'CEC DB for analysis'!$AB$9:$AB$600),"")</f>
        <v/>
      </c>
      <c r="AW22" s="483" t="str">
        <f>IFERROR(AVERAGEIF('CEC DB for analysis'!$AO$9:$AO$600,'CEC analysis'!$C22&amp;"_"&amp;'CEC analysis'!N$5,'CEC DB for analysis'!$AB$9:$AB$600),"")</f>
        <v/>
      </c>
      <c r="AX22" s="483" t="str">
        <f>IFERROR(AVERAGEIF('CEC DB for analysis'!$AP$9:$AP$600,'CEC analysis'!$C22&amp;"_YES",'CEC DB for analysis'!$AB$9:$AB$600),"")</f>
        <v/>
      </c>
      <c r="AY22" s="483">
        <f t="shared" si="12"/>
        <v>24.255549999999999</v>
      </c>
      <c r="BA22" s="481">
        <f>IFERROR(AVERAGEIF('CEC DB for analysis'!$AO$9:$AO$600,'CEC analysis'!$C22&amp;"_"&amp;'CEC analysis'!R$5,'CEC DB for analysis'!$V$9:$V$600),"")</f>
        <v>610.5</v>
      </c>
      <c r="BB22" s="481" t="str">
        <f>IFERROR(AVERAGEIF('CEC DB for analysis'!$AO$9:$AO$600,'CEC analysis'!$C22&amp;"_"&amp;'CEC analysis'!S$5,'CEC DB for analysis'!$V$9:$V$600),"")</f>
        <v/>
      </c>
      <c r="BC22" s="481" t="str">
        <f>IFERROR(AVERAGEIF('CEC DB for analysis'!$AO$9:$AO$600,'CEC analysis'!$C22&amp;"_"&amp;'CEC analysis'!T$5,'CEC DB for analysis'!$V$9:$V$600),"")</f>
        <v/>
      </c>
      <c r="BD22" s="481" t="str">
        <f>IFERROR(AVERAGEIF('CEC DB for analysis'!$AO$9:$AO$600,'CEC analysis'!$C22&amp;"_"&amp;'CEC analysis'!U$5,'CEC DB for analysis'!$V$9:$V$600),"")</f>
        <v/>
      </c>
      <c r="BE22" s="481" t="str">
        <f>IFERROR(AVERAGEIF('CEC DB for analysis'!$AP$9:$AP$600,'CEC analysis'!$C22&amp;"_YES",'CEC DB for analysis'!$V$9:$V$600),"")</f>
        <v/>
      </c>
      <c r="BF22" s="481">
        <f t="shared" si="13"/>
        <v>610.5</v>
      </c>
      <c r="BH22" s="481"/>
      <c r="BI22" s="481"/>
      <c r="BJ22" s="481"/>
      <c r="BK22" s="481"/>
      <c r="BL22" s="481"/>
      <c r="BM22" s="481"/>
    </row>
    <row r="23" spans="1:65" s="477" customFormat="1">
      <c r="A23" s="553"/>
      <c r="C23" s="478" t="s">
        <v>269</v>
      </c>
      <c r="D23" s="479">
        <f>COUNTIF('CEC DB for analysis'!$AO$9:$AO$600,$C23&amp;"_"&amp;D$5)</f>
        <v>52</v>
      </c>
      <c r="E23" s="479">
        <f>COUNTIF('CEC DB for analysis'!$AO$9:$AO$600,$C23&amp;"_"&amp;E$5)</f>
        <v>0</v>
      </c>
      <c r="F23" s="479">
        <f>COUNTIF('CEC DB for analysis'!$AO$9:$AO$600,$C23&amp;"_"&amp;F$5)</f>
        <v>0</v>
      </c>
      <c r="G23" s="479">
        <f>COUNTIF('CEC DB for analysis'!$AO$9:$AO$600,$C23&amp;"_"&amp;G$5)</f>
        <v>6</v>
      </c>
      <c r="H23" s="479">
        <f>COUNTIF('CEC DB for analysis'!$AP$9:$AP$600,'CEC analysis'!C23&amp;"_YES")</f>
        <v>6</v>
      </c>
      <c r="I23" s="479">
        <f t="shared" si="4"/>
        <v>58</v>
      </c>
      <c r="K23" s="480">
        <f>IFERROR(AVERAGEIF('CEC DB for analysis'!$AO$9:$AO$600,'CEC analysis'!$C23&amp;"_"&amp;'CEC analysis'!K$5,'CEC DB for analysis'!$AG$9:$AG$600),"")</f>
        <v>6.6285844035632077E-2</v>
      </c>
      <c r="L23" s="480" t="str">
        <f>IFERROR(AVERAGEIF('CEC DB for analysis'!$AO$9:$AO$600,'CEC analysis'!$C23&amp;"_"&amp;'CEC analysis'!L$5,'CEC DB for analysis'!$AG$9:$AG$600),"")</f>
        <v/>
      </c>
      <c r="M23" s="480" t="str">
        <f>IFERROR(AVERAGEIF('CEC DB for analysis'!$AO$9:$AO$600,'CEC analysis'!$C23&amp;"_"&amp;'CEC analysis'!M$5,'CEC DB for analysis'!$AG$9:$AG$600),"")</f>
        <v/>
      </c>
      <c r="N23" s="480">
        <f>IFERROR(AVERAGEIF('CEC DB for analysis'!$AO$9:$AO$600,'CEC analysis'!$C23&amp;"_"&amp;'CEC analysis'!N$5,'CEC DB for analysis'!$AG$9:$AG$600),"")</f>
        <v>0.289294489765</v>
      </c>
      <c r="O23" s="480">
        <f>IFERROR(AVERAGEIF('CEC DB for analysis'!$AP$9:$AP$600,'CEC analysis'!$C23&amp;"_YES",'CEC DB for analysis'!$AG$9:$AG$600),"")</f>
        <v>0.289294489765</v>
      </c>
      <c r="P23" s="480">
        <f t="shared" si="5"/>
        <v>8.9355703938670136E-2</v>
      </c>
      <c r="R23" s="481">
        <f>IFERROR(AVERAGEIF('CEC DB for analysis'!$AO$9:$AO$600,'CEC analysis'!$C23&amp;"_"&amp;'CEC analysis'!K$5,'CEC DB for analysis'!$AF$9:$AF$600),"")</f>
        <v>51.450586538461494</v>
      </c>
      <c r="S23" s="481" t="str">
        <f>IFERROR(AVERAGEIF('CEC DB for analysis'!$AO$9:$AO$600,'CEC analysis'!$C23&amp;"_"&amp;'CEC analysis'!L$5,'CEC DB for analysis'!$AF$9:$AF$600),"")</f>
        <v/>
      </c>
      <c r="T23" s="481" t="str">
        <f>IFERROR(AVERAGEIF('CEC DB for analysis'!$AO$9:$AO$600,'CEC analysis'!$C23&amp;"_"&amp;'CEC analysis'!M$5,'CEC DB for analysis'!$AF$9:$AF$600),"")</f>
        <v/>
      </c>
      <c r="U23" s="481">
        <f>IFERROR(AVERAGEIF('CEC DB for analysis'!$AO$9:$AO$600,'CEC analysis'!$C23&amp;"_"&amp;'CEC analysis'!N$5,'CEC DB for analysis'!$AF$9:$AF$600),"")</f>
        <v>232.67414999999997</v>
      </c>
      <c r="V23" s="481">
        <f>IFERROR(AVERAGEIF('CEC DB for analysis'!$AP$9:$AP$600,'CEC analysis'!$C23&amp;"_YES",'CEC DB for analysis'!$AF$9:$AF$600),"")</f>
        <v>232.67414999999997</v>
      </c>
      <c r="W23" s="481">
        <f t="shared" si="6"/>
        <v>70.197851724137891</v>
      </c>
      <c r="Y23" s="481">
        <f t="shared" si="11"/>
        <v>-18.747265185676397</v>
      </c>
      <c r="Z23" s="481" t="str">
        <f t="shared" si="7"/>
        <v/>
      </c>
      <c r="AA23" s="481" t="str">
        <f t="shared" si="7"/>
        <v/>
      </c>
      <c r="AB23" s="481">
        <f t="shared" si="7"/>
        <v>162.47629827586206</v>
      </c>
      <c r="AC23" s="481">
        <f t="shared" si="7"/>
        <v>162.47629827586206</v>
      </c>
      <c r="AD23" s="481">
        <f t="shared" si="7"/>
        <v>0</v>
      </c>
      <c r="AE23" s="482"/>
      <c r="AF23" s="481"/>
      <c r="AG23" s="481"/>
      <c r="AH23" s="481"/>
      <c r="AI23" s="481"/>
      <c r="AJ23" s="481"/>
      <c r="AK23" s="481"/>
      <c r="AL23" s="482"/>
      <c r="AM23" s="481"/>
      <c r="AN23" s="481"/>
      <c r="AO23" s="481"/>
      <c r="AP23" s="481"/>
      <c r="AQ23" s="481"/>
      <c r="AR23" s="481"/>
      <c r="AT23" s="483">
        <f>IFERROR(AVERAGEIF('CEC DB for analysis'!$AO$9:$AO$600,'CEC analysis'!$C23&amp;"_"&amp;'CEC analysis'!K$5,'CEC DB for analysis'!$AB$9:$AB$600),"")</f>
        <v>31.88280769230769</v>
      </c>
      <c r="AU23" s="483" t="str">
        <f>IFERROR(AVERAGEIF('CEC DB for analysis'!$AO$9:$AO$600,'CEC analysis'!$C23&amp;"_"&amp;'CEC analysis'!L$5,'CEC DB for analysis'!$AB$9:$AB$600),"")</f>
        <v/>
      </c>
      <c r="AV23" s="483" t="str">
        <f>IFERROR(AVERAGEIF('CEC DB for analysis'!$AO$9:$AO$600,'CEC analysis'!$C23&amp;"_"&amp;'CEC analysis'!M$5,'CEC DB for analysis'!$AB$9:$AB$600),"")</f>
        <v/>
      </c>
      <c r="AW23" s="483">
        <f>IFERROR(AVERAGEIF('CEC DB for analysis'!$AO$9:$AO$600,'CEC analysis'!$C23&amp;"_"&amp;'CEC analysis'!N$5,'CEC DB for analysis'!$AB$9:$AB$600),"")</f>
        <v>35.525133333333336</v>
      </c>
      <c r="AX23" s="483">
        <f>IFERROR(AVERAGEIF('CEC DB for analysis'!$AP$9:$AP$600,'CEC analysis'!$C23&amp;"_YES",'CEC DB for analysis'!$AB$9:$AB$600),"")</f>
        <v>35.525133333333336</v>
      </c>
      <c r="AY23" s="483">
        <f t="shared" si="12"/>
        <v>32.259599999999999</v>
      </c>
      <c r="BA23" s="481">
        <f>IFERROR(AVERAGEIF('CEC DB for analysis'!$AO$9:$AO$600,'CEC analysis'!$C23&amp;"_"&amp;'CEC analysis'!R$5,'CEC DB for analysis'!$V$9:$V$600),"")</f>
        <v>718.86538461538464</v>
      </c>
      <c r="BB23" s="481" t="str">
        <f>IFERROR(AVERAGEIF('CEC DB for analysis'!$AO$9:$AO$600,'CEC analysis'!$C23&amp;"_"&amp;'CEC analysis'!S$5,'CEC DB for analysis'!$V$9:$V$600),"")</f>
        <v/>
      </c>
      <c r="BC23" s="481" t="str">
        <f>IFERROR(AVERAGEIF('CEC DB for analysis'!$AO$9:$AO$600,'CEC analysis'!$C23&amp;"_"&amp;'CEC analysis'!T$5,'CEC DB for analysis'!$V$9:$V$600),"")</f>
        <v/>
      </c>
      <c r="BD23" s="481">
        <f>IFERROR(AVERAGEIF('CEC DB for analysis'!$AO$9:$AO$600,'CEC analysis'!$C23&amp;"_"&amp;'CEC analysis'!U$5,'CEC DB for analysis'!$V$9:$V$600),"")</f>
        <v>571.33333333333337</v>
      </c>
      <c r="BE23" s="481">
        <f>IFERROR(AVERAGEIF('CEC DB for analysis'!$AP$9:$AP$600,'CEC analysis'!$C23&amp;"_YES",'CEC DB for analysis'!$V$9:$V$600),"")</f>
        <v>571.33333333333337</v>
      </c>
      <c r="BF23" s="481">
        <f t="shared" si="13"/>
        <v>703.60344827586209</v>
      </c>
      <c r="BH23" s="481"/>
      <c r="BI23" s="481"/>
      <c r="BJ23" s="481"/>
      <c r="BK23" s="481"/>
      <c r="BL23" s="481"/>
      <c r="BM23" s="481"/>
    </row>
    <row r="24" spans="1:65" s="477" customFormat="1">
      <c r="A24" s="553"/>
      <c r="C24" s="478" t="s">
        <v>273</v>
      </c>
      <c r="D24" s="479">
        <f>COUNTIF('CEC DB for analysis'!$AO$9:$AO$600,$C24&amp;"_"&amp;D$5)</f>
        <v>0</v>
      </c>
      <c r="E24" s="479">
        <f>COUNTIF('CEC DB for analysis'!$AO$9:$AO$600,$C24&amp;"_"&amp;E$5)</f>
        <v>0</v>
      </c>
      <c r="F24" s="479">
        <f>COUNTIF('CEC DB for analysis'!$AO$9:$AO$600,$C24&amp;"_"&amp;F$5)</f>
        <v>0</v>
      </c>
      <c r="G24" s="479">
        <f>COUNTIF('CEC DB for analysis'!$AO$9:$AO$600,$C24&amp;"_"&amp;G$5)</f>
        <v>0</v>
      </c>
      <c r="H24" s="479">
        <f>COUNTIF('CEC DB for analysis'!$AP$9:$AP$600,'CEC analysis'!C24&amp;"_YES")</f>
        <v>0</v>
      </c>
      <c r="I24" s="479">
        <f t="shared" si="4"/>
        <v>0</v>
      </c>
      <c r="K24" s="480" t="str">
        <f>IFERROR(AVERAGEIF('CEC DB for analysis'!$AO$9:$AO$600,'CEC analysis'!$C24&amp;"_"&amp;'CEC analysis'!K$5,'CEC DB for analysis'!$AG$9:$AG$600),"")</f>
        <v/>
      </c>
      <c r="L24" s="480" t="str">
        <f>IFERROR(AVERAGEIF('CEC DB for analysis'!$AO$9:$AO$600,'CEC analysis'!$C24&amp;"_"&amp;'CEC analysis'!L$5,'CEC DB for analysis'!$AG$9:$AG$600),"")</f>
        <v/>
      </c>
      <c r="M24" s="480" t="str">
        <f>IFERROR(AVERAGEIF('CEC DB for analysis'!$AO$9:$AO$600,'CEC analysis'!$C24&amp;"_"&amp;'CEC analysis'!M$5,'CEC DB for analysis'!$AG$9:$AG$600),"")</f>
        <v/>
      </c>
      <c r="N24" s="480" t="str">
        <f>IFERROR(AVERAGEIF('CEC DB for analysis'!$AO$9:$AO$600,'CEC analysis'!$C24&amp;"_"&amp;'CEC analysis'!N$5,'CEC DB for analysis'!$AG$9:$AG$600),"")</f>
        <v/>
      </c>
      <c r="O24" s="480" t="str">
        <f>IFERROR(AVERAGEIF('CEC DB for analysis'!$AP$9:$AP$600,'CEC analysis'!$C24&amp;"_YES",'CEC DB for analysis'!$AG$9:$AG$600),"")</f>
        <v/>
      </c>
      <c r="P24" s="480" t="str">
        <f t="shared" si="5"/>
        <v/>
      </c>
      <c r="R24" s="481" t="str">
        <f>IFERROR(AVERAGEIF('CEC DB for analysis'!$AO$9:$AO$600,'CEC analysis'!$C24&amp;"_"&amp;'CEC analysis'!K$5,'CEC DB for analysis'!$AF$9:$AF$600),"")</f>
        <v/>
      </c>
      <c r="S24" s="481" t="str">
        <f>IFERROR(AVERAGEIF('CEC DB for analysis'!$AO$9:$AO$600,'CEC analysis'!$C24&amp;"_"&amp;'CEC analysis'!L$5,'CEC DB for analysis'!$AF$9:$AF$600),"")</f>
        <v/>
      </c>
      <c r="T24" s="481" t="str">
        <f>IFERROR(AVERAGEIF('CEC DB for analysis'!$AO$9:$AO$600,'CEC analysis'!$C24&amp;"_"&amp;'CEC analysis'!M$5,'CEC DB for analysis'!$AF$9:$AF$600),"")</f>
        <v/>
      </c>
      <c r="U24" s="481" t="str">
        <f>IFERROR(AVERAGEIF('CEC DB for analysis'!$AO$9:$AO$600,'CEC analysis'!$C24&amp;"_"&amp;'CEC analysis'!N$5,'CEC DB for analysis'!$AF$9:$AF$600),"")</f>
        <v/>
      </c>
      <c r="V24" s="481" t="str">
        <f>IFERROR(AVERAGEIF('CEC DB for analysis'!$AP$9:$AP$600,'CEC analysis'!$C24&amp;"_YES",'CEC DB for analysis'!$AF$9:$AF$600),"")</f>
        <v/>
      </c>
      <c r="W24" s="481" t="str">
        <f t="shared" si="6"/>
        <v/>
      </c>
      <c r="Y24" s="481" t="str">
        <f t="shared" si="11"/>
        <v/>
      </c>
      <c r="Z24" s="481" t="str">
        <f t="shared" si="7"/>
        <v/>
      </c>
      <c r="AA24" s="481" t="str">
        <f t="shared" si="7"/>
        <v/>
      </c>
      <c r="AB24" s="481" t="str">
        <f t="shared" si="7"/>
        <v/>
      </c>
      <c r="AC24" s="481" t="str">
        <f t="shared" si="7"/>
        <v/>
      </c>
      <c r="AD24" s="481" t="str">
        <f t="shared" si="7"/>
        <v/>
      </c>
      <c r="AE24" s="482"/>
      <c r="AF24" s="481"/>
      <c r="AG24" s="481"/>
      <c r="AH24" s="481"/>
      <c r="AI24" s="481"/>
      <c r="AJ24" s="481"/>
      <c r="AK24" s="481"/>
      <c r="AL24" s="482"/>
      <c r="AM24" s="481"/>
      <c r="AN24" s="481"/>
      <c r="AO24" s="481"/>
      <c r="AP24" s="481"/>
      <c r="AQ24" s="481"/>
      <c r="AR24" s="481"/>
      <c r="AT24" s="483" t="str">
        <f>IFERROR(AVERAGEIF('CEC DB for analysis'!$AO$9:$AO$600,'CEC analysis'!$C24&amp;"_"&amp;'CEC analysis'!K$5,'CEC DB for analysis'!$AB$9:$AB$600),"")</f>
        <v/>
      </c>
      <c r="AU24" s="483" t="str">
        <f>IFERROR(AVERAGEIF('CEC DB for analysis'!$AO$9:$AO$600,'CEC analysis'!$C24&amp;"_"&amp;'CEC analysis'!L$5,'CEC DB for analysis'!$AB$9:$AB$600),"")</f>
        <v/>
      </c>
      <c r="AV24" s="483" t="str">
        <f>IFERROR(AVERAGEIF('CEC DB for analysis'!$AO$9:$AO$600,'CEC analysis'!$C24&amp;"_"&amp;'CEC analysis'!M$5,'CEC DB for analysis'!$AB$9:$AB$600),"")</f>
        <v/>
      </c>
      <c r="AW24" s="483" t="str">
        <f>IFERROR(AVERAGEIF('CEC DB for analysis'!$AO$9:$AO$600,'CEC analysis'!$C24&amp;"_"&amp;'CEC analysis'!N$5,'CEC DB for analysis'!$AB$9:$AB$600),"")</f>
        <v/>
      </c>
      <c r="AX24" s="483" t="str">
        <f>IFERROR(AVERAGEIF('CEC DB for analysis'!$AP$9:$AP$600,'CEC analysis'!$C24&amp;"_YES",'CEC DB for analysis'!$AB$9:$AB$600),"")</f>
        <v/>
      </c>
      <c r="AY24" s="483" t="str">
        <f t="shared" si="12"/>
        <v/>
      </c>
      <c r="BA24" s="481" t="str">
        <f>IFERROR(AVERAGEIF('CEC DB for analysis'!$AO$9:$AO$600,'CEC analysis'!$C24&amp;"_"&amp;'CEC analysis'!R$5,'CEC DB for analysis'!$V$9:$V$600),"")</f>
        <v/>
      </c>
      <c r="BB24" s="481" t="str">
        <f>IFERROR(AVERAGEIF('CEC DB for analysis'!$AO$9:$AO$600,'CEC analysis'!$C24&amp;"_"&amp;'CEC analysis'!S$5,'CEC DB for analysis'!$V$9:$V$600),"")</f>
        <v/>
      </c>
      <c r="BC24" s="481" t="str">
        <f>IFERROR(AVERAGEIF('CEC DB for analysis'!$AO$9:$AO$600,'CEC analysis'!$C24&amp;"_"&amp;'CEC analysis'!T$5,'CEC DB for analysis'!$V$9:$V$600),"")</f>
        <v/>
      </c>
      <c r="BD24" s="481" t="str">
        <f>IFERROR(AVERAGEIF('CEC DB for analysis'!$AO$9:$AO$600,'CEC analysis'!$C24&amp;"_"&amp;'CEC analysis'!U$5,'CEC DB for analysis'!$V$9:$V$600),"")</f>
        <v/>
      </c>
      <c r="BE24" s="481" t="str">
        <f>IFERROR(AVERAGEIF('CEC DB for analysis'!$AP$9:$AP$600,'CEC analysis'!$C24&amp;"_YES",'CEC DB for analysis'!$V$9:$V$600),"")</f>
        <v/>
      </c>
      <c r="BF24" s="481" t="str">
        <f t="shared" si="13"/>
        <v/>
      </c>
      <c r="BH24" s="481"/>
      <c r="BI24" s="481"/>
      <c r="BJ24" s="481"/>
      <c r="BK24" s="481"/>
      <c r="BL24" s="481"/>
      <c r="BM24" s="481"/>
    </row>
    <row r="25" spans="1:65">
      <c r="A25" s="553"/>
      <c r="B25" s="306"/>
      <c r="C25" s="307" t="s">
        <v>4565</v>
      </c>
      <c r="D25" s="308">
        <f>COUNTIF('CEC DB for analysis'!$AO$9:$AO$600,$C25&amp;"_"&amp;D$5)</f>
        <v>0</v>
      </c>
      <c r="E25" s="308">
        <f>COUNTIF('CEC DB for analysis'!$AO$9:$AO$600,$C25&amp;"_"&amp;E$5)</f>
        <v>0</v>
      </c>
      <c r="F25" s="308">
        <f>COUNTIF('CEC DB for analysis'!$AO$9:$AO$600,$C25&amp;"_"&amp;F$5)</f>
        <v>0</v>
      </c>
      <c r="G25" s="308">
        <f>COUNTIF('CEC DB for analysis'!$AO$9:$AO$600,$C25&amp;"_"&amp;G$5)</f>
        <v>0</v>
      </c>
      <c r="H25" s="308">
        <f>COUNTIF('CEC DB for analysis'!$AP$9:$AP$600,'CEC analysis'!C25&amp;"_YES")</f>
        <v>0</v>
      </c>
      <c r="I25" s="308">
        <f t="shared" si="4"/>
        <v>0</v>
      </c>
      <c r="J25" s="306"/>
      <c r="K25" s="309" t="str">
        <f>IFERROR(AVERAGEIF('CEC DB for analysis'!$AO$9:$AO$600,'CEC analysis'!$C25&amp;"_"&amp;'CEC analysis'!K$5,'CEC DB for analysis'!$AG$9:$AG$600),"")</f>
        <v/>
      </c>
      <c r="L25" s="309" t="str">
        <f>IFERROR(AVERAGEIF('CEC DB for analysis'!$AO$9:$AO$600,'CEC analysis'!$C25&amp;"_"&amp;'CEC analysis'!L$5,'CEC DB for analysis'!$AG$9:$AG$600),"")</f>
        <v/>
      </c>
      <c r="M25" s="309" t="str">
        <f>IFERROR(AVERAGEIF('CEC DB for analysis'!$AO$9:$AO$600,'CEC analysis'!$C25&amp;"_"&amp;'CEC analysis'!M$5,'CEC DB for analysis'!$AG$9:$AG$600),"")</f>
        <v/>
      </c>
      <c r="N25" s="309" t="str">
        <f>IFERROR(AVERAGEIF('CEC DB for analysis'!$AO$9:$AO$600,'CEC analysis'!$C25&amp;"_"&amp;'CEC analysis'!N$5,'CEC DB for analysis'!$AG$9:$AG$600),"")</f>
        <v/>
      </c>
      <c r="O25" s="309" t="str">
        <f>IFERROR(AVERAGEIF('CEC DB for analysis'!$AP$9:$AP$600,'CEC analysis'!$C25&amp;"_YES",'CEC DB for analysis'!$AG$9:$AG$600),"")</f>
        <v/>
      </c>
      <c r="P25" s="309" t="str">
        <f t="shared" si="5"/>
        <v/>
      </c>
      <c r="Q25" s="306"/>
      <c r="R25" s="310" t="str">
        <f>IFERROR(AVERAGEIF('CEC DB for analysis'!$AO$9:$AO$600,'CEC analysis'!$C25&amp;"_"&amp;'CEC analysis'!K$5,'CEC DB for analysis'!$AF$9:$AF$600),"")</f>
        <v/>
      </c>
      <c r="S25" s="310" t="str">
        <f>IFERROR(AVERAGEIF('CEC DB for analysis'!$AO$9:$AO$600,'CEC analysis'!$C25&amp;"_"&amp;'CEC analysis'!L$5,'CEC DB for analysis'!$AF$9:$AF$600),"")</f>
        <v/>
      </c>
      <c r="T25" s="310" t="str">
        <f>IFERROR(AVERAGEIF('CEC DB for analysis'!$AO$9:$AO$600,'CEC analysis'!$C25&amp;"_"&amp;'CEC analysis'!M$5,'CEC DB for analysis'!$AF$9:$AF$600),"")</f>
        <v/>
      </c>
      <c r="U25" s="310" t="str">
        <f>IFERROR(AVERAGEIF('CEC DB for analysis'!$AO$9:$AO$600,'CEC analysis'!$C25&amp;"_"&amp;'CEC analysis'!N$5,'CEC DB for analysis'!$AF$9:$AF$600),"")</f>
        <v/>
      </c>
      <c r="V25" s="310" t="str">
        <f>IFERROR(AVERAGEIF('CEC DB for analysis'!$AP$9:$AP$600,'CEC analysis'!$C25&amp;"_YES",'CEC DB for analysis'!$AF$9:$AF$600),"")</f>
        <v/>
      </c>
      <c r="W25" s="310" t="str">
        <f t="shared" si="6"/>
        <v/>
      </c>
      <c r="X25" s="306"/>
      <c r="Y25" s="310" t="str">
        <f t="shared" si="11"/>
        <v/>
      </c>
      <c r="Z25" s="310" t="str">
        <f t="shared" si="7"/>
        <v/>
      </c>
      <c r="AA25" s="310" t="str">
        <f t="shared" si="7"/>
        <v/>
      </c>
      <c r="AB25" s="310" t="str">
        <f t="shared" si="7"/>
        <v/>
      </c>
      <c r="AC25" s="310" t="str">
        <f t="shared" si="7"/>
        <v/>
      </c>
      <c r="AD25" s="310" t="str">
        <f t="shared" si="7"/>
        <v/>
      </c>
      <c r="AE25" s="311"/>
      <c r="AF25" s="310"/>
      <c r="AG25" s="310"/>
      <c r="AH25" s="310"/>
      <c r="AI25" s="310"/>
      <c r="AJ25" s="310"/>
      <c r="AK25" s="310"/>
      <c r="AL25" s="314"/>
      <c r="AM25" s="310"/>
      <c r="AN25" s="310"/>
      <c r="AO25" s="310"/>
      <c r="AP25" s="310"/>
      <c r="AQ25" s="310"/>
      <c r="AR25" s="310"/>
      <c r="AT25" s="316" t="str">
        <f>IFERROR(AVERAGEIF('CEC DB for analysis'!$AO$9:$AO$600,'CEC analysis'!$C25&amp;"_"&amp;'CEC analysis'!K$5,'CEC DB for analysis'!$AB$9:$AB$600),"")</f>
        <v/>
      </c>
      <c r="AU25" s="316" t="str">
        <f>IFERROR(AVERAGEIF('CEC DB for analysis'!$AO$9:$AO$600,'CEC analysis'!$C25&amp;"_"&amp;'CEC analysis'!L$5,'CEC DB for analysis'!$AB$9:$AB$600),"")</f>
        <v/>
      </c>
      <c r="AV25" s="316" t="str">
        <f>IFERROR(AVERAGEIF('CEC DB for analysis'!$AO$9:$AO$600,'CEC analysis'!$C25&amp;"_"&amp;'CEC analysis'!M$5,'CEC DB for analysis'!$AB$9:$AB$600),"")</f>
        <v/>
      </c>
      <c r="AW25" s="316" t="str">
        <f>IFERROR(AVERAGEIF('CEC DB for analysis'!$AO$9:$AO$600,'CEC analysis'!$C25&amp;"_"&amp;'CEC analysis'!N$5,'CEC DB for analysis'!$AB$9:$AB$600),"")</f>
        <v/>
      </c>
      <c r="AX25" s="316" t="str">
        <f>IFERROR(AVERAGEIF('CEC DB for analysis'!$AP$9:$AP$600,'CEC analysis'!$C25&amp;"_YES",'CEC DB for analysis'!$AB$9:$AB$600),"")</f>
        <v/>
      </c>
      <c r="AY25" s="316" t="str">
        <f t="shared" si="12"/>
        <v/>
      </c>
      <c r="BA25" s="310" t="str">
        <f>IFERROR(AVERAGEIF('CEC DB for analysis'!$AO$9:$AO$600,'CEC analysis'!$C25&amp;"_"&amp;'CEC analysis'!R$5,'CEC DB for analysis'!$V$9:$V$600),"")</f>
        <v/>
      </c>
      <c r="BB25" s="310" t="str">
        <f>IFERROR(AVERAGEIF('CEC DB for analysis'!$AO$9:$AO$600,'CEC analysis'!$C25&amp;"_"&amp;'CEC analysis'!S$5,'CEC DB for analysis'!$V$9:$V$600),"")</f>
        <v/>
      </c>
      <c r="BC25" s="310" t="str">
        <f>IFERROR(AVERAGEIF('CEC DB for analysis'!$AO$9:$AO$600,'CEC analysis'!$C25&amp;"_"&amp;'CEC analysis'!T$5,'CEC DB for analysis'!$V$9:$V$600),"")</f>
        <v/>
      </c>
      <c r="BD25" s="310" t="str">
        <f>IFERROR(AVERAGEIF('CEC DB for analysis'!$AO$9:$AO$600,'CEC analysis'!$C25&amp;"_"&amp;'CEC analysis'!U$5,'CEC DB for analysis'!$V$9:$V$600),"")</f>
        <v/>
      </c>
      <c r="BE25" s="310" t="str">
        <f>IFERROR(AVERAGEIF('CEC DB for analysis'!$AP$9:$AP$600,'CEC analysis'!$C25&amp;"_YES",'CEC DB for analysis'!$V$9:$V$600),"")</f>
        <v/>
      </c>
      <c r="BF25" s="310" t="str">
        <f t="shared" si="13"/>
        <v/>
      </c>
      <c r="BH25" s="310"/>
      <c r="BI25" s="310"/>
      <c r="BJ25" s="310"/>
      <c r="BK25" s="310"/>
      <c r="BL25" s="310"/>
      <c r="BM25" s="310"/>
    </row>
    <row r="26" spans="1:65" s="470" customFormat="1">
      <c r="A26" s="553"/>
      <c r="C26" s="471" t="s">
        <v>4566</v>
      </c>
      <c r="D26" s="472">
        <f>COUNTIF('CEC DB for analysis'!$AO$9:$AO$600,$C26&amp;"_"&amp;D$5)</f>
        <v>37</v>
      </c>
      <c r="E26" s="472">
        <f>COUNTIF('CEC DB for analysis'!$AO$9:$AO$600,$C26&amp;"_"&amp;E$5)</f>
        <v>0</v>
      </c>
      <c r="F26" s="472">
        <f>COUNTIF('CEC DB for analysis'!$AO$9:$AO$600,$C26&amp;"_"&amp;F$5)</f>
        <v>2</v>
      </c>
      <c r="G26" s="472">
        <f>COUNTIF('CEC DB for analysis'!$AO$9:$AO$600,$C26&amp;"_"&amp;G$5)</f>
        <v>0</v>
      </c>
      <c r="H26" s="472">
        <f>COUNTIF('CEC DB for analysis'!$AP$9:$AP$600,'CEC analysis'!C26&amp;"_YES")</f>
        <v>2</v>
      </c>
      <c r="I26" s="472">
        <f t="shared" si="4"/>
        <v>39</v>
      </c>
      <c r="K26" s="473">
        <f>IFERROR(AVERAGEIF('CEC DB for analysis'!$AO$9:$AO$600,'CEC analysis'!$C26&amp;"_"&amp;'CEC analysis'!K$5,'CEC DB for analysis'!$AG$9:$AG$600),"")</f>
        <v>2.8573819120721933E-2</v>
      </c>
      <c r="L26" s="473" t="str">
        <f>IFERROR(AVERAGEIF('CEC DB for analysis'!$AO$9:$AO$600,'CEC analysis'!$C26&amp;"_"&amp;'CEC analysis'!L$5,'CEC DB for analysis'!$AG$9:$AG$600),"")</f>
        <v/>
      </c>
      <c r="M26" s="473">
        <f>IFERROR(AVERAGEIF('CEC DB for analysis'!$AO$9:$AO$600,'CEC analysis'!$C26&amp;"_"&amp;'CEC analysis'!M$5,'CEC DB for analysis'!$AG$9:$AG$600),"")</f>
        <v>0.18918495343626734</v>
      </c>
      <c r="N26" s="473" t="str">
        <f>IFERROR(AVERAGEIF('CEC DB for analysis'!$AO$9:$AO$600,'CEC analysis'!$C26&amp;"_"&amp;'CEC analysis'!N$5,'CEC DB for analysis'!$AG$9:$AG$600),"")</f>
        <v/>
      </c>
      <c r="O26" s="473">
        <f>IFERROR(AVERAGEIF('CEC DB for analysis'!$AP$9:$AP$600,'CEC analysis'!$C26&amp;"_YES",'CEC DB for analysis'!$AG$9:$AG$600),"")</f>
        <v>0.18918495343626734</v>
      </c>
      <c r="P26" s="473">
        <f t="shared" si="5"/>
        <v>3.6810287547160155E-2</v>
      </c>
      <c r="R26" s="474">
        <f>IFERROR(AVERAGEIF('CEC DB for analysis'!$AO$9:$AO$600,'CEC analysis'!$C26&amp;"_"&amp;'CEC analysis'!K$5,'CEC DB for analysis'!$AF$9:$AF$600),"")</f>
        <v>19.859012972972966</v>
      </c>
      <c r="S26" s="474" t="str">
        <f>IFERROR(AVERAGEIF('CEC DB for analysis'!$AO$9:$AO$600,'CEC analysis'!$C26&amp;"_"&amp;'CEC analysis'!L$5,'CEC DB for analysis'!$AF$9:$AF$600),"")</f>
        <v/>
      </c>
      <c r="T26" s="474">
        <f>IFERROR(AVERAGEIF('CEC DB for analysis'!$AO$9:$AO$600,'CEC analysis'!$C26&amp;"_"&amp;'CEC analysis'!M$5,'CEC DB for analysis'!$AF$9:$AF$600),"")</f>
        <v>131.89140400000002</v>
      </c>
      <c r="U26" s="474" t="str">
        <f>IFERROR(AVERAGEIF('CEC DB for analysis'!$AO$9:$AO$600,'CEC analysis'!$C26&amp;"_"&amp;'CEC analysis'!N$5,'CEC DB for analysis'!$AF$9:$AF$600),"")</f>
        <v/>
      </c>
      <c r="V26" s="474">
        <f>IFERROR(AVERAGEIF('CEC DB for analysis'!$AP$9:$AP$600,'CEC analysis'!$C26&amp;"_YES",'CEC DB for analysis'!$AF$9:$AF$600),"")</f>
        <v>131.89140400000002</v>
      </c>
      <c r="W26" s="474">
        <f t="shared" si="6"/>
        <v>25.604263794871787</v>
      </c>
      <c r="Y26" s="474">
        <f t="shared" si="11"/>
        <v>-5.7452508218988214</v>
      </c>
      <c r="Z26" s="474" t="str">
        <f t="shared" si="7"/>
        <v/>
      </c>
      <c r="AA26" s="474">
        <f t="shared" si="7"/>
        <v>106.28714020512824</v>
      </c>
      <c r="AB26" s="474" t="str">
        <f t="shared" si="7"/>
        <v/>
      </c>
      <c r="AC26" s="474">
        <f t="shared" si="7"/>
        <v>106.28714020512824</v>
      </c>
      <c r="AD26" s="474">
        <f t="shared" si="7"/>
        <v>0</v>
      </c>
      <c r="AE26" s="475"/>
      <c r="AF26" s="474"/>
      <c r="AG26" s="474"/>
      <c r="AH26" s="474"/>
      <c r="AI26" s="474"/>
      <c r="AJ26" s="474"/>
      <c r="AK26" s="474"/>
      <c r="AL26" s="475"/>
      <c r="AM26" s="474"/>
      <c r="AN26" s="474"/>
      <c r="AO26" s="474"/>
      <c r="AP26" s="474"/>
      <c r="AQ26" s="474"/>
      <c r="AR26" s="474"/>
      <c r="AT26" s="476">
        <f>IFERROR(AVERAGEIF('CEC DB for analysis'!$AO$9:$AO$600,'CEC analysis'!$C26&amp;"_"&amp;'CEC analysis'!K$5,'CEC DB for analysis'!$AB$9:$AB$600),"")</f>
        <v>30.27464864864865</v>
      </c>
      <c r="AU26" s="476" t="str">
        <f>IFERROR(AVERAGEIF('CEC DB for analysis'!$AO$9:$AO$600,'CEC analysis'!$C26&amp;"_"&amp;'CEC analysis'!L$5,'CEC DB for analysis'!$AB$9:$AB$600),"")</f>
        <v/>
      </c>
      <c r="AV26" s="476">
        <f>IFERROR(AVERAGEIF('CEC DB for analysis'!$AO$9:$AO$600,'CEC analysis'!$C26&amp;"_"&amp;'CEC analysis'!M$5,'CEC DB for analysis'!$AB$9:$AB$600),"")</f>
        <v>30.982600000000005</v>
      </c>
      <c r="AW26" s="476" t="str">
        <f>IFERROR(AVERAGEIF('CEC DB for analysis'!$AO$9:$AO$600,'CEC analysis'!$C26&amp;"_"&amp;'CEC analysis'!N$5,'CEC DB for analysis'!$AB$9:$AB$600),"")</f>
        <v/>
      </c>
      <c r="AX26" s="476">
        <f>IFERROR(AVERAGEIF('CEC DB for analysis'!$AP$9:$AP$600,'CEC analysis'!$C26&amp;"_YES",'CEC DB for analysis'!$AB$9:$AB$600),"")</f>
        <v>30.982600000000005</v>
      </c>
      <c r="AY26" s="476">
        <f t="shared" si="12"/>
        <v>30.310953846153851</v>
      </c>
      <c r="BA26" s="474">
        <f>IFERROR(AVERAGEIF('CEC DB for analysis'!$AO$9:$AO$600,'CEC analysis'!$C26&amp;"_"&amp;'CEC analysis'!R$5,'CEC DB for analysis'!$V$9:$V$600),"")</f>
        <v>671.48648648648646</v>
      </c>
      <c r="BB26" s="474" t="str">
        <f>IFERROR(AVERAGEIF('CEC DB for analysis'!$AO$9:$AO$600,'CEC analysis'!$C26&amp;"_"&amp;'CEC analysis'!S$5,'CEC DB for analysis'!$V$9:$V$600),"")</f>
        <v/>
      </c>
      <c r="BC26" s="474">
        <f>IFERROR(AVERAGEIF('CEC DB for analysis'!$AO$9:$AO$600,'CEC analysis'!$C26&amp;"_"&amp;'CEC analysis'!T$5,'CEC DB for analysis'!$V$9:$V$600),"")</f>
        <v>565.5</v>
      </c>
      <c r="BD26" s="474" t="str">
        <f>IFERROR(AVERAGEIF('CEC DB for analysis'!$AO$9:$AO$600,'CEC analysis'!$C26&amp;"_"&amp;'CEC analysis'!U$5,'CEC DB for analysis'!$V$9:$V$600),"")</f>
        <v/>
      </c>
      <c r="BE26" s="474">
        <f>IFERROR(AVERAGEIF('CEC DB for analysis'!$AP$9:$AP$600,'CEC analysis'!$C26&amp;"_YES",'CEC DB for analysis'!$V$9:$V$600),"")</f>
        <v>565.5</v>
      </c>
      <c r="BF26" s="474">
        <f t="shared" si="13"/>
        <v>666.0512820512821</v>
      </c>
      <c r="BH26" s="474"/>
      <c r="BI26" s="474"/>
      <c r="BJ26" s="474"/>
      <c r="BK26" s="474"/>
      <c r="BL26" s="474"/>
      <c r="BM26" s="474"/>
    </row>
    <row r="27" spans="1:65" s="477" customFormat="1">
      <c r="A27" s="553"/>
      <c r="C27" s="478" t="s">
        <v>283</v>
      </c>
      <c r="D27" s="479">
        <f>COUNTIF('CEC DB for analysis'!$AO$9:$AO$600,$C27&amp;"_"&amp;D$5)</f>
        <v>12</v>
      </c>
      <c r="E27" s="479">
        <f>COUNTIF('CEC DB for analysis'!$AO$9:$AO$600,$C27&amp;"_"&amp;E$5)</f>
        <v>0</v>
      </c>
      <c r="F27" s="479">
        <f>COUNTIF('CEC DB for analysis'!$AO$9:$AO$600,$C27&amp;"_"&amp;F$5)</f>
        <v>0</v>
      </c>
      <c r="G27" s="479">
        <f>COUNTIF('CEC DB for analysis'!$AO$9:$AO$600,$C27&amp;"_"&amp;G$5)</f>
        <v>0</v>
      </c>
      <c r="H27" s="479">
        <f>COUNTIF('CEC DB for analysis'!$AP$9:$AP$600,'CEC analysis'!C27&amp;"_YES")</f>
        <v>0</v>
      </c>
      <c r="I27" s="479">
        <f t="shared" si="4"/>
        <v>12</v>
      </c>
      <c r="K27" s="480">
        <f>IFERROR(AVERAGEIF('CEC DB for analysis'!$AO$9:$AO$600,'CEC analysis'!$C27&amp;"_"&amp;'CEC analysis'!K$5,'CEC DB for analysis'!$AG$9:$AG$600),"")</f>
        <v>1.5725483216871866E-2</v>
      </c>
      <c r="L27" s="480" t="str">
        <f>IFERROR(AVERAGEIF('CEC DB for analysis'!$AO$9:$AO$600,'CEC analysis'!$C27&amp;"_"&amp;'CEC analysis'!L$5,'CEC DB for analysis'!$AG$9:$AG$600),"")</f>
        <v/>
      </c>
      <c r="M27" s="480" t="str">
        <f>IFERROR(AVERAGEIF('CEC DB for analysis'!$AO$9:$AO$600,'CEC analysis'!$C27&amp;"_"&amp;'CEC analysis'!M$5,'CEC DB for analysis'!$AG$9:$AG$600),"")</f>
        <v/>
      </c>
      <c r="N27" s="480" t="str">
        <f>IFERROR(AVERAGEIF('CEC DB for analysis'!$AO$9:$AO$600,'CEC analysis'!$C27&amp;"_"&amp;'CEC analysis'!N$5,'CEC DB for analysis'!$AG$9:$AG$600),"")</f>
        <v/>
      </c>
      <c r="O27" s="480" t="str">
        <f>IFERROR(AVERAGEIF('CEC DB for analysis'!$AP$9:$AP$600,'CEC analysis'!$C27&amp;"_YES",'CEC DB for analysis'!$AG$9:$AG$600),"")</f>
        <v/>
      </c>
      <c r="P27" s="480">
        <f t="shared" si="5"/>
        <v>1.5725483216871866E-2</v>
      </c>
      <c r="R27" s="481">
        <f>IFERROR(AVERAGEIF('CEC DB for analysis'!$AO$9:$AO$600,'CEC analysis'!$C27&amp;"_"&amp;'CEC analysis'!K$5,'CEC DB for analysis'!$AF$9:$AF$600),"")</f>
        <v>13.444541666666689</v>
      </c>
      <c r="S27" s="481" t="str">
        <f>IFERROR(AVERAGEIF('CEC DB for analysis'!$AO$9:$AO$600,'CEC analysis'!$C27&amp;"_"&amp;'CEC analysis'!L$5,'CEC DB for analysis'!$AF$9:$AF$600),"")</f>
        <v/>
      </c>
      <c r="T27" s="481" t="str">
        <f>IFERROR(AVERAGEIF('CEC DB for analysis'!$AO$9:$AO$600,'CEC analysis'!$C27&amp;"_"&amp;'CEC analysis'!M$5,'CEC DB for analysis'!$AF$9:$AF$600),"")</f>
        <v/>
      </c>
      <c r="U27" s="481" t="str">
        <f>IFERROR(AVERAGEIF('CEC DB for analysis'!$AO$9:$AO$600,'CEC analysis'!$C27&amp;"_"&amp;'CEC analysis'!N$5,'CEC DB for analysis'!$AF$9:$AF$600),"")</f>
        <v/>
      </c>
      <c r="V27" s="481" t="str">
        <f>IFERROR(AVERAGEIF('CEC DB for analysis'!$AP$9:$AP$600,'CEC analysis'!$C27&amp;"_YES",'CEC DB for analysis'!$AF$9:$AF$600),"")</f>
        <v/>
      </c>
      <c r="W27" s="481">
        <f t="shared" si="6"/>
        <v>13.444541666666689</v>
      </c>
      <c r="Y27" s="481">
        <f t="shared" si="11"/>
        <v>0</v>
      </c>
      <c r="Z27" s="481" t="str">
        <f t="shared" si="7"/>
        <v/>
      </c>
      <c r="AA27" s="481" t="str">
        <f t="shared" si="7"/>
        <v/>
      </c>
      <c r="AB27" s="481" t="str">
        <f t="shared" si="7"/>
        <v/>
      </c>
      <c r="AC27" s="481" t="str">
        <f t="shared" si="7"/>
        <v/>
      </c>
      <c r="AD27" s="481">
        <f t="shared" si="7"/>
        <v>0</v>
      </c>
      <c r="AE27" s="482"/>
      <c r="AF27" s="481"/>
      <c r="AG27" s="481"/>
      <c r="AH27" s="481"/>
      <c r="AI27" s="481"/>
      <c r="AJ27" s="481"/>
      <c r="AK27" s="481"/>
      <c r="AL27" s="482"/>
      <c r="AM27" s="481"/>
      <c r="AN27" s="481"/>
      <c r="AO27" s="481"/>
      <c r="AP27" s="481"/>
      <c r="AQ27" s="481"/>
      <c r="AR27" s="481"/>
      <c r="AT27" s="483">
        <f>IFERROR(AVERAGEIF('CEC DB for analysis'!$AO$9:$AO$600,'CEC analysis'!$C27&amp;"_"&amp;'CEC analysis'!K$5,'CEC DB for analysis'!$AB$9:$AB$600),"")</f>
        <v>33.31816666666667</v>
      </c>
      <c r="AU27" s="483" t="str">
        <f>IFERROR(AVERAGEIF('CEC DB for analysis'!$AO$9:$AO$600,'CEC analysis'!$C27&amp;"_"&amp;'CEC analysis'!L$5,'CEC DB for analysis'!$AB$9:$AB$600),"")</f>
        <v/>
      </c>
      <c r="AV27" s="483" t="str">
        <f>IFERROR(AVERAGEIF('CEC DB for analysis'!$AO$9:$AO$600,'CEC analysis'!$C27&amp;"_"&amp;'CEC analysis'!M$5,'CEC DB for analysis'!$AB$9:$AB$600),"")</f>
        <v/>
      </c>
      <c r="AW27" s="483" t="str">
        <f>IFERROR(AVERAGEIF('CEC DB for analysis'!$AO$9:$AO$600,'CEC analysis'!$C27&amp;"_"&amp;'CEC analysis'!N$5,'CEC DB for analysis'!$AB$9:$AB$600),"")</f>
        <v/>
      </c>
      <c r="AX27" s="483" t="str">
        <f>IFERROR(AVERAGEIF('CEC DB for analysis'!$AP$9:$AP$600,'CEC analysis'!$C27&amp;"_YES",'CEC DB for analysis'!$AB$9:$AB$600),"")</f>
        <v/>
      </c>
      <c r="AY27" s="483">
        <f t="shared" si="12"/>
        <v>33.31816666666667</v>
      </c>
      <c r="BA27" s="481">
        <f>IFERROR(AVERAGEIF('CEC DB for analysis'!$AO$9:$AO$600,'CEC analysis'!$C27&amp;"_"&amp;'CEC analysis'!R$5,'CEC DB for analysis'!$V$9:$V$600),"")</f>
        <v>830.66666666666663</v>
      </c>
      <c r="BB27" s="481" t="str">
        <f>IFERROR(AVERAGEIF('CEC DB for analysis'!$AO$9:$AO$600,'CEC analysis'!$C27&amp;"_"&amp;'CEC analysis'!S$5,'CEC DB for analysis'!$V$9:$V$600),"")</f>
        <v/>
      </c>
      <c r="BC27" s="481" t="str">
        <f>IFERROR(AVERAGEIF('CEC DB for analysis'!$AO$9:$AO$600,'CEC analysis'!$C27&amp;"_"&amp;'CEC analysis'!T$5,'CEC DB for analysis'!$V$9:$V$600),"")</f>
        <v/>
      </c>
      <c r="BD27" s="481" t="str">
        <f>IFERROR(AVERAGEIF('CEC DB for analysis'!$AO$9:$AO$600,'CEC analysis'!$C27&amp;"_"&amp;'CEC analysis'!U$5,'CEC DB for analysis'!$V$9:$V$600),"")</f>
        <v/>
      </c>
      <c r="BE27" s="481" t="str">
        <f>IFERROR(AVERAGEIF('CEC DB for analysis'!$AP$9:$AP$600,'CEC analysis'!$C27&amp;"_YES",'CEC DB for analysis'!$V$9:$V$600),"")</f>
        <v/>
      </c>
      <c r="BF27" s="481">
        <f t="shared" si="13"/>
        <v>830.66666666666663</v>
      </c>
      <c r="BH27" s="481"/>
      <c r="BI27" s="481"/>
      <c r="BJ27" s="481"/>
      <c r="BK27" s="481"/>
      <c r="BL27" s="481"/>
      <c r="BM27" s="481"/>
    </row>
    <row r="28" spans="1:65">
      <c r="A28" s="554" t="s">
        <v>3946</v>
      </c>
      <c r="B28" s="317"/>
      <c r="C28" s="318" t="s">
        <v>4567</v>
      </c>
      <c r="D28" s="319">
        <f>COUNTIF('CEC DB for analysis'!$AO$9:$AO$600,$C28&amp;"_"&amp;D$5)</f>
        <v>6</v>
      </c>
      <c r="E28" s="319">
        <f>COUNTIF('CEC DB for analysis'!$AO$9:$AO$600,$C28&amp;"_"&amp;E$5)</f>
        <v>2</v>
      </c>
      <c r="F28" s="319">
        <f>COUNTIF('CEC DB for analysis'!$AO$9:$AO$600,$C28&amp;"_"&amp;F$5)</f>
        <v>0</v>
      </c>
      <c r="G28" s="319">
        <f>COUNTIF('CEC DB for analysis'!$AO$9:$AO$600,$C28&amp;"_"&amp;G$5)</f>
        <v>0</v>
      </c>
      <c r="H28" s="319">
        <f>COUNTIF('CEC DB for analysis'!$AP$9:$AP$600,'CEC analysis'!C28&amp;"_YES")</f>
        <v>2</v>
      </c>
      <c r="I28" s="319">
        <f t="shared" si="4"/>
        <v>8</v>
      </c>
      <c r="J28" s="317"/>
      <c r="K28" s="320">
        <f>IFERROR(AVERAGEIF('CEC DB for analysis'!$AO$9:$AO$600,'CEC analysis'!$C28&amp;"_"&amp;'CEC analysis'!K$5,'CEC DB for analysis'!$AG$9:$AG$600),"")</f>
        <v>3.9247671105197375E-3</v>
      </c>
      <c r="L28" s="320">
        <f>IFERROR(AVERAGEIF('CEC DB for analysis'!$AO$9:$AO$600,'CEC analysis'!$C28&amp;"_"&amp;'CEC analysis'!L$5,'CEC DB for analysis'!$AG$9:$AG$600),"")</f>
        <v>0.10927691664358542</v>
      </c>
      <c r="M28" s="320" t="str">
        <f>IFERROR(AVERAGEIF('CEC DB for analysis'!$AO$9:$AO$600,'CEC analysis'!$C28&amp;"_"&amp;'CEC analysis'!M$5,'CEC DB for analysis'!$AG$9:$AG$600),"")</f>
        <v/>
      </c>
      <c r="N28" s="320" t="str">
        <f>IFERROR(AVERAGEIF('CEC DB for analysis'!$AO$9:$AO$600,'CEC analysis'!$C28&amp;"_"&amp;'CEC analysis'!N$5,'CEC DB for analysis'!$AG$9:$AG$600),"")</f>
        <v/>
      </c>
      <c r="O28" s="320">
        <f>IFERROR(AVERAGEIF('CEC DB for analysis'!$AP$9:$AP$600,'CEC analysis'!$C28&amp;"_YES",'CEC DB for analysis'!$AG$9:$AG$600),"")</f>
        <v>0.10927691664358542</v>
      </c>
      <c r="P28" s="320">
        <f t="shared" si="5"/>
        <v>3.0262804493786159E-2</v>
      </c>
      <c r="Q28" s="306"/>
      <c r="R28" s="321">
        <f>IFERROR(AVERAGEIF('CEC DB for analysis'!$AO$9:$AO$600,'CEC analysis'!$C28&amp;"_"&amp;'CEC analysis'!K$5,'CEC DB for analysis'!$AF$9:$AF$600),"")</f>
        <v>1.4359706666666814</v>
      </c>
      <c r="S28" s="321">
        <f>IFERROR(AVERAGEIF('CEC DB for analysis'!$AO$9:$AO$600,'CEC analysis'!$C28&amp;"_"&amp;'CEC analysis'!L$5,'CEC DB for analysis'!$AF$9:$AF$600),"")</f>
        <v>31.163855999999981</v>
      </c>
      <c r="T28" s="321" t="str">
        <f>IFERROR(AVERAGEIF('CEC DB for analysis'!$AO$9:$AO$600,'CEC analysis'!$C28&amp;"_"&amp;'CEC analysis'!M$5,'CEC DB for analysis'!$AF$9:$AF$600),"")</f>
        <v/>
      </c>
      <c r="U28" s="321" t="str">
        <f>IFERROR(AVERAGEIF('CEC DB for analysis'!$AO$9:$AO$600,'CEC analysis'!$C28&amp;"_"&amp;'CEC analysis'!N$5,'CEC DB for analysis'!$AF$9:$AF$600),"")</f>
        <v/>
      </c>
      <c r="V28" s="321">
        <f>IFERROR(AVERAGEIF('CEC DB for analysis'!$AP$9:$AP$600,'CEC analysis'!$C28&amp;"_YES",'CEC DB for analysis'!$AF$9:$AF$600),"")</f>
        <v>31.163855999999981</v>
      </c>
      <c r="W28" s="321">
        <f t="shared" si="6"/>
        <v>8.8679420000000064</v>
      </c>
      <c r="X28" s="317"/>
      <c r="Y28" s="321">
        <f t="shared" si="11"/>
        <v>-7.4319713333333253</v>
      </c>
      <c r="Z28" s="321">
        <f t="shared" si="7"/>
        <v>22.295913999999975</v>
      </c>
      <c r="AA28" s="321" t="str">
        <f t="shared" si="7"/>
        <v/>
      </c>
      <c r="AB28" s="321" t="str">
        <f t="shared" si="7"/>
        <v/>
      </c>
      <c r="AC28" s="321">
        <f t="shared" si="7"/>
        <v>22.295913999999975</v>
      </c>
      <c r="AD28" s="321">
        <f t="shared" si="7"/>
        <v>0</v>
      </c>
      <c r="AE28" s="322"/>
      <c r="AF28" s="321">
        <f>SUMPRODUCT(Y28:Y34,D28:D34)/SUM(D28:D34)</f>
        <v>-10.50997246153846</v>
      </c>
      <c r="AG28" s="323">
        <f>SUMPRODUCT(Z28:Z34,E28:E34)/SUM(E28:E34)</f>
        <v>24.841753090909091</v>
      </c>
      <c r="AH28" s="323" t="e">
        <f>SUMPRODUCT(AA28:AA34,F28:F34)/SUM(F28:F34)</f>
        <v>#DIV/0!</v>
      </c>
      <c r="AI28" s="323" t="e">
        <f>SUMPRODUCT(AB28:AB34,G28:G34)/SUM(G28:G34)</f>
        <v>#DIV/0!</v>
      </c>
      <c r="AJ28" s="324">
        <f t="shared" ref="AJ28:AK28" si="14">SUMPRODUCT(AC28:AC34,H28:H34)/SUM(H28:H34)</f>
        <v>24.841753090909091</v>
      </c>
      <c r="AK28" s="321">
        <f t="shared" si="14"/>
        <v>0</v>
      </c>
      <c r="AL28" s="314"/>
      <c r="AM28" s="320">
        <f>SUMPRODUCT(K28:K34,D28:D34)/SUM(D28:D34)</f>
        <v>4.1540989147989312E-3</v>
      </c>
      <c r="AN28" s="320">
        <f t="shared" ref="AN28:AR28" si="15">SUMPRODUCT(L28:L34,E28:E34)/SUM(E28:E34)</f>
        <v>0.10603533205100214</v>
      </c>
      <c r="AO28" s="320" t="e">
        <f t="shared" si="15"/>
        <v>#DIV/0!</v>
      </c>
      <c r="AP28" s="320" t="e">
        <f t="shared" si="15"/>
        <v>#DIV/0!</v>
      </c>
      <c r="AQ28" s="320">
        <f t="shared" si="15"/>
        <v>0.10603533205100214</v>
      </c>
      <c r="AR28" s="320">
        <f t="shared" si="15"/>
        <v>3.4443114171507999E-2</v>
      </c>
      <c r="AT28" s="325">
        <f>IFERROR(AVERAGEIF('CEC DB for analysis'!$AO$9:$AO$600,'CEC analysis'!$C28&amp;"_"&amp;'CEC analysis'!K$5,'CEC DB for analysis'!$AB$9:$AB$600),"")</f>
        <v>30.233866666666671</v>
      </c>
      <c r="AU28" s="325">
        <f>IFERROR(AVERAGEIF('CEC DB for analysis'!$AO$9:$AO$600,'CEC analysis'!$C28&amp;"_"&amp;'CEC analysis'!L$5,'CEC DB for analysis'!$AB$9:$AB$600),"")</f>
        <v>16.4208</v>
      </c>
      <c r="AV28" s="325" t="str">
        <f>IFERROR(AVERAGEIF('CEC DB for analysis'!$AO$9:$AO$600,'CEC analysis'!$C28&amp;"_"&amp;'CEC analysis'!M$5,'CEC DB for analysis'!$AB$9:$AB$600),"")</f>
        <v/>
      </c>
      <c r="AW28" s="325" t="str">
        <f>IFERROR(AVERAGEIF('CEC DB for analysis'!$AO$9:$AO$600,'CEC analysis'!$C28&amp;"_"&amp;'CEC analysis'!N$5,'CEC DB for analysis'!$AB$9:$AB$600),"")</f>
        <v/>
      </c>
      <c r="AX28" s="325">
        <f>IFERROR(AVERAGEIF('CEC DB for analysis'!$AP$9:$AP$600,'CEC analysis'!$C28&amp;"_YES",'CEC DB for analysis'!$AB$9:$AB$600),"")</f>
        <v>16.4208</v>
      </c>
      <c r="AY28" s="325">
        <f t="shared" si="12"/>
        <v>26.780600000000003</v>
      </c>
      <c r="BA28" s="321">
        <f>IFERROR(AVERAGEIF('CEC DB for analysis'!$AO$9:$AO$600,'CEC analysis'!$C28&amp;"_"&amp;'CEC analysis'!R$5,'CEC DB for analysis'!$V$9:$V$600),"")</f>
        <v>360.66666666666669</v>
      </c>
      <c r="BB28" s="321">
        <f>IFERROR(AVERAGEIF('CEC DB for analysis'!$AO$9:$AO$600,'CEC analysis'!$C28&amp;"_"&amp;'CEC analysis'!S$5,'CEC DB for analysis'!$V$9:$V$600),"")</f>
        <v>254</v>
      </c>
      <c r="BC28" s="321" t="str">
        <f>IFERROR(AVERAGEIF('CEC DB for analysis'!$AO$9:$AO$600,'CEC analysis'!$C28&amp;"_"&amp;'CEC analysis'!T$5,'CEC DB for analysis'!$V$9:$V$600),"")</f>
        <v/>
      </c>
      <c r="BD28" s="321" t="str">
        <f>IFERROR(AVERAGEIF('CEC DB for analysis'!$AO$9:$AO$600,'CEC analysis'!$C28&amp;"_"&amp;'CEC analysis'!U$5,'CEC DB for analysis'!$V$9:$V$600),"")</f>
        <v/>
      </c>
      <c r="BE28" s="321">
        <f>IFERROR(AVERAGEIF('CEC DB for analysis'!$AP$9:$AP$600,'CEC analysis'!$C28&amp;"_YES",'CEC DB for analysis'!$V$9:$V$600),"")</f>
        <v>254</v>
      </c>
      <c r="BF28" s="321">
        <f t="shared" si="13"/>
        <v>334</v>
      </c>
      <c r="BH28" s="321">
        <f>SUMPRODUCT(BA28:BA34,D28:D34)/SUM(D28:D34)</f>
        <v>415.76923076923077</v>
      </c>
      <c r="BI28" s="321">
        <f>SUMPRODUCT(BB28:BB34,E28:E34)/SUM(E28:E34)</f>
        <v>325</v>
      </c>
      <c r="BJ28" s="321" t="e">
        <f>SUMPRODUCT(BC28:BC34,F28:F34)/SUM(F28:F34)</f>
        <v>#DIV/0!</v>
      </c>
      <c r="BK28" s="321" t="e">
        <f t="shared" ref="BK28:BM28" si="16">SUMPRODUCT(BD28:BD34,G28:G34)/SUM(G28:G34)</f>
        <v>#DIV/0!</v>
      </c>
      <c r="BL28" s="321">
        <f>SUMPRODUCT(BE28:BE34,H28:H34)/SUM(H28:H34)</f>
        <v>325</v>
      </c>
      <c r="BM28" s="321">
        <f t="shared" si="16"/>
        <v>388.7837837837838</v>
      </c>
    </row>
    <row r="29" spans="1:65">
      <c r="A29" s="554"/>
      <c r="B29" s="317"/>
      <c r="C29" s="318" t="s">
        <v>4568</v>
      </c>
      <c r="D29" s="319">
        <f>COUNTIF('CEC DB for analysis'!$AO$9:$AO$600,$C29&amp;"_"&amp;D$5)</f>
        <v>10</v>
      </c>
      <c r="E29" s="319">
        <f>COUNTIF('CEC DB for analysis'!$AO$9:$AO$600,$C29&amp;"_"&amp;E$5)</f>
        <v>5</v>
      </c>
      <c r="F29" s="319">
        <f>COUNTIF('CEC DB for analysis'!$AO$9:$AO$600,$C29&amp;"_"&amp;F$5)</f>
        <v>0</v>
      </c>
      <c r="G29" s="319">
        <f>COUNTIF('CEC DB for analysis'!$AO$9:$AO$600,$C29&amp;"_"&amp;G$5)</f>
        <v>0</v>
      </c>
      <c r="H29" s="319">
        <f>COUNTIF('CEC DB for analysis'!$AP$9:$AP$600,'CEC analysis'!C29&amp;"_YES")</f>
        <v>5</v>
      </c>
      <c r="I29" s="319">
        <f t="shared" si="4"/>
        <v>15</v>
      </c>
      <c r="J29" s="317"/>
      <c r="K29" s="320">
        <f>IFERROR(AVERAGEIF('CEC DB for analysis'!$AO$9:$AO$600,'CEC analysis'!$C29&amp;"_"&amp;'CEC analysis'!K$5,'CEC DB for analysis'!$AG$9:$AG$600),"")</f>
        <v>4.4413885725745287E-3</v>
      </c>
      <c r="L29" s="320">
        <f>IFERROR(AVERAGEIF('CEC DB for analysis'!$AO$9:$AO$600,'CEC analysis'!$C29&amp;"_"&amp;'CEC analysis'!L$5,'CEC DB for analysis'!$AG$9:$AG$600),"")</f>
        <v>0.10374134279103793</v>
      </c>
      <c r="M29" s="320" t="str">
        <f>IFERROR(AVERAGEIF('CEC DB for analysis'!$AO$9:$AO$600,'CEC analysis'!$C29&amp;"_"&amp;'CEC analysis'!M$5,'CEC DB for analysis'!$AG$9:$AG$600),"")</f>
        <v/>
      </c>
      <c r="N29" s="320" t="str">
        <f>IFERROR(AVERAGEIF('CEC DB for analysis'!$AO$9:$AO$600,'CEC analysis'!$C29&amp;"_"&amp;'CEC analysis'!N$5,'CEC DB for analysis'!$AG$9:$AG$600),"")</f>
        <v/>
      </c>
      <c r="O29" s="320">
        <f>IFERROR(AVERAGEIF('CEC DB for analysis'!$AP$9:$AP$600,'CEC analysis'!$C29&amp;"_YES",'CEC DB for analysis'!$AG$9:$AG$600),"")</f>
        <v>0.10374134279103793</v>
      </c>
      <c r="P29" s="320">
        <f t="shared" si="5"/>
        <v>3.754137331206233E-2</v>
      </c>
      <c r="Q29" s="306"/>
      <c r="R29" s="321">
        <f>IFERROR(AVERAGEIF('CEC DB for analysis'!$AO$9:$AO$600,'CEC analysis'!$C29&amp;"_"&amp;'CEC analysis'!K$5,'CEC DB for analysis'!$AF$9:$AF$600),"")</f>
        <v>2.0689599999999815</v>
      </c>
      <c r="S29" s="321">
        <f>IFERROR(AVERAGEIF('CEC DB for analysis'!$AO$9:$AO$600,'CEC analysis'!$C29&amp;"_"&amp;'CEC analysis'!L$5,'CEC DB for analysis'!$AF$9:$AF$600),"")</f>
        <v>50.410399999999996</v>
      </c>
      <c r="T29" s="321" t="str">
        <f>IFERROR(AVERAGEIF('CEC DB for analysis'!$AO$9:$AO$600,'CEC analysis'!$C29&amp;"_"&amp;'CEC analysis'!M$5,'CEC DB for analysis'!$AF$9:$AF$600),"")</f>
        <v/>
      </c>
      <c r="U29" s="321" t="str">
        <f>IFERROR(AVERAGEIF('CEC DB for analysis'!$AO$9:$AO$600,'CEC analysis'!$C29&amp;"_"&amp;'CEC analysis'!N$5,'CEC DB for analysis'!$AF$9:$AF$600),"")</f>
        <v/>
      </c>
      <c r="V29" s="321">
        <f>IFERROR(AVERAGEIF('CEC DB for analysis'!$AP$9:$AP$600,'CEC analysis'!$C29&amp;"_YES",'CEC DB for analysis'!$AF$9:$AF$600),"")</f>
        <v>50.410399999999996</v>
      </c>
      <c r="W29" s="321">
        <f t="shared" si="6"/>
        <v>18.182773333333319</v>
      </c>
      <c r="X29" s="317"/>
      <c r="Y29" s="321">
        <f t="shared" si="11"/>
        <v>-16.113813333333336</v>
      </c>
      <c r="Z29" s="321">
        <f t="shared" si="7"/>
        <v>32.22762666666668</v>
      </c>
      <c r="AA29" s="321" t="str">
        <f t="shared" si="7"/>
        <v/>
      </c>
      <c r="AB29" s="321" t="str">
        <f t="shared" si="7"/>
        <v/>
      </c>
      <c r="AC29" s="321">
        <f t="shared" si="7"/>
        <v>32.22762666666668</v>
      </c>
      <c r="AD29" s="321">
        <f t="shared" si="7"/>
        <v>0</v>
      </c>
      <c r="AE29" s="322"/>
      <c r="AF29" s="321"/>
      <c r="AG29" s="321"/>
      <c r="AH29" s="321"/>
      <c r="AI29" s="321"/>
      <c r="AJ29" s="321"/>
      <c r="AK29" s="321"/>
      <c r="AL29" s="314"/>
      <c r="AM29" s="321"/>
      <c r="AN29" s="321"/>
      <c r="AO29" s="321"/>
      <c r="AP29" s="321"/>
      <c r="AQ29" s="321"/>
      <c r="AR29" s="321"/>
      <c r="AT29" s="325">
        <f>IFERROR(AVERAGEIF('CEC DB for analysis'!$AO$9:$AO$600,'CEC analysis'!$C29&amp;"_"&amp;'CEC analysis'!K$5,'CEC DB for analysis'!$AB$9:$AB$600),"")</f>
        <v>30.007999999999999</v>
      </c>
      <c r="AU29" s="325">
        <f>IFERROR(AVERAGEIF('CEC DB for analysis'!$AO$9:$AO$600,'CEC analysis'!$C29&amp;"_"&amp;'CEC analysis'!L$5,'CEC DB for analysis'!$AB$9:$AB$600),"")</f>
        <v>29.919999999999998</v>
      </c>
      <c r="AV29" s="325" t="str">
        <f>IFERROR(AVERAGEIF('CEC DB for analysis'!$AO$9:$AO$600,'CEC analysis'!$C29&amp;"_"&amp;'CEC analysis'!M$5,'CEC DB for analysis'!$AB$9:$AB$600),"")</f>
        <v/>
      </c>
      <c r="AW29" s="325" t="str">
        <f>IFERROR(AVERAGEIF('CEC DB for analysis'!$AO$9:$AO$600,'CEC analysis'!$C29&amp;"_"&amp;'CEC analysis'!N$5,'CEC DB for analysis'!$AB$9:$AB$600),"")</f>
        <v/>
      </c>
      <c r="AX29" s="325">
        <f>IFERROR(AVERAGEIF('CEC DB for analysis'!$AP$9:$AP$600,'CEC analysis'!$C29&amp;"_YES",'CEC DB for analysis'!$AB$9:$AB$600),"")</f>
        <v>29.919999999999998</v>
      </c>
      <c r="AY29" s="325">
        <f t="shared" si="12"/>
        <v>29.978666666666662</v>
      </c>
      <c r="BA29" s="321">
        <f>IFERROR(AVERAGEIF('CEC DB for analysis'!$AO$9:$AO$600,'CEC analysis'!$C29&amp;"_"&amp;'CEC analysis'!R$5,'CEC DB for analysis'!$V$9:$V$600),"")</f>
        <v>484.9</v>
      </c>
      <c r="BB29" s="321">
        <f>IFERROR(AVERAGEIF('CEC DB for analysis'!$AO$9:$AO$600,'CEC analysis'!$C29&amp;"_"&amp;'CEC analysis'!S$5,'CEC DB for analysis'!$V$9:$V$600),"")</f>
        <v>435.8</v>
      </c>
      <c r="BC29" s="321" t="str">
        <f>IFERROR(AVERAGEIF('CEC DB for analysis'!$AO$9:$AO$600,'CEC analysis'!$C29&amp;"_"&amp;'CEC analysis'!T$5,'CEC DB for analysis'!$V$9:$V$600),"")</f>
        <v/>
      </c>
      <c r="BD29" s="321" t="str">
        <f>IFERROR(AVERAGEIF('CEC DB for analysis'!$AO$9:$AO$600,'CEC analysis'!$C29&amp;"_"&amp;'CEC analysis'!U$5,'CEC DB for analysis'!$V$9:$V$600),"")</f>
        <v/>
      </c>
      <c r="BE29" s="321">
        <f>IFERROR(AVERAGEIF('CEC DB for analysis'!$AP$9:$AP$600,'CEC analysis'!$C29&amp;"_YES",'CEC DB for analysis'!$V$9:$V$600),"")</f>
        <v>435.8</v>
      </c>
      <c r="BF29" s="321">
        <f t="shared" si="13"/>
        <v>468.53333333333336</v>
      </c>
      <c r="BH29" s="321"/>
      <c r="BI29" s="321"/>
      <c r="BJ29" s="321"/>
      <c r="BK29" s="321"/>
      <c r="BL29" s="321"/>
      <c r="BM29" s="321"/>
    </row>
    <row r="30" spans="1:65">
      <c r="A30" s="554"/>
      <c r="B30" s="317"/>
      <c r="C30" s="318" t="s">
        <v>293</v>
      </c>
      <c r="D30" s="319">
        <f>COUNTIF('CEC DB for analysis'!$AO$9:$AO$600,$C30&amp;"_"&amp;D$5)</f>
        <v>1</v>
      </c>
      <c r="E30" s="319">
        <f>COUNTIF('CEC DB for analysis'!$AO$9:$AO$600,$C30&amp;"_"&amp;E$5)</f>
        <v>0</v>
      </c>
      <c r="F30" s="319">
        <f>COUNTIF('CEC DB for analysis'!$AO$9:$AO$600,$C30&amp;"_"&amp;F$5)</f>
        <v>0</v>
      </c>
      <c r="G30" s="319">
        <f>COUNTIF('CEC DB for analysis'!$AO$9:$AO$600,$C30&amp;"_"&amp;G$5)</f>
        <v>0</v>
      </c>
      <c r="H30" s="319">
        <f>COUNTIF('CEC DB for analysis'!$AP$9:$AP$600,'CEC analysis'!C30&amp;"_YES")</f>
        <v>0</v>
      </c>
      <c r="I30" s="319">
        <f t="shared" si="4"/>
        <v>1</v>
      </c>
      <c r="J30" s="317"/>
      <c r="K30" s="320">
        <f>IFERROR(AVERAGEIF('CEC DB for analysis'!$AO$9:$AO$600,'CEC analysis'!$C30&amp;"_"&amp;'CEC analysis'!K$5,'CEC DB for analysis'!$AG$9:$AG$600),"")</f>
        <v>1.9874351530814751E-3</v>
      </c>
      <c r="L30" s="320" t="str">
        <f>IFERROR(AVERAGEIF('CEC DB for analysis'!$AO$9:$AO$600,'CEC analysis'!$C30&amp;"_"&amp;'CEC analysis'!L$5,'CEC DB for analysis'!$AG$9:$AG$600),"")</f>
        <v/>
      </c>
      <c r="M30" s="320" t="str">
        <f>IFERROR(AVERAGEIF('CEC DB for analysis'!$AO$9:$AO$600,'CEC analysis'!$C30&amp;"_"&amp;'CEC analysis'!M$5,'CEC DB for analysis'!$AG$9:$AG$600),"")</f>
        <v/>
      </c>
      <c r="N30" s="320" t="str">
        <f>IFERROR(AVERAGEIF('CEC DB for analysis'!$AO$9:$AO$600,'CEC analysis'!$C30&amp;"_"&amp;'CEC analysis'!N$5,'CEC DB for analysis'!$AG$9:$AG$600),"")</f>
        <v/>
      </c>
      <c r="O30" s="320" t="str">
        <f>IFERROR(AVERAGEIF('CEC DB for analysis'!$AP$9:$AP$600,'CEC analysis'!$C30&amp;"_YES",'CEC DB for analysis'!$AG$9:$AG$600),"")</f>
        <v/>
      </c>
      <c r="P30" s="320">
        <f t="shared" si="5"/>
        <v>1.9874351530814751E-3</v>
      </c>
      <c r="Q30" s="306"/>
      <c r="R30" s="321">
        <f>IFERROR(AVERAGEIF('CEC DB for analysis'!$AO$9:$AO$600,'CEC analysis'!$C30&amp;"_"&amp;'CEC analysis'!K$5,'CEC DB for analysis'!$AF$9:$AF$600),"")</f>
        <v>1.1808959999998478</v>
      </c>
      <c r="S30" s="321" t="str">
        <f>IFERROR(AVERAGEIF('CEC DB for analysis'!$AO$9:$AO$600,'CEC analysis'!$C30&amp;"_"&amp;'CEC analysis'!L$5,'CEC DB for analysis'!$AF$9:$AF$600),"")</f>
        <v/>
      </c>
      <c r="T30" s="321" t="str">
        <f>IFERROR(AVERAGEIF('CEC DB for analysis'!$AO$9:$AO$600,'CEC analysis'!$C30&amp;"_"&amp;'CEC analysis'!M$5,'CEC DB for analysis'!$AF$9:$AF$600),"")</f>
        <v/>
      </c>
      <c r="U30" s="321" t="str">
        <f>IFERROR(AVERAGEIF('CEC DB for analysis'!$AO$9:$AO$600,'CEC analysis'!$C30&amp;"_"&amp;'CEC analysis'!N$5,'CEC DB for analysis'!$AF$9:$AF$600),"")</f>
        <v/>
      </c>
      <c r="V30" s="321" t="str">
        <f>IFERROR(AVERAGEIF('CEC DB for analysis'!$AP$9:$AP$600,'CEC analysis'!$C30&amp;"_YES",'CEC DB for analysis'!$AF$9:$AF$600),"")</f>
        <v/>
      </c>
      <c r="W30" s="321">
        <f t="shared" si="6"/>
        <v>1.1808959999998478</v>
      </c>
      <c r="X30" s="317"/>
      <c r="Y30" s="321">
        <f t="shared" si="11"/>
        <v>0</v>
      </c>
      <c r="Z30" s="321" t="str">
        <f t="shared" si="7"/>
        <v/>
      </c>
      <c r="AA30" s="321" t="str">
        <f t="shared" si="7"/>
        <v/>
      </c>
      <c r="AB30" s="321" t="str">
        <f t="shared" si="7"/>
        <v/>
      </c>
      <c r="AC30" s="321" t="str">
        <f t="shared" si="7"/>
        <v/>
      </c>
      <c r="AD30" s="321">
        <f t="shared" si="7"/>
        <v>0</v>
      </c>
      <c r="AE30" s="322"/>
      <c r="AF30" s="321"/>
      <c r="AG30" s="321"/>
      <c r="AH30" s="321"/>
      <c r="AI30" s="321"/>
      <c r="AJ30" s="321"/>
      <c r="AK30" s="321"/>
      <c r="AL30" s="314"/>
      <c r="AM30" s="321"/>
      <c r="AN30" s="321"/>
      <c r="AO30" s="321"/>
      <c r="AP30" s="321"/>
      <c r="AQ30" s="321"/>
      <c r="AR30" s="321"/>
      <c r="AT30" s="325">
        <f>IFERROR(AVERAGEIF('CEC DB for analysis'!$AO$9:$AO$600,'CEC analysis'!$C30&amp;"_"&amp;'CEC analysis'!K$5,'CEC DB for analysis'!$AB$9:$AB$600),"")</f>
        <v>32.700799999999994</v>
      </c>
      <c r="AU30" s="325" t="str">
        <f>IFERROR(AVERAGEIF('CEC DB for analysis'!$AO$9:$AO$600,'CEC analysis'!$C30&amp;"_"&amp;'CEC analysis'!L$5,'CEC DB for analysis'!$AB$9:$AB$600),"")</f>
        <v/>
      </c>
      <c r="AV30" s="325" t="str">
        <f>IFERROR(AVERAGEIF('CEC DB for analysis'!$AO$9:$AO$600,'CEC analysis'!$C30&amp;"_"&amp;'CEC analysis'!M$5,'CEC DB for analysis'!$AB$9:$AB$600),"")</f>
        <v/>
      </c>
      <c r="AW30" s="325" t="str">
        <f>IFERROR(AVERAGEIF('CEC DB for analysis'!$AO$9:$AO$600,'CEC analysis'!$C30&amp;"_"&amp;'CEC analysis'!N$5,'CEC DB for analysis'!$AB$9:$AB$600),"")</f>
        <v/>
      </c>
      <c r="AX30" s="325" t="str">
        <f>IFERROR(AVERAGEIF('CEC DB for analysis'!$AP$9:$AP$600,'CEC analysis'!$C30&amp;"_YES",'CEC DB for analysis'!$AB$9:$AB$600),"")</f>
        <v/>
      </c>
      <c r="AY30" s="325">
        <f t="shared" si="12"/>
        <v>32.700799999999994</v>
      </c>
      <c r="BA30" s="321">
        <f>IFERROR(AVERAGEIF('CEC DB for analysis'!$AO$9:$AO$600,'CEC analysis'!$C30&amp;"_"&amp;'CEC analysis'!R$5,'CEC DB for analysis'!$V$9:$V$600),"")</f>
        <v>593</v>
      </c>
      <c r="BB30" s="321" t="str">
        <f>IFERROR(AVERAGEIF('CEC DB for analysis'!$AO$9:$AO$600,'CEC analysis'!$C30&amp;"_"&amp;'CEC analysis'!S$5,'CEC DB for analysis'!$V$9:$V$600),"")</f>
        <v/>
      </c>
      <c r="BC30" s="321" t="str">
        <f>IFERROR(AVERAGEIF('CEC DB for analysis'!$AO$9:$AO$600,'CEC analysis'!$C30&amp;"_"&amp;'CEC analysis'!T$5,'CEC DB for analysis'!$V$9:$V$600),"")</f>
        <v/>
      </c>
      <c r="BD30" s="321" t="str">
        <f>IFERROR(AVERAGEIF('CEC DB for analysis'!$AO$9:$AO$600,'CEC analysis'!$C30&amp;"_"&amp;'CEC analysis'!U$5,'CEC DB for analysis'!$V$9:$V$600),"")</f>
        <v/>
      </c>
      <c r="BE30" s="321" t="str">
        <f>IFERROR(AVERAGEIF('CEC DB for analysis'!$AP$9:$AP$600,'CEC analysis'!$C30&amp;"_YES",'CEC DB for analysis'!$V$9:$V$600),"")</f>
        <v/>
      </c>
      <c r="BF30" s="321">
        <f t="shared" si="13"/>
        <v>593</v>
      </c>
      <c r="BH30" s="321"/>
      <c r="BI30" s="321"/>
      <c r="BJ30" s="321"/>
      <c r="BK30" s="321"/>
      <c r="BL30" s="321"/>
      <c r="BM30" s="321"/>
    </row>
    <row r="31" spans="1:65">
      <c r="A31" s="554"/>
      <c r="B31" s="317"/>
      <c r="C31" s="318" t="s">
        <v>297</v>
      </c>
      <c r="D31" s="319">
        <f>COUNTIF('CEC DB for analysis'!$AO$9:$AO$600,$C31&amp;"_"&amp;D$5)</f>
        <v>0</v>
      </c>
      <c r="E31" s="319">
        <f>COUNTIF('CEC DB for analysis'!$AO$9:$AO$600,$C31&amp;"_"&amp;E$5)</f>
        <v>0</v>
      </c>
      <c r="F31" s="319">
        <f>COUNTIF('CEC DB for analysis'!$AO$9:$AO$600,$C31&amp;"_"&amp;F$5)</f>
        <v>0</v>
      </c>
      <c r="G31" s="319">
        <f>COUNTIF('CEC DB for analysis'!$AO$9:$AO$600,$C31&amp;"_"&amp;G$5)</f>
        <v>0</v>
      </c>
      <c r="H31" s="319">
        <f>COUNTIF('CEC DB for analysis'!$AP$9:$AP$600,'CEC analysis'!C31&amp;"_YES")</f>
        <v>0</v>
      </c>
      <c r="I31" s="319">
        <f t="shared" si="4"/>
        <v>0</v>
      </c>
      <c r="J31" s="317"/>
      <c r="K31" s="320" t="str">
        <f>IFERROR(AVERAGEIF('CEC DB for analysis'!$AO$9:$AO$600,'CEC analysis'!$C31&amp;"_"&amp;'CEC analysis'!K$5,'CEC DB for analysis'!$AG$9:$AG$600),"")</f>
        <v/>
      </c>
      <c r="L31" s="320" t="str">
        <f>IFERROR(AVERAGEIF('CEC DB for analysis'!$AO$9:$AO$600,'CEC analysis'!$C31&amp;"_"&amp;'CEC analysis'!L$5,'CEC DB for analysis'!$AG$9:$AG$600),"")</f>
        <v/>
      </c>
      <c r="M31" s="320" t="str">
        <f>IFERROR(AVERAGEIF('CEC DB for analysis'!$AO$9:$AO$600,'CEC analysis'!$C31&amp;"_"&amp;'CEC analysis'!M$5,'CEC DB for analysis'!$AG$9:$AG$600),"")</f>
        <v/>
      </c>
      <c r="N31" s="320" t="str">
        <f>IFERROR(AVERAGEIF('CEC DB for analysis'!$AO$9:$AO$600,'CEC analysis'!$C31&amp;"_"&amp;'CEC analysis'!N$5,'CEC DB for analysis'!$AG$9:$AG$600),"")</f>
        <v/>
      </c>
      <c r="O31" s="320" t="str">
        <f>IFERROR(AVERAGEIF('CEC DB for analysis'!$AP$9:$AP$600,'CEC analysis'!$C31&amp;"_YES",'CEC DB for analysis'!$AG$9:$AG$600),"")</f>
        <v/>
      </c>
      <c r="P31" s="320" t="str">
        <f t="shared" si="5"/>
        <v/>
      </c>
      <c r="Q31" s="306"/>
      <c r="R31" s="321" t="str">
        <f>IFERROR(AVERAGEIF('CEC DB for analysis'!$AO$9:$AO$600,'CEC analysis'!$C31&amp;"_"&amp;'CEC analysis'!K$5,'CEC DB for analysis'!$AF$9:$AF$600),"")</f>
        <v/>
      </c>
      <c r="S31" s="321" t="str">
        <f>IFERROR(AVERAGEIF('CEC DB for analysis'!$AO$9:$AO$600,'CEC analysis'!$C31&amp;"_"&amp;'CEC analysis'!L$5,'CEC DB for analysis'!$AF$9:$AF$600),"")</f>
        <v/>
      </c>
      <c r="T31" s="321" t="str">
        <f>IFERROR(AVERAGEIF('CEC DB for analysis'!$AO$9:$AO$600,'CEC analysis'!$C31&amp;"_"&amp;'CEC analysis'!M$5,'CEC DB for analysis'!$AF$9:$AF$600),"")</f>
        <v/>
      </c>
      <c r="U31" s="321" t="str">
        <f>IFERROR(AVERAGEIF('CEC DB for analysis'!$AO$9:$AO$600,'CEC analysis'!$C31&amp;"_"&amp;'CEC analysis'!N$5,'CEC DB for analysis'!$AF$9:$AF$600),"")</f>
        <v/>
      </c>
      <c r="V31" s="321" t="str">
        <f>IFERROR(AVERAGEIF('CEC DB for analysis'!$AP$9:$AP$600,'CEC analysis'!$C31&amp;"_YES",'CEC DB for analysis'!$AF$9:$AF$600),"")</f>
        <v/>
      </c>
      <c r="W31" s="321" t="str">
        <f t="shared" si="6"/>
        <v/>
      </c>
      <c r="X31" s="317"/>
      <c r="Y31" s="321" t="str">
        <f t="shared" si="11"/>
        <v/>
      </c>
      <c r="Z31" s="321" t="str">
        <f t="shared" si="7"/>
        <v/>
      </c>
      <c r="AA31" s="321" t="str">
        <f t="shared" si="7"/>
        <v/>
      </c>
      <c r="AB31" s="321" t="str">
        <f t="shared" si="7"/>
        <v/>
      </c>
      <c r="AC31" s="321" t="str">
        <f t="shared" si="7"/>
        <v/>
      </c>
      <c r="AD31" s="321" t="str">
        <f t="shared" si="7"/>
        <v/>
      </c>
      <c r="AE31" s="322"/>
      <c r="AF31" s="321"/>
      <c r="AG31" s="321"/>
      <c r="AH31" s="321"/>
      <c r="AI31" s="321"/>
      <c r="AJ31" s="321"/>
      <c r="AK31" s="321"/>
      <c r="AL31" s="314"/>
      <c r="AM31" s="321"/>
      <c r="AN31" s="321"/>
      <c r="AO31" s="321"/>
      <c r="AP31" s="321"/>
      <c r="AQ31" s="321"/>
      <c r="AR31" s="321"/>
      <c r="AT31" s="325" t="str">
        <f>IFERROR(AVERAGEIF('CEC DB for analysis'!$AO$9:$AO$600,'CEC analysis'!$C31&amp;"_"&amp;'CEC analysis'!K$5,'CEC DB for analysis'!$AB$9:$AB$600),"")</f>
        <v/>
      </c>
      <c r="AU31" s="325" t="str">
        <f>IFERROR(AVERAGEIF('CEC DB for analysis'!$AO$9:$AO$600,'CEC analysis'!$C31&amp;"_"&amp;'CEC analysis'!L$5,'CEC DB for analysis'!$AB$9:$AB$600),"")</f>
        <v/>
      </c>
      <c r="AV31" s="325" t="str">
        <f>IFERROR(AVERAGEIF('CEC DB for analysis'!$AO$9:$AO$600,'CEC analysis'!$C31&amp;"_"&amp;'CEC analysis'!M$5,'CEC DB for analysis'!$AB$9:$AB$600),"")</f>
        <v/>
      </c>
      <c r="AW31" s="325" t="str">
        <f>IFERROR(AVERAGEIF('CEC DB for analysis'!$AO$9:$AO$600,'CEC analysis'!$C31&amp;"_"&amp;'CEC analysis'!N$5,'CEC DB for analysis'!$AB$9:$AB$600),"")</f>
        <v/>
      </c>
      <c r="AX31" s="325" t="str">
        <f>IFERROR(AVERAGEIF('CEC DB for analysis'!$AP$9:$AP$600,'CEC analysis'!$C31&amp;"_YES",'CEC DB for analysis'!$AB$9:$AB$600),"")</f>
        <v/>
      </c>
      <c r="AY31" s="325" t="str">
        <f t="shared" si="12"/>
        <v/>
      </c>
      <c r="BA31" s="321" t="str">
        <f>IFERROR(AVERAGEIF('CEC DB for analysis'!$AO$9:$AO$600,'CEC analysis'!$C31&amp;"_"&amp;'CEC analysis'!R$5,'CEC DB for analysis'!$V$9:$V$600),"")</f>
        <v/>
      </c>
      <c r="BB31" s="321" t="str">
        <f>IFERROR(AVERAGEIF('CEC DB for analysis'!$AO$9:$AO$600,'CEC analysis'!$C31&amp;"_"&amp;'CEC analysis'!S$5,'CEC DB for analysis'!$V$9:$V$600),"")</f>
        <v/>
      </c>
      <c r="BC31" s="321" t="str">
        <f>IFERROR(AVERAGEIF('CEC DB for analysis'!$AO$9:$AO$600,'CEC analysis'!$C31&amp;"_"&amp;'CEC analysis'!T$5,'CEC DB for analysis'!$V$9:$V$600),"")</f>
        <v/>
      </c>
      <c r="BD31" s="321" t="str">
        <f>IFERROR(AVERAGEIF('CEC DB for analysis'!$AO$9:$AO$600,'CEC analysis'!$C31&amp;"_"&amp;'CEC analysis'!U$5,'CEC DB for analysis'!$V$9:$V$600),"")</f>
        <v/>
      </c>
      <c r="BE31" s="321" t="str">
        <f>IFERROR(AVERAGEIF('CEC DB for analysis'!$AP$9:$AP$600,'CEC analysis'!$C31&amp;"_YES",'CEC DB for analysis'!$V$9:$V$600),"")</f>
        <v/>
      </c>
      <c r="BF31" s="321" t="str">
        <f t="shared" si="13"/>
        <v/>
      </c>
      <c r="BH31" s="321"/>
      <c r="BI31" s="321"/>
      <c r="BJ31" s="321"/>
      <c r="BK31" s="321"/>
      <c r="BL31" s="321"/>
      <c r="BM31" s="321"/>
    </row>
    <row r="32" spans="1:65">
      <c r="A32" s="554"/>
      <c r="B32" s="317"/>
      <c r="C32" s="318" t="s">
        <v>301</v>
      </c>
      <c r="D32" s="319">
        <f>COUNTIF('CEC DB for analysis'!$AO$9:$AO$600,$C32&amp;"_"&amp;D$5)</f>
        <v>1</v>
      </c>
      <c r="E32" s="319">
        <f>COUNTIF('CEC DB for analysis'!$AO$9:$AO$600,$C32&amp;"_"&amp;E$5)</f>
        <v>0</v>
      </c>
      <c r="F32" s="319">
        <f>COUNTIF('CEC DB for analysis'!$AO$9:$AO$600,$C32&amp;"_"&amp;F$5)</f>
        <v>0</v>
      </c>
      <c r="G32" s="319">
        <f>COUNTIF('CEC DB for analysis'!$AO$9:$AO$600,$C32&amp;"_"&amp;G$5)</f>
        <v>0</v>
      </c>
      <c r="H32" s="319">
        <f>COUNTIF('CEC DB for analysis'!$AP$9:$AP$600,'CEC analysis'!C32&amp;"_YES")</f>
        <v>0</v>
      </c>
      <c r="I32" s="319">
        <f t="shared" si="4"/>
        <v>1</v>
      </c>
      <c r="J32" s="317"/>
      <c r="K32" s="320">
        <f>IFERROR(AVERAGEIF('CEC DB for analysis'!$AO$9:$AO$600,'CEC analysis'!$C32&amp;"_"&amp;'CEC analysis'!K$5,'CEC DB for analysis'!$AG$9:$AG$600),"")</f>
        <v>1.7798540952901599E-3</v>
      </c>
      <c r="L32" s="320" t="str">
        <f>IFERROR(AVERAGEIF('CEC DB for analysis'!$AO$9:$AO$600,'CEC analysis'!$C32&amp;"_"&amp;'CEC analysis'!L$5,'CEC DB for analysis'!$AG$9:$AG$600),"")</f>
        <v/>
      </c>
      <c r="M32" s="320" t="str">
        <f>IFERROR(AVERAGEIF('CEC DB for analysis'!$AO$9:$AO$600,'CEC analysis'!$C32&amp;"_"&amp;'CEC analysis'!M$5,'CEC DB for analysis'!$AG$9:$AG$600),"")</f>
        <v/>
      </c>
      <c r="N32" s="320" t="str">
        <f>IFERROR(AVERAGEIF('CEC DB for analysis'!$AO$9:$AO$600,'CEC analysis'!$C32&amp;"_"&amp;'CEC analysis'!N$5,'CEC DB for analysis'!$AG$9:$AG$600),"")</f>
        <v/>
      </c>
      <c r="O32" s="320" t="str">
        <f>IFERROR(AVERAGEIF('CEC DB for analysis'!$AP$9:$AP$600,'CEC analysis'!$C32&amp;"_YES",'CEC DB for analysis'!$AG$9:$AG$600),"")</f>
        <v/>
      </c>
      <c r="P32" s="320">
        <f t="shared" si="5"/>
        <v>1.7798540952901599E-3</v>
      </c>
      <c r="Q32" s="306"/>
      <c r="R32" s="321">
        <f>IFERROR(AVERAGEIF('CEC DB for analysis'!$AO$9:$AO$600,'CEC analysis'!$C32&amp;"_"&amp;'CEC analysis'!K$5,'CEC DB for analysis'!$AF$9:$AF$600),"")</f>
        <v>1.2909119999999348</v>
      </c>
      <c r="S32" s="321" t="str">
        <f>IFERROR(AVERAGEIF('CEC DB for analysis'!$AO$9:$AO$600,'CEC analysis'!$C32&amp;"_"&amp;'CEC analysis'!L$5,'CEC DB for analysis'!$AF$9:$AF$600),"")</f>
        <v/>
      </c>
      <c r="T32" s="321" t="str">
        <f>IFERROR(AVERAGEIF('CEC DB for analysis'!$AO$9:$AO$600,'CEC analysis'!$C32&amp;"_"&amp;'CEC analysis'!M$5,'CEC DB for analysis'!$AF$9:$AF$600),"")</f>
        <v/>
      </c>
      <c r="U32" s="321" t="str">
        <f>IFERROR(AVERAGEIF('CEC DB for analysis'!$AO$9:$AO$600,'CEC analysis'!$C32&amp;"_"&amp;'CEC analysis'!N$5,'CEC DB for analysis'!$AF$9:$AF$600),"")</f>
        <v/>
      </c>
      <c r="V32" s="321" t="str">
        <f>IFERROR(AVERAGEIF('CEC DB for analysis'!$AP$9:$AP$600,'CEC analysis'!$C32&amp;"_YES",'CEC DB for analysis'!$AF$9:$AF$600),"")</f>
        <v/>
      </c>
      <c r="W32" s="321">
        <f t="shared" si="6"/>
        <v>1.2909119999999348</v>
      </c>
      <c r="X32" s="317"/>
      <c r="Y32" s="321">
        <f t="shared" si="11"/>
        <v>0</v>
      </c>
      <c r="Z32" s="321" t="str">
        <f t="shared" si="7"/>
        <v/>
      </c>
      <c r="AA32" s="321" t="str">
        <f t="shared" si="7"/>
        <v/>
      </c>
      <c r="AB32" s="321" t="str">
        <f t="shared" si="7"/>
        <v/>
      </c>
      <c r="AC32" s="321" t="str">
        <f t="shared" si="7"/>
        <v/>
      </c>
      <c r="AD32" s="321">
        <f t="shared" si="7"/>
        <v>0</v>
      </c>
      <c r="AE32" s="322"/>
      <c r="AF32" s="321"/>
      <c r="AG32" s="321"/>
      <c r="AH32" s="321"/>
      <c r="AI32" s="321"/>
      <c r="AJ32" s="321"/>
      <c r="AK32" s="321"/>
      <c r="AL32" s="314"/>
      <c r="AM32" s="321"/>
      <c r="AN32" s="321"/>
      <c r="AO32" s="321"/>
      <c r="AP32" s="321"/>
      <c r="AQ32" s="321"/>
      <c r="AR32" s="321"/>
      <c r="AT32" s="325">
        <f>IFERROR(AVERAGEIF('CEC DB for analysis'!$AO$9:$AO$600,'CEC analysis'!$C32&amp;"_"&amp;'CEC analysis'!K$5,'CEC DB for analysis'!$AB$9:$AB$600),"")</f>
        <v>38.5792</v>
      </c>
      <c r="AU32" s="325" t="str">
        <f>IFERROR(AVERAGEIF('CEC DB for analysis'!$AO$9:$AO$600,'CEC analysis'!$C32&amp;"_"&amp;'CEC analysis'!L$5,'CEC DB for analysis'!$AB$9:$AB$600),"")</f>
        <v/>
      </c>
      <c r="AV32" s="325" t="str">
        <f>IFERROR(AVERAGEIF('CEC DB for analysis'!$AO$9:$AO$600,'CEC analysis'!$C32&amp;"_"&amp;'CEC analysis'!M$5,'CEC DB for analysis'!$AB$9:$AB$600),"")</f>
        <v/>
      </c>
      <c r="AW32" s="325" t="str">
        <f>IFERROR(AVERAGEIF('CEC DB for analysis'!$AO$9:$AO$600,'CEC analysis'!$C32&amp;"_"&amp;'CEC analysis'!N$5,'CEC DB for analysis'!$AB$9:$AB$600),"")</f>
        <v/>
      </c>
      <c r="AX32" s="325" t="str">
        <f>IFERROR(AVERAGEIF('CEC DB for analysis'!$AP$9:$AP$600,'CEC analysis'!$C32&amp;"_YES",'CEC DB for analysis'!$AB$9:$AB$600),"")</f>
        <v/>
      </c>
      <c r="AY32" s="325">
        <f t="shared" si="12"/>
        <v>38.5792</v>
      </c>
      <c r="BA32" s="321">
        <f>IFERROR(AVERAGEIF('CEC DB for analysis'!$AO$9:$AO$600,'CEC analysis'!$C32&amp;"_"&amp;'CEC analysis'!R$5,'CEC DB for analysis'!$V$9:$V$600),"")</f>
        <v>724</v>
      </c>
      <c r="BB32" s="321" t="str">
        <f>IFERROR(AVERAGEIF('CEC DB for analysis'!$AO$9:$AO$600,'CEC analysis'!$C32&amp;"_"&amp;'CEC analysis'!S$5,'CEC DB for analysis'!$V$9:$V$600),"")</f>
        <v/>
      </c>
      <c r="BC32" s="321" t="str">
        <f>IFERROR(AVERAGEIF('CEC DB for analysis'!$AO$9:$AO$600,'CEC analysis'!$C32&amp;"_"&amp;'CEC analysis'!T$5,'CEC DB for analysis'!$V$9:$V$600),"")</f>
        <v/>
      </c>
      <c r="BD32" s="321" t="str">
        <f>IFERROR(AVERAGEIF('CEC DB for analysis'!$AO$9:$AO$600,'CEC analysis'!$C32&amp;"_"&amp;'CEC analysis'!U$5,'CEC DB for analysis'!$V$9:$V$600),"")</f>
        <v/>
      </c>
      <c r="BE32" s="321" t="str">
        <f>IFERROR(AVERAGEIF('CEC DB for analysis'!$AP$9:$AP$600,'CEC analysis'!$C32&amp;"_YES",'CEC DB for analysis'!$V$9:$V$600),"")</f>
        <v/>
      </c>
      <c r="BF32" s="321">
        <f t="shared" si="13"/>
        <v>724</v>
      </c>
      <c r="BH32" s="321"/>
      <c r="BI32" s="321"/>
      <c r="BJ32" s="321"/>
      <c r="BK32" s="321"/>
      <c r="BL32" s="321"/>
      <c r="BM32" s="321"/>
    </row>
    <row r="33" spans="1:65">
      <c r="A33" s="554"/>
      <c r="B33" s="317"/>
      <c r="C33" s="318" t="s">
        <v>4569</v>
      </c>
      <c r="D33" s="319">
        <f>COUNTIF('CEC DB for analysis'!$AO$9:$AO$600,$C33&amp;"_"&amp;D$5)</f>
        <v>8</v>
      </c>
      <c r="E33" s="319">
        <f>COUNTIF('CEC DB for analysis'!$AO$9:$AO$600,$C33&amp;"_"&amp;E$5)</f>
        <v>4</v>
      </c>
      <c r="F33" s="319">
        <f>COUNTIF('CEC DB for analysis'!$AO$9:$AO$600,$C33&amp;"_"&amp;F$5)</f>
        <v>0</v>
      </c>
      <c r="G33" s="319">
        <f>COUNTIF('CEC DB for analysis'!$AO$9:$AO$600,$C33&amp;"_"&amp;G$5)</f>
        <v>0</v>
      </c>
      <c r="H33" s="319">
        <f>COUNTIF('CEC DB for analysis'!$AP$9:$AP$600,'CEC analysis'!C33&amp;"_YES")</f>
        <v>4</v>
      </c>
      <c r="I33" s="319">
        <f t="shared" si="4"/>
        <v>12</v>
      </c>
      <c r="J33" s="317"/>
      <c r="K33" s="320">
        <f>IFERROR(AVERAGEIF('CEC DB for analysis'!$AO$9:$AO$600,'CEC analysis'!$C33&amp;"_"&amp;'CEC analysis'!K$5,'CEC DB for analysis'!$AG$9:$AG$600),"")</f>
        <v>4.5345992684421091E-3</v>
      </c>
      <c r="L33" s="320">
        <f>IFERROR(AVERAGEIF('CEC DB for analysis'!$AO$9:$AO$600,'CEC analysis'!$C33&amp;"_"&amp;'CEC analysis'!L$5,'CEC DB for analysis'!$AG$9:$AG$600),"")</f>
        <v>0.1072820263296658</v>
      </c>
      <c r="M33" s="320" t="str">
        <f>IFERROR(AVERAGEIF('CEC DB for analysis'!$AO$9:$AO$600,'CEC analysis'!$C33&amp;"_"&amp;'CEC analysis'!M$5,'CEC DB for analysis'!$AG$9:$AG$600),"")</f>
        <v/>
      </c>
      <c r="N33" s="320" t="str">
        <f>IFERROR(AVERAGEIF('CEC DB for analysis'!$AO$9:$AO$600,'CEC analysis'!$C33&amp;"_"&amp;'CEC analysis'!N$5,'CEC DB for analysis'!$AG$9:$AG$600),"")</f>
        <v/>
      </c>
      <c r="O33" s="320">
        <f>IFERROR(AVERAGEIF('CEC DB for analysis'!$AP$9:$AP$600,'CEC analysis'!$C33&amp;"_YES",'CEC DB for analysis'!$AG$9:$AG$600),"")</f>
        <v>0.1072820263296658</v>
      </c>
      <c r="P33" s="320">
        <f t="shared" si="5"/>
        <v>3.8783741622183336E-2</v>
      </c>
      <c r="Q33" s="306"/>
      <c r="R33" s="321">
        <f>IFERROR(AVERAGEIF('CEC DB for analysis'!$AO$9:$AO$600,'CEC analysis'!$C33&amp;"_"&amp;'CEC analysis'!K$5,'CEC DB for analysis'!$AF$9:$AF$600),"")</f>
        <v>1.3222200000000086</v>
      </c>
      <c r="S33" s="321">
        <f>IFERROR(AVERAGEIF('CEC DB for analysis'!$AO$9:$AO$600,'CEC analysis'!$C33&amp;"_"&amp;'CEC analysis'!L$5,'CEC DB for analysis'!$AF$9:$AF$600),"")</f>
        <v>26.645715999999993</v>
      </c>
      <c r="T33" s="321" t="str">
        <f>IFERROR(AVERAGEIF('CEC DB for analysis'!$AO$9:$AO$600,'CEC analysis'!$C33&amp;"_"&amp;'CEC analysis'!M$5,'CEC DB for analysis'!$AF$9:$AF$600),"")</f>
        <v/>
      </c>
      <c r="U33" s="321" t="str">
        <f>IFERROR(AVERAGEIF('CEC DB for analysis'!$AO$9:$AO$600,'CEC analysis'!$C33&amp;"_"&amp;'CEC analysis'!N$5,'CEC DB for analysis'!$AF$9:$AF$600),"")</f>
        <v/>
      </c>
      <c r="V33" s="321">
        <f>IFERROR(AVERAGEIF('CEC DB for analysis'!$AP$9:$AP$600,'CEC analysis'!$C33&amp;"_YES",'CEC DB for analysis'!$AF$9:$AF$600),"")</f>
        <v>26.645715999999993</v>
      </c>
      <c r="W33" s="321">
        <f t="shared" si="6"/>
        <v>9.7633853333333374</v>
      </c>
      <c r="X33" s="317"/>
      <c r="Y33" s="321">
        <f t="shared" si="11"/>
        <v>-8.4411653333333287</v>
      </c>
      <c r="Z33" s="321">
        <f t="shared" si="7"/>
        <v>16.882330666666654</v>
      </c>
      <c r="AA33" s="321" t="str">
        <f t="shared" si="7"/>
        <v/>
      </c>
      <c r="AB33" s="321" t="str">
        <f t="shared" si="7"/>
        <v/>
      </c>
      <c r="AC33" s="321">
        <f t="shared" si="7"/>
        <v>16.882330666666654</v>
      </c>
      <c r="AD33" s="321">
        <f t="shared" si="7"/>
        <v>0</v>
      </c>
      <c r="AE33" s="322"/>
      <c r="AF33" s="321"/>
      <c r="AG33" s="321"/>
      <c r="AH33" s="321"/>
      <c r="AI33" s="321"/>
      <c r="AJ33" s="321"/>
      <c r="AK33" s="321"/>
      <c r="AL33" s="314"/>
      <c r="AM33" s="321"/>
      <c r="AN33" s="321"/>
      <c r="AO33" s="321"/>
      <c r="AP33" s="321"/>
      <c r="AQ33" s="321"/>
      <c r="AR33" s="321"/>
      <c r="AT33" s="325">
        <f>IFERROR(AVERAGEIF('CEC DB for analysis'!$AO$9:$AO$600,'CEC analysis'!$C33&amp;"_"&amp;'CEC analysis'!K$5,'CEC DB for analysis'!$AB$9:$AB$600),"")</f>
        <v>27.917999999999999</v>
      </c>
      <c r="AU33" s="325">
        <f>IFERROR(AVERAGEIF('CEC DB for analysis'!$AO$9:$AO$600,'CEC analysis'!$C33&amp;"_"&amp;'CEC analysis'!L$5,'CEC DB for analysis'!$AB$9:$AB$600),"")</f>
        <v>19.320399999999999</v>
      </c>
      <c r="AV33" s="325" t="str">
        <f>IFERROR(AVERAGEIF('CEC DB for analysis'!$AO$9:$AO$600,'CEC analysis'!$C33&amp;"_"&amp;'CEC analysis'!M$5,'CEC DB for analysis'!$AB$9:$AB$600),"")</f>
        <v/>
      </c>
      <c r="AW33" s="325" t="str">
        <f>IFERROR(AVERAGEIF('CEC DB for analysis'!$AO$9:$AO$600,'CEC analysis'!$C33&amp;"_"&amp;'CEC analysis'!N$5,'CEC DB for analysis'!$AB$9:$AB$600),"")</f>
        <v/>
      </c>
      <c r="AX33" s="325">
        <f>IFERROR(AVERAGEIF('CEC DB for analysis'!$AP$9:$AP$600,'CEC analysis'!$C33&amp;"_YES",'CEC DB for analysis'!$AB$9:$AB$600),"")</f>
        <v>19.320399999999999</v>
      </c>
      <c r="AY33" s="325">
        <f t="shared" si="12"/>
        <v>25.05213333333333</v>
      </c>
      <c r="BA33" s="321">
        <f>IFERROR(AVERAGEIF('CEC DB for analysis'!$AO$9:$AO$600,'CEC analysis'!$C33&amp;"_"&amp;'CEC analysis'!R$5,'CEC DB for analysis'!$V$9:$V$600),"")</f>
        <v>310</v>
      </c>
      <c r="BB33" s="321">
        <f>IFERROR(AVERAGEIF('CEC DB for analysis'!$AO$9:$AO$600,'CEC analysis'!$C33&amp;"_"&amp;'CEC analysis'!S$5,'CEC DB for analysis'!$V$9:$V$600),"")</f>
        <v>222</v>
      </c>
      <c r="BC33" s="321" t="str">
        <f>IFERROR(AVERAGEIF('CEC DB for analysis'!$AO$9:$AO$600,'CEC analysis'!$C33&amp;"_"&amp;'CEC analysis'!T$5,'CEC DB for analysis'!$V$9:$V$600),"")</f>
        <v/>
      </c>
      <c r="BD33" s="321" t="str">
        <f>IFERROR(AVERAGEIF('CEC DB for analysis'!$AO$9:$AO$600,'CEC analysis'!$C33&amp;"_"&amp;'CEC analysis'!U$5,'CEC DB for analysis'!$V$9:$V$600),"")</f>
        <v/>
      </c>
      <c r="BE33" s="321">
        <f>IFERROR(AVERAGEIF('CEC DB for analysis'!$AP$9:$AP$600,'CEC analysis'!$C33&amp;"_YES",'CEC DB for analysis'!$V$9:$V$600),"")</f>
        <v>222</v>
      </c>
      <c r="BF33" s="321">
        <f t="shared" si="13"/>
        <v>280.66666666666669</v>
      </c>
      <c r="BH33" s="321"/>
      <c r="BI33" s="321"/>
      <c r="BJ33" s="321"/>
      <c r="BK33" s="321"/>
      <c r="BL33" s="321"/>
      <c r="BM33" s="321"/>
    </row>
    <row r="34" spans="1:65">
      <c r="A34" s="554"/>
      <c r="B34" s="317"/>
      <c r="C34" s="318" t="s">
        <v>308</v>
      </c>
      <c r="D34" s="319">
        <f>COUNTIF('CEC DB for analysis'!$AO$9:$AO$600,$C34&amp;"_"&amp;D$5)</f>
        <v>0</v>
      </c>
      <c r="E34" s="319">
        <f>COUNTIF('CEC DB for analysis'!$AO$9:$AO$600,$C34&amp;"_"&amp;E$5)</f>
        <v>0</v>
      </c>
      <c r="F34" s="319">
        <f>COUNTIF('CEC DB for analysis'!$AO$9:$AO$600,$C34&amp;"_"&amp;F$5)</f>
        <v>0</v>
      </c>
      <c r="G34" s="319">
        <f>COUNTIF('CEC DB for analysis'!$AO$9:$AO$600,$C34&amp;"_"&amp;G$5)</f>
        <v>0</v>
      </c>
      <c r="H34" s="319">
        <f>COUNTIF('CEC DB for analysis'!$AP$9:$AP$600,'CEC analysis'!C34&amp;"_YES")</f>
        <v>0</v>
      </c>
      <c r="I34" s="319">
        <f t="shared" si="4"/>
        <v>0</v>
      </c>
      <c r="J34" s="317"/>
      <c r="K34" s="320" t="str">
        <f>IFERROR(AVERAGEIF('CEC DB for analysis'!$AO$9:$AO$600,'CEC analysis'!$C34&amp;"_"&amp;'CEC analysis'!K$5,'CEC DB for analysis'!$AG$9:$AG$600),"")</f>
        <v/>
      </c>
      <c r="L34" s="320" t="str">
        <f>IFERROR(AVERAGEIF('CEC DB for analysis'!$AO$9:$AO$600,'CEC analysis'!$C34&amp;"_"&amp;'CEC analysis'!L$5,'CEC DB for analysis'!$AG$9:$AG$600),"")</f>
        <v/>
      </c>
      <c r="M34" s="320" t="str">
        <f>IFERROR(AVERAGEIF('CEC DB for analysis'!$AO$9:$AO$600,'CEC analysis'!$C34&amp;"_"&amp;'CEC analysis'!M$5,'CEC DB for analysis'!$AG$9:$AG$600),"")</f>
        <v/>
      </c>
      <c r="N34" s="320" t="str">
        <f>IFERROR(AVERAGEIF('CEC DB for analysis'!$AO$9:$AO$600,'CEC analysis'!$C34&amp;"_"&amp;'CEC analysis'!N$5,'CEC DB for analysis'!$AG$9:$AG$600),"")</f>
        <v/>
      </c>
      <c r="O34" s="320" t="str">
        <f>IFERROR(AVERAGEIF('CEC DB for analysis'!$AP$9:$AP$600,'CEC analysis'!$C34&amp;"_YES",'CEC DB for analysis'!$AG$9:$AG$600),"")</f>
        <v/>
      </c>
      <c r="P34" s="320" t="str">
        <f t="shared" si="5"/>
        <v/>
      </c>
      <c r="Q34" s="306"/>
      <c r="R34" s="321" t="str">
        <f>IFERROR(AVERAGEIF('CEC DB for analysis'!$AO$9:$AO$600,'CEC analysis'!$C34&amp;"_"&amp;'CEC analysis'!K$5,'CEC DB for analysis'!$AF$9:$AF$600),"")</f>
        <v/>
      </c>
      <c r="S34" s="321" t="str">
        <f>IFERROR(AVERAGEIF('CEC DB for analysis'!$AO$9:$AO$600,'CEC analysis'!$C34&amp;"_"&amp;'CEC analysis'!L$5,'CEC DB for analysis'!$AF$9:$AF$600),"")</f>
        <v/>
      </c>
      <c r="T34" s="321" t="str">
        <f>IFERROR(AVERAGEIF('CEC DB for analysis'!$AO$9:$AO$600,'CEC analysis'!$C34&amp;"_"&amp;'CEC analysis'!M$5,'CEC DB for analysis'!$AF$9:$AF$600),"")</f>
        <v/>
      </c>
      <c r="U34" s="321" t="str">
        <f>IFERROR(AVERAGEIF('CEC DB for analysis'!$AO$9:$AO$600,'CEC analysis'!$C34&amp;"_"&amp;'CEC analysis'!N$5,'CEC DB for analysis'!$AF$9:$AF$600),"")</f>
        <v/>
      </c>
      <c r="V34" s="321" t="str">
        <f>IFERROR(AVERAGEIF('CEC DB for analysis'!$AP$9:$AP$600,'CEC analysis'!$C34&amp;"_YES",'CEC DB for analysis'!$AF$9:$AF$600),"")</f>
        <v/>
      </c>
      <c r="W34" s="321" t="str">
        <f t="shared" si="6"/>
        <v/>
      </c>
      <c r="X34" s="317"/>
      <c r="Y34" s="321" t="str">
        <f t="shared" si="11"/>
        <v/>
      </c>
      <c r="Z34" s="321" t="str">
        <f t="shared" si="7"/>
        <v/>
      </c>
      <c r="AA34" s="321" t="str">
        <f t="shared" si="7"/>
        <v/>
      </c>
      <c r="AB34" s="321" t="str">
        <f t="shared" si="7"/>
        <v/>
      </c>
      <c r="AC34" s="321" t="str">
        <f t="shared" si="7"/>
        <v/>
      </c>
      <c r="AD34" s="321" t="str">
        <f t="shared" si="7"/>
        <v/>
      </c>
      <c r="AE34" s="322"/>
      <c r="AF34" s="321"/>
      <c r="AG34" s="321"/>
      <c r="AH34" s="321"/>
      <c r="AI34" s="321"/>
      <c r="AJ34" s="321"/>
      <c r="AK34" s="321"/>
      <c r="AL34" s="314"/>
      <c r="AM34" s="321"/>
      <c r="AN34" s="321"/>
      <c r="AO34" s="321"/>
      <c r="AP34" s="321"/>
      <c r="AQ34" s="321"/>
      <c r="AR34" s="321"/>
      <c r="AT34" s="325" t="str">
        <f>IFERROR(AVERAGEIF('CEC DB for analysis'!$AO$9:$AO$600,'CEC analysis'!$C34&amp;"_"&amp;'CEC analysis'!K$5,'CEC DB for analysis'!$AB$9:$AB$600),"")</f>
        <v/>
      </c>
      <c r="AU34" s="325" t="str">
        <f>IFERROR(AVERAGEIF('CEC DB for analysis'!$AO$9:$AO$600,'CEC analysis'!$C34&amp;"_"&amp;'CEC analysis'!L$5,'CEC DB for analysis'!$AB$9:$AB$600),"")</f>
        <v/>
      </c>
      <c r="AV34" s="325" t="str">
        <f>IFERROR(AVERAGEIF('CEC DB for analysis'!$AO$9:$AO$600,'CEC analysis'!$C34&amp;"_"&amp;'CEC analysis'!M$5,'CEC DB for analysis'!$AB$9:$AB$600),"")</f>
        <v/>
      </c>
      <c r="AW34" s="325" t="str">
        <f>IFERROR(AVERAGEIF('CEC DB for analysis'!$AO$9:$AO$600,'CEC analysis'!$C34&amp;"_"&amp;'CEC analysis'!N$5,'CEC DB for analysis'!$AB$9:$AB$600),"")</f>
        <v/>
      </c>
      <c r="AX34" s="325" t="str">
        <f>IFERROR(AVERAGEIF('CEC DB for analysis'!$AP$9:$AP$600,'CEC analysis'!$C34&amp;"_YES",'CEC DB for analysis'!$AB$9:$AB$600),"")</f>
        <v/>
      </c>
      <c r="AY34" s="325" t="str">
        <f t="shared" si="12"/>
        <v/>
      </c>
      <c r="BA34" s="321" t="str">
        <f>IFERROR(AVERAGEIF('CEC DB for analysis'!$AO$9:$AO$600,'CEC analysis'!$C34&amp;"_"&amp;'CEC analysis'!R$5,'CEC DB for analysis'!$V$9:$V$600),"")</f>
        <v/>
      </c>
      <c r="BB34" s="321" t="str">
        <f>IFERROR(AVERAGEIF('CEC DB for analysis'!$AO$9:$AO$600,'CEC analysis'!$C34&amp;"_"&amp;'CEC analysis'!S$5,'CEC DB for analysis'!$V$9:$V$600),"")</f>
        <v/>
      </c>
      <c r="BC34" s="321" t="str">
        <f>IFERROR(AVERAGEIF('CEC DB for analysis'!$AO$9:$AO$600,'CEC analysis'!$C34&amp;"_"&amp;'CEC analysis'!T$5,'CEC DB for analysis'!$V$9:$V$600),"")</f>
        <v/>
      </c>
      <c r="BD34" s="321" t="str">
        <f>IFERROR(AVERAGEIF('CEC DB for analysis'!$AO$9:$AO$600,'CEC analysis'!$C34&amp;"_"&amp;'CEC analysis'!U$5,'CEC DB for analysis'!$V$9:$V$600),"")</f>
        <v/>
      </c>
      <c r="BE34" s="321" t="str">
        <f>IFERROR(AVERAGEIF('CEC DB for analysis'!$AP$9:$AP$600,'CEC analysis'!$C34&amp;"_YES",'CEC DB for analysis'!$V$9:$V$600),"")</f>
        <v/>
      </c>
      <c r="BF34" s="321" t="str">
        <f t="shared" si="13"/>
        <v/>
      </c>
      <c r="BH34" s="321"/>
      <c r="BI34" s="321"/>
      <c r="BJ34" s="321"/>
      <c r="BK34" s="321"/>
      <c r="BL34" s="321"/>
      <c r="BM34" s="321"/>
    </row>
    <row r="35" spans="1:65">
      <c r="A35" s="555" t="s">
        <v>4570</v>
      </c>
      <c r="B35" s="326"/>
      <c r="C35" s="327" t="s">
        <v>4571</v>
      </c>
      <c r="D35" s="328">
        <f>COUNTIF('CEC DB for analysis'!$AO$9:$AO$600,$C35&amp;"_"&amp;D$5)</f>
        <v>0</v>
      </c>
      <c r="E35" s="328">
        <f>COUNTIF('CEC DB for analysis'!$AO$9:$AO$600,$C35&amp;"_"&amp;E$5)</f>
        <v>4</v>
      </c>
      <c r="F35" s="328">
        <f>COUNTIF('CEC DB for analysis'!$AO$9:$AO$600,$C35&amp;"_"&amp;F$5)</f>
        <v>0</v>
      </c>
      <c r="G35" s="328">
        <f>COUNTIF('CEC DB for analysis'!$AO$9:$AO$600,$C35&amp;"_"&amp;G$5)</f>
        <v>3</v>
      </c>
      <c r="H35" s="328">
        <f>COUNTIF('CEC DB for analysis'!$AP$9:$AP$600,'CEC analysis'!C35&amp;"_YES")</f>
        <v>7</v>
      </c>
      <c r="I35" s="328">
        <f t="shared" si="4"/>
        <v>7</v>
      </c>
      <c r="J35" s="326"/>
      <c r="K35" s="329" t="str">
        <f>IFERROR(AVERAGEIF('CEC DB for analysis'!$AO$9:$AO$600,'CEC analysis'!$C35&amp;"_"&amp;'CEC analysis'!K$5,'CEC DB for analysis'!$AG$9:$AG$600),"")</f>
        <v/>
      </c>
      <c r="L35" s="329">
        <f>IFERROR(AVERAGEIF('CEC DB for analysis'!$AO$9:$AO$600,'CEC analysis'!$C35&amp;"_"&amp;'CEC analysis'!L$5,'CEC DB for analysis'!$AG$9:$AG$600),"")</f>
        <v>0.14071801405129475</v>
      </c>
      <c r="M35" s="329" t="str">
        <f>IFERROR(AVERAGEIF('CEC DB for analysis'!$AO$9:$AO$600,'CEC analysis'!$C35&amp;"_"&amp;'CEC analysis'!M$5,'CEC DB for analysis'!$AG$9:$AG$600),"")</f>
        <v/>
      </c>
      <c r="N35" s="329">
        <f>IFERROR(AVERAGEIF('CEC DB for analysis'!$AO$9:$AO$600,'CEC analysis'!$C35&amp;"_"&amp;'CEC analysis'!N$5,'CEC DB for analysis'!$AG$9:$AG$600),"")</f>
        <v>0.23894702456717307</v>
      </c>
      <c r="O35" s="329">
        <f>IFERROR(AVERAGEIF('CEC DB for analysis'!$AP$9:$AP$600,'CEC analysis'!$C35&amp;"_YES",'CEC DB for analysis'!$AG$9:$AG$600),"")</f>
        <v>0.1828161614152426</v>
      </c>
      <c r="P35" s="329">
        <f t="shared" si="5"/>
        <v>0.1828161614152426</v>
      </c>
      <c r="Q35" s="306"/>
      <c r="R35" s="330" t="str">
        <f>IFERROR(AVERAGEIF('CEC DB for analysis'!$AO$9:$AO$600,'CEC analysis'!$C35&amp;"_"&amp;'CEC analysis'!K$5,'CEC DB for analysis'!$AF$9:$AF$600),"")</f>
        <v/>
      </c>
      <c r="S35" s="330">
        <f>IFERROR(AVERAGEIF('CEC DB for analysis'!$AO$9:$AO$600,'CEC analysis'!$C35&amp;"_"&amp;'CEC analysis'!L$5,'CEC DB for analysis'!$AF$9:$AF$600),"")</f>
        <v>40.237092250000003</v>
      </c>
      <c r="T35" s="330" t="str">
        <f>IFERROR(AVERAGEIF('CEC DB for analysis'!$AO$9:$AO$600,'CEC analysis'!$C35&amp;"_"&amp;'CEC analysis'!M$5,'CEC DB for analysis'!$AF$9:$AF$600),"")</f>
        <v/>
      </c>
      <c r="U35" s="330">
        <f>IFERROR(AVERAGEIF('CEC DB for analysis'!$AO$9:$AO$600,'CEC analysis'!$C35&amp;"_"&amp;'CEC analysis'!N$5,'CEC DB for analysis'!$AF$9:$AF$600),"")</f>
        <v>65.739122666666688</v>
      </c>
      <c r="V35" s="330">
        <f>IFERROR(AVERAGEIF('CEC DB for analysis'!$AP$9:$AP$600,'CEC analysis'!$C35&amp;"_YES",'CEC DB for analysis'!$AF$9:$AF$600),"")</f>
        <v>51.166533857142873</v>
      </c>
      <c r="W35" s="330">
        <f t="shared" si="6"/>
        <v>51.166533857142873</v>
      </c>
      <c r="X35" s="326"/>
      <c r="Y35" s="330" t="str">
        <f t="shared" si="11"/>
        <v/>
      </c>
      <c r="Z35" s="330">
        <f t="shared" si="7"/>
        <v>-10.92944160714287</v>
      </c>
      <c r="AA35" s="330" t="str">
        <f t="shared" si="7"/>
        <v/>
      </c>
      <c r="AB35" s="330">
        <f t="shared" si="7"/>
        <v>14.572588809523815</v>
      </c>
      <c r="AC35" s="330">
        <f t="shared" si="7"/>
        <v>0</v>
      </c>
      <c r="AD35" s="330">
        <f t="shared" si="7"/>
        <v>0</v>
      </c>
      <c r="AE35" s="331"/>
      <c r="AF35" s="330">
        <f>SUMPRODUCT(Y35:Y44,D35:D44)/SUM(D35:D44)</f>
        <v>-23.848766816552626</v>
      </c>
      <c r="AG35" s="332">
        <f t="shared" ref="AG35:AK35" si="17">SUMPRODUCT(Z35:Z44,E35:E44)/SUM(E35:E44)</f>
        <v>2.859961208970168</v>
      </c>
      <c r="AH35" s="332">
        <f t="shared" si="17"/>
        <v>15.010049523809521</v>
      </c>
      <c r="AI35" s="332">
        <f t="shared" si="17"/>
        <v>35.698709719946727</v>
      </c>
      <c r="AJ35" s="332">
        <f t="shared" si="17"/>
        <v>10.412841849480721</v>
      </c>
      <c r="AK35" s="330">
        <f t="shared" si="17"/>
        <v>0</v>
      </c>
      <c r="AL35" s="314"/>
      <c r="AM35" s="329">
        <f>SUMPRODUCT(K35:K44,D35:D44)/SUM(D35:D44)</f>
        <v>8.9779797731080104E-3</v>
      </c>
      <c r="AN35" s="329">
        <f t="shared" ref="AN35:AR35" si="18">SUMPRODUCT(L35:L44,E35:E44)/SUM(E35:E44)</f>
        <v>0.1092940628223189</v>
      </c>
      <c r="AO35" s="329">
        <f t="shared" si="18"/>
        <v>0.17968745248699694</v>
      </c>
      <c r="AP35" s="329">
        <f t="shared" si="18"/>
        <v>0.23508137232492388</v>
      </c>
      <c r="AQ35" s="329">
        <f t="shared" si="18"/>
        <v>0.14124864775916351</v>
      </c>
      <c r="AR35" s="329">
        <f t="shared" si="18"/>
        <v>0.10104873886144077</v>
      </c>
      <c r="AT35" s="333" t="str">
        <f>IFERROR(AVERAGEIF('CEC DB for analysis'!$AO$9:$AO$600,'CEC analysis'!$C35&amp;"_"&amp;'CEC analysis'!K$5,'CEC DB for analysis'!$AB$9:$AB$600),"")</f>
        <v/>
      </c>
      <c r="AU35" s="333">
        <f>IFERROR(AVERAGEIF('CEC DB for analysis'!$AO$9:$AO$600,'CEC analysis'!$C35&amp;"_"&amp;'CEC analysis'!L$5,'CEC DB for analysis'!$AB$9:$AB$600),"")</f>
        <v>3.7305749999999995</v>
      </c>
      <c r="AV35" s="333" t="str">
        <f>IFERROR(AVERAGEIF('CEC DB for analysis'!$AO$9:$AO$600,'CEC analysis'!$C35&amp;"_"&amp;'CEC analysis'!M$5,'CEC DB for analysis'!$AB$9:$AB$600),"")</f>
        <v/>
      </c>
      <c r="AW35" s="333">
        <f>IFERROR(AVERAGEIF('CEC DB for analysis'!$AO$9:$AO$600,'CEC analysis'!$C35&amp;"_"&amp;'CEC analysis'!N$5,'CEC DB for analysis'!$AB$9:$AB$600),"")</f>
        <v>2.5218666666666665</v>
      </c>
      <c r="AX35" s="333">
        <f>IFERROR(AVERAGEIF('CEC DB for analysis'!$AP$9:$AP$600,'CEC analysis'!$C35&amp;"_YES",'CEC DB for analysis'!$AB$9:$AB$600),"")</f>
        <v>3.2125571428571424</v>
      </c>
      <c r="AY35" s="333">
        <f t="shared" si="12"/>
        <v>3.2125571428571424</v>
      </c>
      <c r="BA35" s="330" t="str">
        <f>IFERROR(AVERAGEIF('CEC DB for analysis'!$AO$9:$AO$600,'CEC analysis'!$C35&amp;"_"&amp;'CEC analysis'!R$5,'CEC DB for analysis'!$V$9:$V$600),"")</f>
        <v/>
      </c>
      <c r="BB35" s="330">
        <f>IFERROR(AVERAGEIF('CEC DB for analysis'!$AO$9:$AO$600,'CEC analysis'!$C35&amp;"_"&amp;'CEC analysis'!S$5,'CEC DB for analysis'!$V$9:$V$600),"")</f>
        <v>245.75</v>
      </c>
      <c r="BC35" s="330" t="str">
        <f>IFERROR(AVERAGEIF('CEC DB for analysis'!$AO$9:$AO$600,'CEC analysis'!$C35&amp;"_"&amp;'CEC analysis'!T$5,'CEC DB for analysis'!$V$9:$V$600),"")</f>
        <v/>
      </c>
      <c r="BD35" s="330">
        <f>IFERROR(AVERAGEIF('CEC DB for analysis'!$AO$9:$AO$600,'CEC analysis'!$C35&amp;"_"&amp;'CEC analysis'!U$5,'CEC DB for analysis'!$V$9:$V$600),"")</f>
        <v>209.33333333333334</v>
      </c>
      <c r="BE35" s="330">
        <f>IFERROR(AVERAGEIF('CEC DB for analysis'!$AP$9:$AP$600,'CEC analysis'!$C35&amp;"_YES",'CEC DB for analysis'!$V$9:$V$600),"")</f>
        <v>230.14285714285714</v>
      </c>
      <c r="BF35" s="330">
        <f t="shared" si="13"/>
        <v>230.14285714285714</v>
      </c>
      <c r="BH35" s="330">
        <f>SUMPRODUCT(BA35:BA44,D35:D44)/SUM(D35:D44)</f>
        <v>307.70967741935482</v>
      </c>
      <c r="BI35" s="330">
        <f>SUMPRODUCT(BB35:BB44,E35:E44)/SUM(E35:E44)</f>
        <v>253.9591836734694</v>
      </c>
      <c r="BJ35" s="330">
        <f t="shared" ref="BJ35:BL35" si="19">SUMPRODUCT(BC35:BC44,F35:F44)/SUM(F35:F44)</f>
        <v>278.22222222222223</v>
      </c>
      <c r="BK35" s="330">
        <f t="shared" si="19"/>
        <v>230</v>
      </c>
      <c r="BL35" s="330">
        <f t="shared" si="19"/>
        <v>252.64788732394365</v>
      </c>
      <c r="BM35" s="330">
        <f>SUMPRODUCT(BF35:BF44,I35:I44)/SUM(I35:I44)</f>
        <v>269.38235294117646</v>
      </c>
    </row>
    <row r="36" spans="1:65">
      <c r="A36" s="555"/>
      <c r="B36" s="326"/>
      <c r="C36" s="327" t="s">
        <v>315</v>
      </c>
      <c r="D36" s="328">
        <f>COUNTIF('CEC DB for analysis'!$AO$9:$AO$600,$C36&amp;"_"&amp;D$5)</f>
        <v>6</v>
      </c>
      <c r="E36" s="328">
        <f>COUNTIF('CEC DB for analysis'!$AO$9:$AO$600,$C36&amp;"_"&amp;E$5)</f>
        <v>21</v>
      </c>
      <c r="F36" s="328">
        <f>COUNTIF('CEC DB for analysis'!$AO$9:$AO$600,$C36&amp;"_"&amp;F$5)</f>
        <v>0</v>
      </c>
      <c r="G36" s="328">
        <f>COUNTIF('CEC DB for analysis'!$AO$9:$AO$600,$C36&amp;"_"&amp;G$5)</f>
        <v>0</v>
      </c>
      <c r="H36" s="328">
        <f>COUNTIF('CEC DB for analysis'!$AP$9:$AP$600,'CEC analysis'!C36&amp;"_YES")</f>
        <v>21</v>
      </c>
      <c r="I36" s="328">
        <f t="shared" si="4"/>
        <v>27</v>
      </c>
      <c r="J36" s="326"/>
      <c r="K36" s="329">
        <f>IFERROR(AVERAGEIF('CEC DB for analysis'!$AO$9:$AO$600,'CEC analysis'!$C36&amp;"_"&amp;'CEC analysis'!K$5,'CEC DB for analysis'!$AG$9:$AG$600),"")</f>
        <v>5.3540859517094835E-3</v>
      </c>
      <c r="L36" s="329">
        <f>IFERROR(AVERAGEIF('CEC DB for analysis'!$AO$9:$AO$600,'CEC analysis'!$C36&amp;"_"&amp;'CEC analysis'!L$5,'CEC DB for analysis'!$AG$9:$AG$600),"")</f>
        <v>0.10567112787672046</v>
      </c>
      <c r="M36" s="329" t="str">
        <f>IFERROR(AVERAGEIF('CEC DB for analysis'!$AO$9:$AO$600,'CEC analysis'!$C36&amp;"_"&amp;'CEC analysis'!M$5,'CEC DB for analysis'!$AG$9:$AG$600),"")</f>
        <v/>
      </c>
      <c r="N36" s="329" t="str">
        <f>IFERROR(AVERAGEIF('CEC DB for analysis'!$AO$9:$AO$600,'CEC analysis'!$C36&amp;"_"&amp;'CEC analysis'!N$5,'CEC DB for analysis'!$AG$9:$AG$600),"")</f>
        <v/>
      </c>
      <c r="O36" s="329">
        <f>IFERROR(AVERAGEIF('CEC DB for analysis'!$AP$9:$AP$600,'CEC analysis'!$C36&amp;"_YES",'CEC DB for analysis'!$AG$9:$AG$600),"")</f>
        <v>0.10567112787672046</v>
      </c>
      <c r="P36" s="329">
        <f t="shared" si="5"/>
        <v>8.3378451893384678E-2</v>
      </c>
      <c r="Q36" s="306"/>
      <c r="R36" s="330">
        <f>IFERROR(AVERAGEIF('CEC DB for analysis'!$AO$9:$AO$600,'CEC analysis'!$C36&amp;"_"&amp;'CEC analysis'!K$5,'CEC DB for analysis'!$AF$9:$AF$600),"")</f>
        <v>1.3178079999999948</v>
      </c>
      <c r="S36" s="330">
        <f>IFERROR(AVERAGEIF('CEC DB for analysis'!$AO$9:$AO$600,'CEC analysis'!$C36&amp;"_"&amp;'CEC analysis'!L$5,'CEC DB for analysis'!$AF$9:$AF$600),"")</f>
        <v>25.804583619047612</v>
      </c>
      <c r="T36" s="330" t="str">
        <f>IFERROR(AVERAGEIF('CEC DB for analysis'!$AO$9:$AO$600,'CEC analysis'!$C36&amp;"_"&amp;'CEC analysis'!M$5,'CEC DB for analysis'!$AF$9:$AF$600),"")</f>
        <v/>
      </c>
      <c r="U36" s="330" t="str">
        <f>IFERROR(AVERAGEIF('CEC DB for analysis'!$AO$9:$AO$600,'CEC analysis'!$C36&amp;"_"&amp;'CEC analysis'!N$5,'CEC DB for analysis'!$AF$9:$AF$600),"")</f>
        <v/>
      </c>
      <c r="V36" s="330">
        <f>IFERROR(AVERAGEIF('CEC DB for analysis'!$AP$9:$AP$600,'CEC analysis'!$C36&amp;"_YES",'CEC DB for analysis'!$AF$9:$AF$600),"")</f>
        <v>25.804583619047612</v>
      </c>
      <c r="W36" s="330">
        <f t="shared" si="6"/>
        <v>20.363077925925921</v>
      </c>
      <c r="X36" s="326"/>
      <c r="Y36" s="330">
        <f t="shared" si="11"/>
        <v>-19.045269925925925</v>
      </c>
      <c r="Z36" s="330">
        <f t="shared" si="7"/>
        <v>5.441505693121691</v>
      </c>
      <c r="AA36" s="330" t="str">
        <f t="shared" si="7"/>
        <v/>
      </c>
      <c r="AB36" s="330" t="str">
        <f t="shared" si="7"/>
        <v/>
      </c>
      <c r="AC36" s="330">
        <f t="shared" si="7"/>
        <v>5.441505693121691</v>
      </c>
      <c r="AD36" s="330">
        <f t="shared" si="7"/>
        <v>0</v>
      </c>
      <c r="AE36" s="331"/>
      <c r="AF36" s="330"/>
      <c r="AG36" s="330"/>
      <c r="AH36" s="330"/>
      <c r="AI36" s="330"/>
      <c r="AJ36" s="330"/>
      <c r="AK36" s="330"/>
      <c r="AL36" s="314"/>
      <c r="AM36" s="330"/>
      <c r="AN36" s="330"/>
      <c r="AO36" s="330"/>
      <c r="AP36" s="330"/>
      <c r="AQ36" s="330"/>
      <c r="AR36" s="330"/>
      <c r="AT36" s="333">
        <f>IFERROR(AVERAGEIF('CEC DB for analysis'!$AO$9:$AO$600,'CEC analysis'!$C36&amp;"_"&amp;'CEC analysis'!K$5,'CEC DB for analysis'!$AB$9:$AB$600),"")</f>
        <v>3.3653666666666666</v>
      </c>
      <c r="AU36" s="333">
        <f>IFERROR(AVERAGEIF('CEC DB for analysis'!$AO$9:$AO$600,'CEC analysis'!$C36&amp;"_"&amp;'CEC analysis'!L$5,'CEC DB for analysis'!$AB$9:$AB$600),"")</f>
        <v>3.1996857142857142</v>
      </c>
      <c r="AV36" s="333" t="str">
        <f>IFERROR(AVERAGEIF('CEC DB for analysis'!$AO$9:$AO$600,'CEC analysis'!$C36&amp;"_"&amp;'CEC analysis'!M$5,'CEC DB for analysis'!$AB$9:$AB$600),"")</f>
        <v/>
      </c>
      <c r="AW36" s="333" t="str">
        <f>IFERROR(AVERAGEIF('CEC DB for analysis'!$AO$9:$AO$600,'CEC analysis'!$C36&amp;"_"&amp;'CEC analysis'!N$5,'CEC DB for analysis'!$AB$9:$AB$600),"")</f>
        <v/>
      </c>
      <c r="AX36" s="333">
        <f>IFERROR(AVERAGEIF('CEC DB for analysis'!$AP$9:$AP$600,'CEC analysis'!$C36&amp;"_YES",'CEC DB for analysis'!$AB$9:$AB$600),"")</f>
        <v>3.1996857142857142</v>
      </c>
      <c r="AY36" s="333">
        <f t="shared" si="12"/>
        <v>3.2365037037037037</v>
      </c>
      <c r="BA36" s="330">
        <f>IFERROR(AVERAGEIF('CEC DB for analysis'!$AO$9:$AO$600,'CEC analysis'!$C36&amp;"_"&amp;'CEC analysis'!R$5,'CEC DB for analysis'!$V$9:$V$600),"")</f>
        <v>244.16666666666666</v>
      </c>
      <c r="BB36" s="330">
        <f>IFERROR(AVERAGEIF('CEC DB for analysis'!$AO$9:$AO$600,'CEC analysis'!$C36&amp;"_"&amp;'CEC analysis'!S$5,'CEC DB for analysis'!$V$9:$V$600),"")</f>
        <v>218.38095238095238</v>
      </c>
      <c r="BC36" s="330" t="str">
        <f>IFERROR(AVERAGEIF('CEC DB for analysis'!$AO$9:$AO$600,'CEC analysis'!$C36&amp;"_"&amp;'CEC analysis'!T$5,'CEC DB for analysis'!$V$9:$V$600),"")</f>
        <v/>
      </c>
      <c r="BD36" s="330" t="str">
        <f>IFERROR(AVERAGEIF('CEC DB for analysis'!$AO$9:$AO$600,'CEC analysis'!$C36&amp;"_"&amp;'CEC analysis'!U$5,'CEC DB for analysis'!$V$9:$V$600),"")</f>
        <v/>
      </c>
      <c r="BE36" s="330">
        <f>IFERROR(AVERAGEIF('CEC DB for analysis'!$AP$9:$AP$600,'CEC analysis'!$C36&amp;"_YES",'CEC DB for analysis'!$V$9:$V$600),"")</f>
        <v>218.38095238095238</v>
      </c>
      <c r="BF36" s="330">
        <f t="shared" si="13"/>
        <v>224.11111111111111</v>
      </c>
      <c r="BH36" s="330"/>
      <c r="BI36" s="330"/>
      <c r="BJ36" s="330"/>
      <c r="BK36" s="330"/>
      <c r="BL36" s="330"/>
      <c r="BM36" s="330"/>
    </row>
    <row r="37" spans="1:65">
      <c r="A37" s="555"/>
      <c r="B37" s="326"/>
      <c r="C37" s="327" t="s">
        <v>4572</v>
      </c>
      <c r="D37" s="328">
        <f>COUNTIF('CEC DB for analysis'!$AO$9:$AO$600,$C37&amp;"_"&amp;D$5)</f>
        <v>2</v>
      </c>
      <c r="E37" s="328">
        <f>COUNTIF('CEC DB for analysis'!$AO$9:$AO$600,$C37&amp;"_"&amp;E$5)</f>
        <v>8</v>
      </c>
      <c r="F37" s="328">
        <f>COUNTIF('CEC DB for analysis'!$AO$9:$AO$600,$C37&amp;"_"&amp;F$5)</f>
        <v>0</v>
      </c>
      <c r="G37" s="328">
        <f>COUNTIF('CEC DB for analysis'!$AO$9:$AO$600,$C37&amp;"_"&amp;G$5)</f>
        <v>1</v>
      </c>
      <c r="H37" s="328">
        <f>COUNTIF('CEC DB for analysis'!$AP$9:$AP$600,'CEC analysis'!C37&amp;"_YES")</f>
        <v>9</v>
      </c>
      <c r="I37" s="328">
        <f t="shared" si="4"/>
        <v>11</v>
      </c>
      <c r="J37" s="326"/>
      <c r="K37" s="329">
        <f>IFERROR(AVERAGEIF('CEC DB for analysis'!$AO$9:$AO$600,'CEC analysis'!$C37&amp;"_"&amp;'CEC analysis'!K$5,'CEC DB for analysis'!$AG$9:$AG$600),"")</f>
        <v>1.9845676260386099E-3</v>
      </c>
      <c r="L37" s="329">
        <f>IFERROR(AVERAGEIF('CEC DB for analysis'!$AO$9:$AO$600,'CEC analysis'!$C37&amp;"_"&amp;'CEC analysis'!L$5,'CEC DB for analysis'!$AG$9:$AG$600),"")</f>
        <v>0.10572067971401616</v>
      </c>
      <c r="M37" s="329" t="str">
        <f>IFERROR(AVERAGEIF('CEC DB for analysis'!$AO$9:$AO$600,'CEC analysis'!$C37&amp;"_"&amp;'CEC analysis'!M$5,'CEC DB for analysis'!$AG$9:$AG$600),"")</f>
        <v/>
      </c>
      <c r="N37" s="329">
        <f>IFERROR(AVERAGEIF('CEC DB for analysis'!$AO$9:$AO$600,'CEC analysis'!$C37&amp;"_"&amp;'CEC analysis'!N$5,'CEC DB for analysis'!$AG$9:$AG$600),"")</f>
        <v>0.2461542138415915</v>
      </c>
      <c r="O37" s="329">
        <f>IFERROR(AVERAGEIF('CEC DB for analysis'!$AP$9:$AP$600,'CEC analysis'!$C37&amp;"_YES",'CEC DB for analysis'!$AG$9:$AG$600),"")</f>
        <v>0.1213244057281912</v>
      </c>
      <c r="P37" s="329">
        <f t="shared" si="5"/>
        <v>9.9626253345981644E-2</v>
      </c>
      <c r="Q37" s="306"/>
      <c r="R37" s="330">
        <f>IFERROR(AVERAGEIF('CEC DB for analysis'!$AO$9:$AO$600,'CEC analysis'!$C37&amp;"_"&amp;'CEC analysis'!K$5,'CEC DB for analysis'!$AF$9:$AF$600),"")</f>
        <v>0.71188799999998764</v>
      </c>
      <c r="S37" s="330">
        <f>IFERROR(AVERAGEIF('CEC DB for analysis'!$AO$9:$AO$600,'CEC analysis'!$C37&amp;"_"&amp;'CEC analysis'!L$5,'CEC DB for analysis'!$AF$9:$AF$600),"")</f>
        <v>38.676228500000029</v>
      </c>
      <c r="T37" s="330" t="str">
        <f>IFERROR(AVERAGEIF('CEC DB for analysis'!$AO$9:$AO$600,'CEC analysis'!$C37&amp;"_"&amp;'CEC analysis'!M$5,'CEC DB for analysis'!$AF$9:$AF$600),"")</f>
        <v/>
      </c>
      <c r="U37" s="330">
        <f>IFERROR(AVERAGEIF('CEC DB for analysis'!$AO$9:$AO$600,'CEC analysis'!$C37&amp;"_"&amp;'CEC analysis'!N$5,'CEC DB for analysis'!$AF$9:$AF$600),"")</f>
        <v>88.163440000000037</v>
      </c>
      <c r="V37" s="330">
        <f>IFERROR(AVERAGEIF('CEC DB for analysis'!$AP$9:$AP$600,'CEC analysis'!$C37&amp;"_YES",'CEC DB for analysis'!$AF$9:$AF$600),"")</f>
        <v>44.174807555555589</v>
      </c>
      <c r="W37" s="330">
        <f t="shared" si="6"/>
        <v>36.272458545454569</v>
      </c>
      <c r="X37" s="326"/>
      <c r="Y37" s="330">
        <f t="shared" si="11"/>
        <v>-35.560570545454581</v>
      </c>
      <c r="Z37" s="330">
        <f t="shared" si="7"/>
        <v>2.4037699545454601</v>
      </c>
      <c r="AA37" s="330" t="str">
        <f t="shared" si="7"/>
        <v/>
      </c>
      <c r="AB37" s="330">
        <f t="shared" si="7"/>
        <v>51.890981454545468</v>
      </c>
      <c r="AC37" s="330">
        <f t="shared" si="7"/>
        <v>7.9023490101010196</v>
      </c>
      <c r="AD37" s="330">
        <f t="shared" si="7"/>
        <v>0</v>
      </c>
      <c r="AE37" s="331"/>
      <c r="AF37" s="330"/>
      <c r="AG37" s="330"/>
      <c r="AH37" s="330"/>
      <c r="AI37" s="330"/>
      <c r="AJ37" s="330"/>
      <c r="AK37" s="330"/>
      <c r="AL37" s="314"/>
      <c r="AM37" s="330"/>
      <c r="AN37" s="330"/>
      <c r="AO37" s="330"/>
      <c r="AP37" s="330"/>
      <c r="AQ37" s="330"/>
      <c r="AR37" s="330"/>
      <c r="AT37" s="333">
        <f>IFERROR(AVERAGEIF('CEC DB for analysis'!$AO$9:$AO$600,'CEC analysis'!$C37&amp;"_"&amp;'CEC analysis'!K$5,'CEC DB for analysis'!$AB$9:$AB$600),"")</f>
        <v>3.8768000000000002</v>
      </c>
      <c r="AU37" s="333">
        <f>IFERROR(AVERAGEIF('CEC DB for analysis'!$AO$9:$AO$600,'CEC analysis'!$C37&amp;"_"&amp;'CEC analysis'!L$5,'CEC DB for analysis'!$AB$9:$AB$600),"")</f>
        <v>5.0763499999999997</v>
      </c>
      <c r="AV37" s="333" t="str">
        <f>IFERROR(AVERAGEIF('CEC DB for analysis'!$AO$9:$AO$600,'CEC analysis'!$C37&amp;"_"&amp;'CEC analysis'!M$5,'CEC DB for analysis'!$AB$9:$AB$600),"")</f>
        <v/>
      </c>
      <c r="AW37" s="333">
        <f>IFERROR(AVERAGEIF('CEC DB for analysis'!$AO$9:$AO$600,'CEC analysis'!$C37&amp;"_"&amp;'CEC analysis'!N$5,'CEC DB for analysis'!$AB$9:$AB$600),"")</f>
        <v>3.7840000000000003</v>
      </c>
      <c r="AX37" s="333">
        <f>IFERROR(AVERAGEIF('CEC DB for analysis'!$AP$9:$AP$600,'CEC analysis'!$C37&amp;"_YES",'CEC DB for analysis'!$AB$9:$AB$600),"")</f>
        <v>4.9327555555555556</v>
      </c>
      <c r="AY37" s="333">
        <f t="shared" si="12"/>
        <v>4.7407636363636358</v>
      </c>
      <c r="BA37" s="330">
        <f>IFERROR(AVERAGEIF('CEC DB for analysis'!$AO$9:$AO$600,'CEC analysis'!$C37&amp;"_"&amp;'CEC analysis'!R$5,'CEC DB for analysis'!$V$9:$V$600),"")</f>
        <v>358</v>
      </c>
      <c r="BB37" s="330">
        <f>IFERROR(AVERAGEIF('CEC DB for analysis'!$AO$9:$AO$600,'CEC analysis'!$C37&amp;"_"&amp;'CEC analysis'!S$5,'CEC DB for analysis'!$V$9:$V$600),"")</f>
        <v>327.125</v>
      </c>
      <c r="BC37" s="330" t="str">
        <f>IFERROR(AVERAGEIF('CEC DB for analysis'!$AO$9:$AO$600,'CEC analysis'!$C37&amp;"_"&amp;'CEC analysis'!T$5,'CEC DB for analysis'!$V$9:$V$600),"")</f>
        <v/>
      </c>
      <c r="BD37" s="330">
        <f>IFERROR(AVERAGEIF('CEC DB for analysis'!$AO$9:$AO$600,'CEC analysis'!$C37&amp;"_"&amp;'CEC analysis'!U$5,'CEC DB for analysis'!$V$9:$V$600),"")</f>
        <v>270</v>
      </c>
      <c r="BE37" s="330">
        <f>IFERROR(AVERAGEIF('CEC DB for analysis'!$AP$9:$AP$600,'CEC analysis'!$C37&amp;"_YES",'CEC DB for analysis'!$V$9:$V$600),"")</f>
        <v>320.77777777777777</v>
      </c>
      <c r="BF37" s="330">
        <f t="shared" si="13"/>
        <v>327.54545454545456</v>
      </c>
      <c r="BH37" s="330"/>
      <c r="BI37" s="330"/>
      <c r="BJ37" s="330"/>
      <c r="BK37" s="330"/>
      <c r="BL37" s="330"/>
      <c r="BM37" s="330"/>
    </row>
    <row r="38" spans="1:65">
      <c r="A38" s="555"/>
      <c r="B38" s="326"/>
      <c r="C38" s="327" t="s">
        <v>4573</v>
      </c>
      <c r="D38" s="328">
        <f>COUNTIF('CEC DB for analysis'!$AO$9:$AO$600,$C38&amp;"_"&amp;D$5)</f>
        <v>1</v>
      </c>
      <c r="E38" s="328">
        <f>COUNTIF('CEC DB for analysis'!$AO$9:$AO$600,$C38&amp;"_"&amp;E$5)</f>
        <v>1</v>
      </c>
      <c r="F38" s="328">
        <f>COUNTIF('CEC DB for analysis'!$AO$9:$AO$600,$C38&amp;"_"&amp;F$5)</f>
        <v>3</v>
      </c>
      <c r="G38" s="328">
        <f>COUNTIF('CEC DB for analysis'!$AO$9:$AO$600,$C38&amp;"_"&amp;G$5)</f>
        <v>1</v>
      </c>
      <c r="H38" s="328">
        <f>COUNTIF('CEC DB for analysis'!$AP$9:$AP$600,'CEC analysis'!C38&amp;"_YES")</f>
        <v>5</v>
      </c>
      <c r="I38" s="328">
        <f t="shared" si="4"/>
        <v>6</v>
      </c>
      <c r="J38" s="326"/>
      <c r="K38" s="329">
        <f>IFERROR(AVERAGEIF('CEC DB for analysis'!$AO$9:$AO$600,'CEC analysis'!$C38&amp;"_"&amp;'CEC analysis'!K$5,'CEC DB for analysis'!$AG$9:$AG$600),"")</f>
        <v>1.1740040291724544E-2</v>
      </c>
      <c r="L38" s="329">
        <f>IFERROR(AVERAGEIF('CEC DB for analysis'!$AO$9:$AO$600,'CEC analysis'!$C38&amp;"_"&amp;'CEC analysis'!L$5,'CEC DB for analysis'!$AG$9:$AG$600),"")</f>
        <v>0.13960326337820225</v>
      </c>
      <c r="M38" s="329">
        <f>IFERROR(AVERAGEIF('CEC DB for analysis'!$AO$9:$AO$600,'CEC analysis'!$C38&amp;"_"&amp;'CEC analysis'!M$5,'CEC DB for analysis'!$AG$9:$AG$600),"")</f>
        <v>0.17973121274352999</v>
      </c>
      <c r="N38" s="329">
        <f>IFERROR(AVERAGEIF('CEC DB for analysis'!$AO$9:$AO$600,'CEC analysis'!$C38&amp;"_"&amp;'CEC analysis'!N$5,'CEC DB for analysis'!$AG$9:$AG$600),"")</f>
        <v>0.35780185940909043</v>
      </c>
      <c r="O38" s="329">
        <f>IFERROR(AVERAGEIF('CEC DB for analysis'!$AP$9:$AP$600,'CEC analysis'!$C38&amp;"_YES",'CEC DB for analysis'!$AG$9:$AG$600),"")</f>
        <v>0.20731975220357651</v>
      </c>
      <c r="P38" s="329">
        <f t="shared" si="5"/>
        <v>0.17472313355160118</v>
      </c>
      <c r="Q38" s="306"/>
      <c r="R38" s="330">
        <f>IFERROR(AVERAGEIF('CEC DB for analysis'!$AO$9:$AO$600,'CEC analysis'!$C38&amp;"_"&amp;'CEC analysis'!K$5,'CEC DB for analysis'!$AF$9:$AF$600),"")</f>
        <v>4.8111999999999853</v>
      </c>
      <c r="S38" s="330">
        <f>IFERROR(AVERAGEIF('CEC DB for analysis'!$AO$9:$AO$600,'CEC analysis'!$C38&amp;"_"&amp;'CEC analysis'!L$5,'CEC DB for analysis'!$AF$9:$AF$600),"")</f>
        <v>56.302320000000009</v>
      </c>
      <c r="T38" s="330">
        <f>IFERROR(AVERAGEIF('CEC DB for analysis'!$AO$9:$AO$600,'CEC analysis'!$C38&amp;"_"&amp;'CEC analysis'!M$5,'CEC DB for analysis'!$AF$9:$AF$600),"")</f>
        <v>72.447066666666672</v>
      </c>
      <c r="U38" s="330">
        <f>IFERROR(AVERAGEIF('CEC DB for analysis'!$AO$9:$AO$600,'CEC analysis'!$C38&amp;"_"&amp;'CEC analysis'!N$5,'CEC DB for analysis'!$AF$9:$AF$600),"")</f>
        <v>144.30232000000001</v>
      </c>
      <c r="V38" s="330">
        <f>IFERROR(AVERAGEIF('CEC DB for analysis'!$AP$9:$AP$600,'CEC analysis'!$C38&amp;"_YES",'CEC DB for analysis'!$AF$9:$AF$600),"")</f>
        <v>83.589168000000001</v>
      </c>
      <c r="W38" s="330">
        <f t="shared" si="6"/>
        <v>70.45950666666667</v>
      </c>
      <c r="X38" s="326"/>
      <c r="Y38" s="330">
        <f t="shared" si="11"/>
        <v>-65.648306666666684</v>
      </c>
      <c r="Z38" s="330">
        <f t="shared" si="7"/>
        <v>-14.157186666666661</v>
      </c>
      <c r="AA38" s="330">
        <f t="shared" si="7"/>
        <v>1.987560000000002</v>
      </c>
      <c r="AB38" s="330">
        <f t="shared" si="7"/>
        <v>73.842813333333339</v>
      </c>
      <c r="AC38" s="330">
        <f t="shared" si="7"/>
        <v>13.129661333333331</v>
      </c>
      <c r="AD38" s="330">
        <f t="shared" si="7"/>
        <v>0</v>
      </c>
      <c r="AE38" s="331"/>
      <c r="AF38" s="330"/>
      <c r="AG38" s="330"/>
      <c r="AH38" s="330"/>
      <c r="AI38" s="330"/>
      <c r="AJ38" s="330"/>
      <c r="AK38" s="330"/>
      <c r="AL38" s="314"/>
      <c r="AM38" s="330"/>
      <c r="AN38" s="330"/>
      <c r="AO38" s="330"/>
      <c r="AP38" s="330"/>
      <c r="AQ38" s="330"/>
      <c r="AR38" s="330"/>
      <c r="AT38" s="333">
        <f>IFERROR(AVERAGEIF('CEC DB for analysis'!$AO$9:$AO$600,'CEC analysis'!$C38&amp;"_"&amp;'CEC analysis'!K$5,'CEC DB for analysis'!$AB$9:$AB$600),"")</f>
        <v>5.984</v>
      </c>
      <c r="AU38" s="333">
        <f>IFERROR(AVERAGEIF('CEC DB for analysis'!$AO$9:$AO$600,'CEC analysis'!$C38&amp;"_"&amp;'CEC analysis'!L$5,'CEC DB for analysis'!$AB$9:$AB$600),"")</f>
        <v>5.4323999999999995</v>
      </c>
      <c r="AV38" s="333">
        <f>IFERROR(AVERAGEIF('CEC DB for analysis'!$AO$9:$AO$600,'CEC analysis'!$C38&amp;"_"&amp;'CEC analysis'!M$5,'CEC DB for analysis'!$AB$9:$AB$600),"")</f>
        <v>5.4446666666666665</v>
      </c>
      <c r="AW38" s="333">
        <f>IFERROR(AVERAGEIF('CEC DB for analysis'!$AO$9:$AO$600,'CEC analysis'!$C38&amp;"_"&amp;'CEC analysis'!N$5,'CEC DB for analysis'!$AB$9:$AB$600),"")</f>
        <v>5.4323999999999995</v>
      </c>
      <c r="AX38" s="333">
        <f>IFERROR(AVERAGEIF('CEC DB for analysis'!$AP$9:$AP$600,'CEC analysis'!$C38&amp;"_YES",'CEC DB for analysis'!$AB$9:$AB$600),"")</f>
        <v>5.4397599999999997</v>
      </c>
      <c r="AY38" s="333">
        <f t="shared" si="12"/>
        <v>5.5304666666666664</v>
      </c>
      <c r="BA38" s="330">
        <f>IFERROR(AVERAGEIF('CEC DB for analysis'!$AO$9:$AO$600,'CEC analysis'!$C38&amp;"_"&amp;'CEC analysis'!R$5,'CEC DB for analysis'!$V$9:$V$600),"")</f>
        <v>405</v>
      </c>
      <c r="BB38" s="330">
        <f>IFERROR(AVERAGEIF('CEC DB for analysis'!$AO$9:$AO$600,'CEC analysis'!$C38&amp;"_"&amp;'CEC analysis'!S$5,'CEC DB for analysis'!$V$9:$V$600),"")</f>
        <v>347</v>
      </c>
      <c r="BC38" s="330">
        <f>IFERROR(AVERAGEIF('CEC DB for analysis'!$AO$9:$AO$600,'CEC analysis'!$C38&amp;"_"&amp;'CEC analysis'!T$5,'CEC DB for analysis'!$V$9:$V$600),"")</f>
        <v>331</v>
      </c>
      <c r="BD38" s="330">
        <f>IFERROR(AVERAGEIF('CEC DB for analysis'!$AO$9:$AO$600,'CEC analysis'!$C38&amp;"_"&amp;'CEC analysis'!U$5,'CEC DB for analysis'!$V$9:$V$600),"")</f>
        <v>259</v>
      </c>
      <c r="BE38" s="330">
        <f>IFERROR(AVERAGEIF('CEC DB for analysis'!$AP$9:$AP$600,'CEC analysis'!$C38&amp;"_YES",'CEC DB for analysis'!$V$9:$V$600),"")</f>
        <v>319.8</v>
      </c>
      <c r="BF38" s="330">
        <f t="shared" si="13"/>
        <v>334</v>
      </c>
      <c r="BH38" s="330"/>
      <c r="BI38" s="330"/>
      <c r="BJ38" s="330"/>
      <c r="BK38" s="330"/>
      <c r="BL38" s="330"/>
      <c r="BM38" s="330"/>
    </row>
    <row r="39" spans="1:65">
      <c r="A39" s="555"/>
      <c r="B39" s="326"/>
      <c r="C39" s="327" t="s">
        <v>325</v>
      </c>
      <c r="D39" s="328">
        <f>COUNTIF('CEC DB for analysis'!$AO$9:$AO$600,$C39&amp;"_"&amp;D$5)</f>
        <v>0</v>
      </c>
      <c r="E39" s="328">
        <f>COUNTIF('CEC DB for analysis'!$AO$9:$AO$600,$C39&amp;"_"&amp;E$5)</f>
        <v>0</v>
      </c>
      <c r="F39" s="328">
        <f>COUNTIF('CEC DB for analysis'!$AO$9:$AO$600,$C39&amp;"_"&amp;F$5)</f>
        <v>0</v>
      </c>
      <c r="G39" s="328">
        <f>COUNTIF('CEC DB for analysis'!$AO$9:$AO$600,$C39&amp;"_"&amp;G$5)</f>
        <v>0</v>
      </c>
      <c r="H39" s="328">
        <f>COUNTIF('CEC DB for analysis'!$AP$9:$AP$600,'CEC analysis'!C39&amp;"_YES")</f>
        <v>0</v>
      </c>
      <c r="I39" s="328">
        <f t="shared" si="4"/>
        <v>0</v>
      </c>
      <c r="J39" s="326"/>
      <c r="K39" s="329" t="str">
        <f>IFERROR(AVERAGEIF('CEC DB for analysis'!$AO$9:$AO$600,'CEC analysis'!$C39&amp;"_"&amp;'CEC analysis'!K$5,'CEC DB for analysis'!$AG$9:$AG$600),"")</f>
        <v/>
      </c>
      <c r="L39" s="329" t="str">
        <f>IFERROR(AVERAGEIF('CEC DB for analysis'!$AO$9:$AO$600,'CEC analysis'!$C39&amp;"_"&amp;'CEC analysis'!L$5,'CEC DB for analysis'!$AG$9:$AG$600),"")</f>
        <v/>
      </c>
      <c r="M39" s="329" t="str">
        <f>IFERROR(AVERAGEIF('CEC DB for analysis'!$AO$9:$AO$600,'CEC analysis'!$C39&amp;"_"&amp;'CEC analysis'!M$5,'CEC DB for analysis'!$AG$9:$AG$600),"")</f>
        <v/>
      </c>
      <c r="N39" s="329" t="str">
        <f>IFERROR(AVERAGEIF('CEC DB for analysis'!$AO$9:$AO$600,'CEC analysis'!$C39&amp;"_"&amp;'CEC analysis'!N$5,'CEC DB for analysis'!$AG$9:$AG$600),"")</f>
        <v/>
      </c>
      <c r="O39" s="329" t="str">
        <f>IFERROR(AVERAGEIF('CEC DB for analysis'!$AP$9:$AP$600,'CEC analysis'!$C39&amp;"_YES",'CEC DB for analysis'!$AG$9:$AG$600),"")</f>
        <v/>
      </c>
      <c r="P39" s="329" t="str">
        <f t="shared" si="5"/>
        <v/>
      </c>
      <c r="Q39" s="306"/>
      <c r="R39" s="330" t="str">
        <f>IFERROR(AVERAGEIF('CEC DB for analysis'!$AO$9:$AO$600,'CEC analysis'!$C39&amp;"_"&amp;'CEC analysis'!K$5,'CEC DB for analysis'!$AF$9:$AF$600),"")</f>
        <v/>
      </c>
      <c r="S39" s="330" t="str">
        <f>IFERROR(AVERAGEIF('CEC DB for analysis'!$AO$9:$AO$600,'CEC analysis'!$C39&amp;"_"&amp;'CEC analysis'!L$5,'CEC DB for analysis'!$AF$9:$AF$600),"")</f>
        <v/>
      </c>
      <c r="T39" s="330" t="str">
        <f>IFERROR(AVERAGEIF('CEC DB for analysis'!$AO$9:$AO$600,'CEC analysis'!$C39&amp;"_"&amp;'CEC analysis'!M$5,'CEC DB for analysis'!$AF$9:$AF$600),"")</f>
        <v/>
      </c>
      <c r="U39" s="330" t="str">
        <f>IFERROR(AVERAGEIF('CEC DB for analysis'!$AO$9:$AO$600,'CEC analysis'!$C39&amp;"_"&amp;'CEC analysis'!N$5,'CEC DB for analysis'!$AF$9:$AF$600),"")</f>
        <v/>
      </c>
      <c r="V39" s="330" t="str">
        <f>IFERROR(AVERAGEIF('CEC DB for analysis'!$AP$9:$AP$600,'CEC analysis'!$C39&amp;"_YES",'CEC DB for analysis'!$AF$9:$AF$600),"")</f>
        <v/>
      </c>
      <c r="W39" s="330" t="str">
        <f t="shared" si="6"/>
        <v/>
      </c>
      <c r="X39" s="326"/>
      <c r="Y39" s="330" t="str">
        <f t="shared" si="11"/>
        <v/>
      </c>
      <c r="Z39" s="330" t="str">
        <f t="shared" si="7"/>
        <v/>
      </c>
      <c r="AA39" s="330" t="str">
        <f t="shared" si="7"/>
        <v/>
      </c>
      <c r="AB39" s="330" t="str">
        <f t="shared" si="7"/>
        <v/>
      </c>
      <c r="AC39" s="330" t="str">
        <f t="shared" si="7"/>
        <v/>
      </c>
      <c r="AD39" s="330" t="str">
        <f t="shared" si="7"/>
        <v/>
      </c>
      <c r="AE39" s="331"/>
      <c r="AF39" s="330"/>
      <c r="AG39" s="330"/>
      <c r="AH39" s="330"/>
      <c r="AI39" s="330"/>
      <c r="AJ39" s="330"/>
      <c r="AK39" s="330"/>
      <c r="AL39" s="314"/>
      <c r="AM39" s="330"/>
      <c r="AN39" s="330"/>
      <c r="AO39" s="330"/>
      <c r="AP39" s="330"/>
      <c r="AQ39" s="330"/>
      <c r="AR39" s="330"/>
      <c r="AT39" s="333" t="str">
        <f>IFERROR(AVERAGEIF('CEC DB for analysis'!$AO$9:$AO$600,'CEC analysis'!$C39&amp;"_"&amp;'CEC analysis'!K$5,'CEC DB for analysis'!$AB$9:$AB$600),"")</f>
        <v/>
      </c>
      <c r="AU39" s="333" t="str">
        <f>IFERROR(AVERAGEIF('CEC DB for analysis'!$AO$9:$AO$600,'CEC analysis'!$C39&amp;"_"&amp;'CEC analysis'!L$5,'CEC DB for analysis'!$AB$9:$AB$600),"")</f>
        <v/>
      </c>
      <c r="AV39" s="333" t="str">
        <f>IFERROR(AVERAGEIF('CEC DB for analysis'!$AO$9:$AO$600,'CEC analysis'!$C39&amp;"_"&amp;'CEC analysis'!M$5,'CEC DB for analysis'!$AB$9:$AB$600),"")</f>
        <v/>
      </c>
      <c r="AW39" s="333" t="str">
        <f>IFERROR(AVERAGEIF('CEC DB for analysis'!$AO$9:$AO$600,'CEC analysis'!$C39&amp;"_"&amp;'CEC analysis'!N$5,'CEC DB for analysis'!$AB$9:$AB$600),"")</f>
        <v/>
      </c>
      <c r="AX39" s="333" t="str">
        <f>IFERROR(AVERAGEIF('CEC DB for analysis'!$AP$9:$AP$600,'CEC analysis'!$C39&amp;"_YES",'CEC DB for analysis'!$AB$9:$AB$600),"")</f>
        <v/>
      </c>
      <c r="AY39" s="333" t="str">
        <f t="shared" si="12"/>
        <v/>
      </c>
      <c r="BA39" s="330" t="str">
        <f>IFERROR(AVERAGEIF('CEC DB for analysis'!$AO$9:$AO$600,'CEC analysis'!$C39&amp;"_"&amp;'CEC analysis'!R$5,'CEC DB for analysis'!$V$9:$V$600),"")</f>
        <v/>
      </c>
      <c r="BB39" s="330" t="str">
        <f>IFERROR(AVERAGEIF('CEC DB for analysis'!$AO$9:$AO$600,'CEC analysis'!$C39&amp;"_"&amp;'CEC analysis'!S$5,'CEC DB for analysis'!$V$9:$V$600),"")</f>
        <v/>
      </c>
      <c r="BC39" s="330" t="str">
        <f>IFERROR(AVERAGEIF('CEC DB for analysis'!$AO$9:$AO$600,'CEC analysis'!$C39&amp;"_"&amp;'CEC analysis'!T$5,'CEC DB for analysis'!$V$9:$V$600),"")</f>
        <v/>
      </c>
      <c r="BD39" s="330" t="str">
        <f>IFERROR(AVERAGEIF('CEC DB for analysis'!$AO$9:$AO$600,'CEC analysis'!$C39&amp;"_"&amp;'CEC analysis'!U$5,'CEC DB for analysis'!$V$9:$V$600),"")</f>
        <v/>
      </c>
      <c r="BE39" s="330" t="str">
        <f>IFERROR(AVERAGEIF('CEC DB for analysis'!$AP$9:$AP$600,'CEC analysis'!$C39&amp;"_YES",'CEC DB for analysis'!$V$9:$V$600),"")</f>
        <v/>
      </c>
      <c r="BF39" s="330" t="str">
        <f t="shared" si="13"/>
        <v/>
      </c>
      <c r="BH39" s="330"/>
      <c r="BI39" s="330"/>
      <c r="BJ39" s="330"/>
      <c r="BK39" s="330"/>
      <c r="BL39" s="330"/>
      <c r="BM39" s="330"/>
    </row>
    <row r="40" spans="1:65">
      <c r="A40" s="555"/>
      <c r="B40" s="326"/>
      <c r="C40" s="327" t="s">
        <v>329</v>
      </c>
      <c r="D40" s="328">
        <f>COUNTIF('CEC DB for analysis'!$AO$9:$AO$600,$C40&amp;"_"&amp;D$5)</f>
        <v>21</v>
      </c>
      <c r="E40" s="328">
        <f>COUNTIF('CEC DB for analysis'!$AO$9:$AO$600,$C40&amp;"_"&amp;E$5)</f>
        <v>15</v>
      </c>
      <c r="F40" s="328">
        <f>COUNTIF('CEC DB for analysis'!$AO$9:$AO$600,$C40&amp;"_"&amp;F$5)</f>
        <v>5</v>
      </c>
      <c r="G40" s="328">
        <f>COUNTIF('CEC DB for analysis'!$AO$9:$AO$600,$C40&amp;"_"&amp;G$5)</f>
        <v>8</v>
      </c>
      <c r="H40" s="328">
        <f>COUNTIF('CEC DB for analysis'!$AP$9:$AP$600,'CEC analysis'!C40&amp;"_YES")</f>
        <v>28</v>
      </c>
      <c r="I40" s="328">
        <f t="shared" si="4"/>
        <v>49</v>
      </c>
      <c r="J40" s="326"/>
      <c r="K40" s="329">
        <f>IFERROR(AVERAGEIF('CEC DB for analysis'!$AO$9:$AO$600,'CEC analysis'!$C40&amp;"_"&amp;'CEC analysis'!K$5,'CEC DB for analysis'!$AG$9:$AG$600),"")</f>
        <v>1.0923282721123142E-2</v>
      </c>
      <c r="L40" s="329">
        <f>IFERROR(AVERAGEIF('CEC DB for analysis'!$AO$9:$AO$600,'CEC analysis'!$C40&amp;"_"&amp;'CEC analysis'!L$5,'CEC DB for analysis'!$AG$9:$AG$600),"")</f>
        <v>0.10587164237246578</v>
      </c>
      <c r="M40" s="329">
        <f>IFERROR(AVERAGEIF('CEC DB for analysis'!$AO$9:$AO$600,'CEC analysis'!$C40&amp;"_"&amp;'CEC analysis'!M$5,'CEC DB for analysis'!$AG$9:$AG$600),"")</f>
        <v>0.1831887418394475</v>
      </c>
      <c r="N40" s="329">
        <f>IFERROR(AVERAGEIF('CEC DB for analysis'!$AO$9:$AO$600,'CEC analysis'!$C40&amp;"_"&amp;'CEC analysis'!N$5,'CEC DB for analysis'!$AG$9:$AG$600),"")</f>
        <v>0.21690758665897616</v>
      </c>
      <c r="O40" s="329">
        <f>IFERROR(AVERAGEIF('CEC DB for analysis'!$AP$9:$AP$600,'CEC analysis'!$C40&amp;"_YES",'CEC DB for analysis'!$AG$9:$AG$600),"")</f>
        <v>0.1514028227877155</v>
      </c>
      <c r="P40" s="329">
        <f t="shared" si="5"/>
        <v>9.1197305616318766E-2</v>
      </c>
      <c r="Q40" s="306"/>
      <c r="R40" s="330">
        <f>IFERROR(AVERAGEIF('CEC DB for analysis'!$AO$9:$AO$600,'CEC analysis'!$C40&amp;"_"&amp;'CEC analysis'!K$5,'CEC DB for analysis'!$AF$9:$AF$600),"")</f>
        <v>3.3133809523809612</v>
      </c>
      <c r="S40" s="330">
        <f>IFERROR(AVERAGEIF('CEC DB for analysis'!$AO$9:$AO$600,'CEC analysis'!$C40&amp;"_"&amp;'CEC analysis'!L$5,'CEC DB for analysis'!$AF$9:$AF$600),"")</f>
        <v>30.865118400000014</v>
      </c>
      <c r="T40" s="330">
        <f>IFERROR(AVERAGEIF('CEC DB for analysis'!$AO$9:$AO$600,'CEC analysis'!$C40&amp;"_"&amp;'CEC analysis'!M$5,'CEC DB for analysis'!$AF$9:$AF$600),"")</f>
        <v>52.389920000000004</v>
      </c>
      <c r="U40" s="330">
        <f>IFERROR(AVERAGEIF('CEC DB for analysis'!$AO$9:$AO$600,'CEC analysis'!$C40&amp;"_"&amp;'CEC analysis'!N$5,'CEC DB for analysis'!$AF$9:$AF$600),"")</f>
        <v>63.393325000000019</v>
      </c>
      <c r="V40" s="330">
        <f>IFERROR(AVERAGEIF('CEC DB for analysis'!$AP$9:$AP$600,'CEC analysis'!$C40&amp;"_YES",'CEC DB for analysis'!$AF$9:$AF$600),"")</f>
        <v>44.002606285714293</v>
      </c>
      <c r="W40" s="330">
        <f t="shared" si="6"/>
        <v>26.564366857142868</v>
      </c>
      <c r="X40" s="326"/>
      <c r="Y40" s="330">
        <f t="shared" si="11"/>
        <v>-23.250985904761908</v>
      </c>
      <c r="Z40" s="330">
        <f t="shared" si="7"/>
        <v>4.3007515428571459</v>
      </c>
      <c r="AA40" s="330">
        <f t="shared" si="7"/>
        <v>25.825553142857135</v>
      </c>
      <c r="AB40" s="330">
        <f t="shared" si="7"/>
        <v>36.828958142857147</v>
      </c>
      <c r="AC40" s="330">
        <f t="shared" si="7"/>
        <v>17.438239428571425</v>
      </c>
      <c r="AD40" s="330">
        <f t="shared" si="7"/>
        <v>0</v>
      </c>
      <c r="AE40" s="331"/>
      <c r="AF40" s="330"/>
      <c r="AG40" s="330"/>
      <c r="AH40" s="330"/>
      <c r="AI40" s="330"/>
      <c r="AJ40" s="330"/>
      <c r="AK40" s="330"/>
      <c r="AL40" s="314"/>
      <c r="AM40" s="330"/>
      <c r="AN40" s="330"/>
      <c r="AO40" s="330"/>
      <c r="AP40" s="330"/>
      <c r="AQ40" s="330"/>
      <c r="AR40" s="330"/>
      <c r="AT40" s="333">
        <f>IFERROR(AVERAGEIF('CEC DB for analysis'!$AO$9:$AO$600,'CEC analysis'!$C40&amp;"_"&amp;'CEC analysis'!K$5,'CEC DB for analysis'!$AB$9:$AB$600),"")</f>
        <v>5.2047619047619049</v>
      </c>
      <c r="AU40" s="333">
        <f>IFERROR(AVERAGEIF('CEC DB for analysis'!$AO$9:$AO$600,'CEC analysis'!$C40&amp;"_"&amp;'CEC analysis'!L$5,'CEC DB for analysis'!$AB$9:$AB$600),"")</f>
        <v>3.5221866666666672</v>
      </c>
      <c r="AV40" s="333">
        <f>IFERROR(AVERAGEIF('CEC DB for analysis'!$AO$9:$AO$600,'CEC analysis'!$C40&amp;"_"&amp;'CEC analysis'!M$5,'CEC DB for analysis'!$AB$9:$AB$600),"")</f>
        <v>2.976</v>
      </c>
      <c r="AW40" s="333">
        <f>IFERROR(AVERAGEIF('CEC DB for analysis'!$AO$9:$AO$600,'CEC analysis'!$C40&amp;"_"&amp;'CEC analysis'!N$5,'CEC DB for analysis'!$AB$9:$AB$600),"")</f>
        <v>3.6225000000000001</v>
      </c>
      <c r="AX40" s="333">
        <f>IFERROR(AVERAGEIF('CEC DB for analysis'!$AP$9:$AP$600,'CEC analysis'!$C40&amp;"_YES",'CEC DB for analysis'!$AB$9:$AB$600),"")</f>
        <v>3.4533142857142853</v>
      </c>
      <c r="AY40" s="333">
        <f t="shared" si="12"/>
        <v>4.2039346938775504</v>
      </c>
      <c r="BA40" s="330">
        <f>IFERROR(AVERAGEIF('CEC DB for analysis'!$AO$9:$AO$600,'CEC analysis'!$C40&amp;"_"&amp;'CEC analysis'!R$5,'CEC DB for analysis'!$V$9:$V$600),"")</f>
        <v>303.71428571428572</v>
      </c>
      <c r="BB40" s="330">
        <f>IFERROR(AVERAGEIF('CEC DB for analysis'!$AO$9:$AO$600,'CEC analysis'!$C40&amp;"_"&amp;'CEC analysis'!S$5,'CEC DB for analysis'!$V$9:$V$600),"")</f>
        <v>260.73333333333335</v>
      </c>
      <c r="BC40" s="330">
        <f>IFERROR(AVERAGEIF('CEC DB for analysis'!$AO$9:$AO$600,'CEC analysis'!$C40&amp;"_"&amp;'CEC analysis'!T$5,'CEC DB for analysis'!$V$9:$V$600),"")</f>
        <v>234.2</v>
      </c>
      <c r="BD40" s="330">
        <f>IFERROR(AVERAGEIF('CEC DB for analysis'!$AO$9:$AO$600,'CEC analysis'!$C40&amp;"_"&amp;'CEC analysis'!U$5,'CEC DB for analysis'!$V$9:$V$600),"")</f>
        <v>229.125</v>
      </c>
      <c r="BE40" s="330">
        <f>IFERROR(AVERAGEIF('CEC DB for analysis'!$AP$9:$AP$600,'CEC analysis'!$C40&amp;"_YES",'CEC DB for analysis'!$V$9:$V$600),"")</f>
        <v>246.96428571428572</v>
      </c>
      <c r="BF40" s="330">
        <f t="shared" si="13"/>
        <v>271.28571428571428</v>
      </c>
      <c r="BH40" s="330"/>
      <c r="BI40" s="330"/>
      <c r="BJ40" s="330"/>
      <c r="BK40" s="330"/>
      <c r="BL40" s="330"/>
      <c r="BM40" s="330"/>
    </row>
    <row r="41" spans="1:65">
      <c r="A41" s="555"/>
      <c r="B41" s="326"/>
      <c r="C41" s="327" t="s">
        <v>4574</v>
      </c>
      <c r="D41" s="328">
        <f>COUNTIF('CEC DB for analysis'!$AO$9:$AO$600,$C41&amp;"_"&amp;D$5)</f>
        <v>0</v>
      </c>
      <c r="E41" s="328">
        <f>COUNTIF('CEC DB for analysis'!$AO$9:$AO$600,$C41&amp;"_"&amp;E$5)</f>
        <v>0</v>
      </c>
      <c r="F41" s="328">
        <f>COUNTIF('CEC DB for analysis'!$AO$9:$AO$600,$C41&amp;"_"&amp;F$5)</f>
        <v>0</v>
      </c>
      <c r="G41" s="328">
        <f>COUNTIF('CEC DB for analysis'!$AO$9:$AO$600,$C41&amp;"_"&amp;G$5)</f>
        <v>0</v>
      </c>
      <c r="H41" s="328">
        <f>COUNTIF('CEC DB for analysis'!$AP$9:$AP$600,'CEC analysis'!C41&amp;"_YES")</f>
        <v>0</v>
      </c>
      <c r="I41" s="328">
        <f t="shared" si="4"/>
        <v>0</v>
      </c>
      <c r="J41" s="326"/>
      <c r="K41" s="329" t="str">
        <f>IFERROR(AVERAGEIF('CEC DB for analysis'!$AO$9:$AO$600,'CEC analysis'!$C41&amp;"_"&amp;'CEC analysis'!K$5,'CEC DB for analysis'!$AG$9:$AG$600),"")</f>
        <v/>
      </c>
      <c r="L41" s="329" t="str">
        <f>IFERROR(AVERAGEIF('CEC DB for analysis'!$AO$9:$AO$600,'CEC analysis'!$C41&amp;"_"&amp;'CEC analysis'!L$5,'CEC DB for analysis'!$AG$9:$AG$600),"")</f>
        <v/>
      </c>
      <c r="M41" s="329" t="str">
        <f>IFERROR(AVERAGEIF('CEC DB for analysis'!$AO$9:$AO$600,'CEC analysis'!$C41&amp;"_"&amp;'CEC analysis'!M$5,'CEC DB for analysis'!$AG$9:$AG$600),"")</f>
        <v/>
      </c>
      <c r="N41" s="329" t="str">
        <f>IFERROR(AVERAGEIF('CEC DB for analysis'!$AO$9:$AO$600,'CEC analysis'!$C41&amp;"_"&amp;'CEC analysis'!N$5,'CEC DB for analysis'!$AG$9:$AG$600),"")</f>
        <v/>
      </c>
      <c r="O41" s="329" t="str">
        <f>IFERROR(AVERAGEIF('CEC DB for analysis'!$AP$9:$AP$600,'CEC analysis'!$C41&amp;"_YES",'CEC DB for analysis'!$AG$9:$AG$600),"")</f>
        <v/>
      </c>
      <c r="P41" s="329" t="str">
        <f t="shared" si="5"/>
        <v/>
      </c>
      <c r="Q41" s="306"/>
      <c r="R41" s="330" t="str">
        <f>IFERROR(AVERAGEIF('CEC DB for analysis'!$AO$9:$AO$600,'CEC analysis'!$C41&amp;"_"&amp;'CEC analysis'!K$5,'CEC DB for analysis'!$AF$9:$AF$600),"")</f>
        <v/>
      </c>
      <c r="S41" s="330" t="str">
        <f>IFERROR(AVERAGEIF('CEC DB for analysis'!$AO$9:$AO$600,'CEC analysis'!$C41&amp;"_"&amp;'CEC analysis'!L$5,'CEC DB for analysis'!$AF$9:$AF$600),"")</f>
        <v/>
      </c>
      <c r="T41" s="330" t="str">
        <f>IFERROR(AVERAGEIF('CEC DB for analysis'!$AO$9:$AO$600,'CEC analysis'!$C41&amp;"_"&amp;'CEC analysis'!M$5,'CEC DB for analysis'!$AF$9:$AF$600),"")</f>
        <v/>
      </c>
      <c r="U41" s="330" t="str">
        <f>IFERROR(AVERAGEIF('CEC DB for analysis'!$AO$9:$AO$600,'CEC analysis'!$C41&amp;"_"&amp;'CEC analysis'!N$5,'CEC DB for analysis'!$AF$9:$AF$600),"")</f>
        <v/>
      </c>
      <c r="V41" s="330" t="str">
        <f>IFERROR(AVERAGEIF('CEC DB for analysis'!$AP$9:$AP$600,'CEC analysis'!$C41&amp;"_YES",'CEC DB for analysis'!$AF$9:$AF$600),"")</f>
        <v/>
      </c>
      <c r="W41" s="330" t="str">
        <f t="shared" si="6"/>
        <v/>
      </c>
      <c r="X41" s="326"/>
      <c r="Y41" s="330" t="str">
        <f t="shared" si="11"/>
        <v/>
      </c>
      <c r="Z41" s="330" t="str">
        <f t="shared" si="7"/>
        <v/>
      </c>
      <c r="AA41" s="330" t="str">
        <f t="shared" si="7"/>
        <v/>
      </c>
      <c r="AB41" s="330" t="str">
        <f t="shared" si="7"/>
        <v/>
      </c>
      <c r="AC41" s="330" t="str">
        <f t="shared" si="7"/>
        <v/>
      </c>
      <c r="AD41" s="330" t="str">
        <f t="shared" si="7"/>
        <v/>
      </c>
      <c r="AE41" s="331"/>
      <c r="AF41" s="330"/>
      <c r="AG41" s="330"/>
      <c r="AH41" s="330"/>
      <c r="AI41" s="330"/>
      <c r="AJ41" s="330"/>
      <c r="AK41" s="330"/>
      <c r="AL41" s="314"/>
      <c r="AM41" s="330"/>
      <c r="AN41" s="330"/>
      <c r="AO41" s="330"/>
      <c r="AP41" s="330"/>
      <c r="AQ41" s="330"/>
      <c r="AR41" s="330"/>
      <c r="AT41" s="333" t="str">
        <f>IFERROR(AVERAGEIF('CEC DB for analysis'!$AO$9:$AO$600,'CEC analysis'!$C41&amp;"_"&amp;'CEC analysis'!K$5,'CEC DB for analysis'!$AB$9:$AB$600),"")</f>
        <v/>
      </c>
      <c r="AU41" s="333" t="str">
        <f>IFERROR(AVERAGEIF('CEC DB for analysis'!$AO$9:$AO$600,'CEC analysis'!$C41&amp;"_"&amp;'CEC analysis'!L$5,'CEC DB for analysis'!$AB$9:$AB$600),"")</f>
        <v/>
      </c>
      <c r="AV41" s="333" t="str">
        <f>IFERROR(AVERAGEIF('CEC DB for analysis'!$AO$9:$AO$600,'CEC analysis'!$C41&amp;"_"&amp;'CEC analysis'!M$5,'CEC DB for analysis'!$AB$9:$AB$600),"")</f>
        <v/>
      </c>
      <c r="AW41" s="333" t="str">
        <f>IFERROR(AVERAGEIF('CEC DB for analysis'!$AO$9:$AO$600,'CEC analysis'!$C41&amp;"_"&amp;'CEC analysis'!N$5,'CEC DB for analysis'!$AB$9:$AB$600),"")</f>
        <v/>
      </c>
      <c r="AX41" s="333" t="str">
        <f>IFERROR(AVERAGEIF('CEC DB for analysis'!$AP$9:$AP$600,'CEC analysis'!$C41&amp;"_YES",'CEC DB for analysis'!$AB$9:$AB$600),"")</f>
        <v/>
      </c>
      <c r="AY41" s="333" t="str">
        <f t="shared" si="12"/>
        <v/>
      </c>
      <c r="BA41" s="330" t="str">
        <f>IFERROR(AVERAGEIF('CEC DB for analysis'!$AO$9:$AO$600,'CEC analysis'!$C41&amp;"_"&amp;'CEC analysis'!R$5,'CEC DB for analysis'!$V$9:$V$600),"")</f>
        <v/>
      </c>
      <c r="BB41" s="330" t="str">
        <f>IFERROR(AVERAGEIF('CEC DB for analysis'!$AO$9:$AO$600,'CEC analysis'!$C41&amp;"_"&amp;'CEC analysis'!S$5,'CEC DB for analysis'!$V$9:$V$600),"")</f>
        <v/>
      </c>
      <c r="BC41" s="330" t="str">
        <f>IFERROR(AVERAGEIF('CEC DB for analysis'!$AO$9:$AO$600,'CEC analysis'!$C41&amp;"_"&amp;'CEC analysis'!T$5,'CEC DB for analysis'!$V$9:$V$600),"")</f>
        <v/>
      </c>
      <c r="BD41" s="330" t="str">
        <f>IFERROR(AVERAGEIF('CEC DB for analysis'!$AO$9:$AO$600,'CEC analysis'!$C41&amp;"_"&amp;'CEC analysis'!U$5,'CEC DB for analysis'!$V$9:$V$600),"")</f>
        <v/>
      </c>
      <c r="BE41" s="330" t="str">
        <f>IFERROR(AVERAGEIF('CEC DB for analysis'!$AP$9:$AP$600,'CEC analysis'!$C41&amp;"_YES",'CEC DB for analysis'!$V$9:$V$600),"")</f>
        <v/>
      </c>
      <c r="BF41" s="330" t="str">
        <f t="shared" si="13"/>
        <v/>
      </c>
      <c r="BH41" s="330"/>
      <c r="BI41" s="330"/>
      <c r="BJ41" s="330"/>
      <c r="BK41" s="330"/>
      <c r="BL41" s="330"/>
      <c r="BM41" s="330"/>
    </row>
    <row r="42" spans="1:65">
      <c r="A42" s="555"/>
      <c r="B42" s="326"/>
      <c r="C42" s="327" t="s">
        <v>336</v>
      </c>
      <c r="D42" s="328">
        <f>COUNTIF('CEC DB for analysis'!$AO$9:$AO$600,$C42&amp;"_"&amp;D$5)</f>
        <v>1</v>
      </c>
      <c r="E42" s="328">
        <f>COUNTIF('CEC DB for analysis'!$AO$9:$AO$600,$C42&amp;"_"&amp;E$5)</f>
        <v>0</v>
      </c>
      <c r="F42" s="328">
        <f>COUNTIF('CEC DB for analysis'!$AO$9:$AO$600,$C42&amp;"_"&amp;F$5)</f>
        <v>0</v>
      </c>
      <c r="G42" s="328">
        <f>COUNTIF('CEC DB for analysis'!$AO$9:$AO$600,$C42&amp;"_"&amp;G$5)</f>
        <v>0</v>
      </c>
      <c r="H42" s="328">
        <f>COUNTIF('CEC DB for analysis'!$AP$9:$AP$600,'CEC analysis'!C42&amp;"_YES")</f>
        <v>0</v>
      </c>
      <c r="I42" s="328">
        <f t="shared" si="4"/>
        <v>1</v>
      </c>
      <c r="J42" s="326"/>
      <c r="K42" s="329">
        <f>IFERROR(AVERAGEIF('CEC DB for analysis'!$AO$9:$AO$600,'CEC analysis'!$C42&amp;"_"&amp;'CEC analysis'!K$5,'CEC DB for analysis'!$AG$9:$AG$600),"")</f>
        <v>1.0947445687037481E-3</v>
      </c>
      <c r="L42" s="329" t="str">
        <f>IFERROR(AVERAGEIF('CEC DB for analysis'!$AO$9:$AO$600,'CEC analysis'!$C42&amp;"_"&amp;'CEC analysis'!L$5,'CEC DB for analysis'!$AG$9:$AG$600),"")</f>
        <v/>
      </c>
      <c r="M42" s="329" t="str">
        <f>IFERROR(AVERAGEIF('CEC DB for analysis'!$AO$9:$AO$600,'CEC analysis'!$C42&amp;"_"&amp;'CEC analysis'!M$5,'CEC DB for analysis'!$AG$9:$AG$600),"")</f>
        <v/>
      </c>
      <c r="N42" s="329" t="str">
        <f>IFERROR(AVERAGEIF('CEC DB for analysis'!$AO$9:$AO$600,'CEC analysis'!$C42&amp;"_"&amp;'CEC analysis'!N$5,'CEC DB for analysis'!$AG$9:$AG$600),"")</f>
        <v/>
      </c>
      <c r="O42" s="329" t="str">
        <f>IFERROR(AVERAGEIF('CEC DB for analysis'!$AP$9:$AP$600,'CEC analysis'!$C42&amp;"_YES",'CEC DB for analysis'!$AG$9:$AG$600),"")</f>
        <v/>
      </c>
      <c r="P42" s="329">
        <f t="shared" si="5"/>
        <v>1.0947445687037481E-3</v>
      </c>
      <c r="Q42" s="306"/>
      <c r="R42" s="330">
        <f>IFERROR(AVERAGEIF('CEC DB for analysis'!$AO$9:$AO$600,'CEC analysis'!$C42&amp;"_"&amp;'CEC analysis'!K$5,'CEC DB for analysis'!$AF$9:$AF$600),"")</f>
        <v>0.63016800000002604</v>
      </c>
      <c r="S42" s="330" t="str">
        <f>IFERROR(AVERAGEIF('CEC DB for analysis'!$AO$9:$AO$600,'CEC analysis'!$C42&amp;"_"&amp;'CEC analysis'!L$5,'CEC DB for analysis'!$AF$9:$AF$600),"")</f>
        <v/>
      </c>
      <c r="T42" s="330" t="str">
        <f>IFERROR(AVERAGEIF('CEC DB for analysis'!$AO$9:$AO$600,'CEC analysis'!$C42&amp;"_"&amp;'CEC analysis'!M$5,'CEC DB for analysis'!$AF$9:$AF$600),"")</f>
        <v/>
      </c>
      <c r="U42" s="330" t="str">
        <f>IFERROR(AVERAGEIF('CEC DB for analysis'!$AO$9:$AO$600,'CEC analysis'!$C42&amp;"_"&amp;'CEC analysis'!N$5,'CEC DB for analysis'!$AF$9:$AF$600),"")</f>
        <v/>
      </c>
      <c r="V42" s="330" t="str">
        <f>IFERROR(AVERAGEIF('CEC DB for analysis'!$AP$9:$AP$600,'CEC analysis'!$C42&amp;"_YES",'CEC DB for analysis'!$AF$9:$AF$600),"")</f>
        <v/>
      </c>
      <c r="W42" s="330">
        <f t="shared" si="6"/>
        <v>0.63016800000002604</v>
      </c>
      <c r="X42" s="326"/>
      <c r="Y42" s="330">
        <f t="shared" si="11"/>
        <v>0</v>
      </c>
      <c r="Z42" s="330" t="str">
        <f t="shared" si="7"/>
        <v/>
      </c>
      <c r="AA42" s="330" t="str">
        <f t="shared" si="7"/>
        <v/>
      </c>
      <c r="AB42" s="330" t="str">
        <f t="shared" si="7"/>
        <v/>
      </c>
      <c r="AC42" s="330" t="str">
        <f t="shared" si="7"/>
        <v/>
      </c>
      <c r="AD42" s="330">
        <f t="shared" si="7"/>
        <v>0</v>
      </c>
      <c r="AE42" s="331"/>
      <c r="AF42" s="330"/>
      <c r="AG42" s="330"/>
      <c r="AH42" s="330"/>
      <c r="AI42" s="330"/>
      <c r="AJ42" s="330"/>
      <c r="AK42" s="330"/>
      <c r="AL42" s="314"/>
      <c r="AM42" s="330"/>
      <c r="AN42" s="330"/>
      <c r="AO42" s="330"/>
      <c r="AP42" s="330"/>
      <c r="AQ42" s="330"/>
      <c r="AR42" s="330"/>
      <c r="AT42" s="333">
        <f>IFERROR(AVERAGEIF('CEC DB for analysis'!$AO$9:$AO$600,'CEC analysis'!$C42&amp;"_"&amp;'CEC analysis'!K$5,'CEC DB for analysis'!$AB$9:$AB$600),"")</f>
        <v>5.0923999999999996</v>
      </c>
      <c r="AU42" s="333" t="str">
        <f>IFERROR(AVERAGEIF('CEC DB for analysis'!$AO$9:$AO$600,'CEC analysis'!$C42&amp;"_"&amp;'CEC analysis'!L$5,'CEC DB for analysis'!$AB$9:$AB$600),"")</f>
        <v/>
      </c>
      <c r="AV42" s="333" t="str">
        <f>IFERROR(AVERAGEIF('CEC DB for analysis'!$AO$9:$AO$600,'CEC analysis'!$C42&amp;"_"&amp;'CEC analysis'!M$5,'CEC DB for analysis'!$AB$9:$AB$600),"")</f>
        <v/>
      </c>
      <c r="AW42" s="333" t="str">
        <f>IFERROR(AVERAGEIF('CEC DB for analysis'!$AO$9:$AO$600,'CEC analysis'!$C42&amp;"_"&amp;'CEC analysis'!N$5,'CEC DB for analysis'!$AB$9:$AB$600),"")</f>
        <v/>
      </c>
      <c r="AX42" s="333" t="str">
        <f>IFERROR(AVERAGEIF('CEC DB for analysis'!$AP$9:$AP$600,'CEC analysis'!$C42&amp;"_YES",'CEC DB for analysis'!$AB$9:$AB$600),"")</f>
        <v/>
      </c>
      <c r="AY42" s="333">
        <f t="shared" si="12"/>
        <v>5.0923999999999996</v>
      </c>
      <c r="BA42" s="330">
        <f>IFERROR(AVERAGEIF('CEC DB for analysis'!$AO$9:$AO$600,'CEC analysis'!$C42&amp;"_"&amp;'CEC analysis'!R$5,'CEC DB for analysis'!$V$9:$V$600),"")</f>
        <v>575</v>
      </c>
      <c r="BB42" s="330" t="str">
        <f>IFERROR(AVERAGEIF('CEC DB for analysis'!$AO$9:$AO$600,'CEC analysis'!$C42&amp;"_"&amp;'CEC analysis'!S$5,'CEC DB for analysis'!$V$9:$V$600),"")</f>
        <v/>
      </c>
      <c r="BC42" s="330" t="str">
        <f>IFERROR(AVERAGEIF('CEC DB for analysis'!$AO$9:$AO$600,'CEC analysis'!$C42&amp;"_"&amp;'CEC analysis'!T$5,'CEC DB for analysis'!$V$9:$V$600),"")</f>
        <v/>
      </c>
      <c r="BD42" s="330" t="str">
        <f>IFERROR(AVERAGEIF('CEC DB for analysis'!$AO$9:$AO$600,'CEC analysis'!$C42&amp;"_"&amp;'CEC analysis'!U$5,'CEC DB for analysis'!$V$9:$V$600),"")</f>
        <v/>
      </c>
      <c r="BE42" s="330" t="str">
        <f>IFERROR(AVERAGEIF('CEC DB for analysis'!$AP$9:$AP$600,'CEC analysis'!$C42&amp;"_YES",'CEC DB for analysis'!$V$9:$V$600),"")</f>
        <v/>
      </c>
      <c r="BF42" s="330">
        <f t="shared" si="13"/>
        <v>575</v>
      </c>
      <c r="BH42" s="330"/>
      <c r="BI42" s="330"/>
      <c r="BJ42" s="330"/>
      <c r="BK42" s="330"/>
      <c r="BL42" s="330"/>
      <c r="BM42" s="330"/>
    </row>
    <row r="43" spans="1:65">
      <c r="A43" s="555"/>
      <c r="B43" s="326"/>
      <c r="C43" s="327" t="s">
        <v>4575</v>
      </c>
      <c r="D43" s="328">
        <f>COUNTIF('CEC DB for analysis'!$AO$9:$AO$600,$C43&amp;"_"&amp;D$5)</f>
        <v>0</v>
      </c>
      <c r="E43" s="328">
        <f>COUNTIF('CEC DB for analysis'!$AO$9:$AO$600,$C43&amp;"_"&amp;E$5)</f>
        <v>0</v>
      </c>
      <c r="F43" s="328">
        <f>COUNTIF('CEC DB for analysis'!$AO$9:$AO$600,$C43&amp;"_"&amp;F$5)</f>
        <v>1</v>
      </c>
      <c r="G43" s="328">
        <f>COUNTIF('CEC DB for analysis'!$AO$9:$AO$600,$C43&amp;"_"&amp;G$5)</f>
        <v>0</v>
      </c>
      <c r="H43" s="328">
        <f>COUNTIF('CEC DB for analysis'!$AP$9:$AP$600,'CEC analysis'!C43&amp;"_YES")</f>
        <v>1</v>
      </c>
      <c r="I43" s="328">
        <f t="shared" si="4"/>
        <v>1</v>
      </c>
      <c r="J43" s="326"/>
      <c r="K43" s="329" t="str">
        <f>IFERROR(AVERAGEIF('CEC DB for analysis'!$AO$9:$AO$600,'CEC analysis'!$C43&amp;"_"&amp;'CEC analysis'!K$5,'CEC DB for analysis'!$AG$9:$AG$600),"")</f>
        <v/>
      </c>
      <c r="L43" s="329" t="str">
        <f>IFERROR(AVERAGEIF('CEC DB for analysis'!$AO$9:$AO$600,'CEC analysis'!$C43&amp;"_"&amp;'CEC analysis'!L$5,'CEC DB for analysis'!$AG$9:$AG$600),"")</f>
        <v/>
      </c>
      <c r="M43" s="329">
        <f>IFERROR(AVERAGEIF('CEC DB for analysis'!$AO$9:$AO$600,'CEC analysis'!$C43&amp;"_"&amp;'CEC analysis'!M$5,'CEC DB for analysis'!$AG$9:$AG$600),"")</f>
        <v>0.16204972495514502</v>
      </c>
      <c r="N43" s="329" t="str">
        <f>IFERROR(AVERAGEIF('CEC DB for analysis'!$AO$9:$AO$600,'CEC analysis'!$C43&amp;"_"&amp;'CEC analysis'!N$5,'CEC DB for analysis'!$AG$9:$AG$600),"")</f>
        <v/>
      </c>
      <c r="O43" s="329">
        <f>IFERROR(AVERAGEIF('CEC DB for analysis'!$AP$9:$AP$600,'CEC analysis'!$C43&amp;"_YES",'CEC DB for analysis'!$AG$9:$AG$600),"")</f>
        <v>0.16204972495514502</v>
      </c>
      <c r="P43" s="329">
        <f t="shared" si="5"/>
        <v>0.16204972495514502</v>
      </c>
      <c r="Q43" s="306"/>
      <c r="R43" s="330" t="str">
        <f>IFERROR(AVERAGEIF('CEC DB for analysis'!$AO$9:$AO$600,'CEC analysis'!$C43&amp;"_"&amp;'CEC analysis'!K$5,'CEC DB for analysis'!$AF$9:$AF$600),"")</f>
        <v/>
      </c>
      <c r="S43" s="330" t="str">
        <f>IFERROR(AVERAGEIF('CEC DB for analysis'!$AO$9:$AO$600,'CEC analysis'!$C43&amp;"_"&amp;'CEC analysis'!L$5,'CEC DB for analysis'!$AF$9:$AF$600),"")</f>
        <v/>
      </c>
      <c r="T43" s="330">
        <f>IFERROR(AVERAGEIF('CEC DB for analysis'!$AO$9:$AO$600,'CEC analysis'!$C43&amp;"_"&amp;'CEC analysis'!M$5,'CEC DB for analysis'!$AF$9:$AF$600),"")</f>
        <v>65.75200000000001</v>
      </c>
      <c r="U43" s="330" t="str">
        <f>IFERROR(AVERAGEIF('CEC DB for analysis'!$AO$9:$AO$600,'CEC analysis'!$C43&amp;"_"&amp;'CEC analysis'!N$5,'CEC DB for analysis'!$AF$9:$AF$600),"")</f>
        <v/>
      </c>
      <c r="V43" s="330">
        <f>IFERROR(AVERAGEIF('CEC DB for analysis'!$AP$9:$AP$600,'CEC analysis'!$C43&amp;"_YES",'CEC DB for analysis'!$AF$9:$AF$600),"")</f>
        <v>65.75200000000001</v>
      </c>
      <c r="W43" s="330">
        <f>IF(I43=0,"",SUMPRODUCT(R43:U43,D43:G43)/SUM(D43:G43))</f>
        <v>65.75200000000001</v>
      </c>
      <c r="X43" s="326"/>
      <c r="Y43" s="330" t="str">
        <f t="shared" si="11"/>
        <v/>
      </c>
      <c r="Z43" s="330" t="str">
        <f t="shared" si="7"/>
        <v/>
      </c>
      <c r="AA43" s="330">
        <f t="shared" si="7"/>
        <v>0</v>
      </c>
      <c r="AB43" s="330" t="str">
        <f t="shared" si="7"/>
        <v/>
      </c>
      <c r="AC43" s="330">
        <f t="shared" si="7"/>
        <v>0</v>
      </c>
      <c r="AD43" s="330">
        <f t="shared" si="7"/>
        <v>0</v>
      </c>
      <c r="AE43" s="331"/>
      <c r="AF43" s="330"/>
      <c r="AG43" s="330"/>
      <c r="AH43" s="330"/>
      <c r="AI43" s="330"/>
      <c r="AJ43" s="330"/>
      <c r="AK43" s="330"/>
      <c r="AL43" s="314"/>
      <c r="AM43" s="330"/>
      <c r="AN43" s="330"/>
      <c r="AO43" s="330"/>
      <c r="AP43" s="330"/>
      <c r="AQ43" s="330"/>
      <c r="AR43" s="330"/>
      <c r="AT43" s="333" t="str">
        <f>IFERROR(AVERAGEIF('CEC DB for analysis'!$AO$9:$AO$600,'CEC analysis'!$C43&amp;"_"&amp;'CEC analysis'!K$5,'CEC DB for analysis'!$AB$9:$AB$600),"")</f>
        <v/>
      </c>
      <c r="AU43" s="333" t="str">
        <f>IFERROR(AVERAGEIF('CEC DB for analysis'!$AO$9:$AO$600,'CEC analysis'!$C43&amp;"_"&amp;'CEC analysis'!L$5,'CEC DB for analysis'!$AB$9:$AB$600),"")</f>
        <v/>
      </c>
      <c r="AV43" s="333">
        <f>IFERROR(AVERAGEIF('CEC DB for analysis'!$AO$9:$AO$600,'CEC analysis'!$C43&amp;"_"&amp;'CEC analysis'!M$5,'CEC DB for analysis'!$AB$9:$AB$600),"")</f>
        <v>5.6400000000000006</v>
      </c>
      <c r="AW43" s="333" t="str">
        <f>IFERROR(AVERAGEIF('CEC DB for analysis'!$AO$9:$AO$600,'CEC analysis'!$C43&amp;"_"&amp;'CEC analysis'!N$5,'CEC DB for analysis'!$AB$9:$AB$600),"")</f>
        <v/>
      </c>
      <c r="AX43" s="333">
        <f>IFERROR(AVERAGEIF('CEC DB for analysis'!$AP$9:$AP$600,'CEC analysis'!$C43&amp;"_YES",'CEC DB for analysis'!$AB$9:$AB$600),"")</f>
        <v>5.6400000000000006</v>
      </c>
      <c r="AY43" s="333">
        <f t="shared" si="12"/>
        <v>5.6400000000000006</v>
      </c>
      <c r="BA43" s="330" t="str">
        <f>IFERROR(AVERAGEIF('CEC DB for analysis'!$AO$9:$AO$600,'CEC analysis'!$C43&amp;"_"&amp;'CEC analysis'!R$5,'CEC DB for analysis'!$V$9:$V$600),"")</f>
        <v/>
      </c>
      <c r="BB43" s="330" t="str">
        <f>IFERROR(AVERAGEIF('CEC DB for analysis'!$AO$9:$AO$600,'CEC analysis'!$C43&amp;"_"&amp;'CEC analysis'!S$5,'CEC DB for analysis'!$V$9:$V$600),"")</f>
        <v/>
      </c>
      <c r="BC43" s="330">
        <f>IFERROR(AVERAGEIF('CEC DB for analysis'!$AO$9:$AO$600,'CEC analysis'!$C43&amp;"_"&amp;'CEC analysis'!T$5,'CEC DB for analysis'!$V$9:$V$600),"")</f>
        <v>340</v>
      </c>
      <c r="BD43" s="330" t="str">
        <f>IFERROR(AVERAGEIF('CEC DB for analysis'!$AO$9:$AO$600,'CEC analysis'!$C43&amp;"_"&amp;'CEC analysis'!U$5,'CEC DB for analysis'!$V$9:$V$600),"")</f>
        <v/>
      </c>
      <c r="BE43" s="330">
        <f>IFERROR(AVERAGEIF('CEC DB for analysis'!$AP$9:$AP$600,'CEC analysis'!$C43&amp;"_YES",'CEC DB for analysis'!$V$9:$V$600),"")</f>
        <v>340</v>
      </c>
      <c r="BF43" s="330">
        <f t="shared" si="13"/>
        <v>340</v>
      </c>
      <c r="BH43" s="330"/>
      <c r="BI43" s="330"/>
      <c r="BJ43" s="330"/>
      <c r="BK43" s="330"/>
      <c r="BL43" s="330"/>
      <c r="BM43" s="330"/>
    </row>
    <row r="44" spans="1:65">
      <c r="A44" s="555"/>
      <c r="B44" s="326"/>
      <c r="C44" s="327" t="s">
        <v>341</v>
      </c>
      <c r="D44" s="328">
        <f>COUNTIF('CEC DB for analysis'!$AO$9:$AO$600,$C44&amp;"_"&amp;D$5)</f>
        <v>0</v>
      </c>
      <c r="E44" s="328">
        <f>COUNTIF('CEC DB for analysis'!$AO$9:$AO$600,$C44&amp;"_"&amp;E$5)</f>
        <v>0</v>
      </c>
      <c r="F44" s="328">
        <f>COUNTIF('CEC DB for analysis'!$AO$9:$AO$600,$C44&amp;"_"&amp;F$5)</f>
        <v>0</v>
      </c>
      <c r="G44" s="328">
        <f>COUNTIF('CEC DB for analysis'!$AO$9:$AO$600,$C44&amp;"_"&amp;G$5)</f>
        <v>0</v>
      </c>
      <c r="H44" s="328">
        <f>COUNTIF('CEC DB for analysis'!$AP$9:$AP$600,'CEC analysis'!C44&amp;"_YES")</f>
        <v>0</v>
      </c>
      <c r="I44" s="328">
        <f t="shared" si="4"/>
        <v>0</v>
      </c>
      <c r="J44" s="326"/>
      <c r="K44" s="329" t="str">
        <f>IFERROR(AVERAGEIF('CEC DB for analysis'!$AO$9:$AO$600,'CEC analysis'!$C44&amp;"_"&amp;'CEC analysis'!K$5,'CEC DB for analysis'!$AG$9:$AG$600),"")</f>
        <v/>
      </c>
      <c r="L44" s="329" t="str">
        <f>IFERROR(AVERAGEIF('CEC DB for analysis'!$AO$9:$AO$600,'CEC analysis'!$C44&amp;"_"&amp;'CEC analysis'!L$5,'CEC DB for analysis'!$AG$9:$AG$600),"")</f>
        <v/>
      </c>
      <c r="M44" s="329" t="str">
        <f>IFERROR(AVERAGEIF('CEC DB for analysis'!$AO$9:$AO$600,'CEC analysis'!$C44&amp;"_"&amp;'CEC analysis'!M$5,'CEC DB for analysis'!$AG$9:$AG$600),"")</f>
        <v/>
      </c>
      <c r="N44" s="329" t="str">
        <f>IFERROR(AVERAGEIF('CEC DB for analysis'!$AO$9:$AO$600,'CEC analysis'!$C44&amp;"_"&amp;'CEC analysis'!N$5,'CEC DB for analysis'!$AG$9:$AG$600),"")</f>
        <v/>
      </c>
      <c r="O44" s="329" t="str">
        <f>IFERROR(AVERAGEIF('CEC DB for analysis'!$AP$9:$AP$600,'CEC analysis'!$C44&amp;"_YES",'CEC DB for analysis'!$AG$9:$AG$600),"")</f>
        <v/>
      </c>
      <c r="P44" s="329" t="str">
        <f t="shared" si="5"/>
        <v/>
      </c>
      <c r="Q44" s="306"/>
      <c r="R44" s="330" t="str">
        <f>IFERROR(AVERAGEIF('CEC DB for analysis'!$AO$9:$AO$600,'CEC analysis'!$C44&amp;"_"&amp;'CEC analysis'!K$5,'CEC DB for analysis'!$AF$9:$AF$600),"")</f>
        <v/>
      </c>
      <c r="S44" s="330" t="str">
        <f>IFERROR(AVERAGEIF('CEC DB for analysis'!$AO$9:$AO$600,'CEC analysis'!$C44&amp;"_"&amp;'CEC analysis'!L$5,'CEC DB for analysis'!$AF$9:$AF$600),"")</f>
        <v/>
      </c>
      <c r="T44" s="330" t="str">
        <f>IFERROR(AVERAGEIF('CEC DB for analysis'!$AO$9:$AO$600,'CEC analysis'!$C44&amp;"_"&amp;'CEC analysis'!M$5,'CEC DB for analysis'!$AF$9:$AF$600),"")</f>
        <v/>
      </c>
      <c r="U44" s="330" t="str">
        <f>IFERROR(AVERAGEIF('CEC DB for analysis'!$AO$9:$AO$600,'CEC analysis'!$C44&amp;"_"&amp;'CEC analysis'!N$5,'CEC DB for analysis'!$AF$9:$AF$600),"")</f>
        <v/>
      </c>
      <c r="V44" s="330" t="str">
        <f>IFERROR(AVERAGEIF('CEC DB for analysis'!$AP$9:$AP$600,'CEC analysis'!$C44&amp;"_YES",'CEC DB for analysis'!$AF$9:$AF$600),"")</f>
        <v/>
      </c>
      <c r="W44" s="330" t="str">
        <f t="shared" si="6"/>
        <v/>
      </c>
      <c r="X44" s="326"/>
      <c r="Y44" s="330" t="str">
        <f t="shared" si="11"/>
        <v/>
      </c>
      <c r="Z44" s="330" t="str">
        <f t="shared" si="7"/>
        <v/>
      </c>
      <c r="AA44" s="330" t="str">
        <f t="shared" si="7"/>
        <v/>
      </c>
      <c r="AB44" s="330" t="str">
        <f t="shared" si="7"/>
        <v/>
      </c>
      <c r="AC44" s="330" t="str">
        <f t="shared" si="7"/>
        <v/>
      </c>
      <c r="AD44" s="330" t="str">
        <f t="shared" si="7"/>
        <v/>
      </c>
      <c r="AE44" s="331"/>
      <c r="AF44" s="330"/>
      <c r="AG44" s="330"/>
      <c r="AH44" s="330"/>
      <c r="AI44" s="330"/>
      <c r="AJ44" s="330"/>
      <c r="AK44" s="330"/>
      <c r="AL44" s="314"/>
      <c r="AM44" s="330"/>
      <c r="AN44" s="330"/>
      <c r="AO44" s="330"/>
      <c r="AP44" s="330"/>
      <c r="AQ44" s="330"/>
      <c r="AR44" s="330"/>
      <c r="AT44" s="333" t="str">
        <f>IFERROR(AVERAGEIF('CEC DB for analysis'!$AO$9:$AO$600,'CEC analysis'!$C44&amp;"_"&amp;'CEC analysis'!K$5,'CEC DB for analysis'!$AB$9:$AB$600),"")</f>
        <v/>
      </c>
      <c r="AU44" s="333" t="str">
        <f>IFERROR(AVERAGEIF('CEC DB for analysis'!$AO$9:$AO$600,'CEC analysis'!$C44&amp;"_"&amp;'CEC analysis'!L$5,'CEC DB for analysis'!$AB$9:$AB$600),"")</f>
        <v/>
      </c>
      <c r="AV44" s="333" t="str">
        <f>IFERROR(AVERAGEIF('CEC DB for analysis'!$AO$9:$AO$600,'CEC analysis'!$C44&amp;"_"&amp;'CEC analysis'!M$5,'CEC DB for analysis'!$AB$9:$AB$600),"")</f>
        <v/>
      </c>
      <c r="AW44" s="333" t="str">
        <f>IFERROR(AVERAGEIF('CEC DB for analysis'!$AO$9:$AO$600,'CEC analysis'!$C44&amp;"_"&amp;'CEC analysis'!N$5,'CEC DB for analysis'!$AB$9:$AB$600),"")</f>
        <v/>
      </c>
      <c r="AX44" s="333" t="str">
        <f>IFERROR(AVERAGEIF('CEC DB for analysis'!$AP$9:$AP$600,'CEC analysis'!$C44&amp;"_YES",'CEC DB for analysis'!$AB$9:$AB$600),"")</f>
        <v/>
      </c>
      <c r="AY44" s="333" t="str">
        <f t="shared" si="12"/>
        <v/>
      </c>
      <c r="BA44" s="330" t="str">
        <f>IFERROR(AVERAGEIF('CEC DB for analysis'!$AO$9:$AO$600,'CEC analysis'!$C44&amp;"_"&amp;'CEC analysis'!R$5,'CEC DB for analysis'!$V$9:$V$600),"")</f>
        <v/>
      </c>
      <c r="BB44" s="330" t="str">
        <f>IFERROR(AVERAGEIF('CEC DB for analysis'!$AO$9:$AO$600,'CEC analysis'!$C44&amp;"_"&amp;'CEC analysis'!S$5,'CEC DB for analysis'!$V$9:$V$600),"")</f>
        <v/>
      </c>
      <c r="BC44" s="330" t="str">
        <f>IFERROR(AVERAGEIF('CEC DB for analysis'!$AO$9:$AO$600,'CEC analysis'!$C44&amp;"_"&amp;'CEC analysis'!T$5,'CEC DB for analysis'!$V$9:$V$600),"")</f>
        <v/>
      </c>
      <c r="BD44" s="330" t="str">
        <f>IFERROR(AVERAGEIF('CEC DB for analysis'!$AO$9:$AO$600,'CEC analysis'!$C44&amp;"_"&amp;'CEC analysis'!U$5,'CEC DB for analysis'!$V$9:$V$600),"")</f>
        <v/>
      </c>
      <c r="BE44" s="330" t="str">
        <f>IFERROR(AVERAGEIF('CEC DB for analysis'!$AP$9:$AP$600,'CEC analysis'!$C44&amp;"_YES",'CEC DB for analysis'!$V$9:$V$600),"")</f>
        <v/>
      </c>
      <c r="BF44" s="330" t="str">
        <f t="shared" si="13"/>
        <v/>
      </c>
      <c r="BH44" s="330"/>
      <c r="BI44" s="330"/>
      <c r="BJ44" s="330"/>
      <c r="BK44" s="330"/>
      <c r="BL44" s="330"/>
      <c r="BM44" s="330"/>
    </row>
    <row r="45" spans="1:65">
      <c r="A45" s="550" t="s">
        <v>3948</v>
      </c>
      <c r="B45" s="334"/>
      <c r="C45" s="335" t="s">
        <v>4576</v>
      </c>
      <c r="D45" s="336">
        <f>COUNTIF('CEC DB for analysis'!$AO$9:$AO$600,$C45&amp;"_"&amp;D$5)</f>
        <v>3</v>
      </c>
      <c r="E45" s="336">
        <f>COUNTIF('CEC DB for analysis'!$AO$9:$AO$600,$C45&amp;"_"&amp;E$5)</f>
        <v>8</v>
      </c>
      <c r="F45" s="336">
        <f>COUNTIF('CEC DB for analysis'!$AO$9:$AO$600,$C45&amp;"_"&amp;F$5)</f>
        <v>2</v>
      </c>
      <c r="G45" s="336">
        <f>COUNTIF('CEC DB for analysis'!$AO$9:$AO$600,$C45&amp;"_"&amp;G$5)</f>
        <v>0</v>
      </c>
      <c r="H45" s="336">
        <f>COUNTIF('CEC DB for analysis'!$AP$9:$AP$600,'CEC analysis'!C45&amp;"_YES")</f>
        <v>10</v>
      </c>
      <c r="I45" s="336">
        <f t="shared" si="4"/>
        <v>13</v>
      </c>
      <c r="J45" s="334"/>
      <c r="K45" s="337">
        <f>IFERROR(AVERAGEIF('CEC DB for analysis'!$AO$9:$AO$600,'CEC analysis'!$C45&amp;"_"&amp;'CEC analysis'!K$5,'CEC DB for analysis'!$AG$9:$AG$600),"")</f>
        <v>8.3101992879081182E-3</v>
      </c>
      <c r="L45" s="337">
        <f>IFERROR(AVERAGEIF('CEC DB for analysis'!$AO$9:$AO$600,'CEC analysis'!$C45&amp;"_"&amp;'CEC analysis'!L$5,'CEC DB for analysis'!$AG$9:$AG$600),"")</f>
        <v>0.11450439907067454</v>
      </c>
      <c r="M45" s="337">
        <f>IFERROR(AVERAGEIF('CEC DB for analysis'!$AO$9:$AO$600,'CEC analysis'!$C45&amp;"_"&amp;'CEC analysis'!M$5,'CEC DB for analysis'!$AG$9:$AG$600),"")</f>
        <v>0.16184537195729934</v>
      </c>
      <c r="N45" s="337" t="str">
        <f>IFERROR(AVERAGEIF('CEC DB for analysis'!$AO$9:$AO$600,'CEC analysis'!$C45&amp;"_"&amp;'CEC analysis'!N$5,'CEC DB for analysis'!$AG$9:$AG$600),"")</f>
        <v/>
      </c>
      <c r="O45" s="337">
        <f>IFERROR(AVERAGEIF('CEC DB for analysis'!$AP$9:$AP$600,'CEC analysis'!$C45&amp;"_YES",'CEC DB for analysis'!$AG$9:$AG$600),"")</f>
        <v>0.12397259364799951</v>
      </c>
      <c r="P45" s="337">
        <f t="shared" si="5"/>
        <v>9.7281271872593791E-2</v>
      </c>
      <c r="Q45" s="306"/>
      <c r="R45" s="338">
        <f>IFERROR(AVERAGEIF('CEC DB for analysis'!$AO$9:$AO$600,'CEC analysis'!$C45&amp;"_"&amp;'CEC analysis'!K$5,'CEC DB for analysis'!$AF$9:$AF$600),"")</f>
        <v>2.1510400000000041</v>
      </c>
      <c r="S45" s="338">
        <f>IFERROR(AVERAGEIF('CEC DB for analysis'!$AO$9:$AO$600,'CEC analysis'!$C45&amp;"_"&amp;'CEC analysis'!L$5,'CEC DB for analysis'!$AF$9:$AF$600),"")</f>
        <v>30.96676999999999</v>
      </c>
      <c r="T45" s="338">
        <f>IFERROR(AVERAGEIF('CEC DB for analysis'!$AO$9:$AO$600,'CEC analysis'!$C45&amp;"_"&amp;'CEC analysis'!M$5,'CEC DB for analysis'!$AF$9:$AF$600),"")</f>
        <v>42.759999999999991</v>
      </c>
      <c r="U45" s="338" t="str">
        <f>IFERROR(AVERAGEIF('CEC DB for analysis'!$AO$9:$AO$600,'CEC analysis'!$C45&amp;"_"&amp;'CEC analysis'!N$5,'CEC DB for analysis'!$AF$9:$AF$600),"")</f>
        <v/>
      </c>
      <c r="V45" s="338">
        <f>IFERROR(AVERAGEIF('CEC DB for analysis'!$AP$9:$AP$600,'CEC analysis'!$C45&amp;"_YES",'CEC DB for analysis'!$AF$9:$AF$600),"")</f>
        <v>33.32541599999999</v>
      </c>
      <c r="W45" s="338">
        <f t="shared" si="6"/>
        <v>26.131329230769225</v>
      </c>
      <c r="X45" s="334"/>
      <c r="Y45" s="338">
        <f t="shared" si="11"/>
        <v>-23.98028923076922</v>
      </c>
      <c r="Z45" s="338">
        <f t="shared" si="7"/>
        <v>4.8354407692307646</v>
      </c>
      <c r="AA45" s="338">
        <f t="shared" si="7"/>
        <v>16.628670769230766</v>
      </c>
      <c r="AB45" s="338" t="str">
        <f t="shared" si="7"/>
        <v/>
      </c>
      <c r="AC45" s="338">
        <f t="shared" si="7"/>
        <v>7.1940867692307648</v>
      </c>
      <c r="AD45" s="338">
        <f t="shared" si="7"/>
        <v>0</v>
      </c>
      <c r="AE45" s="339"/>
      <c r="AF45" s="338">
        <f>SUMPRODUCT(Y45:Y47,D45:D47)/SUM(D45:D47)</f>
        <v>-11.360017715050166</v>
      </c>
      <c r="AG45" s="340">
        <f t="shared" ref="AG45:AK45" si="20">SUMPRODUCT(Z45:Z47,E45:E47)/SUM(E45:E47)</f>
        <v>8.4727776919142226</v>
      </c>
      <c r="AH45" s="340">
        <f t="shared" si="20"/>
        <v>20.790783384615381</v>
      </c>
      <c r="AI45" s="340" t="e">
        <f t="shared" si="20"/>
        <v>#DIV/0!</v>
      </c>
      <c r="AJ45" s="341">
        <f>SUMPRODUCT(AC45:AC47,H45:H47)/SUM(H45:H47)</f>
        <v>10.819064490523967</v>
      </c>
      <c r="AK45" s="338">
        <f t="shared" si="20"/>
        <v>0</v>
      </c>
      <c r="AL45" s="314"/>
      <c r="AM45" s="337">
        <f>SUMPRODUCT(K45:K47,D45:D47)/SUM(D45:D47)</f>
        <v>6.5968559591397594E-3</v>
      </c>
      <c r="AN45" s="337">
        <f t="shared" ref="AN45:AR45" si="21">SUMPRODUCT(L45:L47,E45:E47)/SUM(E45:E47)</f>
        <v>0.11241072231775671</v>
      </c>
      <c r="AO45" s="337">
        <f t="shared" si="21"/>
        <v>0.17571380687960728</v>
      </c>
      <c r="AP45" s="337" t="e">
        <f t="shared" si="21"/>
        <v>#DIV/0!</v>
      </c>
      <c r="AQ45" s="337">
        <f t="shared" si="21"/>
        <v>0.12446845271049015</v>
      </c>
      <c r="AR45" s="337">
        <f t="shared" si="21"/>
        <v>6.6970112831782641E-2</v>
      </c>
      <c r="AT45" s="342">
        <f>IFERROR(AVERAGEIF('CEC DB for analysis'!$AO$9:$AO$600,'CEC analysis'!$C45&amp;"_"&amp;'CEC analysis'!K$5,'CEC DB for analysis'!$AB$9:$AB$600),"")</f>
        <v>4.3296000000000001</v>
      </c>
      <c r="AU45" s="342">
        <f>IFERROR(AVERAGEIF('CEC DB for analysis'!$AO$9:$AO$600,'CEC analysis'!$C45&amp;"_"&amp;'CEC analysis'!L$5,'CEC DB for analysis'!$AB$9:$AB$600),"")</f>
        <v>5.1898</v>
      </c>
      <c r="AV45" s="342">
        <f>IFERROR(AVERAGEIF('CEC DB for analysis'!$AO$9:$AO$600,'CEC analysis'!$C45&amp;"_"&amp;'CEC analysis'!M$5,'CEC DB for analysis'!$AB$9:$AB$600),"")</f>
        <v>4.4000000000000004</v>
      </c>
      <c r="AW45" s="342" t="str">
        <f>IFERROR(AVERAGEIF('CEC DB for analysis'!$AO$9:$AO$600,'CEC analysis'!$C45&amp;"_"&amp;'CEC analysis'!N$5,'CEC DB for analysis'!$AB$9:$AB$600),"")</f>
        <v/>
      </c>
      <c r="AX45" s="342">
        <f>IFERROR(AVERAGEIF('CEC DB for analysis'!$AP$9:$AP$600,'CEC analysis'!$C45&amp;"_YES",'CEC DB for analysis'!$AB$9:$AB$600),"")</f>
        <v>5.0318400000000008</v>
      </c>
      <c r="AY45" s="342">
        <f t="shared" si="12"/>
        <v>4.8697846153846154</v>
      </c>
      <c r="BA45" s="338">
        <f>IFERROR(AVERAGEIF('CEC DB for analysis'!$AO$9:$AO$600,'CEC analysis'!$C45&amp;"_"&amp;'CEC analysis'!R$5,'CEC DB for analysis'!$V$9:$V$600),"")</f>
        <v>261</v>
      </c>
      <c r="BB45" s="338">
        <f>IFERROR(AVERAGEIF('CEC DB for analysis'!$AO$9:$AO$600,'CEC analysis'!$C45&amp;"_"&amp;'CEC analysis'!S$5,'CEC DB for analysis'!$V$9:$V$600),"")</f>
        <v>239.625</v>
      </c>
      <c r="BC45" s="338">
        <f>IFERROR(AVERAGEIF('CEC DB for analysis'!$AO$9:$AO$600,'CEC analysis'!$C45&amp;"_"&amp;'CEC analysis'!T$5,'CEC DB for analysis'!$V$9:$V$600),"")</f>
        <v>221</v>
      </c>
      <c r="BD45" s="338" t="str">
        <f>IFERROR(AVERAGEIF('CEC DB for analysis'!$AO$9:$AO$600,'CEC analysis'!$C45&amp;"_"&amp;'CEC analysis'!U$5,'CEC DB for analysis'!$V$9:$V$600),"")</f>
        <v/>
      </c>
      <c r="BE45" s="338">
        <f>IFERROR(AVERAGEIF('CEC DB for analysis'!$AP$9:$AP$600,'CEC analysis'!$C45&amp;"_YES",'CEC DB for analysis'!$V$9:$V$600),"")</f>
        <v>235.9</v>
      </c>
      <c r="BF45" s="338">
        <f t="shared" si="13"/>
        <v>241.69230769230768</v>
      </c>
      <c r="BH45" s="338">
        <f>SUMPRODUCT(BA45:BA47,D45:D47)/SUM(D45:D47)</f>
        <v>243.55</v>
      </c>
      <c r="BI45" s="338">
        <f t="shared" ref="BI45:BM45" si="22">SUMPRODUCT(BB45:BB47,E45:E47)/SUM(E45:E47)</f>
        <v>238.41176470588235</v>
      </c>
      <c r="BJ45" s="338">
        <f t="shared" si="22"/>
        <v>270.5</v>
      </c>
      <c r="BK45" s="338" t="e">
        <f t="shared" si="22"/>
        <v>#DIV/0!</v>
      </c>
      <c r="BL45" s="338">
        <f t="shared" si="22"/>
        <v>244.52380952380952</v>
      </c>
      <c r="BM45" s="338">
        <f t="shared" si="22"/>
        <v>244.04878048780489</v>
      </c>
    </row>
    <row r="46" spans="1:65">
      <c r="A46" s="550"/>
      <c r="B46" s="334"/>
      <c r="C46" s="335" t="s">
        <v>4577</v>
      </c>
      <c r="D46" s="336">
        <f>COUNTIF('CEC DB for analysis'!$AO$9:$AO$600,$C46&amp;"_"&amp;D$5)</f>
        <v>1</v>
      </c>
      <c r="E46" s="336">
        <f>COUNTIF('CEC DB for analysis'!$AO$9:$AO$600,$C46&amp;"_"&amp;E$5)</f>
        <v>2</v>
      </c>
      <c r="F46" s="336">
        <f>COUNTIF('CEC DB for analysis'!$AO$9:$AO$600,$C46&amp;"_"&amp;F$5)</f>
        <v>2</v>
      </c>
      <c r="G46" s="336">
        <f>COUNTIF('CEC DB for analysis'!$AO$9:$AO$600,$C46&amp;"_"&amp;G$5)</f>
        <v>0</v>
      </c>
      <c r="H46" s="336">
        <f>COUNTIF('CEC DB for analysis'!$AP$9:$AP$600,'CEC analysis'!C46&amp;"_YES")</f>
        <v>4</v>
      </c>
      <c r="I46" s="336">
        <f t="shared" si="4"/>
        <v>5</v>
      </c>
      <c r="J46" s="334"/>
      <c r="K46" s="337">
        <f>IFERROR(AVERAGEIF('CEC DB for analysis'!$AO$9:$AO$600,'CEC analysis'!$C46&amp;"_"&amp;'CEC analysis'!K$5,'CEC DB for analysis'!$AG$9:$AG$600),"")</f>
        <v>1.8793805405443075E-2</v>
      </c>
      <c r="L46" s="337">
        <f>IFERROR(AVERAGEIF('CEC DB for analysis'!$AO$9:$AO$600,'CEC analysis'!$C46&amp;"_"&amp;'CEC analysis'!L$5,'CEC DB for analysis'!$AG$9:$AG$600),"")</f>
        <v>0.10555841776861864</v>
      </c>
      <c r="M46" s="337">
        <f>IFERROR(AVERAGEIF('CEC DB for analysis'!$AO$9:$AO$600,'CEC analysis'!$C46&amp;"_"&amp;'CEC analysis'!M$5,'CEC DB for analysis'!$AG$9:$AG$600),"")</f>
        <v>0.18958224180191521</v>
      </c>
      <c r="N46" s="337" t="str">
        <f>IFERROR(AVERAGEIF('CEC DB for analysis'!$AO$9:$AO$600,'CEC analysis'!$C46&amp;"_"&amp;'CEC analysis'!N$5,'CEC DB for analysis'!$AG$9:$AG$600),"")</f>
        <v/>
      </c>
      <c r="O46" s="337">
        <f>IFERROR(AVERAGEIF('CEC DB for analysis'!$AP$9:$AP$600,'CEC analysis'!$C46&amp;"_YES",'CEC DB for analysis'!$AG$9:$AG$600),"")</f>
        <v>0.14757032978526693</v>
      </c>
      <c r="P46" s="337">
        <f t="shared" si="5"/>
        <v>0.12181502490930216</v>
      </c>
      <c r="Q46" s="306"/>
      <c r="R46" s="338">
        <f>IFERROR(AVERAGEIF('CEC DB for analysis'!$AO$9:$AO$600,'CEC analysis'!$C46&amp;"_"&amp;'CEC analysis'!K$5,'CEC DB for analysis'!$AF$9:$AF$600),"")</f>
        <v>7.7572799999999802</v>
      </c>
      <c r="S46" s="338">
        <f>IFERROR(AVERAGEIF('CEC DB for analysis'!$AO$9:$AO$600,'CEC analysis'!$C46&amp;"_"&amp;'CEC analysis'!L$5,'CEC DB for analysis'!$AF$9:$AF$600),"")</f>
        <v>46.026239999999973</v>
      </c>
      <c r="T46" s="338">
        <f>IFERROR(AVERAGEIF('CEC DB for analysis'!$AO$9:$AO$600,'CEC analysis'!$C46&amp;"_"&amp;'CEC analysis'!M$5,'CEC DB for analysis'!$AF$9:$AF$600),"")</f>
        <v>74.858079999999973</v>
      </c>
      <c r="U46" s="338" t="str">
        <f>IFERROR(AVERAGEIF('CEC DB for analysis'!$AO$9:$AO$600,'CEC analysis'!$C46&amp;"_"&amp;'CEC analysis'!N$5,'CEC DB for analysis'!$AF$9:$AF$600),"")</f>
        <v/>
      </c>
      <c r="V46" s="338">
        <f>IFERROR(AVERAGEIF('CEC DB for analysis'!$AP$9:$AP$600,'CEC analysis'!$C46&amp;"_YES",'CEC DB for analysis'!$AF$9:$AF$600),"")</f>
        <v>60.442159999999973</v>
      </c>
      <c r="W46" s="338">
        <f t="shared" si="6"/>
        <v>49.905183999999977</v>
      </c>
      <c r="X46" s="334"/>
      <c r="Y46" s="338">
        <f t="shared" si="11"/>
        <v>-42.147903999999997</v>
      </c>
      <c r="Z46" s="338">
        <f t="shared" si="7"/>
        <v>-3.8789440000000042</v>
      </c>
      <c r="AA46" s="338">
        <f t="shared" si="7"/>
        <v>24.952895999999996</v>
      </c>
      <c r="AB46" s="338" t="str">
        <f t="shared" si="7"/>
        <v/>
      </c>
      <c r="AC46" s="338">
        <f t="shared" si="7"/>
        <v>10.536975999999996</v>
      </c>
      <c r="AD46" s="338">
        <f t="shared" si="7"/>
        <v>0</v>
      </c>
      <c r="AE46" s="339"/>
      <c r="AF46" s="338"/>
      <c r="AG46" s="338"/>
      <c r="AH46" s="338"/>
      <c r="AI46" s="338"/>
      <c r="AJ46" s="338"/>
      <c r="AK46" s="338"/>
      <c r="AL46" s="314"/>
      <c r="AM46" s="338"/>
      <c r="AN46" s="338"/>
      <c r="AO46" s="338"/>
      <c r="AP46" s="338"/>
      <c r="AQ46" s="338"/>
      <c r="AR46" s="338"/>
      <c r="AT46" s="342">
        <f>IFERROR(AVERAGEIF('CEC DB for analysis'!$AO$9:$AO$600,'CEC analysis'!$C46&amp;"_"&amp;'CEC analysis'!K$5,'CEC DB for analysis'!$AB$9:$AB$600),"")</f>
        <v>5.984</v>
      </c>
      <c r="AU46" s="342">
        <f>IFERROR(AVERAGEIF('CEC DB for analysis'!$AO$9:$AO$600,'CEC analysis'!$C46&amp;"_"&amp;'CEC analysis'!L$5,'CEC DB for analysis'!$AB$9:$AB$600),"")</f>
        <v>8.2720000000000002</v>
      </c>
      <c r="AV46" s="342">
        <f>IFERROR(AVERAGEIF('CEC DB for analysis'!$AO$9:$AO$600,'CEC analysis'!$C46&amp;"_"&amp;'CEC analysis'!M$5,'CEC DB for analysis'!$AB$9:$AB$600),"")</f>
        <v>4.2240000000000002</v>
      </c>
      <c r="AW46" s="342" t="str">
        <f>IFERROR(AVERAGEIF('CEC DB for analysis'!$AO$9:$AO$600,'CEC analysis'!$C46&amp;"_"&amp;'CEC analysis'!N$5,'CEC DB for analysis'!$AB$9:$AB$600),"")</f>
        <v/>
      </c>
      <c r="AX46" s="342">
        <f>IFERROR(AVERAGEIF('CEC DB for analysis'!$AP$9:$AP$600,'CEC analysis'!$C46&amp;"_YES",'CEC DB for analysis'!$AB$9:$AB$600),"")</f>
        <v>6.2479999999999993</v>
      </c>
      <c r="AY46" s="342">
        <f t="shared" si="12"/>
        <v>6.1951999999999998</v>
      </c>
      <c r="BA46" s="338">
        <f>IFERROR(AVERAGEIF('CEC DB for analysis'!$AO$9:$AO$600,'CEC analysis'!$C46&amp;"_"&amp;'CEC analysis'!R$5,'CEC DB for analysis'!$V$9:$V$600),"")</f>
        <v>405</v>
      </c>
      <c r="BB46" s="338">
        <f>IFERROR(AVERAGEIF('CEC DB for analysis'!$AO$9:$AO$600,'CEC analysis'!$C46&amp;"_"&amp;'CEC analysis'!S$5,'CEC DB for analysis'!$V$9:$V$600),"")</f>
        <v>390</v>
      </c>
      <c r="BC46" s="338">
        <f>IFERROR(AVERAGEIF('CEC DB for analysis'!$AO$9:$AO$600,'CEC analysis'!$C46&amp;"_"&amp;'CEC analysis'!T$5,'CEC DB for analysis'!$V$9:$V$600),"")</f>
        <v>320</v>
      </c>
      <c r="BD46" s="338" t="str">
        <f>IFERROR(AVERAGEIF('CEC DB for analysis'!$AO$9:$AO$600,'CEC analysis'!$C46&amp;"_"&amp;'CEC analysis'!U$5,'CEC DB for analysis'!$V$9:$V$600),"")</f>
        <v/>
      </c>
      <c r="BE46" s="338">
        <f>IFERROR(AVERAGEIF('CEC DB for analysis'!$AP$9:$AP$600,'CEC analysis'!$C46&amp;"_YES",'CEC DB for analysis'!$V$9:$V$600),"")</f>
        <v>355</v>
      </c>
      <c r="BF46" s="338">
        <f t="shared" si="13"/>
        <v>365</v>
      </c>
      <c r="BH46" s="338"/>
      <c r="BI46" s="338"/>
      <c r="BJ46" s="338"/>
      <c r="BK46" s="338"/>
      <c r="BL46" s="338"/>
      <c r="BM46" s="338"/>
    </row>
    <row r="47" spans="1:65">
      <c r="A47" s="550"/>
      <c r="B47" s="334"/>
      <c r="C47" s="335" t="s">
        <v>4578</v>
      </c>
      <c r="D47" s="336">
        <f>COUNTIF('CEC DB for analysis'!$AO$9:$AO$600,$C47&amp;"_"&amp;D$5)</f>
        <v>16</v>
      </c>
      <c r="E47" s="336">
        <f>COUNTIF('CEC DB for analysis'!$AO$9:$AO$600,$C47&amp;"_"&amp;E$5)</f>
        <v>7</v>
      </c>
      <c r="F47" s="336">
        <f>COUNTIF('CEC DB for analysis'!$AO$9:$AO$600,$C47&amp;"_"&amp;F$5)</f>
        <v>0</v>
      </c>
      <c r="G47" s="336">
        <f>COUNTIF('CEC DB for analysis'!$AO$9:$AO$600,$C47&amp;"_"&amp;G$5)</f>
        <v>0</v>
      </c>
      <c r="H47" s="336">
        <f>COUNTIF('CEC DB for analysis'!$AP$9:$AP$600,'CEC analysis'!C47&amp;"_YES")</f>
        <v>7</v>
      </c>
      <c r="I47" s="336">
        <f t="shared" si="4"/>
        <v>23</v>
      </c>
      <c r="J47" s="334"/>
      <c r="K47" s="337">
        <f>IFERROR(AVERAGEIF('CEC DB for analysis'!$AO$9:$AO$600,'CEC analysis'!$C47&amp;"_"&amp;'CEC analysis'!K$5,'CEC DB for analysis'!$AG$9:$AG$600),"")</f>
        <v>5.5132947446017346E-3</v>
      </c>
      <c r="L47" s="337">
        <f>IFERROR(AVERAGEIF('CEC DB for analysis'!$AO$9:$AO$600,'CEC analysis'!$C47&amp;"_"&amp;'CEC analysis'!L$5,'CEC DB for analysis'!$AG$9:$AG$600),"")</f>
        <v>0.11197575018560434</v>
      </c>
      <c r="M47" s="337" t="str">
        <f>IFERROR(AVERAGEIF('CEC DB for analysis'!$AO$9:$AO$600,'CEC analysis'!$C47&amp;"_"&amp;'CEC analysis'!M$5,'CEC DB for analysis'!$AG$9:$AG$600),"")</f>
        <v/>
      </c>
      <c r="N47" s="337" t="str">
        <f>IFERROR(AVERAGEIF('CEC DB for analysis'!$AO$9:$AO$600,'CEC analysis'!$C47&amp;"_"&amp;'CEC analysis'!N$5,'CEC DB for analysis'!$AG$9:$AG$600),"")</f>
        <v/>
      </c>
      <c r="O47" s="337">
        <f>IFERROR(AVERAGEIF('CEC DB for analysis'!$AP$9:$AP$600,'CEC analysis'!$C47&amp;"_YES",'CEC DB for analysis'!$AG$9:$AG$600),"")</f>
        <v>0.11197575018560434</v>
      </c>
      <c r="P47" s="337">
        <f t="shared" si="5"/>
        <v>3.7914911617950353E-2</v>
      </c>
      <c r="Q47" s="306"/>
      <c r="R47" s="338">
        <f>IFERROR(AVERAGEIF('CEC DB for analysis'!$AO$9:$AO$600,'CEC analysis'!$C47&amp;"_"&amp;'CEC analysis'!K$5,'CEC DB for analysis'!$AF$9:$AF$600),"")</f>
        <v>1.2807000000000155</v>
      </c>
      <c r="S47" s="338">
        <f>IFERROR(AVERAGEIF('CEC DB for analysis'!$AO$9:$AO$600,'CEC analysis'!$C47&amp;"_"&amp;'CEC analysis'!L$5,'CEC DB for analysis'!$AF$9:$AF$600),"")</f>
        <v>24.508971428571442</v>
      </c>
      <c r="T47" s="338" t="str">
        <f>IFERROR(AVERAGEIF('CEC DB for analysis'!$AO$9:$AO$600,'CEC analysis'!$C47&amp;"_"&amp;'CEC analysis'!M$5,'CEC DB for analysis'!$AF$9:$AF$600),"")</f>
        <v/>
      </c>
      <c r="U47" s="338" t="str">
        <f>IFERROR(AVERAGEIF('CEC DB for analysis'!$AO$9:$AO$600,'CEC analysis'!$C47&amp;"_"&amp;'CEC analysis'!N$5,'CEC DB for analysis'!$AF$9:$AF$600),"")</f>
        <v/>
      </c>
      <c r="V47" s="338">
        <f>IFERROR(AVERAGEIF('CEC DB for analysis'!$AP$9:$AP$600,'CEC analysis'!$C47&amp;"_YES",'CEC DB for analysis'!$AF$9:$AF$600),"")</f>
        <v>24.508971428571442</v>
      </c>
      <c r="W47" s="338">
        <f t="shared" si="6"/>
        <v>8.3501739130434931</v>
      </c>
      <c r="X47" s="334"/>
      <c r="Y47" s="338">
        <f t="shared" si="11"/>
        <v>-7.0694739130434776</v>
      </c>
      <c r="Z47" s="338">
        <f t="shared" si="7"/>
        <v>16.158797515527951</v>
      </c>
      <c r="AA47" s="338" t="str">
        <f t="shared" si="7"/>
        <v/>
      </c>
      <c r="AB47" s="338" t="str">
        <f t="shared" si="7"/>
        <v/>
      </c>
      <c r="AC47" s="338">
        <f t="shared" si="7"/>
        <v>16.158797515527951</v>
      </c>
      <c r="AD47" s="338">
        <f t="shared" si="7"/>
        <v>0</v>
      </c>
      <c r="AE47" s="339"/>
      <c r="AF47" s="338"/>
      <c r="AG47" s="338"/>
      <c r="AH47" s="338"/>
      <c r="AI47" s="338"/>
      <c r="AJ47" s="338"/>
      <c r="AK47" s="338"/>
      <c r="AL47" s="314"/>
      <c r="AM47" s="338"/>
      <c r="AN47" s="338"/>
      <c r="AO47" s="338"/>
      <c r="AP47" s="338"/>
      <c r="AQ47" s="338"/>
      <c r="AR47" s="338"/>
      <c r="AT47" s="342">
        <f>IFERROR(AVERAGEIF('CEC DB for analysis'!$AO$9:$AO$600,'CEC analysis'!$C47&amp;"_"&amp;'CEC analysis'!K$5,'CEC DB for analysis'!$AB$9:$AB$600),"")</f>
        <v>10.234400000000001</v>
      </c>
      <c r="AU47" s="342">
        <f>IFERROR(AVERAGEIF('CEC DB for analysis'!$AO$9:$AO$600,'CEC analysis'!$C47&amp;"_"&amp;'CEC analysis'!L$5,'CEC DB for analysis'!$AB$9:$AB$600),"")</f>
        <v>8.8025142857142846</v>
      </c>
      <c r="AV47" s="342" t="str">
        <f>IFERROR(AVERAGEIF('CEC DB for analysis'!$AO$9:$AO$600,'CEC analysis'!$C47&amp;"_"&amp;'CEC analysis'!M$5,'CEC DB for analysis'!$AB$9:$AB$600),"")</f>
        <v/>
      </c>
      <c r="AW47" s="342" t="str">
        <f>IFERROR(AVERAGEIF('CEC DB for analysis'!$AO$9:$AO$600,'CEC analysis'!$C47&amp;"_"&amp;'CEC analysis'!N$5,'CEC DB for analysis'!$AB$9:$AB$600),"")</f>
        <v/>
      </c>
      <c r="AX47" s="342">
        <f>IFERROR(AVERAGEIF('CEC DB for analysis'!$AP$9:$AP$600,'CEC analysis'!$C47&amp;"_YES",'CEC DB for analysis'!$AB$9:$AB$600),"")</f>
        <v>8.8025142857142846</v>
      </c>
      <c r="AY47" s="342">
        <f t="shared" si="12"/>
        <v>9.7986086956521739</v>
      </c>
      <c r="BA47" s="338">
        <f>IFERROR(AVERAGEIF('CEC DB for analysis'!$AO$9:$AO$600,'CEC analysis'!$C47&amp;"_"&amp;'CEC analysis'!R$5,'CEC DB for analysis'!$V$9:$V$600),"")</f>
        <v>230.1875</v>
      </c>
      <c r="BB47" s="338">
        <f>IFERROR(AVERAGEIF('CEC DB for analysis'!$AO$9:$AO$600,'CEC analysis'!$C47&amp;"_"&amp;'CEC analysis'!S$5,'CEC DB for analysis'!$V$9:$V$600),"")</f>
        <v>193.71428571428572</v>
      </c>
      <c r="BC47" s="338" t="str">
        <f>IFERROR(AVERAGEIF('CEC DB for analysis'!$AO$9:$AO$600,'CEC analysis'!$C47&amp;"_"&amp;'CEC analysis'!T$5,'CEC DB for analysis'!$V$9:$V$600),"")</f>
        <v/>
      </c>
      <c r="BD47" s="338" t="str">
        <f>IFERROR(AVERAGEIF('CEC DB for analysis'!$AO$9:$AO$600,'CEC analysis'!$C47&amp;"_"&amp;'CEC analysis'!U$5,'CEC DB for analysis'!$V$9:$V$600),"")</f>
        <v/>
      </c>
      <c r="BE47" s="338">
        <f>IFERROR(AVERAGEIF('CEC DB for analysis'!$AP$9:$AP$600,'CEC analysis'!$C47&amp;"_YES",'CEC DB for analysis'!$V$9:$V$600),"")</f>
        <v>193.71428571428572</v>
      </c>
      <c r="BF47" s="338">
        <f t="shared" si="13"/>
        <v>219.08695652173913</v>
      </c>
      <c r="BH47" s="338"/>
      <c r="BI47" s="338"/>
      <c r="BJ47" s="338"/>
      <c r="BK47" s="338"/>
      <c r="BL47" s="338"/>
      <c r="BM47" s="338"/>
    </row>
  </sheetData>
  <mergeCells count="12">
    <mergeCell ref="BA4:BF4"/>
    <mergeCell ref="BH4:BM4"/>
    <mergeCell ref="A6:A27"/>
    <mergeCell ref="A28:A34"/>
    <mergeCell ref="A35:A44"/>
    <mergeCell ref="AM4:AR4"/>
    <mergeCell ref="AT4:AY4"/>
    <mergeCell ref="A45:A47"/>
    <mergeCell ref="K4:P4"/>
    <mergeCell ref="R4:W4"/>
    <mergeCell ref="Y4:AD4"/>
    <mergeCell ref="AF4:AK4"/>
  </mergeCells>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Sheet17">
    <tabColor theme="5" tint="0.79998168889431442"/>
  </sheetPr>
  <dimension ref="A1:AP562"/>
  <sheetViews>
    <sheetView topLeftCell="G1" workbookViewId="0">
      <pane ySplit="8" topLeftCell="A89" activePane="bottomLeft" state="frozen"/>
      <selection activeCell="O40" sqref="O40"/>
      <selection pane="bottomLeft" activeCell="V89" sqref="V89"/>
    </sheetView>
  </sheetViews>
  <sheetFormatPr defaultRowHeight="12.75"/>
  <cols>
    <col min="1" max="22" width="9.140625" style="9"/>
    <col min="23" max="23" width="13" style="268" customWidth="1"/>
    <col min="24" max="26" width="9.140625" style="9"/>
    <col min="27" max="27" width="18.7109375" style="9" customWidth="1"/>
    <col min="28" max="28" width="10.140625" style="196" customWidth="1"/>
    <col min="29" max="30" width="11.140625" style="9" customWidth="1"/>
    <col min="31" max="31" width="9.5703125" style="9" customWidth="1"/>
    <col min="32" max="32" width="7.5703125" style="9" customWidth="1"/>
    <col min="33" max="33" width="8.5703125" style="9" customWidth="1"/>
    <col min="34" max="34" width="11" style="9" customWidth="1"/>
    <col min="35" max="39" width="9.140625" style="9"/>
    <col min="40" max="40" width="38" style="9" customWidth="1"/>
    <col min="41" max="42" width="48.5703125" style="9" customWidth="1"/>
    <col min="43" max="43" width="35.140625" style="9" customWidth="1"/>
    <col min="44" max="44" width="5.140625" style="9" customWidth="1"/>
    <col min="45" max="45" width="11.7109375" style="9" bestFit="1" customWidth="1"/>
    <col min="46" max="16384" width="9.140625" style="9"/>
  </cols>
  <sheetData>
    <row r="1" spans="1:42">
      <c r="AF1" s="269" t="s">
        <v>4052</v>
      </c>
      <c r="AO1" s="270" t="s">
        <v>4053</v>
      </c>
      <c r="AP1" s="271" t="s">
        <v>4054</v>
      </c>
    </row>
    <row r="2" spans="1:42">
      <c r="AA2" s="52" t="s">
        <v>4055</v>
      </c>
      <c r="AF2" s="272" t="b">
        <v>1</v>
      </c>
      <c r="AG2" s="185" t="s">
        <v>4949</v>
      </c>
      <c r="AO2" s="184">
        <v>-1</v>
      </c>
      <c r="AP2" s="273" t="s">
        <v>4056</v>
      </c>
    </row>
    <row r="3" spans="1:42">
      <c r="AO3" s="184">
        <v>0</v>
      </c>
      <c r="AP3" s="273" t="s">
        <v>3985</v>
      </c>
    </row>
    <row r="4" spans="1:42" ht="12.75" customHeight="1">
      <c r="A4" s="185" t="s">
        <v>4057</v>
      </c>
      <c r="Z4" s="557" t="s">
        <v>4058</v>
      </c>
      <c r="AA4" s="557" t="s">
        <v>4059</v>
      </c>
      <c r="AB4" s="274" t="s">
        <v>353</v>
      </c>
      <c r="AC4" s="464"/>
      <c r="AD4" s="464"/>
      <c r="AE4" s="464"/>
      <c r="AF4" s="464"/>
      <c r="AG4" s="464"/>
      <c r="AH4" s="464"/>
      <c r="AO4" s="184">
        <v>0.1</v>
      </c>
      <c r="AP4" s="273" t="s">
        <v>3987</v>
      </c>
    </row>
    <row r="5" spans="1:42">
      <c r="Z5" s="557"/>
      <c r="AA5" s="557"/>
      <c r="AB5" s="274" t="s">
        <v>354</v>
      </c>
      <c r="AC5" s="464"/>
      <c r="AD5" s="464"/>
      <c r="AE5" s="464"/>
      <c r="AF5" s="464"/>
      <c r="AG5" s="464"/>
      <c r="AH5" s="464"/>
      <c r="AN5" s="185"/>
      <c r="AO5" s="184">
        <v>0.15</v>
      </c>
      <c r="AP5" s="273" t="s">
        <v>3988</v>
      </c>
    </row>
    <row r="6" spans="1:42">
      <c r="E6" s="185"/>
      <c r="Z6" s="557"/>
      <c r="AA6" s="557"/>
      <c r="AB6" s="274" t="s">
        <v>355</v>
      </c>
      <c r="AC6" s="464"/>
      <c r="AD6" s="464"/>
      <c r="AE6" s="464"/>
      <c r="AF6" s="464"/>
      <c r="AG6" s="464"/>
      <c r="AH6" s="464"/>
      <c r="AO6" s="184">
        <v>0.2</v>
      </c>
      <c r="AP6" s="273" t="s">
        <v>3989</v>
      </c>
    </row>
    <row r="7" spans="1:42">
      <c r="Z7" s="557"/>
      <c r="AA7" s="557"/>
      <c r="AB7" s="275"/>
      <c r="AC7" s="464"/>
      <c r="AD7" s="464"/>
      <c r="AE7" s="464"/>
      <c r="AF7" s="464"/>
      <c r="AG7" s="464"/>
      <c r="AH7" s="464"/>
      <c r="AJ7" s="464"/>
      <c r="AK7" s="464"/>
      <c r="AL7" s="464"/>
      <c r="AM7" s="464"/>
      <c r="AN7" s="464"/>
    </row>
    <row r="8" spans="1:42" ht="89.25">
      <c r="A8" s="276" t="s">
        <v>4060</v>
      </c>
      <c r="B8" s="276" t="s">
        <v>4061</v>
      </c>
      <c r="C8" s="276" t="s">
        <v>159</v>
      </c>
      <c r="D8" s="276" t="s">
        <v>160</v>
      </c>
      <c r="E8" s="276" t="s">
        <v>4062</v>
      </c>
      <c r="F8" s="276" t="s">
        <v>4063</v>
      </c>
      <c r="G8" s="276" t="s">
        <v>4064</v>
      </c>
      <c r="H8" s="276" t="s">
        <v>4065</v>
      </c>
      <c r="I8" s="276" t="s">
        <v>4066</v>
      </c>
      <c r="J8" s="276" t="s">
        <v>4067</v>
      </c>
      <c r="K8" s="276" t="s">
        <v>4068</v>
      </c>
      <c r="L8" s="276" t="s">
        <v>4069</v>
      </c>
      <c r="M8" s="276" t="s">
        <v>4070</v>
      </c>
      <c r="N8" s="276" t="s">
        <v>4071</v>
      </c>
      <c r="O8" s="276" t="s">
        <v>4072</v>
      </c>
      <c r="P8" s="276" t="s">
        <v>4073</v>
      </c>
      <c r="Q8" s="276" t="s">
        <v>4074</v>
      </c>
      <c r="R8" s="276" t="s">
        <v>4075</v>
      </c>
      <c r="S8" s="276" t="s">
        <v>4076</v>
      </c>
      <c r="T8" s="276" t="s">
        <v>4077</v>
      </c>
      <c r="U8" s="276" t="s">
        <v>4078</v>
      </c>
      <c r="V8" s="276" t="s">
        <v>4079</v>
      </c>
      <c r="W8" s="277" t="s">
        <v>4080</v>
      </c>
      <c r="X8" s="276"/>
      <c r="Z8" s="276" t="s">
        <v>4081</v>
      </c>
      <c r="AA8" s="278" t="s">
        <v>4082</v>
      </c>
      <c r="AB8" s="279" t="s">
        <v>3963</v>
      </c>
      <c r="AC8" s="278" t="s">
        <v>4083</v>
      </c>
      <c r="AD8" s="278" t="s">
        <v>4084</v>
      </c>
      <c r="AE8" s="278" t="s">
        <v>4085</v>
      </c>
      <c r="AF8" s="280" t="s">
        <v>4086</v>
      </c>
      <c r="AG8" s="278" t="s">
        <v>3981</v>
      </c>
      <c r="AH8" s="278" t="s">
        <v>4087</v>
      </c>
      <c r="AI8" s="278" t="s">
        <v>4088</v>
      </c>
      <c r="AJ8" s="278" t="s">
        <v>4089</v>
      </c>
      <c r="AK8" s="278" t="s">
        <v>4090</v>
      </c>
      <c r="AL8" s="278" t="s">
        <v>4091</v>
      </c>
      <c r="AM8" s="278" t="s">
        <v>4092</v>
      </c>
      <c r="AN8" s="278" t="s">
        <v>4093</v>
      </c>
      <c r="AO8" s="278" t="s">
        <v>4094</v>
      </c>
      <c r="AP8" s="278" t="s">
        <v>4095</v>
      </c>
    </row>
    <row r="9" spans="1:42">
      <c r="A9">
        <v>88278</v>
      </c>
      <c r="B9" t="s">
        <v>164</v>
      </c>
      <c r="C9" t="s">
        <v>164</v>
      </c>
      <c r="D9" t="s">
        <v>4096</v>
      </c>
      <c r="E9" t="s">
        <v>4097</v>
      </c>
      <c r="F9" t="s">
        <v>162</v>
      </c>
      <c r="G9" t="s">
        <v>184</v>
      </c>
      <c r="H9"/>
      <c r="I9" t="s">
        <v>4098</v>
      </c>
      <c r="J9" t="b">
        <v>0</v>
      </c>
      <c r="K9" t="b">
        <v>1</v>
      </c>
      <c r="L9"/>
      <c r="M9"/>
      <c r="N9" t="b">
        <v>0</v>
      </c>
      <c r="O9" t="s">
        <v>4099</v>
      </c>
      <c r="P9">
        <v>1.7</v>
      </c>
      <c r="Q9"/>
      <c r="R9">
        <v>1.7</v>
      </c>
      <c r="S9">
        <v>21</v>
      </c>
      <c r="T9">
        <v>19</v>
      </c>
      <c r="U9">
        <v>18</v>
      </c>
      <c r="V9">
        <v>205</v>
      </c>
      <c r="W9" s="281">
        <v>41907</v>
      </c>
      <c r="X9" s="282"/>
      <c r="Z9" s="9" t="b">
        <f>IF(R9&lt;7.75,TRUE, FALSE)</f>
        <v>1</v>
      </c>
      <c r="AA9" s="9" t="str">
        <f>GetFridgeClass(E9,F9,G9,J9,Z9,L9,M9)</f>
        <v>13A</v>
      </c>
      <c r="AB9" s="196">
        <f>IF(OR(E9="Internal Freezer",E9 = "Single Door"),P9 + Q9*1.47,P9 + Q9*1.76)</f>
        <v>1.7</v>
      </c>
      <c r="AC9" s="9">
        <f>VLOOKUP(AA9,'Federal Standards'!$N$9:$P$50,2,FALSE)</f>
        <v>9.17</v>
      </c>
      <c r="AD9" s="44">
        <f>VLOOKUP(AA9,'Federal Standards'!$N$9:$P$50,3,FALSE)</f>
        <v>259.3</v>
      </c>
      <c r="AE9" s="44">
        <f>AB9*AC9+AD9</f>
        <v>274.88900000000001</v>
      </c>
      <c r="AF9" s="283">
        <f>IF($AF$2,AE9-V9,MAX(0,AE9-V9))</f>
        <v>69.88900000000001</v>
      </c>
      <c r="AG9" s="291">
        <f>AF9/AE9</f>
        <v>0.25424444048324962</v>
      </c>
      <c r="AH9" s="184" t="str">
        <f>IF(AF9&gt;=0,"YES","NO")</f>
        <v>YES</v>
      </c>
      <c r="AJ9" s="9" t="str">
        <f>IF(AG9&gt;=0.1,"YES","NO")</f>
        <v>YES</v>
      </c>
      <c r="AK9" s="9" t="str">
        <f>IF(AND($AG9&gt;=0.1,$AG9&lt;0.15),"YES","NO")</f>
        <v>NO</v>
      </c>
      <c r="AL9" s="9" t="str">
        <f>IF(AND($AG9&gt;=0.15,$AG9&lt;0.2),"YES","NO")</f>
        <v>NO</v>
      </c>
      <c r="AM9" s="9" t="str">
        <f>IF($AG9&gt;=0.2,"YES","NO")</f>
        <v>YES</v>
      </c>
      <c r="AN9" s="9" t="str">
        <f>VLOOKUP(AG9,$AO$2:$AP$6,2,TRUE)</f>
        <v>Tier 3 - 20%  or better than Standard</v>
      </c>
      <c r="AO9" s="9" t="str">
        <f>AA9&amp;"_"&amp;AN9</f>
        <v>13A_Tier 3 - 20%  or better than Standard</v>
      </c>
      <c r="AP9" s="9" t="str">
        <f>CONCATENATE(AA9,"_",AJ9)</f>
        <v>13A_YES</v>
      </c>
    </row>
    <row r="10" spans="1:42">
      <c r="A10">
        <v>84364</v>
      </c>
      <c r="B10" t="s">
        <v>164</v>
      </c>
      <c r="C10" t="s">
        <v>164</v>
      </c>
      <c r="D10" t="s">
        <v>558</v>
      </c>
      <c r="E10" s="266" t="s">
        <v>4097</v>
      </c>
      <c r="F10" t="s">
        <v>162</v>
      </c>
      <c r="G10" t="s">
        <v>184</v>
      </c>
      <c r="H10"/>
      <c r="I10" t="s">
        <v>4098</v>
      </c>
      <c r="J10" t="b">
        <v>0</v>
      </c>
      <c r="K10" t="b">
        <v>1</v>
      </c>
      <c r="L10"/>
      <c r="M10"/>
      <c r="N10" t="b">
        <v>0</v>
      </c>
      <c r="O10" t="s">
        <v>4099</v>
      </c>
      <c r="P10">
        <v>3.2</v>
      </c>
      <c r="Q10"/>
      <c r="R10">
        <v>3.2</v>
      </c>
      <c r="S10">
        <v>34</v>
      </c>
      <c r="T10">
        <v>19</v>
      </c>
      <c r="U10">
        <v>18</v>
      </c>
      <c r="V10">
        <v>259</v>
      </c>
      <c r="W10" s="281">
        <v>41796</v>
      </c>
      <c r="X10" s="282"/>
      <c r="Z10" s="9" t="b">
        <f t="shared" ref="Z10:Z73" si="0">IF(R10&lt;7.75,TRUE, FALSE)</f>
        <v>1</v>
      </c>
      <c r="AA10" s="9" t="str">
        <f t="shared" ref="AA10:AA35" si="1">GetFridgeClass(E10,F10,G10,J10,Z10,L10,M10)</f>
        <v>13A</v>
      </c>
      <c r="AB10" s="196">
        <f t="shared" ref="AB10:AB73" si="2">IF(OR(E10="Internal Freezer",E10 = "Single Door"),P10 + Q10*1.47,P10 + Q10*1.76)</f>
        <v>3.2</v>
      </c>
      <c r="AC10" s="9">
        <f>VLOOKUP(AA10,'Federal Standards'!$N$9:$P$50,2,FALSE)</f>
        <v>9.17</v>
      </c>
      <c r="AD10" s="44">
        <f>VLOOKUP(AA10,'Federal Standards'!$N$9:$P$50,3,FALSE)</f>
        <v>259.3</v>
      </c>
      <c r="AE10" s="44">
        <f t="shared" ref="AE10:AE73" si="3">AB10*AC10+AD10</f>
        <v>288.64400000000001</v>
      </c>
      <c r="AF10" s="283">
        <f t="shared" ref="AF10:AF73" si="4">IF($AF$2,AE10-V10,MAX(0,AE10-V10))</f>
        <v>29.644000000000005</v>
      </c>
      <c r="AG10" s="291">
        <f>AF10/AE10</f>
        <v>0.10270090492094069</v>
      </c>
      <c r="AH10" s="184" t="str">
        <f t="shared" ref="AH10:AH73" si="5">IF(AF10&gt;=0,"YES","NO")</f>
        <v>YES</v>
      </c>
      <c r="AJ10" s="9" t="str">
        <f t="shared" ref="AJ10:AJ73" si="6">IF(AG10&gt;=0.1,"YES","NO")</f>
        <v>YES</v>
      </c>
      <c r="AK10" s="9" t="str">
        <f t="shared" ref="AK10:AK73" si="7">IF(AND($AG10&gt;=0.1,$AG10&lt;0.15),"YES","NO")</f>
        <v>YES</v>
      </c>
      <c r="AL10" s="9" t="str">
        <f t="shared" ref="AL10:AL73" si="8">IF(AND($AG10&gt;=0.15,$AG10&lt;0.2),"YES","NO")</f>
        <v>NO</v>
      </c>
      <c r="AM10" s="9" t="str">
        <f t="shared" ref="AM10:AM73" si="9">IF($AG10&gt;=0.2,"YES","NO")</f>
        <v>NO</v>
      </c>
      <c r="AN10" s="9" t="str">
        <f t="shared" ref="AN10:AN73" si="10">VLOOKUP(AG10,$AO$2:$AP$6,2,TRUE)</f>
        <v>Tier 1 - 10% to 15% better than Standard</v>
      </c>
      <c r="AO10" s="9" t="str">
        <f t="shared" ref="AO10:AO73" si="11">AA10&amp;"_"&amp;AN10</f>
        <v>13A_Tier 1 - 10% to 15% better than Standard</v>
      </c>
      <c r="AP10" s="9" t="str">
        <f t="shared" ref="AP10:AP73" si="12">CONCATENATE(AA10,"_",AJ10)</f>
        <v>13A_YES</v>
      </c>
    </row>
    <row r="11" spans="1:42" ht="12.75" customHeight="1">
      <c r="A11">
        <v>84362</v>
      </c>
      <c r="B11" t="s">
        <v>164</v>
      </c>
      <c r="C11" t="s">
        <v>164</v>
      </c>
      <c r="D11" t="s">
        <v>560</v>
      </c>
      <c r="E11" t="s">
        <v>4097</v>
      </c>
      <c r="F11" t="s">
        <v>162</v>
      </c>
      <c r="G11" t="s">
        <v>184</v>
      </c>
      <c r="H11"/>
      <c r="I11" t="s">
        <v>4098</v>
      </c>
      <c r="J11" t="b">
        <v>0</v>
      </c>
      <c r="K11" t="b">
        <v>1</v>
      </c>
      <c r="L11"/>
      <c r="M11"/>
      <c r="N11" t="b">
        <v>0</v>
      </c>
      <c r="O11" t="s">
        <v>4099</v>
      </c>
      <c r="P11">
        <v>4.4000000000000004</v>
      </c>
      <c r="Q11"/>
      <c r="R11">
        <v>4.4000000000000004</v>
      </c>
      <c r="S11">
        <v>33</v>
      </c>
      <c r="T11">
        <v>20</v>
      </c>
      <c r="U11">
        <v>22</v>
      </c>
      <c r="V11">
        <v>269</v>
      </c>
      <c r="W11" s="281">
        <v>41796</v>
      </c>
      <c r="X11" s="282"/>
      <c r="Z11" s="9" t="b">
        <f t="shared" si="0"/>
        <v>1</v>
      </c>
      <c r="AA11" s="9" t="str">
        <f t="shared" si="1"/>
        <v>13A</v>
      </c>
      <c r="AB11" s="196">
        <f t="shared" si="2"/>
        <v>4.4000000000000004</v>
      </c>
      <c r="AC11" s="9">
        <f>VLOOKUP(AA11,'Federal Standards'!$N$9:$P$50,2,FALSE)</f>
        <v>9.17</v>
      </c>
      <c r="AD11" s="44">
        <f>VLOOKUP(AA11,'Federal Standards'!$N$9:$P$50,3,FALSE)</f>
        <v>259.3</v>
      </c>
      <c r="AE11" s="44">
        <f t="shared" si="3"/>
        <v>299.64800000000002</v>
      </c>
      <c r="AF11" s="283">
        <f t="shared" si="4"/>
        <v>30.648000000000025</v>
      </c>
      <c r="AG11" s="291">
        <f>AF11/AE11</f>
        <v>0.10228000854335761</v>
      </c>
      <c r="AH11" s="184" t="str">
        <f t="shared" si="5"/>
        <v>YES</v>
      </c>
      <c r="AJ11" s="9" t="str">
        <f t="shared" si="6"/>
        <v>YES</v>
      </c>
      <c r="AK11" s="9" t="str">
        <f t="shared" si="7"/>
        <v>YES</v>
      </c>
      <c r="AL11" s="9" t="str">
        <f t="shared" si="8"/>
        <v>NO</v>
      </c>
      <c r="AM11" s="9" t="str">
        <f t="shared" si="9"/>
        <v>NO</v>
      </c>
      <c r="AN11" s="9" t="str">
        <f t="shared" si="10"/>
        <v>Tier 1 - 10% to 15% better than Standard</v>
      </c>
      <c r="AO11" s="9" t="str">
        <f t="shared" si="11"/>
        <v>13A_Tier 1 - 10% to 15% better than Standard</v>
      </c>
      <c r="AP11" s="9" t="str">
        <f t="shared" si="12"/>
        <v>13A_YES</v>
      </c>
    </row>
    <row r="12" spans="1:42" ht="12.75" customHeight="1">
      <c r="A12">
        <v>84369</v>
      </c>
      <c r="B12" t="s">
        <v>164</v>
      </c>
      <c r="C12" t="s">
        <v>164</v>
      </c>
      <c r="D12" t="s">
        <v>4100</v>
      </c>
      <c r="E12" t="s">
        <v>190</v>
      </c>
      <c r="F12" t="s">
        <v>188</v>
      </c>
      <c r="G12" t="s">
        <v>189</v>
      </c>
      <c r="H12"/>
      <c r="I12" t="s">
        <v>4098</v>
      </c>
      <c r="J12" t="b">
        <v>0</v>
      </c>
      <c r="K12" t="b">
        <v>1</v>
      </c>
      <c r="L12"/>
      <c r="M12"/>
      <c r="N12" t="b">
        <v>0</v>
      </c>
      <c r="O12" t="s">
        <v>4099</v>
      </c>
      <c r="P12"/>
      <c r="Q12">
        <v>3.5</v>
      </c>
      <c r="R12">
        <v>3.5</v>
      </c>
      <c r="S12">
        <v>33</v>
      </c>
      <c r="T12">
        <v>22</v>
      </c>
      <c r="U12">
        <v>25</v>
      </c>
      <c r="V12">
        <v>173</v>
      </c>
      <c r="W12" s="281">
        <v>41796</v>
      </c>
      <c r="X12" s="282"/>
      <c r="Z12" s="9" t="b">
        <f t="shared" si="0"/>
        <v>1</v>
      </c>
      <c r="AA12" s="9" t="str">
        <f t="shared" si="1"/>
        <v>18</v>
      </c>
      <c r="AB12" s="196">
        <f t="shared" si="2"/>
        <v>6.16</v>
      </c>
      <c r="AC12" s="9">
        <f>VLOOKUP(AA12,'Federal Standards'!$N$9:$P$50,2,FALSE)</f>
        <v>9.25</v>
      </c>
      <c r="AD12" s="44">
        <f>VLOOKUP(AA12,'Federal Standards'!$N$9:$P$50,3,FALSE)</f>
        <v>136.80000000000001</v>
      </c>
      <c r="AE12" s="44">
        <f t="shared" si="3"/>
        <v>193.78000000000003</v>
      </c>
      <c r="AF12" s="283">
        <f t="shared" si="4"/>
        <v>20.78000000000003</v>
      </c>
      <c r="AG12" s="291">
        <f t="shared" ref="AG12:AG75" si="13">AF12/AE12</f>
        <v>0.10723500877283532</v>
      </c>
      <c r="AH12" s="184" t="str">
        <f t="shared" si="5"/>
        <v>YES</v>
      </c>
      <c r="AJ12" s="9" t="str">
        <f t="shared" si="6"/>
        <v>YES</v>
      </c>
      <c r="AK12" s="9" t="str">
        <f t="shared" si="7"/>
        <v>YES</v>
      </c>
      <c r="AL12" s="9" t="str">
        <f t="shared" si="8"/>
        <v>NO</v>
      </c>
      <c r="AM12" s="9" t="str">
        <f t="shared" si="9"/>
        <v>NO</v>
      </c>
      <c r="AN12" s="9" t="str">
        <f t="shared" si="10"/>
        <v>Tier 1 - 10% to 15% better than Standard</v>
      </c>
      <c r="AO12" s="9" t="str">
        <f t="shared" si="11"/>
        <v>18_Tier 1 - 10% to 15% better than Standard</v>
      </c>
      <c r="AP12" s="9" t="str">
        <f t="shared" si="12"/>
        <v>18_YES</v>
      </c>
    </row>
    <row r="13" spans="1:42">
      <c r="A13">
        <v>85124</v>
      </c>
      <c r="B13" t="s">
        <v>164</v>
      </c>
      <c r="C13" t="s">
        <v>164</v>
      </c>
      <c r="D13" t="s">
        <v>4101</v>
      </c>
      <c r="E13" t="s">
        <v>190</v>
      </c>
      <c r="F13" t="s">
        <v>188</v>
      </c>
      <c r="G13" t="s">
        <v>189</v>
      </c>
      <c r="H13"/>
      <c r="I13"/>
      <c r="J13" t="b">
        <v>0</v>
      </c>
      <c r="K13" t="b">
        <v>1</v>
      </c>
      <c r="L13"/>
      <c r="M13"/>
      <c r="N13" t="b">
        <v>0</v>
      </c>
      <c r="O13" t="s">
        <v>4099</v>
      </c>
      <c r="P13"/>
      <c r="Q13">
        <v>5.2</v>
      </c>
      <c r="R13">
        <v>5.2</v>
      </c>
      <c r="S13">
        <v>33</v>
      </c>
      <c r="T13">
        <v>31</v>
      </c>
      <c r="U13">
        <v>23</v>
      </c>
      <c r="V13">
        <v>198</v>
      </c>
      <c r="W13" s="281">
        <v>41822</v>
      </c>
      <c r="X13" s="282"/>
      <c r="Z13" s="9" t="b">
        <f t="shared" si="0"/>
        <v>1</v>
      </c>
      <c r="AA13" s="9" t="str">
        <f t="shared" si="1"/>
        <v>18</v>
      </c>
      <c r="AB13" s="196">
        <f t="shared" si="2"/>
        <v>9.152000000000001</v>
      </c>
      <c r="AC13" s="9">
        <f>VLOOKUP(AA13,'Federal Standards'!$N$9:$P$50,2,FALSE)</f>
        <v>9.25</v>
      </c>
      <c r="AD13" s="44">
        <f>VLOOKUP(AA13,'Federal Standards'!$N$9:$P$50,3,FALSE)</f>
        <v>136.80000000000001</v>
      </c>
      <c r="AE13" s="44">
        <f t="shared" si="3"/>
        <v>221.45600000000002</v>
      </c>
      <c r="AF13" s="283">
        <f t="shared" si="4"/>
        <v>23.456000000000017</v>
      </c>
      <c r="AG13" s="291">
        <f t="shared" si="13"/>
        <v>0.10591720251426927</v>
      </c>
      <c r="AH13" s="184" t="str">
        <f t="shared" si="5"/>
        <v>YES</v>
      </c>
      <c r="AJ13" s="9" t="str">
        <f t="shared" si="6"/>
        <v>YES</v>
      </c>
      <c r="AK13" s="9" t="str">
        <f t="shared" si="7"/>
        <v>YES</v>
      </c>
      <c r="AL13" s="9" t="str">
        <f t="shared" si="8"/>
        <v>NO</v>
      </c>
      <c r="AM13" s="9" t="str">
        <f t="shared" si="9"/>
        <v>NO</v>
      </c>
      <c r="AN13" s="9" t="str">
        <f t="shared" si="10"/>
        <v>Tier 1 - 10% to 15% better than Standard</v>
      </c>
      <c r="AO13" s="9" t="str">
        <f t="shared" si="11"/>
        <v>18_Tier 1 - 10% to 15% better than Standard</v>
      </c>
      <c r="AP13" s="9" t="str">
        <f t="shared" si="12"/>
        <v>18_YES</v>
      </c>
    </row>
    <row r="14" spans="1:42">
      <c r="A14">
        <v>84366</v>
      </c>
      <c r="B14" t="s">
        <v>164</v>
      </c>
      <c r="C14" t="s">
        <v>164</v>
      </c>
      <c r="D14" t="s">
        <v>4102</v>
      </c>
      <c r="E14" t="s">
        <v>190</v>
      </c>
      <c r="F14" t="s">
        <v>188</v>
      </c>
      <c r="G14" t="s">
        <v>189</v>
      </c>
      <c r="H14"/>
      <c r="I14" t="s">
        <v>4098</v>
      </c>
      <c r="J14" t="b">
        <v>0</v>
      </c>
      <c r="K14" t="b">
        <v>1</v>
      </c>
      <c r="L14"/>
      <c r="M14"/>
      <c r="N14" t="b">
        <v>0</v>
      </c>
      <c r="O14" t="s">
        <v>4099</v>
      </c>
      <c r="P14"/>
      <c r="Q14">
        <v>7</v>
      </c>
      <c r="R14">
        <v>7</v>
      </c>
      <c r="S14">
        <v>33</v>
      </c>
      <c r="T14">
        <v>35</v>
      </c>
      <c r="U14">
        <v>25</v>
      </c>
      <c r="V14">
        <v>219</v>
      </c>
      <c r="W14" s="281">
        <v>41796</v>
      </c>
      <c r="X14" s="282"/>
      <c r="Z14" s="9" t="b">
        <f t="shared" si="0"/>
        <v>1</v>
      </c>
      <c r="AA14" s="9" t="str">
        <f t="shared" si="1"/>
        <v>18</v>
      </c>
      <c r="AB14" s="196">
        <f t="shared" si="2"/>
        <v>12.32</v>
      </c>
      <c r="AC14" s="9">
        <f>VLOOKUP(AA14,'Federal Standards'!$N$9:$P$50,2,FALSE)</f>
        <v>9.25</v>
      </c>
      <c r="AD14" s="44">
        <f>VLOOKUP(AA14,'Federal Standards'!$N$9:$P$50,3,FALSE)</f>
        <v>136.80000000000001</v>
      </c>
      <c r="AE14" s="44">
        <f t="shared" si="3"/>
        <v>250.76000000000002</v>
      </c>
      <c r="AF14" s="283">
        <f t="shared" si="4"/>
        <v>31.760000000000019</v>
      </c>
      <c r="AG14" s="291">
        <f t="shared" si="13"/>
        <v>0.1266549688945606</v>
      </c>
      <c r="AH14" s="184" t="str">
        <f t="shared" si="5"/>
        <v>YES</v>
      </c>
      <c r="AJ14" s="9" t="str">
        <f t="shared" si="6"/>
        <v>YES</v>
      </c>
      <c r="AK14" s="9" t="str">
        <f t="shared" si="7"/>
        <v>YES</v>
      </c>
      <c r="AL14" s="9" t="str">
        <f t="shared" si="8"/>
        <v>NO</v>
      </c>
      <c r="AM14" s="9" t="str">
        <f t="shared" si="9"/>
        <v>NO</v>
      </c>
      <c r="AN14" s="9" t="str">
        <f t="shared" si="10"/>
        <v>Tier 1 - 10% to 15% better than Standard</v>
      </c>
      <c r="AO14" s="9" t="str">
        <f t="shared" si="11"/>
        <v>18_Tier 1 - 10% to 15% better than Standard</v>
      </c>
      <c r="AP14" s="9" t="str">
        <f t="shared" si="12"/>
        <v>18_YES</v>
      </c>
    </row>
    <row r="15" spans="1:42">
      <c r="A15">
        <v>84368</v>
      </c>
      <c r="B15" t="s">
        <v>164</v>
      </c>
      <c r="C15" t="s">
        <v>164</v>
      </c>
      <c r="D15" t="s">
        <v>4103</v>
      </c>
      <c r="E15" t="s">
        <v>190</v>
      </c>
      <c r="F15" t="s">
        <v>188</v>
      </c>
      <c r="G15" t="s">
        <v>189</v>
      </c>
      <c r="H15"/>
      <c r="I15" t="s">
        <v>4098</v>
      </c>
      <c r="J15" t="b">
        <v>0</v>
      </c>
      <c r="K15" t="b">
        <v>1</v>
      </c>
      <c r="L15"/>
      <c r="M15"/>
      <c r="N15" t="b">
        <v>0</v>
      </c>
      <c r="O15" t="s">
        <v>4099</v>
      </c>
      <c r="P15"/>
      <c r="Q15">
        <v>2.1</v>
      </c>
      <c r="R15">
        <v>2.1</v>
      </c>
      <c r="S15">
        <v>33</v>
      </c>
      <c r="T15">
        <v>17</v>
      </c>
      <c r="U15">
        <v>25</v>
      </c>
      <c r="V15">
        <v>152</v>
      </c>
      <c r="W15" s="281">
        <v>41796</v>
      </c>
      <c r="X15" s="282"/>
      <c r="Z15" s="9" t="b">
        <f t="shared" si="0"/>
        <v>1</v>
      </c>
      <c r="AA15" s="9" t="str">
        <f t="shared" si="1"/>
        <v>18</v>
      </c>
      <c r="AB15" s="196">
        <f t="shared" si="2"/>
        <v>3.6960000000000002</v>
      </c>
      <c r="AC15" s="9">
        <f>VLOOKUP(AA15,'Federal Standards'!$N$9:$P$50,2,FALSE)</f>
        <v>9.25</v>
      </c>
      <c r="AD15" s="44">
        <f>VLOOKUP(AA15,'Federal Standards'!$N$9:$P$50,3,FALSE)</f>
        <v>136.80000000000001</v>
      </c>
      <c r="AE15" s="44">
        <f t="shared" si="3"/>
        <v>170.988</v>
      </c>
      <c r="AF15" s="283">
        <f t="shared" si="4"/>
        <v>18.988</v>
      </c>
      <c r="AG15" s="291">
        <f t="shared" si="13"/>
        <v>0.1110487285657473</v>
      </c>
      <c r="AH15" s="184" t="str">
        <f t="shared" si="5"/>
        <v>YES</v>
      </c>
      <c r="AJ15" s="9" t="str">
        <f t="shared" si="6"/>
        <v>YES</v>
      </c>
      <c r="AK15" s="9" t="str">
        <f t="shared" si="7"/>
        <v>YES</v>
      </c>
      <c r="AL15" s="9" t="str">
        <f t="shared" si="8"/>
        <v>NO</v>
      </c>
      <c r="AM15" s="9" t="str">
        <f t="shared" si="9"/>
        <v>NO</v>
      </c>
      <c r="AN15" s="9" t="str">
        <f t="shared" si="10"/>
        <v>Tier 1 - 10% to 15% better than Standard</v>
      </c>
      <c r="AO15" s="9" t="str">
        <f t="shared" si="11"/>
        <v>18_Tier 1 - 10% to 15% better than Standard</v>
      </c>
      <c r="AP15" s="9" t="str">
        <f t="shared" si="12"/>
        <v>18_YES</v>
      </c>
    </row>
    <row r="16" spans="1:42">
      <c r="A16">
        <v>82834</v>
      </c>
      <c r="B16" t="s">
        <v>164</v>
      </c>
      <c r="C16" t="s">
        <v>164</v>
      </c>
      <c r="D16" t="s">
        <v>562</v>
      </c>
      <c r="E16" t="s">
        <v>4104</v>
      </c>
      <c r="F16" t="s">
        <v>162</v>
      </c>
      <c r="G16" t="s">
        <v>4105</v>
      </c>
      <c r="H16"/>
      <c r="I16" t="s">
        <v>4106</v>
      </c>
      <c r="J16"/>
      <c r="K16"/>
      <c r="L16"/>
      <c r="M16"/>
      <c r="N16" t="b">
        <v>0</v>
      </c>
      <c r="O16" t="s">
        <v>4099</v>
      </c>
      <c r="P16">
        <v>3.28</v>
      </c>
      <c r="Q16">
        <v>1.04</v>
      </c>
      <c r="R16">
        <v>4.32</v>
      </c>
      <c r="S16">
        <v>44</v>
      </c>
      <c r="T16">
        <v>19</v>
      </c>
      <c r="U16">
        <v>23</v>
      </c>
      <c r="V16">
        <v>320</v>
      </c>
      <c r="W16" s="281">
        <v>41537</v>
      </c>
      <c r="X16" s="282"/>
      <c r="Z16" s="9" t="b">
        <f t="shared" si="0"/>
        <v>1</v>
      </c>
      <c r="AA16" s="9" t="str">
        <f t="shared" si="1"/>
        <v>13</v>
      </c>
      <c r="AB16" s="196">
        <f t="shared" si="2"/>
        <v>5.1104000000000003</v>
      </c>
      <c r="AC16" s="9">
        <f>VLOOKUP(AA16,'Federal Standards'!$N$9:$P$50,2,FALSE)</f>
        <v>11.8</v>
      </c>
      <c r="AD16" s="44">
        <f>VLOOKUP(AA16,'Federal Standards'!$N$9:$P$50,3,FALSE)</f>
        <v>339.2</v>
      </c>
      <c r="AE16" s="44">
        <f t="shared" si="3"/>
        <v>399.50272000000001</v>
      </c>
      <c r="AF16" s="283">
        <f t="shared" si="4"/>
        <v>79.502720000000011</v>
      </c>
      <c r="AG16" s="291">
        <f t="shared" si="13"/>
        <v>0.19900420202395622</v>
      </c>
      <c r="AH16" s="184" t="str">
        <f t="shared" si="5"/>
        <v>YES</v>
      </c>
      <c r="AJ16" s="9" t="str">
        <f t="shared" si="6"/>
        <v>YES</v>
      </c>
      <c r="AK16" s="9" t="str">
        <f t="shared" si="7"/>
        <v>NO</v>
      </c>
      <c r="AL16" s="9" t="str">
        <f t="shared" si="8"/>
        <v>YES</v>
      </c>
      <c r="AM16" s="9" t="str">
        <f t="shared" si="9"/>
        <v>NO</v>
      </c>
      <c r="AN16" s="9" t="str">
        <f t="shared" si="10"/>
        <v>Tier 2 - 15% to 20% better than Standard</v>
      </c>
      <c r="AO16" s="9" t="str">
        <f t="shared" si="11"/>
        <v>13_Tier 2 - 15% to 20% better than Standard</v>
      </c>
      <c r="AP16" s="9" t="str">
        <f t="shared" si="12"/>
        <v>13_YES</v>
      </c>
    </row>
    <row r="17" spans="1:42">
      <c r="A17">
        <v>85155</v>
      </c>
      <c r="B17" t="s">
        <v>164</v>
      </c>
      <c r="C17" t="s">
        <v>164</v>
      </c>
      <c r="D17" t="s">
        <v>4107</v>
      </c>
      <c r="E17" t="s">
        <v>4108</v>
      </c>
      <c r="F17" t="s">
        <v>162</v>
      </c>
      <c r="G17" t="s">
        <v>4105</v>
      </c>
      <c r="H17"/>
      <c r="I17"/>
      <c r="J17" t="b">
        <v>0</v>
      </c>
      <c r="K17" t="b">
        <v>1</v>
      </c>
      <c r="L17" t="b">
        <v>0</v>
      </c>
      <c r="M17"/>
      <c r="N17" t="b">
        <v>0</v>
      </c>
      <c r="O17" t="s">
        <v>4099</v>
      </c>
      <c r="P17">
        <v>7.2</v>
      </c>
      <c r="Q17">
        <v>2.7</v>
      </c>
      <c r="R17">
        <v>9.9</v>
      </c>
      <c r="S17">
        <v>60</v>
      </c>
      <c r="T17">
        <v>24</v>
      </c>
      <c r="U17">
        <v>26</v>
      </c>
      <c r="V17">
        <v>329</v>
      </c>
      <c r="W17" s="281">
        <v>41827</v>
      </c>
      <c r="X17" s="282"/>
      <c r="Z17" s="9" t="b">
        <f t="shared" si="0"/>
        <v>0</v>
      </c>
      <c r="AA17" s="9" t="str">
        <f t="shared" si="1"/>
        <v>3</v>
      </c>
      <c r="AB17" s="196">
        <f t="shared" si="2"/>
        <v>11.952000000000002</v>
      </c>
      <c r="AC17" s="9">
        <f>VLOOKUP(AA17,'Federal Standards'!$N$9:$P$50,2,FALSE)</f>
        <v>8.07</v>
      </c>
      <c r="AD17" s="44">
        <f>VLOOKUP(AA17,'Federal Standards'!$N$9:$P$50,3,FALSE)</f>
        <v>233.7</v>
      </c>
      <c r="AE17" s="44">
        <f t="shared" si="3"/>
        <v>330.15264000000002</v>
      </c>
      <c r="AF17" s="283">
        <f t="shared" si="4"/>
        <v>1.1526400000000194</v>
      </c>
      <c r="AG17" s="291">
        <f t="shared" si="13"/>
        <v>3.4912336306019524E-3</v>
      </c>
      <c r="AH17" s="184" t="str">
        <f t="shared" si="5"/>
        <v>YES</v>
      </c>
      <c r="AJ17" s="9" t="str">
        <f t="shared" si="6"/>
        <v>NO</v>
      </c>
      <c r="AK17" s="9" t="str">
        <f t="shared" si="7"/>
        <v>NO</v>
      </c>
      <c r="AL17" s="9" t="str">
        <f t="shared" si="8"/>
        <v>NO</v>
      </c>
      <c r="AM17" s="9" t="str">
        <f t="shared" si="9"/>
        <v>NO</v>
      </c>
      <c r="AN17" s="9" t="str">
        <f t="shared" si="10"/>
        <v>Less than 10% better than Standard</v>
      </c>
      <c r="AO17" s="9" t="str">
        <f t="shared" si="11"/>
        <v>3_Less than 10% better than Standard</v>
      </c>
      <c r="AP17" s="9" t="str">
        <f t="shared" si="12"/>
        <v>3_NO</v>
      </c>
    </row>
    <row r="18" spans="1:42">
      <c r="A18">
        <v>84722</v>
      </c>
      <c r="B18" t="s">
        <v>164</v>
      </c>
      <c r="C18" t="s">
        <v>164</v>
      </c>
      <c r="D18" t="s">
        <v>564</v>
      </c>
      <c r="E18" t="s">
        <v>4109</v>
      </c>
      <c r="F18" t="s">
        <v>162</v>
      </c>
      <c r="G18" t="s">
        <v>4105</v>
      </c>
      <c r="H18"/>
      <c r="I18"/>
      <c r="J18" t="b">
        <v>0</v>
      </c>
      <c r="K18" t="b">
        <v>1</v>
      </c>
      <c r="L18" t="b">
        <v>0</v>
      </c>
      <c r="M18"/>
      <c r="N18" t="b">
        <v>0</v>
      </c>
      <c r="O18" t="s">
        <v>4099</v>
      </c>
      <c r="P18">
        <v>3</v>
      </c>
      <c r="Q18">
        <v>1.5</v>
      </c>
      <c r="R18">
        <v>4.5</v>
      </c>
      <c r="S18">
        <v>45</v>
      </c>
      <c r="T18">
        <v>20</v>
      </c>
      <c r="U18">
        <v>24</v>
      </c>
      <c r="V18">
        <v>340</v>
      </c>
      <c r="W18" s="281">
        <v>41803</v>
      </c>
      <c r="X18" s="282"/>
      <c r="Z18" s="9" t="b">
        <f t="shared" si="0"/>
        <v>1</v>
      </c>
      <c r="AA18" s="9" t="str">
        <f t="shared" si="1"/>
        <v>15</v>
      </c>
      <c r="AB18" s="196">
        <f t="shared" si="2"/>
        <v>5.6400000000000006</v>
      </c>
      <c r="AC18" s="9">
        <f>VLOOKUP(AA18,'Federal Standards'!$N$9:$P$50,2,FALSE)</f>
        <v>11.8</v>
      </c>
      <c r="AD18" s="44">
        <f>VLOOKUP(AA18,'Federal Standards'!$N$9:$P$50,3,FALSE)</f>
        <v>339.2</v>
      </c>
      <c r="AE18" s="44">
        <f t="shared" si="3"/>
        <v>405.75200000000001</v>
      </c>
      <c r="AF18" s="283">
        <f t="shared" si="4"/>
        <v>65.75200000000001</v>
      </c>
      <c r="AG18" s="291">
        <f t="shared" si="13"/>
        <v>0.16204972495514502</v>
      </c>
      <c r="AH18" s="184" t="str">
        <f t="shared" si="5"/>
        <v>YES</v>
      </c>
      <c r="AJ18" s="9" t="str">
        <f t="shared" si="6"/>
        <v>YES</v>
      </c>
      <c r="AK18" s="9" t="str">
        <f t="shared" si="7"/>
        <v>NO</v>
      </c>
      <c r="AL18" s="9" t="str">
        <f t="shared" si="8"/>
        <v>YES</v>
      </c>
      <c r="AM18" s="9" t="str">
        <f t="shared" si="9"/>
        <v>NO</v>
      </c>
      <c r="AN18" s="9" t="str">
        <f t="shared" si="10"/>
        <v>Tier 2 - 15% to 20% better than Standard</v>
      </c>
      <c r="AO18" s="9" t="str">
        <f t="shared" si="11"/>
        <v>15_Tier 2 - 15% to 20% better than Standard</v>
      </c>
      <c r="AP18" s="9" t="str">
        <f t="shared" si="12"/>
        <v>15_YES</v>
      </c>
    </row>
    <row r="19" spans="1:42">
      <c r="A19">
        <v>88279</v>
      </c>
      <c r="B19" t="s">
        <v>164</v>
      </c>
      <c r="C19" t="s">
        <v>164</v>
      </c>
      <c r="D19" t="s">
        <v>4110</v>
      </c>
      <c r="E19" t="s">
        <v>4109</v>
      </c>
      <c r="F19" t="s">
        <v>162</v>
      </c>
      <c r="G19" t="s">
        <v>4105</v>
      </c>
      <c r="H19"/>
      <c r="I19" t="s">
        <v>4098</v>
      </c>
      <c r="J19" t="b">
        <v>0</v>
      </c>
      <c r="K19" t="b">
        <v>0</v>
      </c>
      <c r="L19" t="b">
        <v>0</v>
      </c>
      <c r="M19"/>
      <c r="N19" t="b">
        <v>0</v>
      </c>
      <c r="O19" t="s">
        <v>4099</v>
      </c>
      <c r="P19">
        <v>6.37</v>
      </c>
      <c r="Q19">
        <v>2.82</v>
      </c>
      <c r="R19">
        <v>9.19</v>
      </c>
      <c r="S19">
        <v>60</v>
      </c>
      <c r="T19">
        <v>24</v>
      </c>
      <c r="U19">
        <v>27</v>
      </c>
      <c r="V19">
        <v>409</v>
      </c>
      <c r="W19" s="281">
        <v>41907</v>
      </c>
      <c r="X19" s="282"/>
      <c r="Z19" s="9" t="b">
        <f t="shared" si="0"/>
        <v>0</v>
      </c>
      <c r="AA19" s="9" t="str">
        <f t="shared" si="1"/>
        <v>5</v>
      </c>
      <c r="AB19" s="196">
        <f t="shared" si="2"/>
        <v>11.3332</v>
      </c>
      <c r="AC19" s="9">
        <f>VLOOKUP(AA19,'Federal Standards'!$N$9:$P$50,2,FALSE)</f>
        <v>8.85</v>
      </c>
      <c r="AD19" s="44">
        <f>VLOOKUP(AA19,'Federal Standards'!$N$9:$P$50,3,FALSE)</f>
        <v>317</v>
      </c>
      <c r="AE19" s="44">
        <f t="shared" si="3"/>
        <v>417.29881999999998</v>
      </c>
      <c r="AF19" s="283">
        <f t="shared" si="4"/>
        <v>8.2988199999999779</v>
      </c>
      <c r="AG19" s="291">
        <f t="shared" si="13"/>
        <v>1.9886996085922263E-2</v>
      </c>
      <c r="AH19" s="184" t="str">
        <f t="shared" si="5"/>
        <v>YES</v>
      </c>
      <c r="AJ19" s="9" t="str">
        <f t="shared" si="6"/>
        <v>NO</v>
      </c>
      <c r="AK19" s="9" t="str">
        <f t="shared" si="7"/>
        <v>NO</v>
      </c>
      <c r="AL19" s="9" t="str">
        <f t="shared" si="8"/>
        <v>NO</v>
      </c>
      <c r="AM19" s="9" t="str">
        <f t="shared" si="9"/>
        <v>NO</v>
      </c>
      <c r="AN19" s="9" t="str">
        <f t="shared" si="10"/>
        <v>Less than 10% better than Standard</v>
      </c>
      <c r="AO19" s="9" t="str">
        <f t="shared" si="11"/>
        <v>5_Less than 10% better than Standard</v>
      </c>
      <c r="AP19" s="9" t="str">
        <f t="shared" si="12"/>
        <v>5_NO</v>
      </c>
    </row>
    <row r="20" spans="1:42">
      <c r="A20">
        <v>84356</v>
      </c>
      <c r="B20" t="s">
        <v>164</v>
      </c>
      <c r="C20" t="s">
        <v>164</v>
      </c>
      <c r="D20" t="s">
        <v>566</v>
      </c>
      <c r="E20" t="s">
        <v>4108</v>
      </c>
      <c r="F20" t="s">
        <v>4111</v>
      </c>
      <c r="G20" t="s">
        <v>4105</v>
      </c>
      <c r="H20"/>
      <c r="I20" t="s">
        <v>4098</v>
      </c>
      <c r="J20" t="b">
        <v>0</v>
      </c>
      <c r="K20" t="b">
        <v>1</v>
      </c>
      <c r="L20" t="b">
        <v>0</v>
      </c>
      <c r="M20"/>
      <c r="N20" t="b">
        <v>0</v>
      </c>
      <c r="O20" t="s">
        <v>4099</v>
      </c>
      <c r="P20">
        <v>2.19</v>
      </c>
      <c r="Q20">
        <v>0.87</v>
      </c>
      <c r="R20">
        <v>3.06</v>
      </c>
      <c r="S20">
        <v>33</v>
      </c>
      <c r="T20">
        <v>20</v>
      </c>
      <c r="U20">
        <v>21</v>
      </c>
      <c r="V20">
        <v>320</v>
      </c>
      <c r="W20" s="281">
        <v>41796</v>
      </c>
      <c r="X20" s="282"/>
      <c r="Z20" s="9" t="b">
        <f t="shared" si="0"/>
        <v>1</v>
      </c>
      <c r="AA20" s="9" t="str">
        <f t="shared" si="1"/>
        <v>12</v>
      </c>
      <c r="AB20" s="196">
        <f t="shared" si="2"/>
        <v>3.7211999999999996</v>
      </c>
      <c r="AC20" s="9">
        <f>VLOOKUP(AA20,'Federal Standards'!$N$9:$P$50,2,FALSE)</f>
        <v>5.91</v>
      </c>
      <c r="AD20" s="44">
        <f>VLOOKUP(AA20,'Federal Standards'!$N$9:$P$50,3,FALSE)</f>
        <v>335.8</v>
      </c>
      <c r="AE20" s="44">
        <f t="shared" si="3"/>
        <v>357.79229200000003</v>
      </c>
      <c r="AF20" s="283">
        <f t="shared" si="4"/>
        <v>37.792292000000032</v>
      </c>
      <c r="AG20" s="291">
        <f t="shared" si="13"/>
        <v>0.1056263447956001</v>
      </c>
      <c r="AH20" s="184" t="str">
        <f t="shared" si="5"/>
        <v>YES</v>
      </c>
      <c r="AJ20" s="9" t="str">
        <f t="shared" si="6"/>
        <v>YES</v>
      </c>
      <c r="AK20" s="9" t="str">
        <f t="shared" si="7"/>
        <v>YES</v>
      </c>
      <c r="AL20" s="9" t="str">
        <f t="shared" si="8"/>
        <v>NO</v>
      </c>
      <c r="AM20" s="9" t="str">
        <f t="shared" si="9"/>
        <v>NO</v>
      </c>
      <c r="AN20" s="9" t="str">
        <f t="shared" si="10"/>
        <v>Tier 1 - 10% to 15% better than Standard</v>
      </c>
      <c r="AO20" s="9" t="str">
        <f t="shared" si="11"/>
        <v>12_Tier 1 - 10% to 15% better than Standard</v>
      </c>
      <c r="AP20" s="9" t="str">
        <f t="shared" si="12"/>
        <v>12_YES</v>
      </c>
    </row>
    <row r="21" spans="1:42">
      <c r="A21">
        <v>84360</v>
      </c>
      <c r="B21" t="s">
        <v>164</v>
      </c>
      <c r="C21" t="s">
        <v>164</v>
      </c>
      <c r="D21" t="s">
        <v>569</v>
      </c>
      <c r="E21" t="s">
        <v>4108</v>
      </c>
      <c r="F21" t="s">
        <v>4111</v>
      </c>
      <c r="G21" t="s">
        <v>4105</v>
      </c>
      <c r="H21"/>
      <c r="I21" t="s">
        <v>4098</v>
      </c>
      <c r="J21" t="b">
        <v>0</v>
      </c>
      <c r="K21" t="b">
        <v>1</v>
      </c>
      <c r="L21" t="b">
        <v>0</v>
      </c>
      <c r="M21"/>
      <c r="N21" t="b">
        <v>0</v>
      </c>
      <c r="O21" t="s">
        <v>4099</v>
      </c>
      <c r="P21">
        <v>6.04</v>
      </c>
      <c r="Q21">
        <v>1.36</v>
      </c>
      <c r="R21">
        <v>7.4</v>
      </c>
      <c r="S21">
        <v>57</v>
      </c>
      <c r="T21">
        <v>22</v>
      </c>
      <c r="U21">
        <v>23</v>
      </c>
      <c r="V21">
        <v>345</v>
      </c>
      <c r="W21" s="281">
        <v>41796</v>
      </c>
      <c r="X21" s="282"/>
      <c r="Z21" s="9" t="b">
        <f t="shared" si="0"/>
        <v>1</v>
      </c>
      <c r="AA21" s="9" t="str">
        <f t="shared" si="1"/>
        <v>12</v>
      </c>
      <c r="AB21" s="196">
        <f t="shared" si="2"/>
        <v>8.4336000000000002</v>
      </c>
      <c r="AC21" s="9">
        <f>VLOOKUP(AA21,'Federal Standards'!$N$9:$P$50,2,FALSE)</f>
        <v>5.91</v>
      </c>
      <c r="AD21" s="44">
        <f>VLOOKUP(AA21,'Federal Standards'!$N$9:$P$50,3,FALSE)</f>
        <v>335.8</v>
      </c>
      <c r="AE21" s="44">
        <f t="shared" si="3"/>
        <v>385.64257600000002</v>
      </c>
      <c r="AF21" s="283">
        <f t="shared" si="4"/>
        <v>40.64257600000002</v>
      </c>
      <c r="AG21" s="291">
        <f t="shared" si="13"/>
        <v>0.10538923482349111</v>
      </c>
      <c r="AH21" s="184" t="str">
        <f t="shared" si="5"/>
        <v>YES</v>
      </c>
      <c r="AJ21" s="9" t="str">
        <f t="shared" si="6"/>
        <v>YES</v>
      </c>
      <c r="AK21" s="9" t="str">
        <f t="shared" si="7"/>
        <v>YES</v>
      </c>
      <c r="AL21" s="9" t="str">
        <f t="shared" si="8"/>
        <v>NO</v>
      </c>
      <c r="AM21" s="9" t="str">
        <f t="shared" si="9"/>
        <v>NO</v>
      </c>
      <c r="AN21" s="9" t="str">
        <f t="shared" si="10"/>
        <v>Tier 1 - 10% to 15% better than Standard</v>
      </c>
      <c r="AO21" s="9" t="str">
        <f t="shared" si="11"/>
        <v>12_Tier 1 - 10% to 15% better than Standard</v>
      </c>
      <c r="AP21" s="9" t="str">
        <f t="shared" si="12"/>
        <v>12_YES</v>
      </c>
    </row>
    <row r="22" spans="1:42">
      <c r="A22">
        <v>84348</v>
      </c>
      <c r="B22" t="s">
        <v>164</v>
      </c>
      <c r="C22" t="s">
        <v>164</v>
      </c>
      <c r="D22" t="s">
        <v>572</v>
      </c>
      <c r="E22" t="s">
        <v>4112</v>
      </c>
      <c r="F22" t="s">
        <v>188</v>
      </c>
      <c r="G22" t="s">
        <v>184</v>
      </c>
      <c r="H22"/>
      <c r="I22" t="s">
        <v>4098</v>
      </c>
      <c r="J22" t="b">
        <v>0</v>
      </c>
      <c r="K22" t="b">
        <v>1</v>
      </c>
      <c r="L22"/>
      <c r="M22"/>
      <c r="N22" t="b">
        <v>0</v>
      </c>
      <c r="O22" t="s">
        <v>4099</v>
      </c>
      <c r="P22">
        <v>2.4</v>
      </c>
      <c r="Q22"/>
      <c r="R22">
        <v>2.4</v>
      </c>
      <c r="S22">
        <v>26</v>
      </c>
      <c r="T22">
        <v>18</v>
      </c>
      <c r="U22">
        <v>20</v>
      </c>
      <c r="V22">
        <v>212</v>
      </c>
      <c r="W22" s="281">
        <v>41796</v>
      </c>
      <c r="X22" s="282"/>
      <c r="Z22" s="9" t="b">
        <f t="shared" si="0"/>
        <v>1</v>
      </c>
      <c r="AA22" s="9" t="str">
        <f t="shared" si="1"/>
        <v>11A</v>
      </c>
      <c r="AB22" s="196">
        <f t="shared" si="2"/>
        <v>2.4</v>
      </c>
      <c r="AC22" s="9">
        <f>VLOOKUP(AA22,'Federal Standards'!$N$9:$P$50,2,FALSE)</f>
        <v>7.84</v>
      </c>
      <c r="AD22" s="44">
        <f>VLOOKUP(AA22,'Federal Standards'!$N$9:$P$50,3,FALSE)</f>
        <v>219.1</v>
      </c>
      <c r="AE22" s="44">
        <f t="shared" si="3"/>
        <v>237.916</v>
      </c>
      <c r="AF22" s="283">
        <f t="shared" si="4"/>
        <v>25.915999999999997</v>
      </c>
      <c r="AG22" s="291">
        <f t="shared" si="13"/>
        <v>0.10892920190319272</v>
      </c>
      <c r="AH22" s="184" t="str">
        <f t="shared" si="5"/>
        <v>YES</v>
      </c>
      <c r="AJ22" s="9" t="str">
        <f t="shared" si="6"/>
        <v>YES</v>
      </c>
      <c r="AK22" s="9" t="str">
        <f t="shared" si="7"/>
        <v>YES</v>
      </c>
      <c r="AL22" s="9" t="str">
        <f t="shared" si="8"/>
        <v>NO</v>
      </c>
      <c r="AM22" s="9" t="str">
        <f t="shared" si="9"/>
        <v>NO</v>
      </c>
      <c r="AN22" s="9" t="str">
        <f t="shared" si="10"/>
        <v>Tier 1 - 10% to 15% better than Standard</v>
      </c>
      <c r="AO22" s="9" t="str">
        <f t="shared" si="11"/>
        <v>11A_Tier 1 - 10% to 15% better than Standard</v>
      </c>
      <c r="AP22" s="9" t="str">
        <f t="shared" si="12"/>
        <v>11A_YES</v>
      </c>
    </row>
    <row r="23" spans="1:42">
      <c r="A23">
        <v>84344</v>
      </c>
      <c r="B23" t="s">
        <v>164</v>
      </c>
      <c r="C23" t="s">
        <v>164</v>
      </c>
      <c r="D23" t="s">
        <v>4113</v>
      </c>
      <c r="E23" t="s">
        <v>4112</v>
      </c>
      <c r="F23" t="s">
        <v>188</v>
      </c>
      <c r="G23" t="s">
        <v>184</v>
      </c>
      <c r="H23"/>
      <c r="I23" t="s">
        <v>4098</v>
      </c>
      <c r="J23" t="b">
        <v>0</v>
      </c>
      <c r="K23" t="b">
        <v>1</v>
      </c>
      <c r="L23"/>
      <c r="M23"/>
      <c r="N23" t="b">
        <v>0</v>
      </c>
      <c r="O23" t="s">
        <v>4099</v>
      </c>
      <c r="P23">
        <v>3.3</v>
      </c>
      <c r="Q23"/>
      <c r="R23">
        <v>3.3</v>
      </c>
      <c r="S23">
        <v>34</v>
      </c>
      <c r="T23">
        <v>19</v>
      </c>
      <c r="U23">
        <v>18</v>
      </c>
      <c r="V23">
        <v>220</v>
      </c>
      <c r="W23" s="281">
        <v>41796</v>
      </c>
      <c r="X23" s="282"/>
      <c r="Z23" s="9" t="b">
        <f t="shared" si="0"/>
        <v>1</v>
      </c>
      <c r="AA23" s="9" t="str">
        <f t="shared" si="1"/>
        <v>11A</v>
      </c>
      <c r="AB23" s="196">
        <f t="shared" si="2"/>
        <v>3.3</v>
      </c>
      <c r="AC23" s="9">
        <f>VLOOKUP(AA23,'Federal Standards'!$N$9:$P$50,2,FALSE)</f>
        <v>7.84</v>
      </c>
      <c r="AD23" s="44">
        <f>VLOOKUP(AA23,'Federal Standards'!$N$9:$P$50,3,FALSE)</f>
        <v>219.1</v>
      </c>
      <c r="AE23" s="44">
        <f t="shared" si="3"/>
        <v>244.97199999999998</v>
      </c>
      <c r="AF23" s="283">
        <f t="shared" si="4"/>
        <v>24.97199999999998</v>
      </c>
      <c r="AG23" s="291">
        <f t="shared" si="13"/>
        <v>0.10193818069003797</v>
      </c>
      <c r="AH23" s="184" t="str">
        <f t="shared" si="5"/>
        <v>YES</v>
      </c>
      <c r="AJ23" s="9" t="str">
        <f t="shared" si="6"/>
        <v>YES</v>
      </c>
      <c r="AK23" s="9" t="str">
        <f t="shared" si="7"/>
        <v>YES</v>
      </c>
      <c r="AL23" s="9" t="str">
        <f t="shared" si="8"/>
        <v>NO</v>
      </c>
      <c r="AM23" s="9" t="str">
        <f t="shared" si="9"/>
        <v>NO</v>
      </c>
      <c r="AN23" s="9" t="str">
        <f t="shared" si="10"/>
        <v>Tier 1 - 10% to 15% better than Standard</v>
      </c>
      <c r="AO23" s="9" t="str">
        <f t="shared" si="11"/>
        <v>11A_Tier 1 - 10% to 15% better than Standard</v>
      </c>
      <c r="AP23" s="9" t="str">
        <f t="shared" si="12"/>
        <v>11A_YES</v>
      </c>
    </row>
    <row r="24" spans="1:42">
      <c r="A24">
        <v>84352</v>
      </c>
      <c r="B24" t="s">
        <v>164</v>
      </c>
      <c r="C24" t="s">
        <v>164</v>
      </c>
      <c r="D24" t="s">
        <v>576</v>
      </c>
      <c r="E24" t="s">
        <v>4112</v>
      </c>
      <c r="F24" t="s">
        <v>188</v>
      </c>
      <c r="G24" t="s">
        <v>184</v>
      </c>
      <c r="H24"/>
      <c r="I24" t="s">
        <v>4098</v>
      </c>
      <c r="J24" t="b">
        <v>0</v>
      </c>
      <c r="K24" t="b">
        <v>1</v>
      </c>
      <c r="L24"/>
      <c r="M24"/>
      <c r="N24" t="b">
        <v>0</v>
      </c>
      <c r="O24" t="s">
        <v>4099</v>
      </c>
      <c r="P24">
        <v>4</v>
      </c>
      <c r="Q24"/>
      <c r="R24">
        <v>4</v>
      </c>
      <c r="S24">
        <v>33</v>
      </c>
      <c r="T24">
        <v>20</v>
      </c>
      <c r="U24">
        <v>22</v>
      </c>
      <c r="V24">
        <v>225</v>
      </c>
      <c r="W24" s="281">
        <v>41796</v>
      </c>
      <c r="X24" s="282"/>
      <c r="Z24" s="9" t="b">
        <f t="shared" si="0"/>
        <v>1</v>
      </c>
      <c r="AA24" s="9" t="str">
        <f t="shared" si="1"/>
        <v>11A</v>
      </c>
      <c r="AB24" s="196">
        <f t="shared" si="2"/>
        <v>4</v>
      </c>
      <c r="AC24" s="9">
        <f>VLOOKUP(AA24,'Federal Standards'!$N$9:$P$50,2,FALSE)</f>
        <v>7.84</v>
      </c>
      <c r="AD24" s="44">
        <f>VLOOKUP(AA24,'Federal Standards'!$N$9:$P$50,3,FALSE)</f>
        <v>219.1</v>
      </c>
      <c r="AE24" s="44">
        <f t="shared" si="3"/>
        <v>250.45999999999998</v>
      </c>
      <c r="AF24" s="283">
        <f t="shared" si="4"/>
        <v>25.45999999999998</v>
      </c>
      <c r="AG24" s="291">
        <f t="shared" si="13"/>
        <v>0.10165295855625642</v>
      </c>
      <c r="AH24" s="184" t="str">
        <f t="shared" si="5"/>
        <v>YES</v>
      </c>
      <c r="AJ24" s="9" t="str">
        <f t="shared" si="6"/>
        <v>YES</v>
      </c>
      <c r="AK24" s="9" t="str">
        <f t="shared" si="7"/>
        <v>YES</v>
      </c>
      <c r="AL24" s="9" t="str">
        <f t="shared" si="8"/>
        <v>NO</v>
      </c>
      <c r="AM24" s="9" t="str">
        <f t="shared" si="9"/>
        <v>NO</v>
      </c>
      <c r="AN24" s="9" t="str">
        <f t="shared" si="10"/>
        <v>Tier 1 - 10% to 15% better than Standard</v>
      </c>
      <c r="AO24" s="9" t="str">
        <f t="shared" si="11"/>
        <v>11A_Tier 1 - 10% to 15% better than Standard</v>
      </c>
      <c r="AP24" s="9" t="str">
        <f t="shared" si="12"/>
        <v>11A_YES</v>
      </c>
    </row>
    <row r="25" spans="1:42">
      <c r="A25">
        <v>83148</v>
      </c>
      <c r="B25" t="s">
        <v>164</v>
      </c>
      <c r="C25" t="s">
        <v>164</v>
      </c>
      <c r="D25" t="s">
        <v>4114</v>
      </c>
      <c r="E25" t="s">
        <v>4115</v>
      </c>
      <c r="F25" t="s">
        <v>188</v>
      </c>
      <c r="G25" t="s">
        <v>184</v>
      </c>
      <c r="H25"/>
      <c r="I25" t="s">
        <v>4106</v>
      </c>
      <c r="J25"/>
      <c r="K25"/>
      <c r="L25"/>
      <c r="M25"/>
      <c r="N25" t="b">
        <v>0</v>
      </c>
      <c r="O25" t="s">
        <v>4099</v>
      </c>
      <c r="P25">
        <v>1.65</v>
      </c>
      <c r="Q25"/>
      <c r="R25">
        <v>1.65</v>
      </c>
      <c r="S25">
        <v>20</v>
      </c>
      <c r="T25">
        <v>18</v>
      </c>
      <c r="U25">
        <v>19</v>
      </c>
      <c r="V25">
        <v>310</v>
      </c>
      <c r="W25" s="281">
        <v>41677</v>
      </c>
      <c r="X25" s="282"/>
      <c r="Z25" s="9" t="b">
        <f t="shared" si="0"/>
        <v>1</v>
      </c>
      <c r="AA25" s="9" t="str">
        <f t="shared" si="1"/>
        <v>11A</v>
      </c>
      <c r="AB25" s="196">
        <f t="shared" si="2"/>
        <v>1.65</v>
      </c>
      <c r="AC25" s="9">
        <f>VLOOKUP(AA25,'Federal Standards'!$N$9:$P$50,2,FALSE)</f>
        <v>7.84</v>
      </c>
      <c r="AD25" s="44">
        <f>VLOOKUP(AA25,'Federal Standards'!$N$9:$P$50,3,FALSE)</f>
        <v>219.1</v>
      </c>
      <c r="AE25" s="44">
        <f t="shared" si="3"/>
        <v>232.036</v>
      </c>
      <c r="AF25" s="283">
        <f t="shared" si="4"/>
        <v>-77.963999999999999</v>
      </c>
      <c r="AG25" s="291">
        <f t="shared" si="13"/>
        <v>-0.33599958627109583</v>
      </c>
      <c r="AH25" s="184" t="str">
        <f t="shared" si="5"/>
        <v>NO</v>
      </c>
      <c r="AJ25" s="9" t="str">
        <f t="shared" si="6"/>
        <v>NO</v>
      </c>
      <c r="AK25" s="9" t="str">
        <f t="shared" si="7"/>
        <v>NO</v>
      </c>
      <c r="AL25" s="9" t="str">
        <f t="shared" si="8"/>
        <v>NO</v>
      </c>
      <c r="AM25" s="9" t="str">
        <f t="shared" si="9"/>
        <v>NO</v>
      </c>
      <c r="AN25" s="9" t="str">
        <f t="shared" si="10"/>
        <v>Doesn't meet Standard</v>
      </c>
      <c r="AO25" s="9" t="str">
        <f t="shared" si="11"/>
        <v>11A_Doesn't meet Standard</v>
      </c>
      <c r="AP25" s="9" t="str">
        <f t="shared" si="12"/>
        <v>11A_NO</v>
      </c>
    </row>
    <row r="26" spans="1:42">
      <c r="A26">
        <v>83149</v>
      </c>
      <c r="B26" t="s">
        <v>164</v>
      </c>
      <c r="C26" t="s">
        <v>164</v>
      </c>
      <c r="D26" t="s">
        <v>4116</v>
      </c>
      <c r="E26" t="s">
        <v>4115</v>
      </c>
      <c r="F26" t="s">
        <v>188</v>
      </c>
      <c r="G26" t="s">
        <v>184</v>
      </c>
      <c r="H26"/>
      <c r="I26" t="s">
        <v>4106</v>
      </c>
      <c r="J26"/>
      <c r="K26"/>
      <c r="L26"/>
      <c r="M26"/>
      <c r="N26" t="b">
        <v>0</v>
      </c>
      <c r="O26" t="s">
        <v>4099</v>
      </c>
      <c r="P26">
        <v>2.59</v>
      </c>
      <c r="Q26"/>
      <c r="R26">
        <v>2.59</v>
      </c>
      <c r="S26">
        <v>28</v>
      </c>
      <c r="T26">
        <v>20</v>
      </c>
      <c r="U26">
        <v>18</v>
      </c>
      <c r="V26">
        <v>261</v>
      </c>
      <c r="W26" s="281">
        <v>41677</v>
      </c>
      <c r="X26" s="282"/>
      <c r="Z26" s="9" t="b">
        <f t="shared" si="0"/>
        <v>1</v>
      </c>
      <c r="AA26" s="9" t="str">
        <f t="shared" si="1"/>
        <v>11A</v>
      </c>
      <c r="AB26" s="196">
        <f t="shared" si="2"/>
        <v>2.59</v>
      </c>
      <c r="AC26" s="9">
        <f>VLOOKUP(AA26,'Federal Standards'!$N$9:$P$50,2,FALSE)</f>
        <v>7.84</v>
      </c>
      <c r="AD26" s="44">
        <f>VLOOKUP(AA26,'Federal Standards'!$N$9:$P$50,3,FALSE)</f>
        <v>219.1</v>
      </c>
      <c r="AE26" s="44">
        <f t="shared" si="3"/>
        <v>239.40559999999999</v>
      </c>
      <c r="AF26" s="283">
        <f t="shared" si="4"/>
        <v>-21.594400000000007</v>
      </c>
      <c r="AG26" s="291">
        <f t="shared" si="13"/>
        <v>-9.0200062153934613E-2</v>
      </c>
      <c r="AH26" s="184" t="str">
        <f t="shared" si="5"/>
        <v>NO</v>
      </c>
      <c r="AJ26" s="9" t="str">
        <f t="shared" si="6"/>
        <v>NO</v>
      </c>
      <c r="AK26" s="9" t="str">
        <f t="shared" si="7"/>
        <v>NO</v>
      </c>
      <c r="AL26" s="9" t="str">
        <f t="shared" si="8"/>
        <v>NO</v>
      </c>
      <c r="AM26" s="9" t="str">
        <f t="shared" si="9"/>
        <v>NO</v>
      </c>
      <c r="AN26" s="9" t="str">
        <f t="shared" si="10"/>
        <v>Doesn't meet Standard</v>
      </c>
      <c r="AO26" s="9" t="str">
        <f t="shared" si="11"/>
        <v>11A_Doesn't meet Standard</v>
      </c>
      <c r="AP26" s="9" t="str">
        <f t="shared" si="12"/>
        <v>11A_NO</v>
      </c>
    </row>
    <row r="27" spans="1:42">
      <c r="A27">
        <v>84365</v>
      </c>
      <c r="B27" t="s">
        <v>164</v>
      </c>
      <c r="C27" t="s">
        <v>164</v>
      </c>
      <c r="D27" t="s">
        <v>4117</v>
      </c>
      <c r="E27" t="s">
        <v>187</v>
      </c>
      <c r="F27" t="s">
        <v>188</v>
      </c>
      <c r="G27" t="s">
        <v>189</v>
      </c>
      <c r="H27"/>
      <c r="I27" t="s">
        <v>4098</v>
      </c>
      <c r="J27" t="b">
        <v>0</v>
      </c>
      <c r="K27" t="b">
        <v>1</v>
      </c>
      <c r="L27" t="b">
        <v>0</v>
      </c>
      <c r="M27"/>
      <c r="N27" t="b">
        <v>0</v>
      </c>
      <c r="O27" t="s">
        <v>4099</v>
      </c>
      <c r="P27"/>
      <c r="Q27">
        <v>2.9</v>
      </c>
      <c r="R27">
        <v>2.9</v>
      </c>
      <c r="S27">
        <v>34</v>
      </c>
      <c r="T27">
        <v>19</v>
      </c>
      <c r="U27">
        <v>20</v>
      </c>
      <c r="V27">
        <v>223</v>
      </c>
      <c r="W27" s="281">
        <v>41796</v>
      </c>
      <c r="X27" s="282"/>
      <c r="Z27" s="9" t="b">
        <f t="shared" si="0"/>
        <v>1</v>
      </c>
      <c r="AA27" s="9" t="str">
        <f t="shared" si="1"/>
        <v>16</v>
      </c>
      <c r="AB27" s="196">
        <f t="shared" si="2"/>
        <v>5.1040000000000001</v>
      </c>
      <c r="AC27" s="9">
        <f>VLOOKUP(AA27,'Federal Standards'!$N$9:$P$50,2,FALSE)</f>
        <v>8.65</v>
      </c>
      <c r="AD27" s="44">
        <f>VLOOKUP(AA27,'Federal Standards'!$N$9:$P$50,3,FALSE)</f>
        <v>225.7</v>
      </c>
      <c r="AE27" s="44">
        <f t="shared" si="3"/>
        <v>269.84960000000001</v>
      </c>
      <c r="AF27" s="283">
        <f t="shared" si="4"/>
        <v>46.849600000000009</v>
      </c>
      <c r="AG27" s="291">
        <f t="shared" si="13"/>
        <v>0.17361374632387822</v>
      </c>
      <c r="AH27" s="184" t="str">
        <f t="shared" si="5"/>
        <v>YES</v>
      </c>
      <c r="AJ27" s="9" t="str">
        <f t="shared" si="6"/>
        <v>YES</v>
      </c>
      <c r="AK27" s="9" t="str">
        <f t="shared" si="7"/>
        <v>NO</v>
      </c>
      <c r="AL27" s="9" t="str">
        <f t="shared" si="8"/>
        <v>YES</v>
      </c>
      <c r="AM27" s="9" t="str">
        <f t="shared" si="9"/>
        <v>NO</v>
      </c>
      <c r="AN27" s="9" t="str">
        <f t="shared" si="10"/>
        <v>Tier 2 - 15% to 20% better than Standard</v>
      </c>
      <c r="AO27" s="9" t="str">
        <f t="shared" si="11"/>
        <v>16_Tier 2 - 15% to 20% better than Standard</v>
      </c>
      <c r="AP27" s="9" t="str">
        <f t="shared" si="12"/>
        <v>16_YES</v>
      </c>
    </row>
    <row r="28" spans="1:42">
      <c r="A28">
        <v>83515</v>
      </c>
      <c r="B28" t="s">
        <v>164</v>
      </c>
      <c r="C28" t="s">
        <v>164</v>
      </c>
      <c r="D28" t="s">
        <v>4118</v>
      </c>
      <c r="E28" t="s">
        <v>4119</v>
      </c>
      <c r="F28" t="s">
        <v>162</v>
      </c>
      <c r="G28" t="s">
        <v>184</v>
      </c>
      <c r="H28"/>
      <c r="I28" t="s">
        <v>4106</v>
      </c>
      <c r="J28"/>
      <c r="K28"/>
      <c r="L28"/>
      <c r="M28"/>
      <c r="N28" t="b">
        <v>0</v>
      </c>
      <c r="O28" t="s">
        <v>4099</v>
      </c>
      <c r="P28">
        <v>3.4</v>
      </c>
      <c r="Q28"/>
      <c r="R28">
        <v>3.4</v>
      </c>
      <c r="S28">
        <v>35</v>
      </c>
      <c r="T28">
        <v>22</v>
      </c>
      <c r="U28">
        <v>19</v>
      </c>
      <c r="V28">
        <v>371.94</v>
      </c>
      <c r="W28" s="281">
        <v>41751</v>
      </c>
      <c r="X28" s="282"/>
      <c r="Z28" s="9" t="b">
        <f t="shared" si="0"/>
        <v>1</v>
      </c>
      <c r="AA28" s="9" t="str">
        <f t="shared" si="1"/>
        <v>[Wine Chiller - exempt]</v>
      </c>
      <c r="AB28" s="196">
        <f t="shared" si="2"/>
        <v>3.4</v>
      </c>
      <c r="AC28" s="9" t="e">
        <f>VLOOKUP(AA28,'Federal Standards'!$N$9:$P$50,2,FALSE)</f>
        <v>#N/A</v>
      </c>
      <c r="AD28" s="44" t="e">
        <f>VLOOKUP(AA28,'Federal Standards'!$N$9:$P$50,3,FALSE)</f>
        <v>#N/A</v>
      </c>
      <c r="AE28" s="44" t="e">
        <f t="shared" si="3"/>
        <v>#N/A</v>
      </c>
      <c r="AF28" s="283" t="e">
        <f t="shared" si="4"/>
        <v>#N/A</v>
      </c>
      <c r="AG28" s="291" t="e">
        <f t="shared" si="13"/>
        <v>#N/A</v>
      </c>
      <c r="AH28" s="184" t="e">
        <f t="shared" si="5"/>
        <v>#N/A</v>
      </c>
      <c r="AJ28" s="9" t="e">
        <f t="shared" si="6"/>
        <v>#N/A</v>
      </c>
      <c r="AK28" s="9" t="e">
        <f t="shared" si="7"/>
        <v>#N/A</v>
      </c>
      <c r="AL28" s="9" t="e">
        <f t="shared" si="8"/>
        <v>#N/A</v>
      </c>
      <c r="AM28" s="9" t="e">
        <f t="shared" si="9"/>
        <v>#N/A</v>
      </c>
      <c r="AN28" s="9" t="e">
        <f t="shared" si="10"/>
        <v>#N/A</v>
      </c>
      <c r="AO28" s="9" t="e">
        <f t="shared" si="11"/>
        <v>#N/A</v>
      </c>
      <c r="AP28" s="9" t="e">
        <f t="shared" si="12"/>
        <v>#N/A</v>
      </c>
    </row>
    <row r="29" spans="1:42">
      <c r="A29">
        <v>83485</v>
      </c>
      <c r="B29" t="s">
        <v>164</v>
      </c>
      <c r="C29" t="s">
        <v>164</v>
      </c>
      <c r="D29" t="s">
        <v>4120</v>
      </c>
      <c r="E29" t="s">
        <v>4119</v>
      </c>
      <c r="F29" t="s">
        <v>162</v>
      </c>
      <c r="G29" t="s">
        <v>184</v>
      </c>
      <c r="H29"/>
      <c r="I29" t="s">
        <v>4106</v>
      </c>
      <c r="J29"/>
      <c r="K29"/>
      <c r="L29"/>
      <c r="M29"/>
      <c r="N29" t="b">
        <v>0</v>
      </c>
      <c r="O29" t="s">
        <v>4099</v>
      </c>
      <c r="P29">
        <v>13.64</v>
      </c>
      <c r="Q29"/>
      <c r="R29">
        <v>13.64</v>
      </c>
      <c r="S29">
        <v>64</v>
      </c>
      <c r="T29">
        <v>24</v>
      </c>
      <c r="U29">
        <v>24</v>
      </c>
      <c r="V29">
        <v>460.98</v>
      </c>
      <c r="W29" s="281">
        <v>41743</v>
      </c>
      <c r="X29" s="282"/>
      <c r="Z29" s="9" t="b">
        <f t="shared" si="0"/>
        <v>0</v>
      </c>
      <c r="AA29" s="9" t="str">
        <f t="shared" si="1"/>
        <v>[NOT FOUND]</v>
      </c>
      <c r="AB29" s="196">
        <f t="shared" si="2"/>
        <v>13.64</v>
      </c>
      <c r="AC29" s="9" t="e">
        <f>VLOOKUP(AA29,'Federal Standards'!$N$9:$P$50,2,FALSE)</f>
        <v>#N/A</v>
      </c>
      <c r="AD29" s="44" t="e">
        <f>VLOOKUP(AA29,'Federal Standards'!$N$9:$P$50,3,FALSE)</f>
        <v>#N/A</v>
      </c>
      <c r="AE29" s="44" t="e">
        <f t="shared" si="3"/>
        <v>#N/A</v>
      </c>
      <c r="AF29" s="283" t="e">
        <f t="shared" si="4"/>
        <v>#N/A</v>
      </c>
      <c r="AG29" s="291" t="e">
        <f t="shared" si="13"/>
        <v>#N/A</v>
      </c>
      <c r="AH29" s="184" t="e">
        <f t="shared" si="5"/>
        <v>#N/A</v>
      </c>
      <c r="AJ29" s="9" t="e">
        <f t="shared" si="6"/>
        <v>#N/A</v>
      </c>
      <c r="AK29" s="9" t="e">
        <f t="shared" si="7"/>
        <v>#N/A</v>
      </c>
      <c r="AL29" s="9" t="e">
        <f t="shared" si="8"/>
        <v>#N/A</v>
      </c>
      <c r="AM29" s="9" t="e">
        <f t="shared" si="9"/>
        <v>#N/A</v>
      </c>
      <c r="AN29" s="9" t="e">
        <f t="shared" si="10"/>
        <v>#N/A</v>
      </c>
      <c r="AO29" s="9" t="e">
        <f t="shared" si="11"/>
        <v>#N/A</v>
      </c>
      <c r="AP29" s="9" t="e">
        <f t="shared" si="12"/>
        <v>#N/A</v>
      </c>
    </row>
    <row r="30" spans="1:42">
      <c r="A30">
        <v>85449</v>
      </c>
      <c r="B30" t="s">
        <v>4121</v>
      </c>
      <c r="C30" t="s">
        <v>165</v>
      </c>
      <c r="D30" t="s">
        <v>4122</v>
      </c>
      <c r="E30" t="s">
        <v>4109</v>
      </c>
      <c r="F30" t="s">
        <v>162</v>
      </c>
      <c r="G30" t="s">
        <v>4105</v>
      </c>
      <c r="H30"/>
      <c r="I30"/>
      <c r="J30" t="b">
        <v>0</v>
      </c>
      <c r="K30" t="b">
        <v>0</v>
      </c>
      <c r="L30" t="b">
        <v>0</v>
      </c>
      <c r="M30" t="b">
        <v>0</v>
      </c>
      <c r="N30" t="b">
        <v>0</v>
      </c>
      <c r="O30" t="s">
        <v>4099</v>
      </c>
      <c r="P30">
        <v>7.73</v>
      </c>
      <c r="Q30">
        <v>3.82</v>
      </c>
      <c r="R30">
        <v>11.55</v>
      </c>
      <c r="S30">
        <v>79</v>
      </c>
      <c r="T30">
        <v>24</v>
      </c>
      <c r="U30">
        <v>26</v>
      </c>
      <c r="V30">
        <v>357</v>
      </c>
      <c r="W30" s="281">
        <v>41837</v>
      </c>
      <c r="X30" s="282"/>
      <c r="Z30" s="9" t="b">
        <f t="shared" si="0"/>
        <v>0</v>
      </c>
      <c r="AA30" s="9" t="str">
        <f t="shared" si="1"/>
        <v>5</v>
      </c>
      <c r="AB30" s="196">
        <f t="shared" si="2"/>
        <v>14.453199999999999</v>
      </c>
      <c r="AC30" s="9">
        <f>VLOOKUP(AA30,'Federal Standards'!$N$9:$P$50,2,FALSE)</f>
        <v>8.85</v>
      </c>
      <c r="AD30" s="44">
        <f>VLOOKUP(AA30,'Federal Standards'!$N$9:$P$50,3,FALSE)</f>
        <v>317</v>
      </c>
      <c r="AE30" s="44">
        <f t="shared" si="3"/>
        <v>444.91082</v>
      </c>
      <c r="AF30" s="283">
        <f t="shared" si="4"/>
        <v>87.910820000000001</v>
      </c>
      <c r="AG30" s="291">
        <f t="shared" si="13"/>
        <v>0.19759200281980105</v>
      </c>
      <c r="AH30" s="184" t="str">
        <f t="shared" si="5"/>
        <v>YES</v>
      </c>
      <c r="AJ30" s="9" t="str">
        <f t="shared" si="6"/>
        <v>YES</v>
      </c>
      <c r="AK30" s="9" t="str">
        <f t="shared" si="7"/>
        <v>NO</v>
      </c>
      <c r="AL30" s="9" t="str">
        <f t="shared" si="8"/>
        <v>YES</v>
      </c>
      <c r="AM30" s="9" t="str">
        <f t="shared" si="9"/>
        <v>NO</v>
      </c>
      <c r="AN30" s="9" t="str">
        <f t="shared" si="10"/>
        <v>Tier 2 - 15% to 20% better than Standard</v>
      </c>
      <c r="AO30" s="9" t="str">
        <f t="shared" si="11"/>
        <v>5_Tier 2 - 15% to 20% better than Standard</v>
      </c>
      <c r="AP30" s="9" t="str">
        <f t="shared" si="12"/>
        <v>5_YES</v>
      </c>
    </row>
    <row r="31" spans="1:42">
      <c r="A31">
        <v>85451</v>
      </c>
      <c r="B31" t="s">
        <v>4121</v>
      </c>
      <c r="C31" t="s">
        <v>165</v>
      </c>
      <c r="D31" t="s">
        <v>4950</v>
      </c>
      <c r="E31" t="s">
        <v>4198</v>
      </c>
      <c r="F31" t="s">
        <v>162</v>
      </c>
      <c r="G31" t="s">
        <v>4105</v>
      </c>
      <c r="H31"/>
      <c r="I31"/>
      <c r="J31"/>
      <c r="K31"/>
      <c r="L31"/>
      <c r="M31"/>
      <c r="N31" t="b">
        <v>0</v>
      </c>
      <c r="O31" t="s">
        <v>4099</v>
      </c>
      <c r="P31">
        <v>11.2</v>
      </c>
      <c r="Q31">
        <v>4.8</v>
      </c>
      <c r="R31">
        <v>16</v>
      </c>
      <c r="S31">
        <v>84</v>
      </c>
      <c r="T31">
        <v>30</v>
      </c>
      <c r="U31">
        <v>24</v>
      </c>
      <c r="V31">
        <v>388</v>
      </c>
      <c r="W31" s="281">
        <v>41837</v>
      </c>
      <c r="X31" s="282"/>
      <c r="Z31" s="9" t="b">
        <f t="shared" si="0"/>
        <v>0</v>
      </c>
      <c r="AA31" s="9" t="str">
        <f t="shared" si="1"/>
        <v>5</v>
      </c>
      <c r="AB31" s="196">
        <f t="shared" si="2"/>
        <v>19.648</v>
      </c>
      <c r="AC31" s="9">
        <f>VLOOKUP(AA31,'Federal Standards'!$N$9:$P$50,2,FALSE)</f>
        <v>8.85</v>
      </c>
      <c r="AD31" s="44">
        <f>VLOOKUP(AA31,'Federal Standards'!$N$9:$P$50,3,FALSE)</f>
        <v>317</v>
      </c>
      <c r="AE31" s="44">
        <f t="shared" si="3"/>
        <v>490.88479999999998</v>
      </c>
      <c r="AF31" s="283">
        <f t="shared" si="4"/>
        <v>102.88479999999998</v>
      </c>
      <c r="AG31" s="291">
        <f t="shared" si="13"/>
        <v>0.20959051899753259</v>
      </c>
      <c r="AH31" s="184" t="str">
        <f t="shared" si="5"/>
        <v>YES</v>
      </c>
      <c r="AJ31" s="9" t="str">
        <f t="shared" si="6"/>
        <v>YES</v>
      </c>
      <c r="AK31" s="9" t="str">
        <f t="shared" si="7"/>
        <v>NO</v>
      </c>
      <c r="AL31" s="9" t="str">
        <f t="shared" si="8"/>
        <v>NO</v>
      </c>
      <c r="AM31" s="9" t="str">
        <f t="shared" si="9"/>
        <v>YES</v>
      </c>
      <c r="AN31" s="9" t="str">
        <f t="shared" si="10"/>
        <v>Tier 3 - 20%  or better than Standard</v>
      </c>
      <c r="AO31" s="9" t="str">
        <f t="shared" si="11"/>
        <v>5_Tier 3 - 20%  or better than Standard</v>
      </c>
      <c r="AP31" s="9" t="str">
        <f t="shared" si="12"/>
        <v>5_YES</v>
      </c>
    </row>
    <row r="32" spans="1:42">
      <c r="A32">
        <v>82829</v>
      </c>
      <c r="B32" t="s">
        <v>4123</v>
      </c>
      <c r="C32" t="s">
        <v>168</v>
      </c>
      <c r="D32" t="s">
        <v>4124</v>
      </c>
      <c r="E32" t="s">
        <v>4104</v>
      </c>
      <c r="F32" t="s">
        <v>162</v>
      </c>
      <c r="G32" t="s">
        <v>4105</v>
      </c>
      <c r="H32"/>
      <c r="I32"/>
      <c r="J32"/>
      <c r="K32"/>
      <c r="L32"/>
      <c r="M32"/>
      <c r="N32" t="b">
        <v>0</v>
      </c>
      <c r="O32"/>
      <c r="P32">
        <v>14.85</v>
      </c>
      <c r="Q32">
        <v>5.95</v>
      </c>
      <c r="R32">
        <v>20.8</v>
      </c>
      <c r="S32">
        <v>67</v>
      </c>
      <c r="T32">
        <v>33</v>
      </c>
      <c r="U32">
        <v>30</v>
      </c>
      <c r="V32">
        <v>406</v>
      </c>
      <c r="W32" s="281">
        <v>41530</v>
      </c>
      <c r="X32" s="282"/>
      <c r="Z32" s="9" t="b">
        <f t="shared" si="0"/>
        <v>0</v>
      </c>
      <c r="AA32" s="9" t="str">
        <f t="shared" si="1"/>
        <v>3</v>
      </c>
      <c r="AB32" s="196">
        <f t="shared" si="2"/>
        <v>25.321999999999999</v>
      </c>
      <c r="AC32" s="9">
        <f>VLOOKUP(AA32,'Federal Standards'!$N$9:$P$50,2,FALSE)</f>
        <v>8.07</v>
      </c>
      <c r="AD32" s="44">
        <f>VLOOKUP(AA32,'Federal Standards'!$N$9:$P$50,3,FALSE)</f>
        <v>233.7</v>
      </c>
      <c r="AE32" s="44">
        <f t="shared" si="3"/>
        <v>438.04854</v>
      </c>
      <c r="AF32" s="283">
        <f t="shared" si="4"/>
        <v>32.048540000000003</v>
      </c>
      <c r="AG32" s="291">
        <f t="shared" si="13"/>
        <v>7.3162074686974193E-2</v>
      </c>
      <c r="AH32" s="184" t="str">
        <f t="shared" si="5"/>
        <v>YES</v>
      </c>
      <c r="AJ32" s="9" t="str">
        <f t="shared" si="6"/>
        <v>NO</v>
      </c>
      <c r="AK32" s="9" t="str">
        <f t="shared" si="7"/>
        <v>NO</v>
      </c>
      <c r="AL32" s="9" t="str">
        <f t="shared" si="8"/>
        <v>NO</v>
      </c>
      <c r="AM32" s="9" t="str">
        <f t="shared" si="9"/>
        <v>NO</v>
      </c>
      <c r="AN32" s="9" t="str">
        <f t="shared" si="10"/>
        <v>Less than 10% better than Standard</v>
      </c>
      <c r="AO32" s="9" t="str">
        <f t="shared" si="11"/>
        <v>3_Less than 10% better than Standard</v>
      </c>
      <c r="AP32" s="9" t="str">
        <f t="shared" si="12"/>
        <v>3_NO</v>
      </c>
    </row>
    <row r="33" spans="1:42">
      <c r="A33">
        <v>87005</v>
      </c>
      <c r="B33" t="s">
        <v>167</v>
      </c>
      <c r="C33" t="s">
        <v>167</v>
      </c>
      <c r="D33" t="s">
        <v>4125</v>
      </c>
      <c r="E33" t="s">
        <v>190</v>
      </c>
      <c r="F33" t="s">
        <v>188</v>
      </c>
      <c r="G33" t="s">
        <v>189</v>
      </c>
      <c r="H33"/>
      <c r="I33" t="s">
        <v>4098</v>
      </c>
      <c r="J33" t="b">
        <v>0</v>
      </c>
      <c r="K33" t="b">
        <v>1</v>
      </c>
      <c r="L33"/>
      <c r="M33"/>
      <c r="N33" t="b">
        <v>0</v>
      </c>
      <c r="O33" t="s">
        <v>4099</v>
      </c>
      <c r="P33"/>
      <c r="Q33">
        <v>3.81</v>
      </c>
      <c r="R33">
        <v>3.81</v>
      </c>
      <c r="S33">
        <v>34</v>
      </c>
      <c r="T33">
        <v>25</v>
      </c>
      <c r="U33">
        <v>23</v>
      </c>
      <c r="V33">
        <v>197</v>
      </c>
      <c r="W33" s="281">
        <v>41890</v>
      </c>
      <c r="X33" s="282"/>
      <c r="Z33" s="9" t="b">
        <f t="shared" si="0"/>
        <v>1</v>
      </c>
      <c r="AA33" s="9" t="str">
        <f t="shared" si="1"/>
        <v>18</v>
      </c>
      <c r="AB33" s="196">
        <f t="shared" si="2"/>
        <v>6.7056000000000004</v>
      </c>
      <c r="AC33" s="9">
        <f>VLOOKUP(AA33,'Federal Standards'!$N$9:$P$50,2,FALSE)</f>
        <v>9.25</v>
      </c>
      <c r="AD33" s="44">
        <f>VLOOKUP(AA33,'Federal Standards'!$N$9:$P$50,3,FALSE)</f>
        <v>136.80000000000001</v>
      </c>
      <c r="AE33" s="44">
        <f t="shared" si="3"/>
        <v>198.82680000000002</v>
      </c>
      <c r="AF33" s="283">
        <f t="shared" si="4"/>
        <v>1.82680000000002</v>
      </c>
      <c r="AG33" s="291">
        <f t="shared" si="13"/>
        <v>9.1878961991040432E-3</v>
      </c>
      <c r="AH33" s="184" t="str">
        <f t="shared" si="5"/>
        <v>YES</v>
      </c>
      <c r="AJ33" s="9" t="str">
        <f t="shared" si="6"/>
        <v>NO</v>
      </c>
      <c r="AK33" s="9" t="str">
        <f t="shared" si="7"/>
        <v>NO</v>
      </c>
      <c r="AL33" s="9" t="str">
        <f t="shared" si="8"/>
        <v>NO</v>
      </c>
      <c r="AM33" s="9" t="str">
        <f t="shared" si="9"/>
        <v>NO</v>
      </c>
      <c r="AN33" s="9" t="str">
        <f t="shared" si="10"/>
        <v>Less than 10% better than Standard</v>
      </c>
      <c r="AO33" s="9" t="str">
        <f t="shared" si="11"/>
        <v>18_Less than 10% better than Standard</v>
      </c>
      <c r="AP33" s="9" t="str">
        <f t="shared" si="12"/>
        <v>18_NO</v>
      </c>
    </row>
    <row r="34" spans="1:42">
      <c r="A34">
        <v>87007</v>
      </c>
      <c r="B34" t="s">
        <v>167</v>
      </c>
      <c r="C34" t="s">
        <v>167</v>
      </c>
      <c r="D34" t="s">
        <v>4126</v>
      </c>
      <c r="E34" t="s">
        <v>190</v>
      </c>
      <c r="F34" t="s">
        <v>188</v>
      </c>
      <c r="G34" t="s">
        <v>189</v>
      </c>
      <c r="H34"/>
      <c r="I34" t="s">
        <v>4098</v>
      </c>
      <c r="J34" t="b">
        <v>0</v>
      </c>
      <c r="K34" t="b">
        <v>1</v>
      </c>
      <c r="L34"/>
      <c r="M34"/>
      <c r="N34" t="b">
        <v>0</v>
      </c>
      <c r="O34" t="s">
        <v>4099</v>
      </c>
      <c r="P34"/>
      <c r="Q34">
        <v>5.51</v>
      </c>
      <c r="R34">
        <v>5.51</v>
      </c>
      <c r="S34">
        <v>34</v>
      </c>
      <c r="T34">
        <v>33</v>
      </c>
      <c r="U34">
        <v>23</v>
      </c>
      <c r="V34">
        <v>224</v>
      </c>
      <c r="W34" s="281">
        <v>41890</v>
      </c>
      <c r="X34" s="282"/>
      <c r="Z34" s="9" t="b">
        <f t="shared" si="0"/>
        <v>1</v>
      </c>
      <c r="AA34" s="9" t="str">
        <f t="shared" si="1"/>
        <v>18</v>
      </c>
      <c r="AB34" s="196">
        <f t="shared" si="2"/>
        <v>9.6975999999999996</v>
      </c>
      <c r="AC34" s="9">
        <f>VLOOKUP(AA34,'Federal Standards'!$N$9:$P$50,2,FALSE)</f>
        <v>9.25</v>
      </c>
      <c r="AD34" s="44">
        <f>VLOOKUP(AA34,'Federal Standards'!$N$9:$P$50,3,FALSE)</f>
        <v>136.80000000000001</v>
      </c>
      <c r="AE34" s="44">
        <f t="shared" si="3"/>
        <v>226.50280000000001</v>
      </c>
      <c r="AF34" s="283">
        <f t="shared" si="4"/>
        <v>2.5028000000000077</v>
      </c>
      <c r="AG34" s="291">
        <f t="shared" si="13"/>
        <v>1.1049753027335678E-2</v>
      </c>
      <c r="AH34" s="184" t="str">
        <f t="shared" si="5"/>
        <v>YES</v>
      </c>
      <c r="AJ34" s="9" t="str">
        <f t="shared" si="6"/>
        <v>NO</v>
      </c>
      <c r="AK34" s="9" t="str">
        <f t="shared" si="7"/>
        <v>NO</v>
      </c>
      <c r="AL34" s="9" t="str">
        <f t="shared" si="8"/>
        <v>NO</v>
      </c>
      <c r="AM34" s="9" t="str">
        <f t="shared" si="9"/>
        <v>NO</v>
      </c>
      <c r="AN34" s="9" t="str">
        <f t="shared" si="10"/>
        <v>Less than 10% better than Standard</v>
      </c>
      <c r="AO34" s="9" t="str">
        <f t="shared" si="11"/>
        <v>18_Less than 10% better than Standard</v>
      </c>
      <c r="AP34" s="9" t="str">
        <f t="shared" si="12"/>
        <v>18_NO</v>
      </c>
    </row>
    <row r="35" spans="1:42">
      <c r="A35">
        <v>83004</v>
      </c>
      <c r="B35" t="s">
        <v>167</v>
      </c>
      <c r="C35" t="s">
        <v>167</v>
      </c>
      <c r="D35" t="s">
        <v>4127</v>
      </c>
      <c r="E35" t="s">
        <v>190</v>
      </c>
      <c r="F35" t="s">
        <v>188</v>
      </c>
      <c r="G35" t="s">
        <v>189</v>
      </c>
      <c r="H35"/>
      <c r="I35"/>
      <c r="J35"/>
      <c r="K35"/>
      <c r="L35"/>
      <c r="M35"/>
      <c r="N35" t="b">
        <v>0</v>
      </c>
      <c r="O35"/>
      <c r="P35"/>
      <c r="Q35">
        <v>6.95</v>
      </c>
      <c r="R35">
        <v>6.95</v>
      </c>
      <c r="S35">
        <v>26</v>
      </c>
      <c r="T35">
        <v>34</v>
      </c>
      <c r="U35">
        <v>15</v>
      </c>
      <c r="V35">
        <v>276</v>
      </c>
      <c r="W35" s="281">
        <v>41613</v>
      </c>
      <c r="X35" s="282"/>
      <c r="Z35" s="9" t="b">
        <f t="shared" si="0"/>
        <v>1</v>
      </c>
      <c r="AA35" s="9" t="str">
        <f t="shared" si="1"/>
        <v>18</v>
      </c>
      <c r="AB35" s="196">
        <f t="shared" si="2"/>
        <v>12.232000000000001</v>
      </c>
      <c r="AC35" s="9">
        <f>VLOOKUP(AA35,'Federal Standards'!$N$9:$P$50,2,FALSE)</f>
        <v>9.25</v>
      </c>
      <c r="AD35" s="44">
        <f>VLOOKUP(AA35,'Federal Standards'!$N$9:$P$50,3,FALSE)</f>
        <v>136.80000000000001</v>
      </c>
      <c r="AE35" s="44">
        <f t="shared" si="3"/>
        <v>249.94600000000003</v>
      </c>
      <c r="AF35" s="283">
        <f t="shared" si="4"/>
        <v>-26.053999999999974</v>
      </c>
      <c r="AG35" s="291">
        <f t="shared" si="13"/>
        <v>-0.10423851551935207</v>
      </c>
      <c r="AH35" s="184" t="str">
        <f t="shared" si="5"/>
        <v>NO</v>
      </c>
      <c r="AJ35" s="9" t="str">
        <f t="shared" si="6"/>
        <v>NO</v>
      </c>
      <c r="AK35" s="9" t="str">
        <f t="shared" si="7"/>
        <v>NO</v>
      </c>
      <c r="AL35" s="9" t="str">
        <f t="shared" si="8"/>
        <v>NO</v>
      </c>
      <c r="AM35" s="9" t="str">
        <f t="shared" si="9"/>
        <v>NO</v>
      </c>
      <c r="AN35" s="9" t="str">
        <f t="shared" si="10"/>
        <v>Doesn't meet Standard</v>
      </c>
      <c r="AO35" s="9" t="str">
        <f t="shared" si="11"/>
        <v>18_Doesn't meet Standard</v>
      </c>
      <c r="AP35" s="9" t="str">
        <f t="shared" si="12"/>
        <v>18_NO</v>
      </c>
    </row>
    <row r="36" spans="1:42">
      <c r="A36">
        <v>87016</v>
      </c>
      <c r="B36" t="s">
        <v>167</v>
      </c>
      <c r="C36" t="s">
        <v>167</v>
      </c>
      <c r="D36" t="s">
        <v>4128</v>
      </c>
      <c r="E36" t="s">
        <v>190</v>
      </c>
      <c r="F36" t="s">
        <v>188</v>
      </c>
      <c r="G36" t="s">
        <v>189</v>
      </c>
      <c r="H36"/>
      <c r="I36" t="s">
        <v>4098</v>
      </c>
      <c r="J36" t="b">
        <v>0</v>
      </c>
      <c r="K36" t="b">
        <v>1</v>
      </c>
      <c r="L36"/>
      <c r="M36"/>
      <c r="N36" t="b">
        <v>0</v>
      </c>
      <c r="O36" t="s">
        <v>4099</v>
      </c>
      <c r="P36"/>
      <c r="Q36">
        <v>7.21</v>
      </c>
      <c r="R36">
        <v>7.21</v>
      </c>
      <c r="S36">
        <v>34</v>
      </c>
      <c r="T36">
        <v>40</v>
      </c>
      <c r="U36">
        <v>23</v>
      </c>
      <c r="V36">
        <v>252</v>
      </c>
      <c r="W36" s="281">
        <v>41890</v>
      </c>
      <c r="X36" s="282"/>
      <c r="Z36" s="9" t="b">
        <f t="shared" si="0"/>
        <v>1</v>
      </c>
      <c r="AA36" s="9" t="str">
        <f>GetFridgeClass(E36,F36,G36,J36,Z36,L36,M36)</f>
        <v>18</v>
      </c>
      <c r="AB36" s="196">
        <f t="shared" si="2"/>
        <v>12.6896</v>
      </c>
      <c r="AC36" s="9">
        <f>VLOOKUP(AA36,'Federal Standards'!$N$9:$P$50,2,FALSE)</f>
        <v>9.25</v>
      </c>
      <c r="AD36" s="44">
        <f>VLOOKUP(AA36,'Federal Standards'!$N$9:$P$50,3,FALSE)</f>
        <v>136.80000000000001</v>
      </c>
      <c r="AE36" s="44">
        <f t="shared" si="3"/>
        <v>254.17880000000002</v>
      </c>
      <c r="AF36" s="283">
        <f t="shared" si="4"/>
        <v>2.1788000000000238</v>
      </c>
      <c r="AG36" s="291">
        <f t="shared" si="13"/>
        <v>8.5719186651287346E-3</v>
      </c>
      <c r="AH36" s="184" t="str">
        <f t="shared" si="5"/>
        <v>YES</v>
      </c>
      <c r="AJ36" s="9" t="str">
        <f t="shared" si="6"/>
        <v>NO</v>
      </c>
      <c r="AK36" s="9" t="str">
        <f t="shared" si="7"/>
        <v>NO</v>
      </c>
      <c r="AL36" s="9" t="str">
        <f t="shared" si="8"/>
        <v>NO</v>
      </c>
      <c r="AM36" s="9" t="str">
        <f t="shared" si="9"/>
        <v>NO</v>
      </c>
      <c r="AN36" s="9" t="str">
        <f t="shared" si="10"/>
        <v>Less than 10% better than Standard</v>
      </c>
      <c r="AO36" s="9" t="str">
        <f t="shared" si="11"/>
        <v>18_Less than 10% better than Standard</v>
      </c>
      <c r="AP36" s="9" t="str">
        <f t="shared" si="12"/>
        <v>18_NO</v>
      </c>
    </row>
    <row r="37" spans="1:42">
      <c r="A37">
        <v>84728</v>
      </c>
      <c r="B37" t="s">
        <v>167</v>
      </c>
      <c r="C37" t="s">
        <v>167</v>
      </c>
      <c r="D37" t="s">
        <v>4129</v>
      </c>
      <c r="E37" t="s">
        <v>4112</v>
      </c>
      <c r="F37" t="s">
        <v>188</v>
      </c>
      <c r="G37" t="s">
        <v>184</v>
      </c>
      <c r="H37" t="s">
        <v>4130</v>
      </c>
      <c r="I37" t="s">
        <v>4098</v>
      </c>
      <c r="J37" t="b">
        <v>0</v>
      </c>
      <c r="K37" t="b">
        <v>1</v>
      </c>
      <c r="L37"/>
      <c r="M37"/>
      <c r="N37" t="b">
        <v>0</v>
      </c>
      <c r="O37" t="s">
        <v>4099</v>
      </c>
      <c r="P37">
        <v>1.58</v>
      </c>
      <c r="Q37"/>
      <c r="R37">
        <v>1.6</v>
      </c>
      <c r="S37">
        <v>20</v>
      </c>
      <c r="T37">
        <v>18</v>
      </c>
      <c r="U37">
        <v>19</v>
      </c>
      <c r="V37">
        <v>207</v>
      </c>
      <c r="W37" s="281">
        <v>41806</v>
      </c>
      <c r="X37" s="282"/>
      <c r="Z37" s="9" t="b">
        <f t="shared" si="0"/>
        <v>1</v>
      </c>
      <c r="AA37" s="9" t="str">
        <f t="shared" ref="AA37:AA100" si="14">GetFridgeClass(E37,F37,G37,J37,Z37,L37,M37)</f>
        <v>11A</v>
      </c>
      <c r="AB37" s="196">
        <f t="shared" si="2"/>
        <v>1.58</v>
      </c>
      <c r="AC37" s="9">
        <f>VLOOKUP(AA37,'Federal Standards'!$N$9:$P$50,2,FALSE)</f>
        <v>7.84</v>
      </c>
      <c r="AD37" s="44">
        <f>VLOOKUP(AA37,'Federal Standards'!$N$9:$P$50,3,FALSE)</f>
        <v>219.1</v>
      </c>
      <c r="AE37" s="44">
        <f t="shared" si="3"/>
        <v>231.4872</v>
      </c>
      <c r="AF37" s="283">
        <f t="shared" si="4"/>
        <v>24.487200000000001</v>
      </c>
      <c r="AG37" s="291">
        <f t="shared" si="13"/>
        <v>0.10578209075922988</v>
      </c>
      <c r="AH37" s="184" t="str">
        <f t="shared" si="5"/>
        <v>YES</v>
      </c>
      <c r="AJ37" s="9" t="str">
        <f t="shared" si="6"/>
        <v>YES</v>
      </c>
      <c r="AK37" s="9" t="str">
        <f t="shared" si="7"/>
        <v>YES</v>
      </c>
      <c r="AL37" s="9" t="str">
        <f t="shared" si="8"/>
        <v>NO</v>
      </c>
      <c r="AM37" s="9" t="str">
        <f t="shared" si="9"/>
        <v>NO</v>
      </c>
      <c r="AN37" s="9" t="str">
        <f t="shared" si="10"/>
        <v>Tier 1 - 10% to 15% better than Standard</v>
      </c>
      <c r="AO37" s="9" t="str">
        <f t="shared" si="11"/>
        <v>11A_Tier 1 - 10% to 15% better than Standard</v>
      </c>
      <c r="AP37" s="9" t="str">
        <f t="shared" si="12"/>
        <v>11A_YES</v>
      </c>
    </row>
    <row r="38" spans="1:42">
      <c r="A38">
        <v>87021</v>
      </c>
      <c r="B38" t="s">
        <v>167</v>
      </c>
      <c r="C38" t="s">
        <v>167</v>
      </c>
      <c r="D38" t="s">
        <v>653</v>
      </c>
      <c r="E38" t="s">
        <v>4112</v>
      </c>
      <c r="F38" t="s">
        <v>188</v>
      </c>
      <c r="G38" t="s">
        <v>184</v>
      </c>
      <c r="H38" t="s">
        <v>4130</v>
      </c>
      <c r="I38" t="s">
        <v>4098</v>
      </c>
      <c r="J38" t="b">
        <v>0</v>
      </c>
      <c r="K38" t="b">
        <v>1</v>
      </c>
      <c r="L38"/>
      <c r="M38"/>
      <c r="N38" t="b">
        <v>0</v>
      </c>
      <c r="O38" t="s">
        <v>4099</v>
      </c>
      <c r="P38">
        <v>1.59</v>
      </c>
      <c r="Q38"/>
      <c r="R38">
        <v>1.59</v>
      </c>
      <c r="S38">
        <v>20</v>
      </c>
      <c r="T38">
        <v>19</v>
      </c>
      <c r="U38">
        <v>18</v>
      </c>
      <c r="V38">
        <v>207</v>
      </c>
      <c r="W38" s="281">
        <v>41890</v>
      </c>
      <c r="X38" s="282"/>
      <c r="Z38" s="9" t="b">
        <f t="shared" si="0"/>
        <v>1</v>
      </c>
      <c r="AA38" s="9" t="str">
        <f t="shared" si="14"/>
        <v>11A</v>
      </c>
      <c r="AB38" s="196">
        <f t="shared" si="2"/>
        <v>1.59</v>
      </c>
      <c r="AC38" s="9">
        <f>VLOOKUP(AA38,'Federal Standards'!$N$9:$P$50,2,FALSE)</f>
        <v>7.84</v>
      </c>
      <c r="AD38" s="44">
        <f>VLOOKUP(AA38,'Federal Standards'!$N$9:$P$50,3,FALSE)</f>
        <v>219.1</v>
      </c>
      <c r="AE38" s="44">
        <f t="shared" si="3"/>
        <v>231.56559999999999</v>
      </c>
      <c r="AF38" s="283">
        <f t="shared" si="4"/>
        <v>24.565599999999989</v>
      </c>
      <c r="AG38" s="291">
        <f t="shared" si="13"/>
        <v>0.10608484161723498</v>
      </c>
      <c r="AH38" s="184" t="str">
        <f t="shared" si="5"/>
        <v>YES</v>
      </c>
      <c r="AJ38" s="9" t="str">
        <f t="shared" si="6"/>
        <v>YES</v>
      </c>
      <c r="AK38" s="9" t="str">
        <f t="shared" si="7"/>
        <v>YES</v>
      </c>
      <c r="AL38" s="9" t="str">
        <f t="shared" si="8"/>
        <v>NO</v>
      </c>
      <c r="AM38" s="9" t="str">
        <f t="shared" si="9"/>
        <v>NO</v>
      </c>
      <c r="AN38" s="9" t="str">
        <f t="shared" si="10"/>
        <v>Tier 1 - 10% to 15% better than Standard</v>
      </c>
      <c r="AO38" s="9" t="str">
        <f t="shared" si="11"/>
        <v>11A_Tier 1 - 10% to 15% better than Standard</v>
      </c>
      <c r="AP38" s="9" t="str">
        <f t="shared" si="12"/>
        <v>11A_YES</v>
      </c>
    </row>
    <row r="39" spans="1:42">
      <c r="A39">
        <v>87023</v>
      </c>
      <c r="B39" t="s">
        <v>167</v>
      </c>
      <c r="C39" t="s">
        <v>167</v>
      </c>
      <c r="D39" t="s">
        <v>657</v>
      </c>
      <c r="E39" t="s">
        <v>4112</v>
      </c>
      <c r="F39" t="s">
        <v>188</v>
      </c>
      <c r="G39" t="s">
        <v>184</v>
      </c>
      <c r="H39" t="s">
        <v>4130</v>
      </c>
      <c r="I39" t="s">
        <v>4098</v>
      </c>
      <c r="J39" t="b">
        <v>0</v>
      </c>
      <c r="K39" t="b">
        <v>1</v>
      </c>
      <c r="L39"/>
      <c r="M39"/>
      <c r="N39" t="b">
        <v>0</v>
      </c>
      <c r="O39" t="s">
        <v>4099</v>
      </c>
      <c r="P39">
        <v>2.25</v>
      </c>
      <c r="Q39"/>
      <c r="R39">
        <v>2.25</v>
      </c>
      <c r="S39">
        <v>26</v>
      </c>
      <c r="T39">
        <v>19</v>
      </c>
      <c r="U39">
        <v>18</v>
      </c>
      <c r="V39">
        <v>213</v>
      </c>
      <c r="W39" s="281">
        <v>41890</v>
      </c>
      <c r="X39" s="282"/>
      <c r="Z39" s="9" t="b">
        <f t="shared" si="0"/>
        <v>1</v>
      </c>
      <c r="AA39" s="9" t="str">
        <f t="shared" si="14"/>
        <v>11A</v>
      </c>
      <c r="AB39" s="196">
        <f t="shared" si="2"/>
        <v>2.25</v>
      </c>
      <c r="AC39" s="9">
        <f>VLOOKUP(AA39,'Federal Standards'!$N$9:$P$50,2,FALSE)</f>
        <v>7.84</v>
      </c>
      <c r="AD39" s="44">
        <f>VLOOKUP(AA39,'Federal Standards'!$N$9:$P$50,3,FALSE)</f>
        <v>219.1</v>
      </c>
      <c r="AE39" s="44">
        <f t="shared" si="3"/>
        <v>236.74</v>
      </c>
      <c r="AF39" s="283">
        <f t="shared" si="4"/>
        <v>23.740000000000009</v>
      </c>
      <c r="AG39" s="291">
        <f t="shared" si="13"/>
        <v>0.10027878685477742</v>
      </c>
      <c r="AH39" s="184" t="str">
        <f t="shared" si="5"/>
        <v>YES</v>
      </c>
      <c r="AJ39" s="9" t="str">
        <f t="shared" si="6"/>
        <v>YES</v>
      </c>
      <c r="AK39" s="9" t="str">
        <f t="shared" si="7"/>
        <v>YES</v>
      </c>
      <c r="AL39" s="9" t="str">
        <f t="shared" si="8"/>
        <v>NO</v>
      </c>
      <c r="AM39" s="9" t="str">
        <f t="shared" si="9"/>
        <v>NO</v>
      </c>
      <c r="AN39" s="9" t="str">
        <f t="shared" si="10"/>
        <v>Tier 1 - 10% to 15% better than Standard</v>
      </c>
      <c r="AO39" s="9" t="str">
        <f t="shared" si="11"/>
        <v>11A_Tier 1 - 10% to 15% better than Standard</v>
      </c>
      <c r="AP39" s="9" t="str">
        <f t="shared" si="12"/>
        <v>11A_YES</v>
      </c>
    </row>
    <row r="40" spans="1:42">
      <c r="A40">
        <v>84735</v>
      </c>
      <c r="B40" t="s">
        <v>167</v>
      </c>
      <c r="C40" t="s">
        <v>167</v>
      </c>
      <c r="D40" t="s">
        <v>4131</v>
      </c>
      <c r="E40" t="s">
        <v>4112</v>
      </c>
      <c r="F40" t="s">
        <v>188</v>
      </c>
      <c r="G40" t="s">
        <v>184</v>
      </c>
      <c r="H40" t="s">
        <v>4130</v>
      </c>
      <c r="I40" t="s">
        <v>4098</v>
      </c>
      <c r="J40" t="b">
        <v>0</v>
      </c>
      <c r="K40" t="b">
        <v>1</v>
      </c>
      <c r="L40"/>
      <c r="M40"/>
      <c r="N40" t="b">
        <v>0</v>
      </c>
      <c r="O40" t="s">
        <v>4099</v>
      </c>
      <c r="P40">
        <v>3.24</v>
      </c>
      <c r="Q40"/>
      <c r="R40">
        <v>3.2</v>
      </c>
      <c r="S40">
        <v>34</v>
      </c>
      <c r="T40">
        <v>18</v>
      </c>
      <c r="U40">
        <v>19</v>
      </c>
      <c r="V40">
        <v>218</v>
      </c>
      <c r="W40" s="281">
        <v>41806</v>
      </c>
      <c r="X40" s="282"/>
      <c r="Z40" s="9" t="b">
        <f t="shared" si="0"/>
        <v>1</v>
      </c>
      <c r="AA40" s="9" t="str">
        <f t="shared" si="14"/>
        <v>11A</v>
      </c>
      <c r="AB40" s="196">
        <f t="shared" si="2"/>
        <v>3.24</v>
      </c>
      <c r="AC40" s="9">
        <f>VLOOKUP(AA40,'Federal Standards'!$N$9:$P$50,2,FALSE)</f>
        <v>7.84</v>
      </c>
      <c r="AD40" s="44">
        <f>VLOOKUP(AA40,'Federal Standards'!$N$9:$P$50,3,FALSE)</f>
        <v>219.1</v>
      </c>
      <c r="AE40" s="44">
        <f t="shared" si="3"/>
        <v>244.5016</v>
      </c>
      <c r="AF40" s="283">
        <f t="shared" si="4"/>
        <v>26.501599999999996</v>
      </c>
      <c r="AG40" s="291">
        <f t="shared" si="13"/>
        <v>0.10839029274246056</v>
      </c>
      <c r="AH40" s="184" t="str">
        <f t="shared" si="5"/>
        <v>YES</v>
      </c>
      <c r="AJ40" s="9" t="str">
        <f t="shared" si="6"/>
        <v>YES</v>
      </c>
      <c r="AK40" s="9" t="str">
        <f t="shared" si="7"/>
        <v>YES</v>
      </c>
      <c r="AL40" s="9" t="str">
        <f t="shared" si="8"/>
        <v>NO</v>
      </c>
      <c r="AM40" s="9" t="str">
        <f t="shared" si="9"/>
        <v>NO</v>
      </c>
      <c r="AN40" s="9" t="str">
        <f t="shared" si="10"/>
        <v>Tier 1 - 10% to 15% better than Standard</v>
      </c>
      <c r="AO40" s="9" t="str">
        <f t="shared" si="11"/>
        <v>11A_Tier 1 - 10% to 15% better than Standard</v>
      </c>
      <c r="AP40" s="9" t="str">
        <f t="shared" si="12"/>
        <v>11A_YES</v>
      </c>
    </row>
    <row r="41" spans="1:42">
      <c r="A41">
        <v>87024</v>
      </c>
      <c r="B41" t="s">
        <v>167</v>
      </c>
      <c r="C41" t="s">
        <v>167</v>
      </c>
      <c r="D41" t="s">
        <v>4132</v>
      </c>
      <c r="E41" t="s">
        <v>4112</v>
      </c>
      <c r="F41" t="s">
        <v>188</v>
      </c>
      <c r="G41" t="s">
        <v>184</v>
      </c>
      <c r="H41" t="s">
        <v>4130</v>
      </c>
      <c r="I41" t="s">
        <v>4098</v>
      </c>
      <c r="J41" t="b">
        <v>0</v>
      </c>
      <c r="K41" t="b">
        <v>1</v>
      </c>
      <c r="L41"/>
      <c r="M41"/>
      <c r="N41" t="b">
        <v>0</v>
      </c>
      <c r="O41" t="s">
        <v>4099</v>
      </c>
      <c r="P41">
        <v>3.17</v>
      </c>
      <c r="Q41"/>
      <c r="R41">
        <v>3.17</v>
      </c>
      <c r="S41">
        <v>33</v>
      </c>
      <c r="T41">
        <v>19</v>
      </c>
      <c r="U41">
        <v>18</v>
      </c>
      <c r="V41">
        <v>218</v>
      </c>
      <c r="W41" s="281">
        <v>41890</v>
      </c>
      <c r="X41" s="282"/>
      <c r="Z41" s="9" t="b">
        <f t="shared" si="0"/>
        <v>1</v>
      </c>
      <c r="AA41" s="9" t="str">
        <f t="shared" si="14"/>
        <v>11A</v>
      </c>
      <c r="AB41" s="196">
        <f t="shared" si="2"/>
        <v>3.17</v>
      </c>
      <c r="AC41" s="9">
        <f>VLOOKUP(AA41,'Federal Standards'!$N$9:$P$50,2,FALSE)</f>
        <v>7.84</v>
      </c>
      <c r="AD41" s="44">
        <f>VLOOKUP(AA41,'Federal Standards'!$N$9:$P$50,3,FALSE)</f>
        <v>219.1</v>
      </c>
      <c r="AE41" s="44">
        <f t="shared" si="3"/>
        <v>243.9528</v>
      </c>
      <c r="AF41" s="283">
        <f t="shared" si="4"/>
        <v>25.952799999999996</v>
      </c>
      <c r="AG41" s="291">
        <f t="shared" si="13"/>
        <v>0.10638451372560592</v>
      </c>
      <c r="AH41" s="184" t="str">
        <f t="shared" si="5"/>
        <v>YES</v>
      </c>
      <c r="AJ41" s="9" t="str">
        <f t="shared" si="6"/>
        <v>YES</v>
      </c>
      <c r="AK41" s="9" t="str">
        <f t="shared" si="7"/>
        <v>YES</v>
      </c>
      <c r="AL41" s="9" t="str">
        <f t="shared" si="8"/>
        <v>NO</v>
      </c>
      <c r="AM41" s="9" t="str">
        <f t="shared" si="9"/>
        <v>NO</v>
      </c>
      <c r="AN41" s="9" t="str">
        <f t="shared" si="10"/>
        <v>Tier 1 - 10% to 15% better than Standard</v>
      </c>
      <c r="AO41" s="9" t="str">
        <f t="shared" si="11"/>
        <v>11A_Tier 1 - 10% to 15% better than Standard</v>
      </c>
      <c r="AP41" s="9" t="str">
        <f t="shared" si="12"/>
        <v>11A_YES</v>
      </c>
    </row>
    <row r="42" spans="1:42">
      <c r="A42">
        <v>87026</v>
      </c>
      <c r="B42" t="s">
        <v>167</v>
      </c>
      <c r="C42" t="s">
        <v>167</v>
      </c>
      <c r="D42" t="s">
        <v>4133</v>
      </c>
      <c r="E42" t="s">
        <v>4112</v>
      </c>
      <c r="F42" t="s">
        <v>188</v>
      </c>
      <c r="G42" t="s">
        <v>184</v>
      </c>
      <c r="H42" t="s">
        <v>4130</v>
      </c>
      <c r="I42" t="s">
        <v>4098</v>
      </c>
      <c r="J42" t="b">
        <v>0</v>
      </c>
      <c r="K42" t="b">
        <v>1</v>
      </c>
      <c r="L42"/>
      <c r="M42"/>
      <c r="N42" t="b">
        <v>0</v>
      </c>
      <c r="O42" t="s">
        <v>4099</v>
      </c>
      <c r="P42">
        <v>3.17</v>
      </c>
      <c r="Q42"/>
      <c r="R42">
        <v>3.17</v>
      </c>
      <c r="S42">
        <v>33</v>
      </c>
      <c r="T42">
        <v>19</v>
      </c>
      <c r="U42">
        <v>18</v>
      </c>
      <c r="V42">
        <v>242</v>
      </c>
      <c r="W42" s="281">
        <v>41890</v>
      </c>
      <c r="X42" s="282"/>
      <c r="Z42" s="9" t="b">
        <f t="shared" si="0"/>
        <v>1</v>
      </c>
      <c r="AA42" s="9" t="str">
        <f t="shared" si="14"/>
        <v>11A</v>
      </c>
      <c r="AB42" s="196">
        <f t="shared" si="2"/>
        <v>3.17</v>
      </c>
      <c r="AC42" s="9">
        <f>VLOOKUP(AA42,'Federal Standards'!$N$9:$P$50,2,FALSE)</f>
        <v>7.84</v>
      </c>
      <c r="AD42" s="44">
        <f>VLOOKUP(AA42,'Federal Standards'!$N$9:$P$50,3,FALSE)</f>
        <v>219.1</v>
      </c>
      <c r="AE42" s="44">
        <f t="shared" si="3"/>
        <v>243.9528</v>
      </c>
      <c r="AF42" s="283">
        <f t="shared" si="4"/>
        <v>1.9527999999999963</v>
      </c>
      <c r="AG42" s="291">
        <f t="shared" si="13"/>
        <v>8.0048271632873098E-3</v>
      </c>
      <c r="AH42" s="184" t="str">
        <f t="shared" si="5"/>
        <v>YES</v>
      </c>
      <c r="AJ42" s="9" t="str">
        <f t="shared" si="6"/>
        <v>NO</v>
      </c>
      <c r="AK42" s="9" t="str">
        <f t="shared" si="7"/>
        <v>NO</v>
      </c>
      <c r="AL42" s="9" t="str">
        <f t="shared" si="8"/>
        <v>NO</v>
      </c>
      <c r="AM42" s="9" t="str">
        <f t="shared" si="9"/>
        <v>NO</v>
      </c>
      <c r="AN42" s="9" t="str">
        <f t="shared" si="10"/>
        <v>Less than 10% better than Standard</v>
      </c>
      <c r="AO42" s="9" t="str">
        <f t="shared" si="11"/>
        <v>11A_Less than 10% better than Standard</v>
      </c>
      <c r="AP42" s="9" t="str">
        <f t="shared" si="12"/>
        <v>11A_NO</v>
      </c>
    </row>
    <row r="43" spans="1:42">
      <c r="A43">
        <v>87028</v>
      </c>
      <c r="B43" t="s">
        <v>167</v>
      </c>
      <c r="C43" t="s">
        <v>167</v>
      </c>
      <c r="D43" t="s">
        <v>4134</v>
      </c>
      <c r="E43" t="s">
        <v>4112</v>
      </c>
      <c r="F43" t="s">
        <v>188</v>
      </c>
      <c r="G43" t="s">
        <v>184</v>
      </c>
      <c r="H43" t="s">
        <v>4130</v>
      </c>
      <c r="I43" t="s">
        <v>4098</v>
      </c>
      <c r="J43" t="b">
        <v>0</v>
      </c>
      <c r="K43" t="b">
        <v>1</v>
      </c>
      <c r="L43"/>
      <c r="M43"/>
      <c r="N43" t="b">
        <v>0</v>
      </c>
      <c r="O43" t="s">
        <v>4099</v>
      </c>
      <c r="P43">
        <v>4.42</v>
      </c>
      <c r="Q43"/>
      <c r="R43">
        <v>4.42</v>
      </c>
      <c r="S43">
        <v>34</v>
      </c>
      <c r="T43">
        <v>20</v>
      </c>
      <c r="U43">
        <v>23</v>
      </c>
      <c r="V43">
        <v>226</v>
      </c>
      <c r="W43" s="281">
        <v>41890</v>
      </c>
      <c r="X43" s="282"/>
      <c r="Z43" s="9" t="b">
        <f t="shared" si="0"/>
        <v>1</v>
      </c>
      <c r="AA43" s="9" t="str">
        <f t="shared" si="14"/>
        <v>11A</v>
      </c>
      <c r="AB43" s="196">
        <f t="shared" si="2"/>
        <v>4.42</v>
      </c>
      <c r="AC43" s="9">
        <f>VLOOKUP(AA43,'Federal Standards'!$N$9:$P$50,2,FALSE)</f>
        <v>7.84</v>
      </c>
      <c r="AD43" s="44">
        <f>VLOOKUP(AA43,'Federal Standards'!$N$9:$P$50,3,FALSE)</f>
        <v>219.1</v>
      </c>
      <c r="AE43" s="44">
        <f t="shared" si="3"/>
        <v>253.75279999999998</v>
      </c>
      <c r="AF43" s="283">
        <f t="shared" si="4"/>
        <v>27.752799999999979</v>
      </c>
      <c r="AG43" s="291">
        <f t="shared" si="13"/>
        <v>0.10936943355895967</v>
      </c>
      <c r="AH43" s="184" t="str">
        <f t="shared" si="5"/>
        <v>YES</v>
      </c>
      <c r="AJ43" s="9" t="str">
        <f t="shared" si="6"/>
        <v>YES</v>
      </c>
      <c r="AK43" s="9" t="str">
        <f t="shared" si="7"/>
        <v>YES</v>
      </c>
      <c r="AL43" s="9" t="str">
        <f t="shared" si="8"/>
        <v>NO</v>
      </c>
      <c r="AM43" s="9" t="str">
        <f t="shared" si="9"/>
        <v>NO</v>
      </c>
      <c r="AN43" s="9" t="str">
        <f t="shared" si="10"/>
        <v>Tier 1 - 10% to 15% better than Standard</v>
      </c>
      <c r="AO43" s="9" t="str">
        <f t="shared" si="11"/>
        <v>11A_Tier 1 - 10% to 15% better than Standard</v>
      </c>
      <c r="AP43" s="9" t="str">
        <f t="shared" si="12"/>
        <v>11A_YES</v>
      </c>
    </row>
    <row r="44" spans="1:42">
      <c r="A44">
        <v>86999</v>
      </c>
      <c r="B44" t="s">
        <v>167</v>
      </c>
      <c r="C44" t="s">
        <v>167</v>
      </c>
      <c r="D44" t="s">
        <v>663</v>
      </c>
      <c r="E44" t="s">
        <v>4109</v>
      </c>
      <c r="F44" t="s">
        <v>162</v>
      </c>
      <c r="G44" t="s">
        <v>4105</v>
      </c>
      <c r="H44"/>
      <c r="I44" t="s">
        <v>4098</v>
      </c>
      <c r="J44" t="b">
        <v>0</v>
      </c>
      <c r="K44" t="b">
        <v>0</v>
      </c>
      <c r="L44" t="b">
        <v>0</v>
      </c>
      <c r="M44"/>
      <c r="N44" t="b">
        <v>0</v>
      </c>
      <c r="O44" t="s">
        <v>4099</v>
      </c>
      <c r="P44">
        <v>6.37</v>
      </c>
      <c r="Q44">
        <v>2.82</v>
      </c>
      <c r="R44">
        <v>9.19</v>
      </c>
      <c r="S44">
        <v>60</v>
      </c>
      <c r="T44">
        <v>24</v>
      </c>
      <c r="U44">
        <v>27</v>
      </c>
      <c r="V44">
        <v>374</v>
      </c>
      <c r="W44" s="281">
        <v>41890</v>
      </c>
      <c r="X44" s="282"/>
      <c r="Z44" s="9" t="b">
        <f t="shared" si="0"/>
        <v>0</v>
      </c>
      <c r="AA44" s="9" t="str">
        <f t="shared" si="14"/>
        <v>5</v>
      </c>
      <c r="AB44" s="196">
        <f t="shared" si="2"/>
        <v>11.3332</v>
      </c>
      <c r="AC44" s="9">
        <f>VLOOKUP(AA44,'Federal Standards'!$N$9:$P$50,2,FALSE)</f>
        <v>8.85</v>
      </c>
      <c r="AD44" s="44">
        <f>VLOOKUP(AA44,'Federal Standards'!$N$9:$P$50,3,FALSE)</f>
        <v>317</v>
      </c>
      <c r="AE44" s="44">
        <f t="shared" si="3"/>
        <v>417.29881999999998</v>
      </c>
      <c r="AF44" s="283">
        <f t="shared" si="4"/>
        <v>43.298819999999978</v>
      </c>
      <c r="AG44" s="291">
        <f t="shared" si="13"/>
        <v>0.10375974703211473</v>
      </c>
      <c r="AH44" s="184" t="str">
        <f t="shared" si="5"/>
        <v>YES</v>
      </c>
      <c r="AJ44" s="9" t="str">
        <f t="shared" si="6"/>
        <v>YES</v>
      </c>
      <c r="AK44" s="9" t="str">
        <f t="shared" si="7"/>
        <v>YES</v>
      </c>
      <c r="AL44" s="9" t="str">
        <f t="shared" si="8"/>
        <v>NO</v>
      </c>
      <c r="AM44" s="9" t="str">
        <f t="shared" si="9"/>
        <v>NO</v>
      </c>
      <c r="AN44" s="9" t="str">
        <f t="shared" si="10"/>
        <v>Tier 1 - 10% to 15% better than Standard</v>
      </c>
      <c r="AO44" s="9" t="str">
        <f t="shared" si="11"/>
        <v>5_Tier 1 - 10% to 15% better than Standard</v>
      </c>
      <c r="AP44" s="9" t="str">
        <f t="shared" si="12"/>
        <v>5_YES</v>
      </c>
    </row>
    <row r="45" spans="1:42">
      <c r="A45">
        <v>87033</v>
      </c>
      <c r="B45" t="s">
        <v>167</v>
      </c>
      <c r="C45" t="s">
        <v>167</v>
      </c>
      <c r="D45" t="s">
        <v>4135</v>
      </c>
      <c r="E45" t="s">
        <v>4108</v>
      </c>
      <c r="F45" t="s">
        <v>162</v>
      </c>
      <c r="G45" t="s">
        <v>4105</v>
      </c>
      <c r="H45"/>
      <c r="I45" t="s">
        <v>4098</v>
      </c>
      <c r="J45" t="b">
        <v>0</v>
      </c>
      <c r="K45" t="b">
        <v>0</v>
      </c>
      <c r="L45" t="b">
        <v>0</v>
      </c>
      <c r="M45"/>
      <c r="N45" t="b">
        <v>0</v>
      </c>
      <c r="O45" t="s">
        <v>4099</v>
      </c>
      <c r="P45">
        <v>7.11</v>
      </c>
      <c r="Q45">
        <v>2.82</v>
      </c>
      <c r="R45">
        <v>9.93</v>
      </c>
      <c r="S45">
        <v>60</v>
      </c>
      <c r="T45">
        <v>24</v>
      </c>
      <c r="U45">
        <v>27</v>
      </c>
      <c r="V45">
        <v>330</v>
      </c>
      <c r="W45" s="281">
        <v>41890</v>
      </c>
      <c r="X45" s="282"/>
      <c r="Z45" s="9" t="b">
        <f t="shared" si="0"/>
        <v>0</v>
      </c>
      <c r="AA45" s="9" t="str">
        <f t="shared" si="14"/>
        <v>3</v>
      </c>
      <c r="AB45" s="196">
        <f t="shared" si="2"/>
        <v>12.0732</v>
      </c>
      <c r="AC45" s="9">
        <f>VLOOKUP(AA45,'Federal Standards'!$N$9:$P$50,2,FALSE)</f>
        <v>8.07</v>
      </c>
      <c r="AD45" s="44">
        <f>VLOOKUP(AA45,'Federal Standards'!$N$9:$P$50,3,FALSE)</f>
        <v>233.7</v>
      </c>
      <c r="AE45" s="44">
        <f t="shared" si="3"/>
        <v>331.13072399999999</v>
      </c>
      <c r="AF45" s="283">
        <f t="shared" si="4"/>
        <v>1.1307239999999865</v>
      </c>
      <c r="AG45" s="291">
        <f t="shared" si="13"/>
        <v>3.4147359880745665E-3</v>
      </c>
      <c r="AH45" s="184" t="str">
        <f t="shared" si="5"/>
        <v>YES</v>
      </c>
      <c r="AJ45" s="9" t="str">
        <f t="shared" si="6"/>
        <v>NO</v>
      </c>
      <c r="AK45" s="9" t="str">
        <f t="shared" si="7"/>
        <v>NO</v>
      </c>
      <c r="AL45" s="9" t="str">
        <f t="shared" si="8"/>
        <v>NO</v>
      </c>
      <c r="AM45" s="9" t="str">
        <f t="shared" si="9"/>
        <v>NO</v>
      </c>
      <c r="AN45" s="9" t="str">
        <f t="shared" si="10"/>
        <v>Less than 10% better than Standard</v>
      </c>
      <c r="AO45" s="9" t="str">
        <f t="shared" si="11"/>
        <v>3_Less than 10% better than Standard</v>
      </c>
      <c r="AP45" s="9" t="str">
        <f t="shared" si="12"/>
        <v>3_NO</v>
      </c>
    </row>
    <row r="46" spans="1:42">
      <c r="A46">
        <v>87039</v>
      </c>
      <c r="B46" t="s">
        <v>167</v>
      </c>
      <c r="C46" t="s">
        <v>167</v>
      </c>
      <c r="D46" t="s">
        <v>4136</v>
      </c>
      <c r="E46" t="s">
        <v>4108</v>
      </c>
      <c r="F46" t="s">
        <v>4111</v>
      </c>
      <c r="G46" t="s">
        <v>4105</v>
      </c>
      <c r="H46"/>
      <c r="I46" t="s">
        <v>4098</v>
      </c>
      <c r="J46" t="b">
        <v>0</v>
      </c>
      <c r="K46" t="b">
        <v>1</v>
      </c>
      <c r="L46" t="b">
        <v>0</v>
      </c>
      <c r="M46"/>
      <c r="N46" t="b">
        <v>0</v>
      </c>
      <c r="O46" t="s">
        <v>4099</v>
      </c>
      <c r="P46">
        <v>6.04</v>
      </c>
      <c r="Q46">
        <v>1.36</v>
      </c>
      <c r="R46">
        <v>7.4</v>
      </c>
      <c r="S46">
        <v>57</v>
      </c>
      <c r="T46">
        <v>22</v>
      </c>
      <c r="U46">
        <v>23</v>
      </c>
      <c r="V46">
        <v>344</v>
      </c>
      <c r="W46" s="281">
        <v>41890</v>
      </c>
      <c r="X46" s="282"/>
      <c r="Z46" s="9" t="b">
        <f t="shared" si="0"/>
        <v>1</v>
      </c>
      <c r="AA46" s="9" t="str">
        <f t="shared" si="14"/>
        <v>12</v>
      </c>
      <c r="AB46" s="196">
        <f t="shared" si="2"/>
        <v>8.4336000000000002</v>
      </c>
      <c r="AC46" s="9">
        <f>VLOOKUP(AA46,'Federal Standards'!$N$9:$P$50,2,FALSE)</f>
        <v>5.91</v>
      </c>
      <c r="AD46" s="44">
        <f>VLOOKUP(AA46,'Federal Standards'!$N$9:$P$50,3,FALSE)</f>
        <v>335.8</v>
      </c>
      <c r="AE46" s="44">
        <f t="shared" si="3"/>
        <v>385.64257600000002</v>
      </c>
      <c r="AF46" s="283">
        <f t="shared" si="4"/>
        <v>41.64257600000002</v>
      </c>
      <c r="AG46" s="291">
        <f t="shared" si="13"/>
        <v>0.10798230950516215</v>
      </c>
      <c r="AH46" s="184" t="str">
        <f t="shared" si="5"/>
        <v>YES</v>
      </c>
      <c r="AJ46" s="9" t="str">
        <f t="shared" si="6"/>
        <v>YES</v>
      </c>
      <c r="AK46" s="9" t="str">
        <f t="shared" si="7"/>
        <v>YES</v>
      </c>
      <c r="AL46" s="9" t="str">
        <f t="shared" si="8"/>
        <v>NO</v>
      </c>
      <c r="AM46" s="9" t="str">
        <f t="shared" si="9"/>
        <v>NO</v>
      </c>
      <c r="AN46" s="9" t="str">
        <f t="shared" si="10"/>
        <v>Tier 1 - 10% to 15% better than Standard</v>
      </c>
      <c r="AO46" s="9" t="str">
        <f t="shared" si="11"/>
        <v>12_Tier 1 - 10% to 15% better than Standard</v>
      </c>
      <c r="AP46" s="9" t="str">
        <f t="shared" si="12"/>
        <v>12_YES</v>
      </c>
    </row>
    <row r="47" spans="1:42">
      <c r="A47">
        <v>87046</v>
      </c>
      <c r="B47" t="s">
        <v>167</v>
      </c>
      <c r="C47" t="s">
        <v>167</v>
      </c>
      <c r="D47" t="s">
        <v>4137</v>
      </c>
      <c r="E47" t="s">
        <v>187</v>
      </c>
      <c r="F47" t="s">
        <v>188</v>
      </c>
      <c r="G47" t="s">
        <v>189</v>
      </c>
      <c r="H47"/>
      <c r="I47" t="s">
        <v>4098</v>
      </c>
      <c r="J47" t="b">
        <v>0</v>
      </c>
      <c r="K47" t="b">
        <v>1</v>
      </c>
      <c r="L47" t="b">
        <v>0</v>
      </c>
      <c r="M47"/>
      <c r="N47" t="b">
        <v>0</v>
      </c>
      <c r="O47" t="s">
        <v>4099</v>
      </c>
      <c r="P47"/>
      <c r="Q47">
        <v>3.18</v>
      </c>
      <c r="R47">
        <v>3.18</v>
      </c>
      <c r="S47">
        <v>33</v>
      </c>
      <c r="T47">
        <v>21</v>
      </c>
      <c r="U47">
        <v>23</v>
      </c>
      <c r="V47">
        <v>272</v>
      </c>
      <c r="W47" s="281">
        <v>41890</v>
      </c>
      <c r="X47" s="282"/>
      <c r="Z47" s="9" t="b">
        <f t="shared" si="0"/>
        <v>1</v>
      </c>
      <c r="AA47" s="9" t="str">
        <f t="shared" si="14"/>
        <v>16</v>
      </c>
      <c r="AB47" s="196">
        <f t="shared" si="2"/>
        <v>5.5968</v>
      </c>
      <c r="AC47" s="9">
        <f>VLOOKUP(AA47,'Federal Standards'!$N$9:$P$50,2,FALSE)</f>
        <v>8.65</v>
      </c>
      <c r="AD47" s="44">
        <f>VLOOKUP(AA47,'Federal Standards'!$N$9:$P$50,3,FALSE)</f>
        <v>225.7</v>
      </c>
      <c r="AE47" s="44">
        <f t="shared" si="3"/>
        <v>274.11232000000001</v>
      </c>
      <c r="AF47" s="283">
        <f t="shared" si="4"/>
        <v>2.1123200000000111</v>
      </c>
      <c r="AG47" s="291">
        <f t="shared" si="13"/>
        <v>7.706038167128026E-3</v>
      </c>
      <c r="AH47" s="184" t="str">
        <f t="shared" si="5"/>
        <v>YES</v>
      </c>
      <c r="AJ47" s="9" t="str">
        <f t="shared" si="6"/>
        <v>NO</v>
      </c>
      <c r="AK47" s="9" t="str">
        <f t="shared" si="7"/>
        <v>NO</v>
      </c>
      <c r="AL47" s="9" t="str">
        <f t="shared" si="8"/>
        <v>NO</v>
      </c>
      <c r="AM47" s="9" t="str">
        <f t="shared" si="9"/>
        <v>NO</v>
      </c>
      <c r="AN47" s="9" t="str">
        <f t="shared" si="10"/>
        <v>Less than 10% better than Standard</v>
      </c>
      <c r="AO47" s="9" t="str">
        <f t="shared" si="11"/>
        <v>16_Less than 10% better than Standard</v>
      </c>
      <c r="AP47" s="9" t="str">
        <f t="shared" si="12"/>
        <v>16_NO</v>
      </c>
    </row>
    <row r="48" spans="1:42">
      <c r="A48">
        <v>83003</v>
      </c>
      <c r="B48" t="s">
        <v>167</v>
      </c>
      <c r="C48" t="s">
        <v>167</v>
      </c>
      <c r="D48" t="s">
        <v>4138</v>
      </c>
      <c r="E48" t="s">
        <v>187</v>
      </c>
      <c r="F48" t="s">
        <v>188</v>
      </c>
      <c r="G48" t="s">
        <v>189</v>
      </c>
      <c r="H48"/>
      <c r="I48"/>
      <c r="J48"/>
      <c r="K48"/>
      <c r="L48"/>
      <c r="M48"/>
      <c r="N48" t="b">
        <v>0</v>
      </c>
      <c r="O48"/>
      <c r="P48"/>
      <c r="Q48">
        <v>3.04</v>
      </c>
      <c r="R48">
        <v>3.04</v>
      </c>
      <c r="S48">
        <v>33</v>
      </c>
      <c r="T48">
        <v>21</v>
      </c>
      <c r="U48">
        <v>23</v>
      </c>
      <c r="V48">
        <v>240</v>
      </c>
      <c r="W48" s="281">
        <v>41613</v>
      </c>
      <c r="X48" s="282"/>
      <c r="Z48" s="9" t="b">
        <f t="shared" si="0"/>
        <v>1</v>
      </c>
      <c r="AA48" s="9" t="str">
        <f t="shared" si="14"/>
        <v>16</v>
      </c>
      <c r="AB48" s="196">
        <f t="shared" si="2"/>
        <v>5.3504000000000005</v>
      </c>
      <c r="AC48" s="9">
        <f>VLOOKUP(AA48,'Federal Standards'!$N$9:$P$50,2,FALSE)</f>
        <v>8.65</v>
      </c>
      <c r="AD48" s="44">
        <f>VLOOKUP(AA48,'Federal Standards'!$N$9:$P$50,3,FALSE)</f>
        <v>225.7</v>
      </c>
      <c r="AE48" s="44">
        <f t="shared" si="3"/>
        <v>271.98095999999998</v>
      </c>
      <c r="AF48" s="283">
        <f t="shared" si="4"/>
        <v>31.980959999999982</v>
      </c>
      <c r="AG48" s="291">
        <f t="shared" si="13"/>
        <v>0.11758528979381493</v>
      </c>
      <c r="AH48" s="184" t="str">
        <f t="shared" si="5"/>
        <v>YES</v>
      </c>
      <c r="AJ48" s="9" t="str">
        <f t="shared" si="6"/>
        <v>YES</v>
      </c>
      <c r="AK48" s="9" t="str">
        <f t="shared" si="7"/>
        <v>YES</v>
      </c>
      <c r="AL48" s="9" t="str">
        <f t="shared" si="8"/>
        <v>NO</v>
      </c>
      <c r="AM48" s="9" t="str">
        <f t="shared" si="9"/>
        <v>NO</v>
      </c>
      <c r="AN48" s="9" t="str">
        <f t="shared" si="10"/>
        <v>Tier 1 - 10% to 15% better than Standard</v>
      </c>
      <c r="AO48" s="9" t="str">
        <f t="shared" si="11"/>
        <v>16_Tier 1 - 10% to 15% better than Standard</v>
      </c>
      <c r="AP48" s="9" t="str">
        <f t="shared" si="12"/>
        <v>16_YES</v>
      </c>
    </row>
    <row r="49" spans="1:42">
      <c r="A49">
        <v>82817</v>
      </c>
      <c r="B49" t="s">
        <v>167</v>
      </c>
      <c r="C49" t="s">
        <v>167</v>
      </c>
      <c r="D49" t="s">
        <v>4139</v>
      </c>
      <c r="E49" t="s">
        <v>4119</v>
      </c>
      <c r="F49" t="s">
        <v>162</v>
      </c>
      <c r="G49" t="s">
        <v>184</v>
      </c>
      <c r="H49"/>
      <c r="I49"/>
      <c r="J49"/>
      <c r="K49"/>
      <c r="L49"/>
      <c r="M49"/>
      <c r="N49" t="b">
        <v>0</v>
      </c>
      <c r="O49"/>
      <c r="P49">
        <v>4</v>
      </c>
      <c r="Q49"/>
      <c r="R49">
        <v>4</v>
      </c>
      <c r="S49">
        <v>841</v>
      </c>
      <c r="T49">
        <v>493</v>
      </c>
      <c r="U49">
        <v>626</v>
      </c>
      <c r="V49">
        <v>410</v>
      </c>
      <c r="W49" s="281">
        <v>41522</v>
      </c>
      <c r="X49" s="282"/>
      <c r="Z49" s="9" t="b">
        <f t="shared" si="0"/>
        <v>1</v>
      </c>
      <c r="AA49" s="9" t="str">
        <f t="shared" si="14"/>
        <v>[Wine Chiller - exempt]</v>
      </c>
      <c r="AB49" s="196">
        <f t="shared" si="2"/>
        <v>4</v>
      </c>
      <c r="AC49" s="9" t="e">
        <f>VLOOKUP(AA49,'Federal Standards'!$N$9:$P$50,2,FALSE)</f>
        <v>#N/A</v>
      </c>
      <c r="AD49" s="44" t="e">
        <f>VLOOKUP(AA49,'Federal Standards'!$N$9:$P$50,3,FALSE)</f>
        <v>#N/A</v>
      </c>
      <c r="AE49" s="44" t="e">
        <f t="shared" si="3"/>
        <v>#N/A</v>
      </c>
      <c r="AF49" s="283" t="e">
        <f t="shared" si="4"/>
        <v>#N/A</v>
      </c>
      <c r="AG49" s="291" t="e">
        <f t="shared" si="13"/>
        <v>#N/A</v>
      </c>
      <c r="AH49" s="184" t="e">
        <f t="shared" si="5"/>
        <v>#N/A</v>
      </c>
      <c r="AJ49" s="9" t="e">
        <f t="shared" si="6"/>
        <v>#N/A</v>
      </c>
      <c r="AK49" s="9" t="e">
        <f t="shared" si="7"/>
        <v>#N/A</v>
      </c>
      <c r="AL49" s="9" t="e">
        <f t="shared" si="8"/>
        <v>#N/A</v>
      </c>
      <c r="AM49" s="9" t="e">
        <f t="shared" si="9"/>
        <v>#N/A</v>
      </c>
      <c r="AN49" s="9" t="e">
        <f t="shared" si="10"/>
        <v>#N/A</v>
      </c>
      <c r="AO49" s="9" t="e">
        <f t="shared" si="11"/>
        <v>#N/A</v>
      </c>
      <c r="AP49" s="9" t="e">
        <f t="shared" si="12"/>
        <v>#N/A</v>
      </c>
    </row>
    <row r="50" spans="1:42">
      <c r="A50">
        <v>83044</v>
      </c>
      <c r="B50" t="s">
        <v>167</v>
      </c>
      <c r="C50" t="s">
        <v>4140</v>
      </c>
      <c r="D50" t="s">
        <v>4141</v>
      </c>
      <c r="E50" t="s">
        <v>4115</v>
      </c>
      <c r="F50" t="s">
        <v>162</v>
      </c>
      <c r="G50" t="s">
        <v>184</v>
      </c>
      <c r="H50"/>
      <c r="I50"/>
      <c r="J50"/>
      <c r="K50"/>
      <c r="L50"/>
      <c r="M50"/>
      <c r="N50" t="b">
        <v>0</v>
      </c>
      <c r="O50" t="s">
        <v>4099</v>
      </c>
      <c r="P50">
        <v>5.8</v>
      </c>
      <c r="Q50"/>
      <c r="R50">
        <v>5.8</v>
      </c>
      <c r="S50">
        <v>35</v>
      </c>
      <c r="T50">
        <v>24</v>
      </c>
      <c r="U50">
        <v>24</v>
      </c>
      <c r="V50">
        <v>338</v>
      </c>
      <c r="W50" s="281">
        <v>41653</v>
      </c>
      <c r="X50" s="282"/>
      <c r="Z50" s="9" t="b">
        <f t="shared" si="0"/>
        <v>1</v>
      </c>
      <c r="AA50" s="9" t="str">
        <f t="shared" si="14"/>
        <v>13A</v>
      </c>
      <c r="AB50" s="196">
        <f t="shared" si="2"/>
        <v>5.8</v>
      </c>
      <c r="AC50" s="9">
        <f>VLOOKUP(AA50,'Federal Standards'!$N$9:$P$50,2,FALSE)</f>
        <v>9.17</v>
      </c>
      <c r="AD50" s="44">
        <f>VLOOKUP(AA50,'Federal Standards'!$N$9:$P$50,3,FALSE)</f>
        <v>259.3</v>
      </c>
      <c r="AE50" s="44">
        <f t="shared" si="3"/>
        <v>312.48599999999999</v>
      </c>
      <c r="AF50" s="283">
        <f t="shared" si="4"/>
        <v>-25.51400000000001</v>
      </c>
      <c r="AG50" s="291">
        <f t="shared" si="13"/>
        <v>-8.1648457850911751E-2</v>
      </c>
      <c r="AH50" s="184" t="str">
        <f t="shared" si="5"/>
        <v>NO</v>
      </c>
      <c r="AJ50" s="9" t="str">
        <f t="shared" si="6"/>
        <v>NO</v>
      </c>
      <c r="AK50" s="9" t="str">
        <f t="shared" si="7"/>
        <v>NO</v>
      </c>
      <c r="AL50" s="9" t="str">
        <f t="shared" si="8"/>
        <v>NO</v>
      </c>
      <c r="AM50" s="9" t="str">
        <f t="shared" si="9"/>
        <v>NO</v>
      </c>
      <c r="AN50" s="9" t="str">
        <f t="shared" si="10"/>
        <v>Doesn't meet Standard</v>
      </c>
      <c r="AO50" s="9" t="str">
        <f t="shared" si="11"/>
        <v>13A_Doesn't meet Standard</v>
      </c>
      <c r="AP50" s="9" t="str">
        <f t="shared" si="12"/>
        <v>13A_NO</v>
      </c>
    </row>
    <row r="51" spans="1:42">
      <c r="A51">
        <v>84742</v>
      </c>
      <c r="B51" t="s">
        <v>167</v>
      </c>
      <c r="C51" t="s">
        <v>4142</v>
      </c>
      <c r="D51" t="s">
        <v>4143</v>
      </c>
      <c r="E51" t="s">
        <v>4097</v>
      </c>
      <c r="F51" t="s">
        <v>162</v>
      </c>
      <c r="G51" t="s">
        <v>184</v>
      </c>
      <c r="H51"/>
      <c r="I51" t="s">
        <v>4098</v>
      </c>
      <c r="J51" t="b">
        <v>0</v>
      </c>
      <c r="K51" t="b">
        <v>1</v>
      </c>
      <c r="L51"/>
      <c r="M51"/>
      <c r="N51" t="b">
        <v>0</v>
      </c>
      <c r="O51" t="s">
        <v>4099</v>
      </c>
      <c r="P51">
        <v>1.73</v>
      </c>
      <c r="Q51"/>
      <c r="R51">
        <v>1.7</v>
      </c>
      <c r="S51">
        <v>21</v>
      </c>
      <c r="T51">
        <v>18</v>
      </c>
      <c r="U51">
        <v>21</v>
      </c>
      <c r="V51">
        <v>221</v>
      </c>
      <c r="W51" s="281">
        <v>41806</v>
      </c>
      <c r="X51" s="282"/>
      <c r="Z51" s="9" t="b">
        <f t="shared" si="0"/>
        <v>1</v>
      </c>
      <c r="AA51" s="9" t="str">
        <f t="shared" si="14"/>
        <v>13A</v>
      </c>
      <c r="AB51" s="196">
        <f t="shared" si="2"/>
        <v>1.73</v>
      </c>
      <c r="AC51" s="9">
        <f>VLOOKUP(AA51,'Federal Standards'!$N$9:$P$50,2,FALSE)</f>
        <v>9.17</v>
      </c>
      <c r="AD51" s="44">
        <f>VLOOKUP(AA51,'Federal Standards'!$N$9:$P$50,3,FALSE)</f>
        <v>259.3</v>
      </c>
      <c r="AE51" s="44">
        <f t="shared" si="3"/>
        <v>275.16410000000002</v>
      </c>
      <c r="AF51" s="283">
        <f t="shared" si="4"/>
        <v>54.164100000000019</v>
      </c>
      <c r="AG51" s="291">
        <f t="shared" si="13"/>
        <v>0.19684290210823294</v>
      </c>
      <c r="AH51" s="184" t="str">
        <f t="shared" si="5"/>
        <v>YES</v>
      </c>
      <c r="AJ51" s="9" t="str">
        <f t="shared" si="6"/>
        <v>YES</v>
      </c>
      <c r="AK51" s="9" t="str">
        <f t="shared" si="7"/>
        <v>NO</v>
      </c>
      <c r="AL51" s="9" t="str">
        <f t="shared" si="8"/>
        <v>YES</v>
      </c>
      <c r="AM51" s="9" t="str">
        <f t="shared" si="9"/>
        <v>NO</v>
      </c>
      <c r="AN51" s="9" t="str">
        <f t="shared" si="10"/>
        <v>Tier 2 - 15% to 20% better than Standard</v>
      </c>
      <c r="AO51" s="9" t="str">
        <f t="shared" si="11"/>
        <v>13A_Tier 2 - 15% to 20% better than Standard</v>
      </c>
      <c r="AP51" s="9" t="str">
        <f t="shared" si="12"/>
        <v>13A_YES</v>
      </c>
    </row>
    <row r="52" spans="1:42">
      <c r="A52">
        <v>84743</v>
      </c>
      <c r="B52" t="s">
        <v>167</v>
      </c>
      <c r="C52" t="s">
        <v>4142</v>
      </c>
      <c r="D52" t="s">
        <v>4144</v>
      </c>
      <c r="E52" t="s">
        <v>4097</v>
      </c>
      <c r="F52" t="s">
        <v>162</v>
      </c>
      <c r="G52" t="s">
        <v>184</v>
      </c>
      <c r="H52"/>
      <c r="I52" t="s">
        <v>4098</v>
      </c>
      <c r="J52" t="b">
        <v>0</v>
      </c>
      <c r="K52" t="b">
        <v>1</v>
      </c>
      <c r="L52"/>
      <c r="M52"/>
      <c r="N52" t="b">
        <v>0</v>
      </c>
      <c r="O52" t="s">
        <v>4099</v>
      </c>
      <c r="P52">
        <v>2.58</v>
      </c>
      <c r="Q52"/>
      <c r="R52">
        <v>2.6</v>
      </c>
      <c r="S52">
        <v>27</v>
      </c>
      <c r="T52">
        <v>18</v>
      </c>
      <c r="U52">
        <v>21</v>
      </c>
      <c r="V52">
        <v>253</v>
      </c>
      <c r="W52" s="281">
        <v>41806</v>
      </c>
      <c r="X52" s="282"/>
      <c r="Z52" s="9" t="b">
        <f t="shared" si="0"/>
        <v>1</v>
      </c>
      <c r="AA52" s="9" t="str">
        <f t="shared" si="14"/>
        <v>13A</v>
      </c>
      <c r="AB52" s="196">
        <f t="shared" si="2"/>
        <v>2.58</v>
      </c>
      <c r="AC52" s="9">
        <f>VLOOKUP(AA52,'Federal Standards'!$N$9:$P$50,2,FALSE)</f>
        <v>9.17</v>
      </c>
      <c r="AD52" s="44">
        <f>VLOOKUP(AA52,'Federal Standards'!$N$9:$P$50,3,FALSE)</f>
        <v>259.3</v>
      </c>
      <c r="AE52" s="44">
        <f t="shared" si="3"/>
        <v>282.95859999999999</v>
      </c>
      <c r="AF52" s="283">
        <f t="shared" si="4"/>
        <v>29.95859999999999</v>
      </c>
      <c r="AG52" s="291">
        <f t="shared" si="13"/>
        <v>0.10587626599792334</v>
      </c>
      <c r="AH52" s="184" t="str">
        <f t="shared" si="5"/>
        <v>YES</v>
      </c>
      <c r="AJ52" s="9" t="str">
        <f t="shared" si="6"/>
        <v>YES</v>
      </c>
      <c r="AK52" s="9" t="str">
        <f t="shared" si="7"/>
        <v>YES</v>
      </c>
      <c r="AL52" s="9" t="str">
        <f t="shared" si="8"/>
        <v>NO</v>
      </c>
      <c r="AM52" s="9" t="str">
        <f t="shared" si="9"/>
        <v>NO</v>
      </c>
      <c r="AN52" s="9" t="str">
        <f t="shared" si="10"/>
        <v>Tier 1 - 10% to 15% better than Standard</v>
      </c>
      <c r="AO52" s="9" t="str">
        <f t="shared" si="11"/>
        <v>13A_Tier 1 - 10% to 15% better than Standard</v>
      </c>
      <c r="AP52" s="9" t="str">
        <f t="shared" si="12"/>
        <v>13A_YES</v>
      </c>
    </row>
    <row r="53" spans="1:42">
      <c r="A53">
        <v>84745</v>
      </c>
      <c r="B53" t="s">
        <v>167</v>
      </c>
      <c r="C53" t="s">
        <v>4142</v>
      </c>
      <c r="D53" t="s">
        <v>4145</v>
      </c>
      <c r="E53" t="s">
        <v>4097</v>
      </c>
      <c r="F53" t="s">
        <v>162</v>
      </c>
      <c r="G53" t="s">
        <v>184</v>
      </c>
      <c r="H53"/>
      <c r="I53" t="s">
        <v>4098</v>
      </c>
      <c r="J53" t="b">
        <v>0</v>
      </c>
      <c r="K53" t="b">
        <v>1</v>
      </c>
      <c r="L53"/>
      <c r="M53"/>
      <c r="N53" t="b">
        <v>0</v>
      </c>
      <c r="O53" t="s">
        <v>4099</v>
      </c>
      <c r="P53">
        <v>3.3</v>
      </c>
      <c r="Q53"/>
      <c r="R53">
        <v>3.3</v>
      </c>
      <c r="S53">
        <v>34</v>
      </c>
      <c r="T53">
        <v>18</v>
      </c>
      <c r="U53">
        <v>21</v>
      </c>
      <c r="V53">
        <v>259</v>
      </c>
      <c r="W53" s="281">
        <v>41806</v>
      </c>
      <c r="X53" s="282"/>
      <c r="Z53" s="9" t="b">
        <f t="shared" si="0"/>
        <v>1</v>
      </c>
      <c r="AA53" s="9" t="str">
        <f t="shared" si="14"/>
        <v>13A</v>
      </c>
      <c r="AB53" s="196">
        <f t="shared" si="2"/>
        <v>3.3</v>
      </c>
      <c r="AC53" s="9">
        <f>VLOOKUP(AA53,'Federal Standards'!$N$9:$P$50,2,FALSE)</f>
        <v>9.17</v>
      </c>
      <c r="AD53" s="44">
        <f>VLOOKUP(AA53,'Federal Standards'!$N$9:$P$50,3,FALSE)</f>
        <v>259.3</v>
      </c>
      <c r="AE53" s="44">
        <f t="shared" si="3"/>
        <v>289.56100000000004</v>
      </c>
      <c r="AF53" s="283">
        <f t="shared" si="4"/>
        <v>30.561000000000035</v>
      </c>
      <c r="AG53" s="291">
        <f t="shared" si="13"/>
        <v>0.10554252817195697</v>
      </c>
      <c r="AH53" s="184" t="str">
        <f t="shared" si="5"/>
        <v>YES</v>
      </c>
      <c r="AJ53" s="9" t="str">
        <f t="shared" si="6"/>
        <v>YES</v>
      </c>
      <c r="AK53" s="9" t="str">
        <f t="shared" si="7"/>
        <v>YES</v>
      </c>
      <c r="AL53" s="9" t="str">
        <f t="shared" si="8"/>
        <v>NO</v>
      </c>
      <c r="AM53" s="9" t="str">
        <f t="shared" si="9"/>
        <v>NO</v>
      </c>
      <c r="AN53" s="9" t="str">
        <f t="shared" si="10"/>
        <v>Tier 1 - 10% to 15% better than Standard</v>
      </c>
      <c r="AO53" s="9" t="str">
        <f t="shared" si="11"/>
        <v>13A_Tier 1 - 10% to 15% better than Standard</v>
      </c>
      <c r="AP53" s="9" t="str">
        <f t="shared" si="12"/>
        <v>13A_YES</v>
      </c>
    </row>
    <row r="54" spans="1:42">
      <c r="A54">
        <v>84750</v>
      </c>
      <c r="B54" t="s">
        <v>167</v>
      </c>
      <c r="C54" t="s">
        <v>4142</v>
      </c>
      <c r="D54" t="s">
        <v>4146</v>
      </c>
      <c r="E54" t="s">
        <v>4097</v>
      </c>
      <c r="F54" t="s">
        <v>162</v>
      </c>
      <c r="G54" t="s">
        <v>184</v>
      </c>
      <c r="H54"/>
      <c r="I54" t="s">
        <v>4098</v>
      </c>
      <c r="J54" t="b">
        <v>0</v>
      </c>
      <c r="K54" t="b">
        <v>1</v>
      </c>
      <c r="L54"/>
      <c r="M54"/>
      <c r="N54" t="b">
        <v>0</v>
      </c>
      <c r="O54" t="s">
        <v>4099</v>
      </c>
      <c r="P54">
        <v>4.3899999999999997</v>
      </c>
      <c r="Q54"/>
      <c r="R54">
        <v>4.4000000000000004</v>
      </c>
      <c r="S54">
        <v>33</v>
      </c>
      <c r="T54">
        <v>21</v>
      </c>
      <c r="U54">
        <v>21</v>
      </c>
      <c r="V54">
        <v>268</v>
      </c>
      <c r="W54" s="281">
        <v>41806</v>
      </c>
      <c r="X54" s="282"/>
      <c r="Z54" s="9" t="b">
        <f t="shared" si="0"/>
        <v>1</v>
      </c>
      <c r="AA54" s="9" t="str">
        <f t="shared" si="14"/>
        <v>13A</v>
      </c>
      <c r="AB54" s="196">
        <f t="shared" si="2"/>
        <v>4.3899999999999997</v>
      </c>
      <c r="AC54" s="9">
        <f>VLOOKUP(AA54,'Federal Standards'!$N$9:$P$50,2,FALSE)</f>
        <v>9.17</v>
      </c>
      <c r="AD54" s="44">
        <f>VLOOKUP(AA54,'Federal Standards'!$N$9:$P$50,3,FALSE)</f>
        <v>259.3</v>
      </c>
      <c r="AE54" s="44">
        <f t="shared" si="3"/>
        <v>299.55630000000002</v>
      </c>
      <c r="AF54" s="283">
        <f t="shared" si="4"/>
        <v>31.556300000000022</v>
      </c>
      <c r="AG54" s="291">
        <f t="shared" si="13"/>
        <v>0.10534346965829135</v>
      </c>
      <c r="AH54" s="184" t="str">
        <f t="shared" si="5"/>
        <v>YES</v>
      </c>
      <c r="AJ54" s="9" t="str">
        <f t="shared" si="6"/>
        <v>YES</v>
      </c>
      <c r="AK54" s="9" t="str">
        <f t="shared" si="7"/>
        <v>YES</v>
      </c>
      <c r="AL54" s="9" t="str">
        <f t="shared" si="8"/>
        <v>NO</v>
      </c>
      <c r="AM54" s="9" t="str">
        <f t="shared" si="9"/>
        <v>NO</v>
      </c>
      <c r="AN54" s="9" t="str">
        <f t="shared" si="10"/>
        <v>Tier 1 - 10% to 15% better than Standard</v>
      </c>
      <c r="AO54" s="9" t="str">
        <f t="shared" si="11"/>
        <v>13A_Tier 1 - 10% to 15% better than Standard</v>
      </c>
      <c r="AP54" s="9" t="str">
        <f t="shared" si="12"/>
        <v>13A_YES</v>
      </c>
    </row>
    <row r="55" spans="1:42">
      <c r="A55">
        <v>84752</v>
      </c>
      <c r="B55" t="s">
        <v>167</v>
      </c>
      <c r="C55" t="s">
        <v>4142</v>
      </c>
      <c r="D55" t="s">
        <v>4147</v>
      </c>
      <c r="E55" t="s">
        <v>4097</v>
      </c>
      <c r="F55" t="s">
        <v>162</v>
      </c>
      <c r="G55" t="s">
        <v>184</v>
      </c>
      <c r="H55"/>
      <c r="I55" t="s">
        <v>4098</v>
      </c>
      <c r="J55" t="b">
        <v>0</v>
      </c>
      <c r="K55" t="b">
        <v>1</v>
      </c>
      <c r="L55"/>
      <c r="M55"/>
      <c r="N55" t="b">
        <v>0</v>
      </c>
      <c r="O55" t="s">
        <v>4099</v>
      </c>
      <c r="P55">
        <v>4.4400000000000004</v>
      </c>
      <c r="Q55"/>
      <c r="R55">
        <v>4.4000000000000004</v>
      </c>
      <c r="S55">
        <v>34</v>
      </c>
      <c r="T55">
        <v>21</v>
      </c>
      <c r="U55">
        <v>22</v>
      </c>
      <c r="V55">
        <v>268</v>
      </c>
      <c r="W55" s="281">
        <v>41806</v>
      </c>
      <c r="X55" s="282"/>
      <c r="Z55" s="9" t="b">
        <f t="shared" si="0"/>
        <v>1</v>
      </c>
      <c r="AA55" s="9" t="str">
        <f t="shared" si="14"/>
        <v>13A</v>
      </c>
      <c r="AB55" s="196">
        <f t="shared" si="2"/>
        <v>4.4400000000000004</v>
      </c>
      <c r="AC55" s="9">
        <f>VLOOKUP(AA55,'Federal Standards'!$N$9:$P$50,2,FALSE)</f>
        <v>9.17</v>
      </c>
      <c r="AD55" s="44">
        <f>VLOOKUP(AA55,'Federal Standards'!$N$9:$P$50,3,FALSE)</f>
        <v>259.3</v>
      </c>
      <c r="AE55" s="44">
        <f t="shared" si="3"/>
        <v>300.01480000000004</v>
      </c>
      <c r="AF55" s="283">
        <f t="shared" si="4"/>
        <v>32.014800000000037</v>
      </c>
      <c r="AG55" s="291">
        <f t="shared" si="13"/>
        <v>0.10671073560371033</v>
      </c>
      <c r="AH55" s="184" t="str">
        <f t="shared" si="5"/>
        <v>YES</v>
      </c>
      <c r="AJ55" s="9" t="str">
        <f t="shared" si="6"/>
        <v>YES</v>
      </c>
      <c r="AK55" s="9" t="str">
        <f t="shared" si="7"/>
        <v>YES</v>
      </c>
      <c r="AL55" s="9" t="str">
        <f t="shared" si="8"/>
        <v>NO</v>
      </c>
      <c r="AM55" s="9" t="str">
        <f t="shared" si="9"/>
        <v>NO</v>
      </c>
      <c r="AN55" s="9" t="str">
        <f t="shared" si="10"/>
        <v>Tier 1 - 10% to 15% better than Standard</v>
      </c>
      <c r="AO55" s="9" t="str">
        <f t="shared" si="11"/>
        <v>13A_Tier 1 - 10% to 15% better than Standard</v>
      </c>
      <c r="AP55" s="9" t="str">
        <f t="shared" si="12"/>
        <v>13A_YES</v>
      </c>
    </row>
    <row r="56" spans="1:42">
      <c r="A56">
        <v>86998</v>
      </c>
      <c r="B56" t="s">
        <v>167</v>
      </c>
      <c r="C56" t="s">
        <v>4142</v>
      </c>
      <c r="D56" t="s">
        <v>4148</v>
      </c>
      <c r="E56" t="s">
        <v>4097</v>
      </c>
      <c r="F56" t="s">
        <v>162</v>
      </c>
      <c r="G56" t="s">
        <v>184</v>
      </c>
      <c r="H56"/>
      <c r="I56" t="s">
        <v>4098</v>
      </c>
      <c r="J56" t="b">
        <v>0</v>
      </c>
      <c r="K56" t="b">
        <v>0</v>
      </c>
      <c r="L56"/>
      <c r="M56"/>
      <c r="N56" t="b">
        <v>0</v>
      </c>
      <c r="O56" t="s">
        <v>4099</v>
      </c>
      <c r="P56">
        <v>10.97</v>
      </c>
      <c r="Q56"/>
      <c r="R56">
        <v>10.97</v>
      </c>
      <c r="S56">
        <v>59</v>
      </c>
      <c r="T56">
        <v>24</v>
      </c>
      <c r="U56">
        <v>27</v>
      </c>
      <c r="V56">
        <v>249</v>
      </c>
      <c r="W56" s="281">
        <v>41890</v>
      </c>
      <c r="X56" s="282"/>
      <c r="Z56" s="9" t="b">
        <f t="shared" si="0"/>
        <v>0</v>
      </c>
      <c r="AA56" s="9" t="str">
        <f t="shared" si="14"/>
        <v>3A</v>
      </c>
      <c r="AB56" s="196">
        <f t="shared" si="2"/>
        <v>10.97</v>
      </c>
      <c r="AC56" s="9">
        <f>VLOOKUP(AA56,'Federal Standards'!$N$9:$P$50,2,FALSE)</f>
        <v>7.07</v>
      </c>
      <c r="AD56" s="44">
        <f>VLOOKUP(AA56,'Federal Standards'!$N$9:$P$50,3,FALSE)</f>
        <v>201.6</v>
      </c>
      <c r="AE56" s="44">
        <f t="shared" si="3"/>
        <v>279.15789999999998</v>
      </c>
      <c r="AF56" s="283">
        <f t="shared" si="4"/>
        <v>30.157899999999984</v>
      </c>
      <c r="AG56" s="291">
        <f t="shared" si="13"/>
        <v>0.10803169102504348</v>
      </c>
      <c r="AH56" s="184" t="str">
        <f t="shared" si="5"/>
        <v>YES</v>
      </c>
      <c r="AJ56" s="9" t="str">
        <f t="shared" si="6"/>
        <v>YES</v>
      </c>
      <c r="AK56" s="9" t="str">
        <f t="shared" si="7"/>
        <v>YES</v>
      </c>
      <c r="AL56" s="9" t="str">
        <f t="shared" si="8"/>
        <v>NO</v>
      </c>
      <c r="AM56" s="9" t="str">
        <f t="shared" si="9"/>
        <v>NO</v>
      </c>
      <c r="AN56" s="9" t="str">
        <f t="shared" si="10"/>
        <v>Tier 1 - 10% to 15% better than Standard</v>
      </c>
      <c r="AO56" s="9" t="str">
        <f t="shared" si="11"/>
        <v>3A_Tier 1 - 10% to 15% better than Standard</v>
      </c>
      <c r="AP56" s="9" t="str">
        <f t="shared" si="12"/>
        <v>3A_YES</v>
      </c>
    </row>
    <row r="57" spans="1:42">
      <c r="A57">
        <v>87020</v>
      </c>
      <c r="B57" t="s">
        <v>167</v>
      </c>
      <c r="C57" t="s">
        <v>4142</v>
      </c>
      <c r="D57" t="s">
        <v>4149</v>
      </c>
      <c r="E57" t="s">
        <v>190</v>
      </c>
      <c r="F57" t="s">
        <v>188</v>
      </c>
      <c r="G57" t="s">
        <v>189</v>
      </c>
      <c r="H57"/>
      <c r="I57" t="s">
        <v>4098</v>
      </c>
      <c r="J57" t="b">
        <v>0</v>
      </c>
      <c r="K57" t="b">
        <v>1</v>
      </c>
      <c r="L57"/>
      <c r="M57"/>
      <c r="N57" t="b">
        <v>0</v>
      </c>
      <c r="O57" t="s">
        <v>4099</v>
      </c>
      <c r="P57"/>
      <c r="Q57">
        <v>5.0999999999999996</v>
      </c>
      <c r="R57">
        <v>5.0999999999999996</v>
      </c>
      <c r="S57">
        <v>34</v>
      </c>
      <c r="T57">
        <v>34</v>
      </c>
      <c r="U57">
        <v>23</v>
      </c>
      <c r="V57">
        <v>196</v>
      </c>
      <c r="W57" s="281">
        <v>41890</v>
      </c>
      <c r="X57" s="282"/>
      <c r="Z57" s="9" t="b">
        <f t="shared" si="0"/>
        <v>1</v>
      </c>
      <c r="AA57" s="9" t="str">
        <f t="shared" si="14"/>
        <v>18</v>
      </c>
      <c r="AB57" s="196">
        <f t="shared" si="2"/>
        <v>8.9759999999999991</v>
      </c>
      <c r="AC57" s="9">
        <f>VLOOKUP(AA57,'Federal Standards'!$N$9:$P$50,2,FALSE)</f>
        <v>9.25</v>
      </c>
      <c r="AD57" s="44">
        <f>VLOOKUP(AA57,'Federal Standards'!$N$9:$P$50,3,FALSE)</f>
        <v>136.80000000000001</v>
      </c>
      <c r="AE57" s="44">
        <f t="shared" si="3"/>
        <v>219.828</v>
      </c>
      <c r="AF57" s="283">
        <f t="shared" si="4"/>
        <v>23.828000000000003</v>
      </c>
      <c r="AG57" s="291">
        <f t="shared" si="13"/>
        <v>0.10839383518023182</v>
      </c>
      <c r="AH57" s="184" t="str">
        <f t="shared" si="5"/>
        <v>YES</v>
      </c>
      <c r="AJ57" s="9" t="str">
        <f t="shared" si="6"/>
        <v>YES</v>
      </c>
      <c r="AK57" s="9" t="str">
        <f t="shared" si="7"/>
        <v>YES</v>
      </c>
      <c r="AL57" s="9" t="str">
        <f t="shared" si="8"/>
        <v>NO</v>
      </c>
      <c r="AM57" s="9" t="str">
        <f t="shared" si="9"/>
        <v>NO</v>
      </c>
      <c r="AN57" s="9" t="str">
        <f t="shared" si="10"/>
        <v>Tier 1 - 10% to 15% better than Standard</v>
      </c>
      <c r="AO57" s="9" t="str">
        <f t="shared" si="11"/>
        <v>18_Tier 1 - 10% to 15% better than Standard</v>
      </c>
      <c r="AP57" s="9" t="str">
        <f t="shared" si="12"/>
        <v>18_YES</v>
      </c>
    </row>
    <row r="58" spans="1:42">
      <c r="A58">
        <v>87010</v>
      </c>
      <c r="B58" t="s">
        <v>167</v>
      </c>
      <c r="C58" t="s">
        <v>4142</v>
      </c>
      <c r="D58" t="s">
        <v>4150</v>
      </c>
      <c r="E58" t="s">
        <v>190</v>
      </c>
      <c r="F58" t="s">
        <v>188</v>
      </c>
      <c r="G58" t="s">
        <v>189</v>
      </c>
      <c r="H58"/>
      <c r="I58" t="s">
        <v>4098</v>
      </c>
      <c r="J58" t="b">
        <v>0</v>
      </c>
      <c r="K58" t="b">
        <v>1</v>
      </c>
      <c r="L58"/>
      <c r="M58"/>
      <c r="N58" t="b">
        <v>0</v>
      </c>
      <c r="O58" t="s">
        <v>4099</v>
      </c>
      <c r="P58"/>
      <c r="Q58">
        <v>7.11</v>
      </c>
      <c r="R58">
        <v>7.11</v>
      </c>
      <c r="S58">
        <v>34</v>
      </c>
      <c r="T58">
        <v>43</v>
      </c>
      <c r="U58">
        <v>23</v>
      </c>
      <c r="V58">
        <v>225</v>
      </c>
      <c r="W58" s="281">
        <v>41890</v>
      </c>
      <c r="X58" s="282"/>
      <c r="Z58" s="9" t="b">
        <f t="shared" si="0"/>
        <v>1</v>
      </c>
      <c r="AA58" s="9" t="str">
        <f t="shared" si="14"/>
        <v>18</v>
      </c>
      <c r="AB58" s="196">
        <f t="shared" si="2"/>
        <v>12.5136</v>
      </c>
      <c r="AC58" s="9">
        <f>VLOOKUP(AA58,'Federal Standards'!$N$9:$P$50,2,FALSE)</f>
        <v>9.25</v>
      </c>
      <c r="AD58" s="44">
        <f>VLOOKUP(AA58,'Federal Standards'!$N$9:$P$50,3,FALSE)</f>
        <v>136.80000000000001</v>
      </c>
      <c r="AE58" s="44">
        <f t="shared" si="3"/>
        <v>252.55080000000001</v>
      </c>
      <c r="AF58" s="283">
        <f t="shared" si="4"/>
        <v>27.55080000000001</v>
      </c>
      <c r="AG58" s="291">
        <f t="shared" si="13"/>
        <v>0.1090901315695694</v>
      </c>
      <c r="AH58" s="184" t="str">
        <f t="shared" si="5"/>
        <v>YES</v>
      </c>
      <c r="AJ58" s="9" t="str">
        <f t="shared" si="6"/>
        <v>YES</v>
      </c>
      <c r="AK58" s="9" t="str">
        <f t="shared" si="7"/>
        <v>YES</v>
      </c>
      <c r="AL58" s="9" t="str">
        <f t="shared" si="8"/>
        <v>NO</v>
      </c>
      <c r="AM58" s="9" t="str">
        <f t="shared" si="9"/>
        <v>NO</v>
      </c>
      <c r="AN58" s="9" t="str">
        <f t="shared" si="10"/>
        <v>Tier 1 - 10% to 15% better than Standard</v>
      </c>
      <c r="AO58" s="9" t="str">
        <f t="shared" si="11"/>
        <v>18_Tier 1 - 10% to 15% better than Standard</v>
      </c>
      <c r="AP58" s="9" t="str">
        <f t="shared" si="12"/>
        <v>18_YES</v>
      </c>
    </row>
    <row r="59" spans="1:42">
      <c r="A59">
        <v>87001</v>
      </c>
      <c r="B59" t="s">
        <v>167</v>
      </c>
      <c r="C59" t="s">
        <v>4142</v>
      </c>
      <c r="D59" t="s">
        <v>4151</v>
      </c>
      <c r="E59" t="s">
        <v>190</v>
      </c>
      <c r="F59" t="s">
        <v>188</v>
      </c>
      <c r="G59" t="s">
        <v>189</v>
      </c>
      <c r="H59"/>
      <c r="I59" t="s">
        <v>4098</v>
      </c>
      <c r="J59" t="b">
        <v>0</v>
      </c>
      <c r="K59" t="b">
        <v>0</v>
      </c>
      <c r="L59"/>
      <c r="M59"/>
      <c r="N59" t="b">
        <v>0</v>
      </c>
      <c r="O59" t="s">
        <v>4099</v>
      </c>
      <c r="P59"/>
      <c r="Q59">
        <v>8.1199999999999992</v>
      </c>
      <c r="R59">
        <v>8.1199999999999992</v>
      </c>
      <c r="S59">
        <v>34</v>
      </c>
      <c r="T59">
        <v>44</v>
      </c>
      <c r="U59">
        <v>26</v>
      </c>
      <c r="V59">
        <v>189</v>
      </c>
      <c r="W59" s="281">
        <v>41890</v>
      </c>
      <c r="X59" s="282"/>
      <c r="Z59" s="9" t="b">
        <f t="shared" si="0"/>
        <v>0</v>
      </c>
      <c r="AA59" s="9" t="str">
        <f t="shared" si="14"/>
        <v>10</v>
      </c>
      <c r="AB59" s="196">
        <f t="shared" si="2"/>
        <v>14.291199999999998</v>
      </c>
      <c r="AC59" s="9">
        <f>VLOOKUP(AA59,'Federal Standards'!$N$9:$P$50,2,FALSE)</f>
        <v>7.29</v>
      </c>
      <c r="AD59" s="44">
        <f>VLOOKUP(AA59,'Federal Standards'!$N$9:$P$50,3,FALSE)</f>
        <v>107.8</v>
      </c>
      <c r="AE59" s="44">
        <f t="shared" si="3"/>
        <v>211.98284799999999</v>
      </c>
      <c r="AF59" s="283">
        <f t="shared" si="4"/>
        <v>22.98284799999999</v>
      </c>
      <c r="AG59" s="291">
        <f t="shared" si="13"/>
        <v>0.10841843204219991</v>
      </c>
      <c r="AH59" s="184" t="str">
        <f t="shared" si="5"/>
        <v>YES</v>
      </c>
      <c r="AJ59" s="9" t="str">
        <f t="shared" si="6"/>
        <v>YES</v>
      </c>
      <c r="AK59" s="9" t="str">
        <f t="shared" si="7"/>
        <v>YES</v>
      </c>
      <c r="AL59" s="9" t="str">
        <f t="shared" si="8"/>
        <v>NO</v>
      </c>
      <c r="AM59" s="9" t="str">
        <f t="shared" si="9"/>
        <v>NO</v>
      </c>
      <c r="AN59" s="9" t="str">
        <f t="shared" si="10"/>
        <v>Tier 1 - 10% to 15% better than Standard</v>
      </c>
      <c r="AO59" s="9" t="str">
        <f t="shared" si="11"/>
        <v>10_Tier 1 - 10% to 15% better than Standard</v>
      </c>
      <c r="AP59" s="9" t="str">
        <f t="shared" si="12"/>
        <v>10_YES</v>
      </c>
    </row>
    <row r="60" spans="1:42">
      <c r="A60">
        <v>87002</v>
      </c>
      <c r="B60" t="s">
        <v>167</v>
      </c>
      <c r="C60" t="s">
        <v>4142</v>
      </c>
      <c r="D60" t="s">
        <v>4152</v>
      </c>
      <c r="E60" t="s">
        <v>190</v>
      </c>
      <c r="F60" t="s">
        <v>188</v>
      </c>
      <c r="G60" t="s">
        <v>189</v>
      </c>
      <c r="H60"/>
      <c r="I60" t="s">
        <v>4098</v>
      </c>
      <c r="J60" t="b">
        <v>0</v>
      </c>
      <c r="K60" t="b">
        <v>0</v>
      </c>
      <c r="L60"/>
      <c r="M60"/>
      <c r="N60" t="b">
        <v>0</v>
      </c>
      <c r="O60" t="s">
        <v>4099</v>
      </c>
      <c r="P60"/>
      <c r="Q60">
        <v>9.61</v>
      </c>
      <c r="R60">
        <v>9.61</v>
      </c>
      <c r="S60">
        <v>34</v>
      </c>
      <c r="T60">
        <v>50</v>
      </c>
      <c r="U60">
        <v>28</v>
      </c>
      <c r="V60">
        <v>206</v>
      </c>
      <c r="W60" s="281">
        <v>41890</v>
      </c>
      <c r="X60" s="282"/>
      <c r="Z60" s="9" t="b">
        <f t="shared" si="0"/>
        <v>0</v>
      </c>
      <c r="AA60" s="9" t="str">
        <f t="shared" si="14"/>
        <v>10</v>
      </c>
      <c r="AB60" s="196">
        <f t="shared" si="2"/>
        <v>16.913599999999999</v>
      </c>
      <c r="AC60" s="9">
        <f>VLOOKUP(AA60,'Federal Standards'!$N$9:$P$50,2,FALSE)</f>
        <v>7.29</v>
      </c>
      <c r="AD60" s="44">
        <f>VLOOKUP(AA60,'Federal Standards'!$N$9:$P$50,3,FALSE)</f>
        <v>107.8</v>
      </c>
      <c r="AE60" s="44">
        <f t="shared" si="3"/>
        <v>231.100144</v>
      </c>
      <c r="AF60" s="283">
        <f t="shared" si="4"/>
        <v>25.100144</v>
      </c>
      <c r="AG60" s="291">
        <f t="shared" si="13"/>
        <v>0.10861154634330301</v>
      </c>
      <c r="AH60" s="184" t="str">
        <f t="shared" si="5"/>
        <v>YES</v>
      </c>
      <c r="AJ60" s="9" t="str">
        <f t="shared" si="6"/>
        <v>YES</v>
      </c>
      <c r="AK60" s="9" t="str">
        <f t="shared" si="7"/>
        <v>YES</v>
      </c>
      <c r="AL60" s="9" t="str">
        <f t="shared" si="8"/>
        <v>NO</v>
      </c>
      <c r="AM60" s="9" t="str">
        <f t="shared" si="9"/>
        <v>NO</v>
      </c>
      <c r="AN60" s="9" t="str">
        <f t="shared" si="10"/>
        <v>Tier 1 - 10% to 15% better than Standard</v>
      </c>
      <c r="AO60" s="9" t="str">
        <f t="shared" si="11"/>
        <v>10_Tier 1 - 10% to 15% better than Standard</v>
      </c>
      <c r="AP60" s="9" t="str">
        <f t="shared" si="12"/>
        <v>10_YES</v>
      </c>
    </row>
    <row r="61" spans="1:42">
      <c r="A61">
        <v>83046</v>
      </c>
      <c r="B61" t="s">
        <v>167</v>
      </c>
      <c r="C61" t="s">
        <v>4142</v>
      </c>
      <c r="D61" t="s">
        <v>4153</v>
      </c>
      <c r="E61" t="s">
        <v>190</v>
      </c>
      <c r="F61" t="s">
        <v>188</v>
      </c>
      <c r="G61" t="s">
        <v>189</v>
      </c>
      <c r="H61"/>
      <c r="I61"/>
      <c r="J61"/>
      <c r="K61"/>
      <c r="L61"/>
      <c r="M61"/>
      <c r="N61" t="b">
        <v>0</v>
      </c>
      <c r="O61"/>
      <c r="P61"/>
      <c r="Q61">
        <v>5</v>
      </c>
      <c r="R61">
        <v>5</v>
      </c>
      <c r="S61">
        <v>33</v>
      </c>
      <c r="T61">
        <v>33</v>
      </c>
      <c r="U61">
        <v>22</v>
      </c>
      <c r="V61">
        <v>193</v>
      </c>
      <c r="W61" s="281">
        <v>41656</v>
      </c>
      <c r="X61" s="282"/>
      <c r="Z61" s="9" t="b">
        <f t="shared" si="0"/>
        <v>1</v>
      </c>
      <c r="AA61" s="9" t="str">
        <f t="shared" si="14"/>
        <v>18</v>
      </c>
      <c r="AB61" s="196">
        <f t="shared" si="2"/>
        <v>8.8000000000000007</v>
      </c>
      <c r="AC61" s="9">
        <f>VLOOKUP(AA61,'Federal Standards'!$N$9:$P$50,2,FALSE)</f>
        <v>9.25</v>
      </c>
      <c r="AD61" s="44">
        <f>VLOOKUP(AA61,'Federal Standards'!$N$9:$P$50,3,FALSE)</f>
        <v>136.80000000000001</v>
      </c>
      <c r="AE61" s="44">
        <f t="shared" si="3"/>
        <v>218.20000000000002</v>
      </c>
      <c r="AF61" s="283">
        <f t="shared" si="4"/>
        <v>25.200000000000017</v>
      </c>
      <c r="AG61" s="291">
        <f t="shared" si="13"/>
        <v>0.11549037580201657</v>
      </c>
      <c r="AH61" s="184" t="str">
        <f t="shared" si="5"/>
        <v>YES</v>
      </c>
      <c r="AJ61" s="9" t="str">
        <f t="shared" si="6"/>
        <v>YES</v>
      </c>
      <c r="AK61" s="9" t="str">
        <f t="shared" si="7"/>
        <v>YES</v>
      </c>
      <c r="AL61" s="9" t="str">
        <f t="shared" si="8"/>
        <v>NO</v>
      </c>
      <c r="AM61" s="9" t="str">
        <f t="shared" si="9"/>
        <v>NO</v>
      </c>
      <c r="AN61" s="9" t="str">
        <f t="shared" si="10"/>
        <v>Tier 1 - 10% to 15% better than Standard</v>
      </c>
      <c r="AO61" s="9" t="str">
        <f t="shared" si="11"/>
        <v>18_Tier 1 - 10% to 15% better than Standard</v>
      </c>
      <c r="AP61" s="9" t="str">
        <f t="shared" si="12"/>
        <v>18_YES</v>
      </c>
    </row>
    <row r="62" spans="1:42">
      <c r="A62">
        <v>83047</v>
      </c>
      <c r="B62" t="s">
        <v>167</v>
      </c>
      <c r="C62" t="s">
        <v>4142</v>
      </c>
      <c r="D62" t="s">
        <v>4154</v>
      </c>
      <c r="E62" t="s">
        <v>190</v>
      </c>
      <c r="F62" t="s">
        <v>188</v>
      </c>
      <c r="G62" t="s">
        <v>189</v>
      </c>
      <c r="H62"/>
      <c r="I62"/>
      <c r="J62"/>
      <c r="K62"/>
      <c r="L62"/>
      <c r="M62"/>
      <c r="N62" t="b">
        <v>0</v>
      </c>
      <c r="O62"/>
      <c r="P62"/>
      <c r="Q62">
        <v>10.199999999999999</v>
      </c>
      <c r="R62">
        <v>10.199999999999999</v>
      </c>
      <c r="S62">
        <v>33</v>
      </c>
      <c r="T62">
        <v>49</v>
      </c>
      <c r="U62">
        <v>27</v>
      </c>
      <c r="V62">
        <v>286</v>
      </c>
      <c r="W62" s="281">
        <v>41656</v>
      </c>
      <c r="X62" s="282"/>
      <c r="Z62" s="9" t="b">
        <f t="shared" si="0"/>
        <v>0</v>
      </c>
      <c r="AA62" s="9" t="str">
        <f t="shared" si="14"/>
        <v>10</v>
      </c>
      <c r="AB62" s="196">
        <f t="shared" si="2"/>
        <v>17.951999999999998</v>
      </c>
      <c r="AC62" s="9">
        <f>VLOOKUP(AA62,'Federal Standards'!$N$9:$P$50,2,FALSE)</f>
        <v>7.29</v>
      </c>
      <c r="AD62" s="44">
        <f>VLOOKUP(AA62,'Federal Standards'!$N$9:$P$50,3,FALSE)</f>
        <v>107.8</v>
      </c>
      <c r="AE62" s="44">
        <f t="shared" si="3"/>
        <v>238.67007999999998</v>
      </c>
      <c r="AF62" s="283">
        <f t="shared" si="4"/>
        <v>-47.329920000000016</v>
      </c>
      <c r="AG62" s="291">
        <f t="shared" si="13"/>
        <v>-0.19830688454958417</v>
      </c>
      <c r="AH62" s="184" t="str">
        <f t="shared" si="5"/>
        <v>NO</v>
      </c>
      <c r="AJ62" s="9" t="str">
        <f t="shared" si="6"/>
        <v>NO</v>
      </c>
      <c r="AK62" s="9" t="str">
        <f t="shared" si="7"/>
        <v>NO</v>
      </c>
      <c r="AL62" s="9" t="str">
        <f t="shared" si="8"/>
        <v>NO</v>
      </c>
      <c r="AM62" s="9" t="str">
        <f t="shared" si="9"/>
        <v>NO</v>
      </c>
      <c r="AN62" s="9" t="str">
        <f t="shared" si="10"/>
        <v>Doesn't meet Standard</v>
      </c>
      <c r="AO62" s="9" t="str">
        <f t="shared" si="11"/>
        <v>10_Doesn't meet Standard</v>
      </c>
      <c r="AP62" s="9" t="str">
        <f t="shared" si="12"/>
        <v>10_NO</v>
      </c>
    </row>
    <row r="63" spans="1:42">
      <c r="A63">
        <v>87040</v>
      </c>
      <c r="B63" t="s">
        <v>167</v>
      </c>
      <c r="C63" t="s">
        <v>4142</v>
      </c>
      <c r="D63" t="s">
        <v>4155</v>
      </c>
      <c r="E63" t="s">
        <v>4108</v>
      </c>
      <c r="F63" t="s">
        <v>4111</v>
      </c>
      <c r="G63" t="s">
        <v>4105</v>
      </c>
      <c r="H63"/>
      <c r="I63" t="s">
        <v>4098</v>
      </c>
      <c r="J63" t="b">
        <v>0</v>
      </c>
      <c r="K63" t="b">
        <v>1</v>
      </c>
      <c r="L63" t="b">
        <v>0</v>
      </c>
      <c r="M63"/>
      <c r="N63" t="b">
        <v>0</v>
      </c>
      <c r="O63" t="s">
        <v>4099</v>
      </c>
      <c r="P63">
        <v>2.19</v>
      </c>
      <c r="Q63">
        <v>0.87</v>
      </c>
      <c r="R63">
        <v>3.06</v>
      </c>
      <c r="S63">
        <v>34</v>
      </c>
      <c r="T63">
        <v>19</v>
      </c>
      <c r="U63">
        <v>20</v>
      </c>
      <c r="V63">
        <v>319</v>
      </c>
      <c r="W63" s="281">
        <v>41890</v>
      </c>
      <c r="X63" s="282"/>
      <c r="Z63" s="9" t="b">
        <f t="shared" si="0"/>
        <v>1</v>
      </c>
      <c r="AA63" s="9" t="str">
        <f t="shared" si="14"/>
        <v>12</v>
      </c>
      <c r="AB63" s="196">
        <f t="shared" si="2"/>
        <v>3.7211999999999996</v>
      </c>
      <c r="AC63" s="9">
        <f>VLOOKUP(AA63,'Federal Standards'!$N$9:$P$50,2,FALSE)</f>
        <v>5.91</v>
      </c>
      <c r="AD63" s="44">
        <f>VLOOKUP(AA63,'Federal Standards'!$N$9:$P$50,3,FALSE)</f>
        <v>335.8</v>
      </c>
      <c r="AE63" s="44">
        <f t="shared" si="3"/>
        <v>357.79229200000003</v>
      </c>
      <c r="AF63" s="283">
        <f t="shared" si="4"/>
        <v>38.792292000000032</v>
      </c>
      <c r="AG63" s="291">
        <f t="shared" si="13"/>
        <v>0.10842126246811384</v>
      </c>
      <c r="AH63" s="184" t="str">
        <f t="shared" si="5"/>
        <v>YES</v>
      </c>
      <c r="AJ63" s="9" t="str">
        <f t="shared" si="6"/>
        <v>YES</v>
      </c>
      <c r="AK63" s="9" t="str">
        <f t="shared" si="7"/>
        <v>YES</v>
      </c>
      <c r="AL63" s="9" t="str">
        <f t="shared" si="8"/>
        <v>NO</v>
      </c>
      <c r="AM63" s="9" t="str">
        <f t="shared" si="9"/>
        <v>NO</v>
      </c>
      <c r="AN63" s="9" t="str">
        <f t="shared" si="10"/>
        <v>Tier 1 - 10% to 15% better than Standard</v>
      </c>
      <c r="AO63" s="9" t="str">
        <f t="shared" si="11"/>
        <v>12_Tier 1 - 10% to 15% better than Standard</v>
      </c>
      <c r="AP63" s="9" t="str">
        <f t="shared" si="12"/>
        <v>12_YES</v>
      </c>
    </row>
    <row r="64" spans="1:42">
      <c r="A64">
        <v>84736</v>
      </c>
      <c r="B64" t="s">
        <v>167</v>
      </c>
      <c r="C64" t="s">
        <v>4142</v>
      </c>
      <c r="D64" t="s">
        <v>4156</v>
      </c>
      <c r="E64" t="s">
        <v>4112</v>
      </c>
      <c r="F64" t="s">
        <v>188</v>
      </c>
      <c r="G64" t="s">
        <v>184</v>
      </c>
      <c r="H64" t="s">
        <v>4130</v>
      </c>
      <c r="I64" t="s">
        <v>4098</v>
      </c>
      <c r="J64" t="b">
        <v>0</v>
      </c>
      <c r="K64" t="b">
        <v>1</v>
      </c>
      <c r="L64"/>
      <c r="M64"/>
      <c r="N64" t="b">
        <v>0</v>
      </c>
      <c r="O64" t="s">
        <v>4099</v>
      </c>
      <c r="P64">
        <v>4.43</v>
      </c>
      <c r="Q64"/>
      <c r="R64">
        <v>4.4000000000000004</v>
      </c>
      <c r="S64">
        <v>33</v>
      </c>
      <c r="T64">
        <v>21</v>
      </c>
      <c r="U64">
        <v>21</v>
      </c>
      <c r="V64">
        <v>226</v>
      </c>
      <c r="W64" s="281">
        <v>41806</v>
      </c>
      <c r="X64" s="282"/>
      <c r="Z64" s="9" t="b">
        <f t="shared" si="0"/>
        <v>1</v>
      </c>
      <c r="AA64" s="9" t="str">
        <f t="shared" si="14"/>
        <v>11A</v>
      </c>
      <c r="AB64" s="196">
        <f t="shared" si="2"/>
        <v>4.43</v>
      </c>
      <c r="AC64" s="9">
        <f>VLOOKUP(AA64,'Federal Standards'!$N$9:$P$50,2,FALSE)</f>
        <v>7.84</v>
      </c>
      <c r="AD64" s="44">
        <f>VLOOKUP(AA64,'Federal Standards'!$N$9:$P$50,3,FALSE)</f>
        <v>219.1</v>
      </c>
      <c r="AE64" s="44">
        <f t="shared" si="3"/>
        <v>253.8312</v>
      </c>
      <c r="AF64" s="283">
        <f t="shared" si="4"/>
        <v>27.831199999999995</v>
      </c>
      <c r="AG64" s="291">
        <f t="shared" si="13"/>
        <v>0.10964451966503722</v>
      </c>
      <c r="AH64" s="184" t="str">
        <f t="shared" si="5"/>
        <v>YES</v>
      </c>
      <c r="AJ64" s="9" t="str">
        <f t="shared" si="6"/>
        <v>YES</v>
      </c>
      <c r="AK64" s="9" t="str">
        <f t="shared" si="7"/>
        <v>YES</v>
      </c>
      <c r="AL64" s="9" t="str">
        <f t="shared" si="8"/>
        <v>NO</v>
      </c>
      <c r="AM64" s="9" t="str">
        <f t="shared" si="9"/>
        <v>NO</v>
      </c>
      <c r="AN64" s="9" t="str">
        <f t="shared" si="10"/>
        <v>Tier 1 - 10% to 15% better than Standard</v>
      </c>
      <c r="AO64" s="9" t="str">
        <f t="shared" si="11"/>
        <v>11A_Tier 1 - 10% to 15% better than Standard</v>
      </c>
      <c r="AP64" s="9" t="str">
        <f t="shared" si="12"/>
        <v>11A_YES</v>
      </c>
    </row>
    <row r="65" spans="1:42">
      <c r="A65">
        <v>87030</v>
      </c>
      <c r="B65" t="s">
        <v>167</v>
      </c>
      <c r="C65" t="s">
        <v>4142</v>
      </c>
      <c r="D65" t="s">
        <v>674</v>
      </c>
      <c r="E65" t="s">
        <v>4108</v>
      </c>
      <c r="F65" t="s">
        <v>162</v>
      </c>
      <c r="G65" t="s">
        <v>4105</v>
      </c>
      <c r="H65"/>
      <c r="I65" t="s">
        <v>4098</v>
      </c>
      <c r="J65" t="b">
        <v>0</v>
      </c>
      <c r="K65" t="b">
        <v>0</v>
      </c>
      <c r="L65" t="b">
        <v>0</v>
      </c>
      <c r="M65"/>
      <c r="N65" t="b">
        <v>0</v>
      </c>
      <c r="O65" t="s">
        <v>4099</v>
      </c>
      <c r="P65">
        <v>7.11</v>
      </c>
      <c r="Q65">
        <v>2.82</v>
      </c>
      <c r="R65">
        <v>9.93</v>
      </c>
      <c r="S65">
        <v>60</v>
      </c>
      <c r="T65">
        <v>24</v>
      </c>
      <c r="U65">
        <v>27</v>
      </c>
      <c r="V65">
        <v>297</v>
      </c>
      <c r="W65" s="281">
        <v>41890</v>
      </c>
      <c r="X65" s="282"/>
      <c r="Z65" s="9" t="b">
        <f t="shared" si="0"/>
        <v>0</v>
      </c>
      <c r="AA65" s="9" t="str">
        <f t="shared" si="14"/>
        <v>3</v>
      </c>
      <c r="AB65" s="196">
        <f t="shared" si="2"/>
        <v>12.0732</v>
      </c>
      <c r="AC65" s="9">
        <f>VLOOKUP(AA65,'Federal Standards'!$N$9:$P$50,2,FALSE)</f>
        <v>8.07</v>
      </c>
      <c r="AD65" s="44">
        <f>VLOOKUP(AA65,'Federal Standards'!$N$9:$P$50,3,FALSE)</f>
        <v>233.7</v>
      </c>
      <c r="AE65" s="44">
        <f t="shared" si="3"/>
        <v>331.13072399999999</v>
      </c>
      <c r="AF65" s="283">
        <f t="shared" si="4"/>
        <v>34.130723999999987</v>
      </c>
      <c r="AG65" s="291">
        <f t="shared" si="13"/>
        <v>0.1030732623892671</v>
      </c>
      <c r="AH65" s="184" t="str">
        <f t="shared" si="5"/>
        <v>YES</v>
      </c>
      <c r="AJ65" s="9" t="str">
        <f t="shared" si="6"/>
        <v>YES</v>
      </c>
      <c r="AK65" s="9" t="str">
        <f t="shared" si="7"/>
        <v>YES</v>
      </c>
      <c r="AL65" s="9" t="str">
        <f t="shared" si="8"/>
        <v>NO</v>
      </c>
      <c r="AM65" s="9" t="str">
        <f t="shared" si="9"/>
        <v>NO</v>
      </c>
      <c r="AN65" s="9" t="str">
        <f t="shared" si="10"/>
        <v>Tier 1 - 10% to 15% better than Standard</v>
      </c>
      <c r="AO65" s="9" t="str">
        <f t="shared" si="11"/>
        <v>3_Tier 1 - 10% to 15% better than Standard</v>
      </c>
      <c r="AP65" s="9" t="str">
        <f t="shared" si="12"/>
        <v>3_YES</v>
      </c>
    </row>
    <row r="66" spans="1:42">
      <c r="A66">
        <v>87047</v>
      </c>
      <c r="B66" t="s">
        <v>167</v>
      </c>
      <c r="C66" t="s">
        <v>4142</v>
      </c>
      <c r="D66" t="s">
        <v>4157</v>
      </c>
      <c r="E66" t="s">
        <v>187</v>
      </c>
      <c r="F66" t="s">
        <v>188</v>
      </c>
      <c r="G66" t="s">
        <v>189</v>
      </c>
      <c r="H66"/>
      <c r="I66" t="s">
        <v>4098</v>
      </c>
      <c r="J66" t="b">
        <v>0</v>
      </c>
      <c r="K66" t="b">
        <v>1</v>
      </c>
      <c r="L66" t="b">
        <v>0</v>
      </c>
      <c r="M66"/>
      <c r="N66" t="b">
        <v>0</v>
      </c>
      <c r="O66" t="s">
        <v>4099</v>
      </c>
      <c r="P66"/>
      <c r="Q66">
        <v>2.64</v>
      </c>
      <c r="R66">
        <v>2.64</v>
      </c>
      <c r="S66">
        <v>34</v>
      </c>
      <c r="T66">
        <v>20</v>
      </c>
      <c r="U66">
        <v>23</v>
      </c>
      <c r="V66">
        <v>237</v>
      </c>
      <c r="W66" s="281">
        <v>41890</v>
      </c>
      <c r="X66" s="282"/>
      <c r="Z66" s="9" t="b">
        <f t="shared" si="0"/>
        <v>1</v>
      </c>
      <c r="AA66" s="9" t="str">
        <f t="shared" si="14"/>
        <v>16</v>
      </c>
      <c r="AB66" s="196">
        <f t="shared" si="2"/>
        <v>4.6463999999999999</v>
      </c>
      <c r="AC66" s="9">
        <f>VLOOKUP(AA66,'Federal Standards'!$N$9:$P$50,2,FALSE)</f>
        <v>8.65</v>
      </c>
      <c r="AD66" s="44">
        <f>VLOOKUP(AA66,'Federal Standards'!$N$9:$P$50,3,FALSE)</f>
        <v>225.7</v>
      </c>
      <c r="AE66" s="44">
        <f t="shared" si="3"/>
        <v>265.89135999999996</v>
      </c>
      <c r="AF66" s="283">
        <f t="shared" si="4"/>
        <v>28.891359999999963</v>
      </c>
      <c r="AG66" s="291">
        <f t="shared" si="13"/>
        <v>0.10865851376291417</v>
      </c>
      <c r="AH66" s="184" t="str">
        <f t="shared" si="5"/>
        <v>YES</v>
      </c>
      <c r="AJ66" s="9" t="str">
        <f t="shared" si="6"/>
        <v>YES</v>
      </c>
      <c r="AK66" s="9" t="str">
        <f t="shared" si="7"/>
        <v>YES</v>
      </c>
      <c r="AL66" s="9" t="str">
        <f t="shared" si="8"/>
        <v>NO</v>
      </c>
      <c r="AM66" s="9" t="str">
        <f t="shared" si="9"/>
        <v>NO</v>
      </c>
      <c r="AN66" s="9" t="str">
        <f t="shared" si="10"/>
        <v>Tier 1 - 10% to 15% better than Standard</v>
      </c>
      <c r="AO66" s="9" t="str">
        <f t="shared" si="11"/>
        <v>16_Tier 1 - 10% to 15% better than Standard</v>
      </c>
      <c r="AP66" s="9" t="str">
        <f t="shared" si="12"/>
        <v>16_YES</v>
      </c>
    </row>
    <row r="67" spans="1:42">
      <c r="A67">
        <v>87045</v>
      </c>
      <c r="B67" t="s">
        <v>167</v>
      </c>
      <c r="C67" t="s">
        <v>4142</v>
      </c>
      <c r="D67" t="s">
        <v>4158</v>
      </c>
      <c r="E67" t="s">
        <v>187</v>
      </c>
      <c r="F67" t="s">
        <v>188</v>
      </c>
      <c r="G67" t="s">
        <v>189</v>
      </c>
      <c r="H67"/>
      <c r="I67" t="s">
        <v>4098</v>
      </c>
      <c r="J67" t="b">
        <v>0</v>
      </c>
      <c r="K67" t="b">
        <v>1</v>
      </c>
      <c r="L67" t="b">
        <v>0</v>
      </c>
      <c r="M67"/>
      <c r="N67" t="b">
        <v>0</v>
      </c>
      <c r="O67" t="s">
        <v>4099</v>
      </c>
      <c r="P67"/>
      <c r="Q67">
        <v>4.3099999999999996</v>
      </c>
      <c r="R67">
        <v>4.3099999999999996</v>
      </c>
      <c r="S67">
        <v>37</v>
      </c>
      <c r="T67">
        <v>24</v>
      </c>
      <c r="U67">
        <v>25</v>
      </c>
      <c r="V67">
        <v>260</v>
      </c>
      <c r="W67" s="281">
        <v>41890</v>
      </c>
      <c r="X67" s="282"/>
      <c r="Z67" s="9" t="b">
        <f t="shared" si="0"/>
        <v>1</v>
      </c>
      <c r="AA67" s="9" t="str">
        <f t="shared" si="14"/>
        <v>16</v>
      </c>
      <c r="AB67" s="196">
        <f t="shared" si="2"/>
        <v>7.5855999999999995</v>
      </c>
      <c r="AC67" s="9">
        <f>VLOOKUP(AA67,'Federal Standards'!$N$9:$P$50,2,FALSE)</f>
        <v>8.65</v>
      </c>
      <c r="AD67" s="44">
        <f>VLOOKUP(AA67,'Federal Standards'!$N$9:$P$50,3,FALSE)</f>
        <v>225.7</v>
      </c>
      <c r="AE67" s="44">
        <f t="shared" si="3"/>
        <v>291.31543999999997</v>
      </c>
      <c r="AF67" s="283">
        <f t="shared" si="4"/>
        <v>31.315439999999967</v>
      </c>
      <c r="AG67" s="291">
        <f t="shared" si="13"/>
        <v>0.10749667096258259</v>
      </c>
      <c r="AH67" s="184" t="str">
        <f t="shared" si="5"/>
        <v>YES</v>
      </c>
      <c r="AJ67" s="9" t="str">
        <f t="shared" si="6"/>
        <v>YES</v>
      </c>
      <c r="AK67" s="9" t="str">
        <f t="shared" si="7"/>
        <v>YES</v>
      </c>
      <c r="AL67" s="9" t="str">
        <f t="shared" si="8"/>
        <v>NO</v>
      </c>
      <c r="AM67" s="9" t="str">
        <f t="shared" si="9"/>
        <v>NO</v>
      </c>
      <c r="AN67" s="9" t="str">
        <f t="shared" si="10"/>
        <v>Tier 1 - 10% to 15% better than Standard</v>
      </c>
      <c r="AO67" s="9" t="str">
        <f t="shared" si="11"/>
        <v>16_Tier 1 - 10% to 15% better than Standard</v>
      </c>
      <c r="AP67" s="9" t="str">
        <f t="shared" si="12"/>
        <v>16_YES</v>
      </c>
    </row>
    <row r="68" spans="1:42">
      <c r="A68">
        <v>83034</v>
      </c>
      <c r="B68" t="s">
        <v>167</v>
      </c>
      <c r="C68" t="s">
        <v>4142</v>
      </c>
      <c r="D68" t="s">
        <v>4159</v>
      </c>
      <c r="E68" t="s">
        <v>187</v>
      </c>
      <c r="F68" t="s">
        <v>188</v>
      </c>
      <c r="G68" t="s">
        <v>189</v>
      </c>
      <c r="H68"/>
      <c r="I68"/>
      <c r="J68"/>
      <c r="K68"/>
      <c r="L68"/>
      <c r="M68"/>
      <c r="N68" t="b">
        <v>0</v>
      </c>
      <c r="O68"/>
      <c r="P68"/>
      <c r="Q68">
        <v>8.1999999999999993</v>
      </c>
      <c r="R68">
        <v>8.1999999999999993</v>
      </c>
      <c r="S68">
        <v>59</v>
      </c>
      <c r="T68">
        <v>18</v>
      </c>
      <c r="U68">
        <v>19</v>
      </c>
      <c r="V68">
        <v>328</v>
      </c>
      <c r="W68" s="281">
        <v>41639</v>
      </c>
      <c r="X68" s="282"/>
      <c r="Z68" s="9" t="b">
        <f t="shared" si="0"/>
        <v>0</v>
      </c>
      <c r="AA68" s="9" t="str">
        <f t="shared" si="14"/>
        <v>8</v>
      </c>
      <c r="AB68" s="196">
        <f t="shared" si="2"/>
        <v>14.431999999999999</v>
      </c>
      <c r="AC68" s="9">
        <f>VLOOKUP(AA68,'Federal Standards'!$N$9:$P$50,2,FALSE)</f>
        <v>5.57</v>
      </c>
      <c r="AD68" s="44">
        <f>VLOOKUP(AA68,'Federal Standards'!$N$9:$P$50,3,FALSE)</f>
        <v>193.7</v>
      </c>
      <c r="AE68" s="44">
        <f t="shared" si="3"/>
        <v>274.08623999999998</v>
      </c>
      <c r="AF68" s="283">
        <f t="shared" si="4"/>
        <v>-53.913760000000025</v>
      </c>
      <c r="AG68" s="291">
        <f t="shared" si="13"/>
        <v>-0.19670363605265273</v>
      </c>
      <c r="AH68" s="184" t="str">
        <f t="shared" si="5"/>
        <v>NO</v>
      </c>
      <c r="AJ68" s="9" t="str">
        <f t="shared" si="6"/>
        <v>NO</v>
      </c>
      <c r="AK68" s="9" t="str">
        <f t="shared" si="7"/>
        <v>NO</v>
      </c>
      <c r="AL68" s="9" t="str">
        <f t="shared" si="8"/>
        <v>NO</v>
      </c>
      <c r="AM68" s="9" t="str">
        <f t="shared" si="9"/>
        <v>NO</v>
      </c>
      <c r="AN68" s="9" t="str">
        <f t="shared" si="10"/>
        <v>Doesn't meet Standard</v>
      </c>
      <c r="AO68" s="9" t="str">
        <f t="shared" si="11"/>
        <v>8_Doesn't meet Standard</v>
      </c>
      <c r="AP68" s="9" t="str">
        <f t="shared" si="12"/>
        <v>8_NO</v>
      </c>
    </row>
    <row r="69" spans="1:42">
      <c r="A69">
        <v>87042</v>
      </c>
      <c r="B69" t="s">
        <v>167</v>
      </c>
      <c r="C69" t="s">
        <v>4142</v>
      </c>
      <c r="D69" t="s">
        <v>4160</v>
      </c>
      <c r="E69" t="s">
        <v>187</v>
      </c>
      <c r="F69" t="s">
        <v>188</v>
      </c>
      <c r="G69" t="s">
        <v>189</v>
      </c>
      <c r="H69"/>
      <c r="I69" t="s">
        <v>4098</v>
      </c>
      <c r="J69" t="b">
        <v>0</v>
      </c>
      <c r="K69" t="b">
        <v>0</v>
      </c>
      <c r="L69" t="b">
        <v>0</v>
      </c>
      <c r="M69"/>
      <c r="N69" t="b">
        <v>0</v>
      </c>
      <c r="O69" t="s">
        <v>4099</v>
      </c>
      <c r="P69"/>
      <c r="Q69">
        <v>8.52</v>
      </c>
      <c r="R69">
        <v>8.52</v>
      </c>
      <c r="S69">
        <v>59</v>
      </c>
      <c r="T69">
        <v>24</v>
      </c>
      <c r="U69">
        <v>26</v>
      </c>
      <c r="V69">
        <v>247</v>
      </c>
      <c r="W69" s="281">
        <v>41890</v>
      </c>
      <c r="X69" s="282"/>
      <c r="Z69" s="9" t="b">
        <f t="shared" si="0"/>
        <v>0</v>
      </c>
      <c r="AA69" s="9" t="str">
        <f t="shared" si="14"/>
        <v>8</v>
      </c>
      <c r="AB69" s="196">
        <f t="shared" si="2"/>
        <v>14.995199999999999</v>
      </c>
      <c r="AC69" s="9">
        <f>VLOOKUP(AA69,'Federal Standards'!$N$9:$P$50,2,FALSE)</f>
        <v>5.57</v>
      </c>
      <c r="AD69" s="44">
        <f>VLOOKUP(AA69,'Federal Standards'!$N$9:$P$50,3,FALSE)</f>
        <v>193.7</v>
      </c>
      <c r="AE69" s="44">
        <f t="shared" si="3"/>
        <v>277.22326399999997</v>
      </c>
      <c r="AF69" s="283">
        <f t="shared" si="4"/>
        <v>30.223263999999972</v>
      </c>
      <c r="AG69" s="291">
        <f t="shared" si="13"/>
        <v>0.10902138429478983</v>
      </c>
      <c r="AH69" s="184" t="str">
        <f t="shared" si="5"/>
        <v>YES</v>
      </c>
      <c r="AJ69" s="9" t="str">
        <f t="shared" si="6"/>
        <v>YES</v>
      </c>
      <c r="AK69" s="9" t="str">
        <f t="shared" si="7"/>
        <v>YES</v>
      </c>
      <c r="AL69" s="9" t="str">
        <f t="shared" si="8"/>
        <v>NO</v>
      </c>
      <c r="AM69" s="9" t="str">
        <f t="shared" si="9"/>
        <v>NO</v>
      </c>
      <c r="AN69" s="9" t="str">
        <f t="shared" si="10"/>
        <v>Tier 1 - 10% to 15% better than Standard</v>
      </c>
      <c r="AO69" s="9" t="str">
        <f t="shared" si="11"/>
        <v>8_Tier 1 - 10% to 15% better than Standard</v>
      </c>
      <c r="AP69" s="9" t="str">
        <f t="shared" si="12"/>
        <v>8_YES</v>
      </c>
    </row>
    <row r="70" spans="1:42">
      <c r="A70">
        <v>87044</v>
      </c>
      <c r="B70" t="s">
        <v>167</v>
      </c>
      <c r="C70" t="s">
        <v>4142</v>
      </c>
      <c r="D70" t="s">
        <v>4161</v>
      </c>
      <c r="E70" t="s">
        <v>187</v>
      </c>
      <c r="F70" t="s">
        <v>188</v>
      </c>
      <c r="G70" t="s">
        <v>189</v>
      </c>
      <c r="H70"/>
      <c r="I70" t="s">
        <v>4098</v>
      </c>
      <c r="J70" t="b">
        <v>0</v>
      </c>
      <c r="K70" t="b">
        <v>0</v>
      </c>
      <c r="L70" t="b">
        <v>0</v>
      </c>
      <c r="M70"/>
      <c r="N70" t="b">
        <v>0</v>
      </c>
      <c r="O70" t="s">
        <v>4099</v>
      </c>
      <c r="P70"/>
      <c r="Q70">
        <v>10.14</v>
      </c>
      <c r="R70">
        <v>10.14</v>
      </c>
      <c r="S70">
        <v>59</v>
      </c>
      <c r="T70">
        <v>24</v>
      </c>
      <c r="U70">
        <v>30</v>
      </c>
      <c r="V70">
        <v>261</v>
      </c>
      <c r="W70" s="281">
        <v>41890</v>
      </c>
      <c r="X70" s="282"/>
      <c r="Z70" s="9" t="b">
        <f t="shared" si="0"/>
        <v>0</v>
      </c>
      <c r="AA70" s="9" t="str">
        <f t="shared" si="14"/>
        <v>8</v>
      </c>
      <c r="AB70" s="196">
        <f t="shared" si="2"/>
        <v>17.846400000000003</v>
      </c>
      <c r="AC70" s="9">
        <f>VLOOKUP(AA70,'Federal Standards'!$N$9:$P$50,2,FALSE)</f>
        <v>5.57</v>
      </c>
      <c r="AD70" s="44">
        <f>VLOOKUP(AA70,'Federal Standards'!$N$9:$P$50,3,FALSE)</f>
        <v>193.7</v>
      </c>
      <c r="AE70" s="44">
        <f t="shared" si="3"/>
        <v>293.10444799999999</v>
      </c>
      <c r="AF70" s="283">
        <f t="shared" si="4"/>
        <v>32.104447999999991</v>
      </c>
      <c r="AG70" s="291">
        <f t="shared" si="13"/>
        <v>0.10953244899238102</v>
      </c>
      <c r="AH70" s="184" t="str">
        <f t="shared" si="5"/>
        <v>YES</v>
      </c>
      <c r="AJ70" s="9" t="str">
        <f t="shared" si="6"/>
        <v>YES</v>
      </c>
      <c r="AK70" s="9" t="str">
        <f t="shared" si="7"/>
        <v>YES</v>
      </c>
      <c r="AL70" s="9" t="str">
        <f t="shared" si="8"/>
        <v>NO</v>
      </c>
      <c r="AM70" s="9" t="str">
        <f t="shared" si="9"/>
        <v>NO</v>
      </c>
      <c r="AN70" s="9" t="str">
        <f t="shared" si="10"/>
        <v>Tier 1 - 10% to 15% better than Standard</v>
      </c>
      <c r="AO70" s="9" t="str">
        <f t="shared" si="11"/>
        <v>8_Tier 1 - 10% to 15% better than Standard</v>
      </c>
      <c r="AP70" s="9" t="str">
        <f t="shared" si="12"/>
        <v>8_YES</v>
      </c>
    </row>
    <row r="71" spans="1:42">
      <c r="A71">
        <v>85696</v>
      </c>
      <c r="B71" t="s">
        <v>167</v>
      </c>
      <c r="C71" t="s">
        <v>1438</v>
      </c>
      <c r="D71" t="s">
        <v>649</v>
      </c>
      <c r="E71" t="s">
        <v>4097</v>
      </c>
      <c r="F71" t="s">
        <v>162</v>
      </c>
      <c r="G71" t="s">
        <v>184</v>
      </c>
      <c r="H71"/>
      <c r="I71" t="s">
        <v>4098</v>
      </c>
      <c r="J71" t="b">
        <v>0</v>
      </c>
      <c r="K71" t="b">
        <v>1</v>
      </c>
      <c r="L71"/>
      <c r="M71"/>
      <c r="N71" t="b">
        <v>0</v>
      </c>
      <c r="O71"/>
      <c r="P71">
        <v>5.53</v>
      </c>
      <c r="Q71"/>
      <c r="R71">
        <v>5.53</v>
      </c>
      <c r="S71">
        <v>35</v>
      </c>
      <c r="T71">
        <v>24</v>
      </c>
      <c r="U71">
        <v>26</v>
      </c>
      <c r="V71">
        <v>278</v>
      </c>
      <c r="W71" s="281">
        <v>41848</v>
      </c>
      <c r="X71" s="282"/>
      <c r="Z71" s="9" t="b">
        <f t="shared" si="0"/>
        <v>1</v>
      </c>
      <c r="AA71" s="9" t="str">
        <f t="shared" si="14"/>
        <v>13A</v>
      </c>
      <c r="AB71" s="196">
        <f t="shared" si="2"/>
        <v>5.53</v>
      </c>
      <c r="AC71" s="9">
        <f>VLOOKUP(AA71,'Federal Standards'!$N$9:$P$50,2,FALSE)</f>
        <v>9.17</v>
      </c>
      <c r="AD71" s="44">
        <f>VLOOKUP(AA71,'Federal Standards'!$N$9:$P$50,3,FALSE)</f>
        <v>259.3</v>
      </c>
      <c r="AE71" s="44">
        <f t="shared" si="3"/>
        <v>310.01010000000002</v>
      </c>
      <c r="AF71" s="283">
        <f t="shared" si="4"/>
        <v>32.010100000000023</v>
      </c>
      <c r="AG71" s="291">
        <f t="shared" si="13"/>
        <v>0.10325502298150938</v>
      </c>
      <c r="AH71" s="184" t="str">
        <f t="shared" si="5"/>
        <v>YES</v>
      </c>
      <c r="AJ71" s="9" t="str">
        <f t="shared" si="6"/>
        <v>YES</v>
      </c>
      <c r="AK71" s="9" t="str">
        <f t="shared" si="7"/>
        <v>YES</v>
      </c>
      <c r="AL71" s="9" t="str">
        <f t="shared" si="8"/>
        <v>NO</v>
      </c>
      <c r="AM71" s="9" t="str">
        <f t="shared" si="9"/>
        <v>NO</v>
      </c>
      <c r="AN71" s="9" t="str">
        <f t="shared" si="10"/>
        <v>Tier 1 - 10% to 15% better than Standard</v>
      </c>
      <c r="AO71" s="9" t="str">
        <f t="shared" si="11"/>
        <v>13A_Tier 1 - 10% to 15% better than Standard</v>
      </c>
      <c r="AP71" s="9" t="str">
        <f t="shared" si="12"/>
        <v>13A_YES</v>
      </c>
    </row>
    <row r="72" spans="1:42">
      <c r="A72">
        <v>85697</v>
      </c>
      <c r="B72" t="s">
        <v>167</v>
      </c>
      <c r="C72" t="s">
        <v>1438</v>
      </c>
      <c r="D72" t="s">
        <v>651</v>
      </c>
      <c r="E72" t="s">
        <v>4097</v>
      </c>
      <c r="F72" t="s">
        <v>162</v>
      </c>
      <c r="G72" t="s">
        <v>184</v>
      </c>
      <c r="H72"/>
      <c r="I72" t="s">
        <v>4098</v>
      </c>
      <c r="J72" t="b">
        <v>0</v>
      </c>
      <c r="K72" t="b">
        <v>1</v>
      </c>
      <c r="L72"/>
      <c r="M72"/>
      <c r="N72" t="b">
        <v>0</v>
      </c>
      <c r="O72"/>
      <c r="P72">
        <v>5.53</v>
      </c>
      <c r="Q72"/>
      <c r="R72">
        <v>5.53</v>
      </c>
      <c r="S72">
        <v>37</v>
      </c>
      <c r="T72">
        <v>24</v>
      </c>
      <c r="U72">
        <v>26</v>
      </c>
      <c r="V72">
        <v>278</v>
      </c>
      <c r="W72" s="281">
        <v>41848</v>
      </c>
      <c r="X72" s="282"/>
      <c r="Z72" s="9" t="b">
        <f t="shared" si="0"/>
        <v>1</v>
      </c>
      <c r="AA72" s="9" t="str">
        <f t="shared" si="14"/>
        <v>13A</v>
      </c>
      <c r="AB72" s="196">
        <f t="shared" si="2"/>
        <v>5.53</v>
      </c>
      <c r="AC72" s="9">
        <f>VLOOKUP(AA72,'Federal Standards'!$N$9:$P$50,2,FALSE)</f>
        <v>9.17</v>
      </c>
      <c r="AD72" s="44">
        <f>VLOOKUP(AA72,'Federal Standards'!$N$9:$P$50,3,FALSE)</f>
        <v>259.3</v>
      </c>
      <c r="AE72" s="44">
        <f t="shared" si="3"/>
        <v>310.01010000000002</v>
      </c>
      <c r="AF72" s="283">
        <f t="shared" si="4"/>
        <v>32.010100000000023</v>
      </c>
      <c r="AG72" s="291">
        <f t="shared" si="13"/>
        <v>0.10325502298150938</v>
      </c>
      <c r="AH72" s="184" t="str">
        <f t="shared" si="5"/>
        <v>YES</v>
      </c>
      <c r="AJ72" s="9" t="str">
        <f t="shared" si="6"/>
        <v>YES</v>
      </c>
      <c r="AK72" s="9" t="str">
        <f t="shared" si="7"/>
        <v>YES</v>
      </c>
      <c r="AL72" s="9" t="str">
        <f t="shared" si="8"/>
        <v>NO</v>
      </c>
      <c r="AM72" s="9" t="str">
        <f t="shared" si="9"/>
        <v>NO</v>
      </c>
      <c r="AN72" s="9" t="str">
        <f t="shared" si="10"/>
        <v>Tier 1 - 10% to 15% better than Standard</v>
      </c>
      <c r="AO72" s="9" t="str">
        <f t="shared" si="11"/>
        <v>13A_Tier 1 - 10% to 15% better than Standard</v>
      </c>
      <c r="AP72" s="9" t="str">
        <f t="shared" si="12"/>
        <v>13A_YES</v>
      </c>
    </row>
    <row r="73" spans="1:42">
      <c r="A73">
        <v>85698</v>
      </c>
      <c r="B73" t="s">
        <v>167</v>
      </c>
      <c r="C73" t="s">
        <v>1438</v>
      </c>
      <c r="D73" t="s">
        <v>4162</v>
      </c>
      <c r="E73" t="s">
        <v>4119</v>
      </c>
      <c r="F73" t="s">
        <v>162</v>
      </c>
      <c r="G73" t="s">
        <v>184</v>
      </c>
      <c r="H73"/>
      <c r="I73" t="s">
        <v>4098</v>
      </c>
      <c r="J73" t="b">
        <v>0</v>
      </c>
      <c r="K73" t="b">
        <v>1</v>
      </c>
      <c r="L73"/>
      <c r="M73"/>
      <c r="N73" t="b">
        <v>0</v>
      </c>
      <c r="O73"/>
      <c r="P73">
        <v>3.06</v>
      </c>
      <c r="Q73"/>
      <c r="R73">
        <v>3.06</v>
      </c>
      <c r="S73">
        <v>35</v>
      </c>
      <c r="T73">
        <v>15</v>
      </c>
      <c r="U73">
        <v>26</v>
      </c>
      <c r="V73">
        <v>270</v>
      </c>
      <c r="W73" s="281">
        <v>41848</v>
      </c>
      <c r="X73" s="282"/>
      <c r="Z73" s="9" t="b">
        <f t="shared" si="0"/>
        <v>1</v>
      </c>
      <c r="AA73" s="9" t="str">
        <f t="shared" si="14"/>
        <v>[Wine Chiller - exempt]</v>
      </c>
      <c r="AB73" s="196">
        <f t="shared" si="2"/>
        <v>3.06</v>
      </c>
      <c r="AC73" s="9" t="e">
        <f>VLOOKUP(AA73,'Federal Standards'!$N$9:$P$50,2,FALSE)</f>
        <v>#N/A</v>
      </c>
      <c r="AD73" s="44" t="e">
        <f>VLOOKUP(AA73,'Federal Standards'!$N$9:$P$50,3,FALSE)</f>
        <v>#N/A</v>
      </c>
      <c r="AE73" s="44" t="e">
        <f t="shared" si="3"/>
        <v>#N/A</v>
      </c>
      <c r="AF73" s="283" t="e">
        <f t="shared" si="4"/>
        <v>#N/A</v>
      </c>
      <c r="AG73" s="291" t="e">
        <f t="shared" si="13"/>
        <v>#N/A</v>
      </c>
      <c r="AH73" s="184" t="e">
        <f t="shared" si="5"/>
        <v>#N/A</v>
      </c>
      <c r="AJ73" s="9" t="e">
        <f t="shared" si="6"/>
        <v>#N/A</v>
      </c>
      <c r="AK73" s="9" t="e">
        <f t="shared" si="7"/>
        <v>#N/A</v>
      </c>
      <c r="AL73" s="9" t="e">
        <f t="shared" si="8"/>
        <v>#N/A</v>
      </c>
      <c r="AM73" s="9" t="e">
        <f t="shared" si="9"/>
        <v>#N/A</v>
      </c>
      <c r="AN73" s="9" t="e">
        <f t="shared" si="10"/>
        <v>#N/A</v>
      </c>
      <c r="AO73" s="9" t="e">
        <f t="shared" si="11"/>
        <v>#N/A</v>
      </c>
      <c r="AP73" s="9" t="e">
        <f t="shared" si="12"/>
        <v>#N/A</v>
      </c>
    </row>
    <row r="74" spans="1:42">
      <c r="A74">
        <v>85699</v>
      </c>
      <c r="B74" t="s">
        <v>167</v>
      </c>
      <c r="C74" t="s">
        <v>1438</v>
      </c>
      <c r="D74" t="s">
        <v>4163</v>
      </c>
      <c r="E74" t="s">
        <v>4119</v>
      </c>
      <c r="F74" t="s">
        <v>162</v>
      </c>
      <c r="G74" t="s">
        <v>184</v>
      </c>
      <c r="H74"/>
      <c r="I74" t="s">
        <v>4098</v>
      </c>
      <c r="J74" t="b">
        <v>0</v>
      </c>
      <c r="K74" t="b">
        <v>1</v>
      </c>
      <c r="L74"/>
      <c r="M74"/>
      <c r="N74" t="b">
        <v>0</v>
      </c>
      <c r="O74"/>
      <c r="P74">
        <v>5.27</v>
      </c>
      <c r="Q74"/>
      <c r="R74">
        <v>5.27</v>
      </c>
      <c r="S74">
        <v>35</v>
      </c>
      <c r="T74">
        <v>24</v>
      </c>
      <c r="U74">
        <v>26</v>
      </c>
      <c r="V74">
        <v>330</v>
      </c>
      <c r="W74" s="281">
        <v>41848</v>
      </c>
      <c r="X74" s="282"/>
      <c r="Z74" s="9" t="b">
        <f t="shared" ref="Z74:Z137" si="15">IF(R74&lt;7.75,TRUE, FALSE)</f>
        <v>1</v>
      </c>
      <c r="AA74" s="9" t="str">
        <f t="shared" si="14"/>
        <v>[Wine Chiller - exempt]</v>
      </c>
      <c r="AB74" s="196">
        <f t="shared" ref="AB74:AB137" si="16">IF(OR(E74="Internal Freezer",E74 = "Single Door"),P74 + Q74*1.47,P74 + Q74*1.76)</f>
        <v>5.27</v>
      </c>
      <c r="AC74" s="9" t="e">
        <f>VLOOKUP(AA74,'Federal Standards'!$N$9:$P$50,2,FALSE)</f>
        <v>#N/A</v>
      </c>
      <c r="AD74" s="44" t="e">
        <f>VLOOKUP(AA74,'Federal Standards'!$N$9:$P$50,3,FALSE)</f>
        <v>#N/A</v>
      </c>
      <c r="AE74" s="44" t="e">
        <f t="shared" ref="AE74:AE137" si="17">AB74*AC74+AD74</f>
        <v>#N/A</v>
      </c>
      <c r="AF74" s="283" t="e">
        <f t="shared" ref="AF74:AF137" si="18">IF($AF$2,AE74-V74,MAX(0,AE74-V74))</f>
        <v>#N/A</v>
      </c>
      <c r="AG74" s="291" t="e">
        <f t="shared" si="13"/>
        <v>#N/A</v>
      </c>
      <c r="AH74" s="184" t="e">
        <f t="shared" ref="AH74:AH137" si="19">IF(AF74&gt;=0,"YES","NO")</f>
        <v>#N/A</v>
      </c>
      <c r="AJ74" s="9" t="e">
        <f t="shared" ref="AJ74:AJ137" si="20">IF(AG74&gt;=0.1,"YES","NO")</f>
        <v>#N/A</v>
      </c>
      <c r="AK74" s="9" t="e">
        <f t="shared" ref="AK74:AK137" si="21">IF(AND($AG74&gt;=0.1,$AG74&lt;0.15),"YES","NO")</f>
        <v>#N/A</v>
      </c>
      <c r="AL74" s="9" t="e">
        <f t="shared" ref="AL74:AL137" si="22">IF(AND($AG74&gt;=0.15,$AG74&lt;0.2),"YES","NO")</f>
        <v>#N/A</v>
      </c>
      <c r="AM74" s="9" t="e">
        <f t="shared" ref="AM74:AM137" si="23">IF($AG74&gt;=0.2,"YES","NO")</f>
        <v>#N/A</v>
      </c>
      <c r="AN74" s="9" t="e">
        <f t="shared" ref="AN74:AN137" si="24">VLOOKUP(AG74,$AO$2:$AP$6,2,TRUE)</f>
        <v>#N/A</v>
      </c>
      <c r="AO74" s="9" t="e">
        <f t="shared" ref="AO74:AO137" si="25">AA74&amp;"_"&amp;AN74</f>
        <v>#N/A</v>
      </c>
      <c r="AP74" s="9" t="e">
        <f t="shared" ref="AP74:AP137" si="26">CONCATENATE(AA74,"_",AJ74)</f>
        <v>#N/A</v>
      </c>
    </row>
    <row r="75" spans="1:42">
      <c r="A75">
        <v>85700</v>
      </c>
      <c r="B75" t="s">
        <v>167</v>
      </c>
      <c r="C75" t="s">
        <v>1438</v>
      </c>
      <c r="D75" t="s">
        <v>4164</v>
      </c>
      <c r="E75" t="s">
        <v>4119</v>
      </c>
      <c r="F75" t="s">
        <v>162</v>
      </c>
      <c r="G75" t="s">
        <v>184</v>
      </c>
      <c r="H75"/>
      <c r="I75" t="s">
        <v>4098</v>
      </c>
      <c r="J75" t="b">
        <v>0</v>
      </c>
      <c r="K75" t="b">
        <v>0</v>
      </c>
      <c r="L75"/>
      <c r="M75"/>
      <c r="N75" t="b">
        <v>0</v>
      </c>
      <c r="O75"/>
      <c r="P75">
        <v>14.05</v>
      </c>
      <c r="Q75"/>
      <c r="R75">
        <v>14.05</v>
      </c>
      <c r="S75">
        <v>70</v>
      </c>
      <c r="T75">
        <v>24</v>
      </c>
      <c r="U75">
        <v>29</v>
      </c>
      <c r="V75">
        <v>530</v>
      </c>
      <c r="W75" s="281">
        <v>41848</v>
      </c>
      <c r="X75" s="282"/>
      <c r="Z75" s="9" t="b">
        <f t="shared" si="15"/>
        <v>0</v>
      </c>
      <c r="AA75" s="9" t="str">
        <f t="shared" si="14"/>
        <v>[NOT FOUND]</v>
      </c>
      <c r="AB75" s="196">
        <f t="shared" si="16"/>
        <v>14.05</v>
      </c>
      <c r="AC75" s="9" t="e">
        <f>VLOOKUP(AA75,'Federal Standards'!$N$9:$P$50,2,FALSE)</f>
        <v>#N/A</v>
      </c>
      <c r="AD75" s="44" t="e">
        <f>VLOOKUP(AA75,'Federal Standards'!$N$9:$P$50,3,FALSE)</f>
        <v>#N/A</v>
      </c>
      <c r="AE75" s="44" t="e">
        <f t="shared" si="17"/>
        <v>#N/A</v>
      </c>
      <c r="AF75" s="283" t="e">
        <f t="shared" si="18"/>
        <v>#N/A</v>
      </c>
      <c r="AG75" s="291" t="e">
        <f t="shared" si="13"/>
        <v>#N/A</v>
      </c>
      <c r="AH75" s="184" t="e">
        <f t="shared" si="19"/>
        <v>#N/A</v>
      </c>
      <c r="AJ75" s="9" t="e">
        <f t="shared" si="20"/>
        <v>#N/A</v>
      </c>
      <c r="AK75" s="9" t="e">
        <f t="shared" si="21"/>
        <v>#N/A</v>
      </c>
      <c r="AL75" s="9" t="e">
        <f t="shared" si="22"/>
        <v>#N/A</v>
      </c>
      <c r="AM75" s="9" t="e">
        <f t="shared" si="23"/>
        <v>#N/A</v>
      </c>
      <c r="AN75" s="9" t="e">
        <f t="shared" si="24"/>
        <v>#N/A</v>
      </c>
      <c r="AO75" s="9" t="e">
        <f t="shared" si="25"/>
        <v>#N/A</v>
      </c>
      <c r="AP75" s="9" t="e">
        <f t="shared" si="26"/>
        <v>#N/A</v>
      </c>
    </row>
    <row r="76" spans="1:42">
      <c r="A76">
        <v>86385</v>
      </c>
      <c r="B76" t="s">
        <v>4165</v>
      </c>
      <c r="C76" t="s">
        <v>168</v>
      </c>
      <c r="D76" t="s">
        <v>4166</v>
      </c>
      <c r="E76" t="s">
        <v>190</v>
      </c>
      <c r="F76" t="s">
        <v>188</v>
      </c>
      <c r="G76" t="s">
        <v>189</v>
      </c>
      <c r="H76"/>
      <c r="I76"/>
      <c r="J76" t="b">
        <v>0</v>
      </c>
      <c r="K76" t="b">
        <v>0</v>
      </c>
      <c r="L76"/>
      <c r="M76"/>
      <c r="N76" t="b">
        <v>0</v>
      </c>
      <c r="O76"/>
      <c r="P76"/>
      <c r="Q76">
        <v>9.0500000000000007</v>
      </c>
      <c r="R76">
        <v>9.0500000000000007</v>
      </c>
      <c r="S76">
        <v>35</v>
      </c>
      <c r="T76">
        <v>43</v>
      </c>
      <c r="U76">
        <v>24</v>
      </c>
      <c r="V76">
        <v>222</v>
      </c>
      <c r="W76" s="281">
        <v>41872</v>
      </c>
      <c r="X76" s="282"/>
      <c r="Z76" s="9" t="b">
        <f t="shared" si="15"/>
        <v>0</v>
      </c>
      <c r="AA76" s="9" t="str">
        <f t="shared" si="14"/>
        <v>10</v>
      </c>
      <c r="AB76" s="196">
        <f t="shared" si="16"/>
        <v>15.928000000000001</v>
      </c>
      <c r="AC76" s="9">
        <f>VLOOKUP(AA76,'Federal Standards'!$N$9:$P$50,2,FALSE)</f>
        <v>7.29</v>
      </c>
      <c r="AD76" s="44">
        <f>VLOOKUP(AA76,'Federal Standards'!$N$9:$P$50,3,FALSE)</f>
        <v>107.8</v>
      </c>
      <c r="AE76" s="44">
        <f t="shared" si="17"/>
        <v>223.91512</v>
      </c>
      <c r="AF76" s="283">
        <f t="shared" si="18"/>
        <v>1.9151200000000017</v>
      </c>
      <c r="AG76" s="291">
        <f t="shared" ref="AG76:AG139" si="27">AF76/AE76</f>
        <v>8.5528837891786936E-3</v>
      </c>
      <c r="AH76" s="184" t="str">
        <f t="shared" si="19"/>
        <v>YES</v>
      </c>
      <c r="AJ76" s="9" t="str">
        <f t="shared" si="20"/>
        <v>NO</v>
      </c>
      <c r="AK76" s="9" t="str">
        <f t="shared" si="21"/>
        <v>NO</v>
      </c>
      <c r="AL76" s="9" t="str">
        <f t="shared" si="22"/>
        <v>NO</v>
      </c>
      <c r="AM76" s="9" t="str">
        <f t="shared" si="23"/>
        <v>NO</v>
      </c>
      <c r="AN76" s="9" t="str">
        <f t="shared" si="24"/>
        <v>Less than 10% better than Standard</v>
      </c>
      <c r="AO76" s="9" t="str">
        <f t="shared" si="25"/>
        <v>10_Less than 10% better than Standard</v>
      </c>
      <c r="AP76" s="9" t="str">
        <f t="shared" si="26"/>
        <v>10_NO</v>
      </c>
    </row>
    <row r="77" spans="1:42">
      <c r="A77">
        <v>87249</v>
      </c>
      <c r="B77" t="s">
        <v>4165</v>
      </c>
      <c r="C77" t="s">
        <v>168</v>
      </c>
      <c r="D77" t="s">
        <v>4167</v>
      </c>
      <c r="E77" t="s">
        <v>190</v>
      </c>
      <c r="F77" t="s">
        <v>188</v>
      </c>
      <c r="G77" t="s">
        <v>189</v>
      </c>
      <c r="H77"/>
      <c r="I77"/>
      <c r="J77" t="b">
        <v>0</v>
      </c>
      <c r="K77" t="b">
        <v>0</v>
      </c>
      <c r="L77"/>
      <c r="M77"/>
      <c r="N77" t="b">
        <v>0</v>
      </c>
      <c r="O77"/>
      <c r="P77"/>
      <c r="Q77">
        <v>15.58</v>
      </c>
      <c r="R77">
        <v>15.6</v>
      </c>
      <c r="S77">
        <v>35</v>
      </c>
      <c r="T77">
        <v>56</v>
      </c>
      <c r="U77">
        <v>28</v>
      </c>
      <c r="V77">
        <v>306</v>
      </c>
      <c r="W77" s="281">
        <v>41891</v>
      </c>
      <c r="X77" s="282"/>
      <c r="Z77" s="9" t="b">
        <f t="shared" si="15"/>
        <v>0</v>
      </c>
      <c r="AA77" s="9" t="str">
        <f t="shared" si="14"/>
        <v>10</v>
      </c>
      <c r="AB77" s="196">
        <f t="shared" si="16"/>
        <v>27.4208</v>
      </c>
      <c r="AC77" s="9">
        <f>VLOOKUP(AA77,'Federal Standards'!$N$9:$P$50,2,FALSE)</f>
        <v>7.29</v>
      </c>
      <c r="AD77" s="44">
        <f>VLOOKUP(AA77,'Federal Standards'!$N$9:$P$50,3,FALSE)</f>
        <v>107.8</v>
      </c>
      <c r="AE77" s="44">
        <f t="shared" si="17"/>
        <v>307.697632</v>
      </c>
      <c r="AF77" s="283">
        <f t="shared" si="18"/>
        <v>1.6976319999999987</v>
      </c>
      <c r="AG77" s="291">
        <f t="shared" si="27"/>
        <v>5.517208530223589E-3</v>
      </c>
      <c r="AH77" s="184" t="str">
        <f t="shared" si="19"/>
        <v>YES</v>
      </c>
      <c r="AJ77" s="9" t="str">
        <f t="shared" si="20"/>
        <v>NO</v>
      </c>
      <c r="AK77" s="9" t="str">
        <f t="shared" si="21"/>
        <v>NO</v>
      </c>
      <c r="AL77" s="9" t="str">
        <f t="shared" si="22"/>
        <v>NO</v>
      </c>
      <c r="AM77" s="9" t="str">
        <f t="shared" si="23"/>
        <v>NO</v>
      </c>
      <c r="AN77" s="9" t="str">
        <f t="shared" si="24"/>
        <v>Less than 10% better than Standard</v>
      </c>
      <c r="AO77" s="9" t="str">
        <f t="shared" si="25"/>
        <v>10_Less than 10% better than Standard</v>
      </c>
      <c r="AP77" s="9" t="str">
        <f t="shared" si="26"/>
        <v>10_NO</v>
      </c>
    </row>
    <row r="78" spans="1:42">
      <c r="A78">
        <v>86391</v>
      </c>
      <c r="B78" t="s">
        <v>4165</v>
      </c>
      <c r="C78" t="s">
        <v>168</v>
      </c>
      <c r="D78" t="s">
        <v>4168</v>
      </c>
      <c r="E78" t="s">
        <v>190</v>
      </c>
      <c r="F78" t="s">
        <v>188</v>
      </c>
      <c r="G78" t="s">
        <v>189</v>
      </c>
      <c r="H78"/>
      <c r="I78"/>
      <c r="J78" t="b">
        <v>0</v>
      </c>
      <c r="K78" t="b">
        <v>0</v>
      </c>
      <c r="L78"/>
      <c r="M78"/>
      <c r="N78" t="b">
        <v>0</v>
      </c>
      <c r="O78"/>
      <c r="P78"/>
      <c r="Q78">
        <v>17.510000000000002</v>
      </c>
      <c r="R78">
        <v>17.510000000000002</v>
      </c>
      <c r="S78">
        <v>35</v>
      </c>
      <c r="T78">
        <v>62</v>
      </c>
      <c r="U78">
        <v>28</v>
      </c>
      <c r="V78">
        <v>331</v>
      </c>
      <c r="W78" s="281">
        <v>41872</v>
      </c>
      <c r="X78" s="282"/>
      <c r="Z78" s="9" t="b">
        <f t="shared" si="15"/>
        <v>0</v>
      </c>
      <c r="AA78" s="9" t="str">
        <f t="shared" si="14"/>
        <v>10</v>
      </c>
      <c r="AB78" s="196">
        <f t="shared" si="16"/>
        <v>30.817600000000002</v>
      </c>
      <c r="AC78" s="9">
        <f>VLOOKUP(AA78,'Federal Standards'!$N$9:$P$50,2,FALSE)</f>
        <v>7.29</v>
      </c>
      <c r="AD78" s="44">
        <f>VLOOKUP(AA78,'Federal Standards'!$N$9:$P$50,3,FALSE)</f>
        <v>107.8</v>
      </c>
      <c r="AE78" s="44">
        <f t="shared" si="17"/>
        <v>332.46030400000001</v>
      </c>
      <c r="AF78" s="283">
        <f t="shared" si="18"/>
        <v>1.4603040000000078</v>
      </c>
      <c r="AG78" s="291">
        <f t="shared" si="27"/>
        <v>4.3924161243623474E-3</v>
      </c>
      <c r="AH78" s="184" t="str">
        <f t="shared" si="19"/>
        <v>YES</v>
      </c>
      <c r="AJ78" s="9" t="str">
        <f t="shared" si="20"/>
        <v>NO</v>
      </c>
      <c r="AK78" s="9" t="str">
        <f t="shared" si="21"/>
        <v>NO</v>
      </c>
      <c r="AL78" s="9" t="str">
        <f t="shared" si="22"/>
        <v>NO</v>
      </c>
      <c r="AM78" s="9" t="str">
        <f t="shared" si="23"/>
        <v>NO</v>
      </c>
      <c r="AN78" s="9" t="str">
        <f t="shared" si="24"/>
        <v>Less than 10% better than Standard</v>
      </c>
      <c r="AO78" s="9" t="str">
        <f t="shared" si="25"/>
        <v>10_Less than 10% better than Standard</v>
      </c>
      <c r="AP78" s="9" t="str">
        <f t="shared" si="26"/>
        <v>10_NO</v>
      </c>
    </row>
    <row r="79" spans="1:42">
      <c r="A79">
        <v>86394</v>
      </c>
      <c r="B79" t="s">
        <v>4165</v>
      </c>
      <c r="C79" t="s">
        <v>168</v>
      </c>
      <c r="D79" t="s">
        <v>4169</v>
      </c>
      <c r="E79" t="s">
        <v>190</v>
      </c>
      <c r="F79" t="s">
        <v>188</v>
      </c>
      <c r="G79" t="s">
        <v>189</v>
      </c>
      <c r="H79"/>
      <c r="I79"/>
      <c r="J79" t="b">
        <v>0</v>
      </c>
      <c r="K79" t="b">
        <v>0</v>
      </c>
      <c r="L79"/>
      <c r="M79"/>
      <c r="N79" t="b">
        <v>0</v>
      </c>
      <c r="O79"/>
      <c r="P79"/>
      <c r="Q79">
        <v>21.57</v>
      </c>
      <c r="R79">
        <v>21.57</v>
      </c>
      <c r="S79">
        <v>35</v>
      </c>
      <c r="T79">
        <v>74</v>
      </c>
      <c r="U79">
        <v>28</v>
      </c>
      <c r="V79">
        <v>383</v>
      </c>
      <c r="W79" s="281">
        <v>41872</v>
      </c>
      <c r="X79" s="282"/>
      <c r="Z79" s="9" t="b">
        <f t="shared" si="15"/>
        <v>0</v>
      </c>
      <c r="AA79" s="9" t="str">
        <f t="shared" si="14"/>
        <v>10</v>
      </c>
      <c r="AB79" s="196">
        <f t="shared" si="16"/>
        <v>37.963200000000001</v>
      </c>
      <c r="AC79" s="9">
        <f>VLOOKUP(AA79,'Federal Standards'!$N$9:$P$50,2,FALSE)</f>
        <v>7.29</v>
      </c>
      <c r="AD79" s="44">
        <f>VLOOKUP(AA79,'Federal Standards'!$N$9:$P$50,3,FALSE)</f>
        <v>107.8</v>
      </c>
      <c r="AE79" s="44">
        <f t="shared" si="17"/>
        <v>384.55172800000003</v>
      </c>
      <c r="AF79" s="283">
        <f t="shared" si="18"/>
        <v>1.5517280000000255</v>
      </c>
      <c r="AG79" s="291">
        <f t="shared" si="27"/>
        <v>4.0351606481404904E-3</v>
      </c>
      <c r="AH79" s="184" t="str">
        <f t="shared" si="19"/>
        <v>YES</v>
      </c>
      <c r="AJ79" s="9" t="str">
        <f t="shared" si="20"/>
        <v>NO</v>
      </c>
      <c r="AK79" s="9" t="str">
        <f t="shared" si="21"/>
        <v>NO</v>
      </c>
      <c r="AL79" s="9" t="str">
        <f t="shared" si="22"/>
        <v>NO</v>
      </c>
      <c r="AM79" s="9" t="str">
        <f t="shared" si="23"/>
        <v>NO</v>
      </c>
      <c r="AN79" s="9" t="str">
        <f t="shared" si="24"/>
        <v>Less than 10% better than Standard</v>
      </c>
      <c r="AO79" s="9" t="str">
        <f t="shared" si="25"/>
        <v>10_Less than 10% better than Standard</v>
      </c>
      <c r="AP79" s="9" t="str">
        <f t="shared" si="26"/>
        <v>10_NO</v>
      </c>
    </row>
    <row r="80" spans="1:42">
      <c r="A80">
        <v>85437</v>
      </c>
      <c r="B80" t="s">
        <v>4165</v>
      </c>
      <c r="C80" t="s">
        <v>168</v>
      </c>
      <c r="D80" t="s">
        <v>618</v>
      </c>
      <c r="E80" t="s">
        <v>4109</v>
      </c>
      <c r="F80" t="s">
        <v>162</v>
      </c>
      <c r="G80" t="s">
        <v>4105</v>
      </c>
      <c r="H80"/>
      <c r="I80" t="s">
        <v>4170</v>
      </c>
      <c r="J80" t="b">
        <v>0</v>
      </c>
      <c r="K80" t="b">
        <v>0</v>
      </c>
      <c r="L80" t="b">
        <v>1</v>
      </c>
      <c r="M80" t="b">
        <v>0</v>
      </c>
      <c r="N80" t="b">
        <v>0</v>
      </c>
      <c r="O80"/>
      <c r="P80">
        <v>18.93</v>
      </c>
      <c r="Q80">
        <v>8.7100000000000009</v>
      </c>
      <c r="R80">
        <v>27.64</v>
      </c>
      <c r="S80">
        <v>70</v>
      </c>
      <c r="T80">
        <v>36</v>
      </c>
      <c r="U80">
        <v>33</v>
      </c>
      <c r="V80">
        <v>642</v>
      </c>
      <c r="W80" s="281">
        <v>41837</v>
      </c>
      <c r="X80" s="282"/>
      <c r="Z80" s="9" t="b">
        <f t="shared" si="15"/>
        <v>0</v>
      </c>
      <c r="AA80" s="9" t="str">
        <f t="shared" si="14"/>
        <v>5I</v>
      </c>
      <c r="AB80" s="196">
        <f t="shared" si="16"/>
        <v>34.259599999999999</v>
      </c>
      <c r="AC80" s="9">
        <f>VLOOKUP(AA80,'Federal Standards'!$N$9:$P$50,2,FALSE)</f>
        <v>8.85</v>
      </c>
      <c r="AD80" s="44">
        <f>VLOOKUP(AA80,'Federal Standards'!$N$9:$P$50,3,FALSE)</f>
        <v>401</v>
      </c>
      <c r="AE80" s="44">
        <f t="shared" si="17"/>
        <v>704.19745999999998</v>
      </c>
      <c r="AF80" s="283">
        <f t="shared" si="18"/>
        <v>62.197459999999978</v>
      </c>
      <c r="AG80" s="291">
        <f t="shared" si="27"/>
        <v>8.8323891426702925E-2</v>
      </c>
      <c r="AH80" s="184" t="str">
        <f t="shared" si="19"/>
        <v>YES</v>
      </c>
      <c r="AJ80" s="9" t="str">
        <f t="shared" si="20"/>
        <v>NO</v>
      </c>
      <c r="AK80" s="9" t="str">
        <f t="shared" si="21"/>
        <v>NO</v>
      </c>
      <c r="AL80" s="9" t="str">
        <f t="shared" si="22"/>
        <v>NO</v>
      </c>
      <c r="AM80" s="9" t="str">
        <f t="shared" si="23"/>
        <v>NO</v>
      </c>
      <c r="AN80" s="9" t="str">
        <f t="shared" si="24"/>
        <v>Less than 10% better than Standard</v>
      </c>
      <c r="AO80" s="9" t="str">
        <f t="shared" si="25"/>
        <v>5I_Less than 10% better than Standard</v>
      </c>
      <c r="AP80" s="9" t="str">
        <f t="shared" si="26"/>
        <v>5I_NO</v>
      </c>
    </row>
    <row r="81" spans="1:42">
      <c r="A81">
        <v>85440</v>
      </c>
      <c r="B81" t="s">
        <v>4165</v>
      </c>
      <c r="C81" t="s">
        <v>168</v>
      </c>
      <c r="D81" t="s">
        <v>620</v>
      </c>
      <c r="E81" t="s">
        <v>4109</v>
      </c>
      <c r="F81" t="s">
        <v>162</v>
      </c>
      <c r="G81" t="s">
        <v>4105</v>
      </c>
      <c r="H81"/>
      <c r="I81" t="s">
        <v>4170</v>
      </c>
      <c r="J81" t="b">
        <v>0</v>
      </c>
      <c r="K81" t="b">
        <v>0</v>
      </c>
      <c r="L81" t="b">
        <v>1</v>
      </c>
      <c r="M81" t="b">
        <v>1</v>
      </c>
      <c r="N81" t="b">
        <v>0</v>
      </c>
      <c r="O81"/>
      <c r="P81">
        <v>18.48</v>
      </c>
      <c r="Q81">
        <v>8.7100000000000009</v>
      </c>
      <c r="R81">
        <v>27.19</v>
      </c>
      <c r="S81">
        <v>70</v>
      </c>
      <c r="T81">
        <v>36</v>
      </c>
      <c r="U81">
        <v>33</v>
      </c>
      <c r="V81">
        <v>717</v>
      </c>
      <c r="W81" s="281">
        <v>41837</v>
      </c>
      <c r="X81" s="282"/>
      <c r="Z81" s="9" t="b">
        <f t="shared" si="15"/>
        <v>0</v>
      </c>
      <c r="AA81" s="9" t="str">
        <f t="shared" si="14"/>
        <v>5A</v>
      </c>
      <c r="AB81" s="196">
        <f t="shared" si="16"/>
        <v>33.809600000000003</v>
      </c>
      <c r="AC81" s="9">
        <f>VLOOKUP(AA81,'Federal Standards'!$N$9:$P$50,2,FALSE)</f>
        <v>9.25</v>
      </c>
      <c r="AD81" s="44">
        <f>VLOOKUP(AA81,'Federal Standards'!$N$9:$P$50,3,FALSE)</f>
        <v>475.4</v>
      </c>
      <c r="AE81" s="44">
        <f t="shared" si="17"/>
        <v>788.13879999999995</v>
      </c>
      <c r="AF81" s="283">
        <f t="shared" si="18"/>
        <v>71.138799999999947</v>
      </c>
      <c r="AG81" s="291">
        <f t="shared" si="27"/>
        <v>9.0261766074706581E-2</v>
      </c>
      <c r="AH81" s="184" t="str">
        <f t="shared" si="19"/>
        <v>YES</v>
      </c>
      <c r="AJ81" s="9" t="str">
        <f t="shared" si="20"/>
        <v>NO</v>
      </c>
      <c r="AK81" s="9" t="str">
        <f t="shared" si="21"/>
        <v>NO</v>
      </c>
      <c r="AL81" s="9" t="str">
        <f t="shared" si="22"/>
        <v>NO</v>
      </c>
      <c r="AM81" s="9" t="str">
        <f t="shared" si="23"/>
        <v>NO</v>
      </c>
      <c r="AN81" s="9" t="str">
        <f t="shared" si="24"/>
        <v>Less than 10% better than Standard</v>
      </c>
      <c r="AO81" s="9" t="str">
        <f t="shared" si="25"/>
        <v>5A_Less than 10% better than Standard</v>
      </c>
      <c r="AP81" s="9" t="str">
        <f t="shared" si="26"/>
        <v>5A_NO</v>
      </c>
    </row>
    <row r="82" spans="1:42">
      <c r="A82">
        <v>86349</v>
      </c>
      <c r="B82" t="s">
        <v>4165</v>
      </c>
      <c r="C82" t="s">
        <v>168</v>
      </c>
      <c r="D82" t="s">
        <v>4171</v>
      </c>
      <c r="E82" t="s">
        <v>187</v>
      </c>
      <c r="F82" t="s">
        <v>162</v>
      </c>
      <c r="G82" t="s">
        <v>189</v>
      </c>
      <c r="H82"/>
      <c r="I82"/>
      <c r="J82" t="b">
        <v>0</v>
      </c>
      <c r="K82" t="b">
        <v>0</v>
      </c>
      <c r="L82" t="b">
        <v>0</v>
      </c>
      <c r="M82"/>
      <c r="N82" t="b">
        <v>0</v>
      </c>
      <c r="O82"/>
      <c r="P82"/>
      <c r="Q82">
        <v>13.82</v>
      </c>
      <c r="R82">
        <v>13.82</v>
      </c>
      <c r="S82">
        <v>63</v>
      </c>
      <c r="T82">
        <v>30</v>
      </c>
      <c r="U82">
        <v>31</v>
      </c>
      <c r="V82">
        <v>436</v>
      </c>
      <c r="W82" s="281">
        <v>41872</v>
      </c>
      <c r="X82" s="282"/>
      <c r="Z82" s="9" t="b">
        <f t="shared" si="15"/>
        <v>0</v>
      </c>
      <c r="AA82" s="9" t="str">
        <f t="shared" si="14"/>
        <v>9</v>
      </c>
      <c r="AB82" s="196">
        <f t="shared" si="16"/>
        <v>24.3232</v>
      </c>
      <c r="AC82" s="9">
        <f>VLOOKUP(AA82,'Federal Standards'!$N$9:$P$50,2,FALSE)</f>
        <v>8.6199999999999992</v>
      </c>
      <c r="AD82" s="44">
        <f>VLOOKUP(AA82,'Federal Standards'!$N$9:$P$50,3,FALSE)</f>
        <v>228.3</v>
      </c>
      <c r="AE82" s="44">
        <f t="shared" si="17"/>
        <v>437.96598399999999</v>
      </c>
      <c r="AF82" s="283">
        <f t="shared" si="18"/>
        <v>1.9659839999999917</v>
      </c>
      <c r="AG82" s="291">
        <f t="shared" si="27"/>
        <v>4.4888965623412248E-3</v>
      </c>
      <c r="AH82" s="184" t="str">
        <f t="shared" si="19"/>
        <v>YES</v>
      </c>
      <c r="AJ82" s="9" t="str">
        <f t="shared" si="20"/>
        <v>NO</v>
      </c>
      <c r="AK82" s="9" t="str">
        <f t="shared" si="21"/>
        <v>NO</v>
      </c>
      <c r="AL82" s="9" t="str">
        <f t="shared" si="22"/>
        <v>NO</v>
      </c>
      <c r="AM82" s="9" t="str">
        <f t="shared" si="23"/>
        <v>NO</v>
      </c>
      <c r="AN82" s="9" t="str">
        <f t="shared" si="24"/>
        <v>Less than 10% better than Standard</v>
      </c>
      <c r="AO82" s="9" t="str">
        <f t="shared" si="25"/>
        <v>9_Less than 10% better than Standard</v>
      </c>
      <c r="AP82" s="9" t="str">
        <f t="shared" si="26"/>
        <v>9_NO</v>
      </c>
    </row>
    <row r="83" spans="1:42">
      <c r="A83">
        <v>82969</v>
      </c>
      <c r="B83" t="s">
        <v>4165</v>
      </c>
      <c r="C83" t="s">
        <v>168</v>
      </c>
      <c r="D83" t="s">
        <v>4172</v>
      </c>
      <c r="E83" t="s">
        <v>187</v>
      </c>
      <c r="F83" t="s">
        <v>162</v>
      </c>
      <c r="G83" t="s">
        <v>189</v>
      </c>
      <c r="H83"/>
      <c r="I83" t="s">
        <v>4173</v>
      </c>
      <c r="J83"/>
      <c r="K83"/>
      <c r="L83"/>
      <c r="M83"/>
      <c r="N83" t="b">
        <v>0</v>
      </c>
      <c r="O83"/>
      <c r="P83"/>
      <c r="Q83">
        <v>16.73</v>
      </c>
      <c r="R83">
        <v>16.73</v>
      </c>
      <c r="S83">
        <v>66</v>
      </c>
      <c r="T83">
        <v>32</v>
      </c>
      <c r="U83">
        <v>27</v>
      </c>
      <c r="V83">
        <v>682</v>
      </c>
      <c r="W83" s="281">
        <v>41575</v>
      </c>
      <c r="X83" s="282"/>
      <c r="Z83" s="9" t="b">
        <f t="shared" si="15"/>
        <v>0</v>
      </c>
      <c r="AA83" s="9" t="str">
        <f t="shared" si="14"/>
        <v>9</v>
      </c>
      <c r="AB83" s="196">
        <f t="shared" si="16"/>
        <v>29.444800000000001</v>
      </c>
      <c r="AC83" s="9">
        <f>VLOOKUP(AA83,'Federal Standards'!$N$9:$P$50,2,FALSE)</f>
        <v>8.6199999999999992</v>
      </c>
      <c r="AD83" s="44">
        <f>VLOOKUP(AA83,'Federal Standards'!$N$9:$P$50,3,FALSE)</f>
        <v>228.3</v>
      </c>
      <c r="AE83" s="44">
        <f t="shared" si="17"/>
        <v>482.11417599999999</v>
      </c>
      <c r="AF83" s="283">
        <f t="shared" si="18"/>
        <v>-199.88582400000001</v>
      </c>
      <c r="AG83" s="291">
        <f t="shared" si="27"/>
        <v>-0.41460266872550955</v>
      </c>
      <c r="AH83" s="184" t="str">
        <f t="shared" si="19"/>
        <v>NO</v>
      </c>
      <c r="AJ83" s="9" t="str">
        <f t="shared" si="20"/>
        <v>NO</v>
      </c>
      <c r="AK83" s="9" t="str">
        <f t="shared" si="21"/>
        <v>NO</v>
      </c>
      <c r="AL83" s="9" t="str">
        <f t="shared" si="22"/>
        <v>NO</v>
      </c>
      <c r="AM83" s="9" t="str">
        <f t="shared" si="23"/>
        <v>NO</v>
      </c>
      <c r="AN83" s="9" t="str">
        <f t="shared" si="24"/>
        <v>Doesn't meet Standard</v>
      </c>
      <c r="AO83" s="9" t="str">
        <f t="shared" si="25"/>
        <v>9_Doesn't meet Standard</v>
      </c>
      <c r="AP83" s="9" t="str">
        <f t="shared" si="26"/>
        <v>9_NO</v>
      </c>
    </row>
    <row r="84" spans="1:42">
      <c r="A84">
        <v>86359</v>
      </c>
      <c r="B84" t="s">
        <v>4165</v>
      </c>
      <c r="C84" t="s">
        <v>168</v>
      </c>
      <c r="D84" t="s">
        <v>4174</v>
      </c>
      <c r="E84" t="s">
        <v>187</v>
      </c>
      <c r="F84" t="s">
        <v>162</v>
      </c>
      <c r="G84" t="s">
        <v>189</v>
      </c>
      <c r="H84"/>
      <c r="I84"/>
      <c r="J84" t="b">
        <v>0</v>
      </c>
      <c r="K84" t="b">
        <v>0</v>
      </c>
      <c r="L84" t="b">
        <v>0</v>
      </c>
      <c r="M84"/>
      <c r="N84" t="b">
        <v>0</v>
      </c>
      <c r="O84"/>
      <c r="P84"/>
      <c r="Q84">
        <v>16.63</v>
      </c>
      <c r="R84">
        <v>16.63</v>
      </c>
      <c r="S84">
        <v>68</v>
      </c>
      <c r="T84">
        <v>34</v>
      </c>
      <c r="U84">
        <v>29</v>
      </c>
      <c r="V84">
        <v>431</v>
      </c>
      <c r="W84" s="281">
        <v>41872</v>
      </c>
      <c r="X84" s="282"/>
      <c r="Z84" s="9" t="b">
        <f t="shared" si="15"/>
        <v>0</v>
      </c>
      <c r="AA84" s="9" t="str">
        <f t="shared" si="14"/>
        <v>9</v>
      </c>
      <c r="AB84" s="196">
        <f t="shared" si="16"/>
        <v>29.268799999999999</v>
      </c>
      <c r="AC84" s="9">
        <f>VLOOKUP(AA84,'Federal Standards'!$N$9:$P$50,2,FALSE)</f>
        <v>8.6199999999999992</v>
      </c>
      <c r="AD84" s="44">
        <f>VLOOKUP(AA84,'Federal Standards'!$N$9:$P$50,3,FALSE)</f>
        <v>228.3</v>
      </c>
      <c r="AE84" s="44">
        <f t="shared" si="17"/>
        <v>480.59705599999995</v>
      </c>
      <c r="AF84" s="283">
        <f t="shared" si="18"/>
        <v>49.597055999999952</v>
      </c>
      <c r="AG84" s="291">
        <f t="shared" si="27"/>
        <v>0.10319883440983867</v>
      </c>
      <c r="AH84" s="184" t="str">
        <f t="shared" si="19"/>
        <v>YES</v>
      </c>
      <c r="AJ84" s="9" t="str">
        <f t="shared" si="20"/>
        <v>YES</v>
      </c>
      <c r="AK84" s="9" t="str">
        <f t="shared" si="21"/>
        <v>YES</v>
      </c>
      <c r="AL84" s="9" t="str">
        <f t="shared" si="22"/>
        <v>NO</v>
      </c>
      <c r="AM84" s="9" t="str">
        <f t="shared" si="23"/>
        <v>NO</v>
      </c>
      <c r="AN84" s="9" t="str">
        <f t="shared" si="24"/>
        <v>Tier 1 - 10% to 15% better than Standard</v>
      </c>
      <c r="AO84" s="9" t="str">
        <f t="shared" si="25"/>
        <v>9_Tier 1 - 10% to 15% better than Standard</v>
      </c>
      <c r="AP84" s="9" t="str">
        <f t="shared" si="26"/>
        <v>9_YES</v>
      </c>
    </row>
    <row r="85" spans="1:42">
      <c r="A85">
        <v>86373</v>
      </c>
      <c r="B85" t="s">
        <v>4165</v>
      </c>
      <c r="C85" t="s">
        <v>168</v>
      </c>
      <c r="D85" t="s">
        <v>4175</v>
      </c>
      <c r="E85" t="s">
        <v>187</v>
      </c>
      <c r="F85" t="s">
        <v>162</v>
      </c>
      <c r="G85" t="s">
        <v>189</v>
      </c>
      <c r="H85"/>
      <c r="I85"/>
      <c r="J85" t="b">
        <v>0</v>
      </c>
      <c r="K85" t="b">
        <v>0</v>
      </c>
      <c r="L85" t="b">
        <v>0</v>
      </c>
      <c r="M85"/>
      <c r="N85" t="b">
        <v>0</v>
      </c>
      <c r="O85"/>
      <c r="P85"/>
      <c r="Q85">
        <v>20.53</v>
      </c>
      <c r="R85">
        <v>20.53</v>
      </c>
      <c r="S85">
        <v>74</v>
      </c>
      <c r="T85">
        <v>34</v>
      </c>
      <c r="U85">
        <v>31</v>
      </c>
      <c r="V85">
        <v>484</v>
      </c>
      <c r="W85" s="281">
        <v>41872</v>
      </c>
      <c r="X85" s="282"/>
      <c r="Z85" s="9" t="b">
        <f t="shared" si="15"/>
        <v>0</v>
      </c>
      <c r="AA85" s="9" t="str">
        <f t="shared" si="14"/>
        <v>9</v>
      </c>
      <c r="AB85" s="196">
        <f t="shared" si="16"/>
        <v>36.132800000000003</v>
      </c>
      <c r="AC85" s="9">
        <f>VLOOKUP(AA85,'Federal Standards'!$N$9:$P$50,2,FALSE)</f>
        <v>8.6199999999999992</v>
      </c>
      <c r="AD85" s="44">
        <f>VLOOKUP(AA85,'Federal Standards'!$N$9:$P$50,3,FALSE)</f>
        <v>228.3</v>
      </c>
      <c r="AE85" s="44">
        <f t="shared" si="17"/>
        <v>539.76473600000008</v>
      </c>
      <c r="AF85" s="283">
        <f t="shared" si="18"/>
        <v>55.764736000000084</v>
      </c>
      <c r="AG85" s="291">
        <f t="shared" si="27"/>
        <v>0.10331304044286449</v>
      </c>
      <c r="AH85" s="184" t="str">
        <f t="shared" si="19"/>
        <v>YES</v>
      </c>
      <c r="AJ85" s="9" t="str">
        <f t="shared" si="20"/>
        <v>YES</v>
      </c>
      <c r="AK85" s="9" t="str">
        <f t="shared" si="21"/>
        <v>YES</v>
      </c>
      <c r="AL85" s="9" t="str">
        <f t="shared" si="22"/>
        <v>NO</v>
      </c>
      <c r="AM85" s="9" t="str">
        <f t="shared" si="23"/>
        <v>NO</v>
      </c>
      <c r="AN85" s="9" t="str">
        <f t="shared" si="24"/>
        <v>Tier 1 - 10% to 15% better than Standard</v>
      </c>
      <c r="AO85" s="9" t="str">
        <f t="shared" si="25"/>
        <v>9_Tier 1 - 10% to 15% better than Standard</v>
      </c>
      <c r="AP85" s="9" t="str">
        <f t="shared" si="26"/>
        <v>9_YES</v>
      </c>
    </row>
    <row r="86" spans="1:42">
      <c r="A86">
        <v>86343</v>
      </c>
      <c r="B86" t="s">
        <v>4165</v>
      </c>
      <c r="C86" t="s">
        <v>168</v>
      </c>
      <c r="D86" t="s">
        <v>4176</v>
      </c>
      <c r="E86" t="s">
        <v>187</v>
      </c>
      <c r="F86" t="s">
        <v>188</v>
      </c>
      <c r="G86" t="s">
        <v>189</v>
      </c>
      <c r="H86"/>
      <c r="I86"/>
      <c r="J86" t="b">
        <v>0</v>
      </c>
      <c r="K86" t="b">
        <v>0</v>
      </c>
      <c r="L86" t="b">
        <v>0</v>
      </c>
      <c r="M86"/>
      <c r="N86" t="b">
        <v>0</v>
      </c>
      <c r="O86"/>
      <c r="P86"/>
      <c r="Q86">
        <v>17.34</v>
      </c>
      <c r="R86">
        <v>17.34</v>
      </c>
      <c r="S86">
        <v>68</v>
      </c>
      <c r="T86">
        <v>34</v>
      </c>
      <c r="U86">
        <v>29</v>
      </c>
      <c r="V86">
        <v>362</v>
      </c>
      <c r="W86" s="281">
        <v>41872</v>
      </c>
      <c r="X86" s="282"/>
      <c r="Z86" s="9" t="b">
        <f t="shared" si="15"/>
        <v>0</v>
      </c>
      <c r="AA86" s="9" t="str">
        <f t="shared" si="14"/>
        <v>8</v>
      </c>
      <c r="AB86" s="196">
        <f t="shared" si="16"/>
        <v>30.5184</v>
      </c>
      <c r="AC86" s="9">
        <f>VLOOKUP(AA86,'Federal Standards'!$N$9:$P$50,2,FALSE)</f>
        <v>5.57</v>
      </c>
      <c r="AD86" s="44">
        <f>VLOOKUP(AA86,'Federal Standards'!$N$9:$P$50,3,FALSE)</f>
        <v>193.7</v>
      </c>
      <c r="AE86" s="44">
        <f t="shared" si="17"/>
        <v>363.68748800000003</v>
      </c>
      <c r="AF86" s="283">
        <f t="shared" si="18"/>
        <v>1.6874880000000303</v>
      </c>
      <c r="AG86" s="291">
        <f t="shared" si="27"/>
        <v>4.6399396616031785E-3</v>
      </c>
      <c r="AH86" s="184" t="str">
        <f t="shared" si="19"/>
        <v>YES</v>
      </c>
      <c r="AJ86" s="9" t="str">
        <f t="shared" si="20"/>
        <v>NO</v>
      </c>
      <c r="AK86" s="9" t="str">
        <f t="shared" si="21"/>
        <v>NO</v>
      </c>
      <c r="AL86" s="9" t="str">
        <f t="shared" si="22"/>
        <v>NO</v>
      </c>
      <c r="AM86" s="9" t="str">
        <f t="shared" si="23"/>
        <v>NO</v>
      </c>
      <c r="AN86" s="9" t="str">
        <f t="shared" si="24"/>
        <v>Less than 10% better than Standard</v>
      </c>
      <c r="AO86" s="9" t="str">
        <f t="shared" si="25"/>
        <v>8_Less than 10% better than Standard</v>
      </c>
      <c r="AP86" s="9" t="str">
        <f t="shared" si="26"/>
        <v>8_NO</v>
      </c>
    </row>
    <row r="87" spans="1:42">
      <c r="A87">
        <v>86346</v>
      </c>
      <c r="B87" t="s">
        <v>4165</v>
      </c>
      <c r="C87" t="s">
        <v>168</v>
      </c>
      <c r="D87" t="s">
        <v>4177</v>
      </c>
      <c r="E87" t="s">
        <v>187</v>
      </c>
      <c r="F87" t="s">
        <v>188</v>
      </c>
      <c r="G87" t="s">
        <v>189</v>
      </c>
      <c r="H87"/>
      <c r="I87"/>
      <c r="J87" t="b">
        <v>0</v>
      </c>
      <c r="K87" t="b">
        <v>0</v>
      </c>
      <c r="L87" t="b">
        <v>0</v>
      </c>
      <c r="M87"/>
      <c r="N87" t="b">
        <v>0</v>
      </c>
      <c r="O87"/>
      <c r="P87"/>
      <c r="Q87">
        <v>20.94</v>
      </c>
      <c r="R87">
        <v>20.94</v>
      </c>
      <c r="S87">
        <v>74</v>
      </c>
      <c r="T87">
        <v>34</v>
      </c>
      <c r="U87">
        <v>31</v>
      </c>
      <c r="V87">
        <v>397</v>
      </c>
      <c r="W87" s="281">
        <v>41872</v>
      </c>
      <c r="X87" s="282"/>
      <c r="Z87" s="9" t="b">
        <f t="shared" si="15"/>
        <v>0</v>
      </c>
      <c r="AA87" s="9" t="str">
        <f t="shared" si="14"/>
        <v>8</v>
      </c>
      <c r="AB87" s="196">
        <f t="shared" si="16"/>
        <v>36.854400000000005</v>
      </c>
      <c r="AC87" s="9">
        <f>VLOOKUP(AA87,'Federal Standards'!$N$9:$P$50,2,FALSE)</f>
        <v>5.57</v>
      </c>
      <c r="AD87" s="44">
        <f>VLOOKUP(AA87,'Federal Standards'!$N$9:$P$50,3,FALSE)</f>
        <v>193.7</v>
      </c>
      <c r="AE87" s="44">
        <f t="shared" si="17"/>
        <v>398.97900800000002</v>
      </c>
      <c r="AF87" s="283">
        <f t="shared" si="18"/>
        <v>1.9790080000000216</v>
      </c>
      <c r="AG87" s="291">
        <f t="shared" si="27"/>
        <v>4.9601807621919335E-3</v>
      </c>
      <c r="AH87" s="184" t="str">
        <f t="shared" si="19"/>
        <v>YES</v>
      </c>
      <c r="AJ87" s="9" t="str">
        <f t="shared" si="20"/>
        <v>NO</v>
      </c>
      <c r="AK87" s="9" t="str">
        <f t="shared" si="21"/>
        <v>NO</v>
      </c>
      <c r="AL87" s="9" t="str">
        <f t="shared" si="22"/>
        <v>NO</v>
      </c>
      <c r="AM87" s="9" t="str">
        <f t="shared" si="23"/>
        <v>NO</v>
      </c>
      <c r="AN87" s="9" t="str">
        <f t="shared" si="24"/>
        <v>Less than 10% better than Standard</v>
      </c>
      <c r="AO87" s="9" t="str">
        <f t="shared" si="25"/>
        <v>8_Less than 10% better than Standard</v>
      </c>
      <c r="AP87" s="9" t="str">
        <f t="shared" si="26"/>
        <v>8_NO</v>
      </c>
    </row>
    <row r="88" spans="1:42">
      <c r="A88">
        <v>85426</v>
      </c>
      <c r="B88" t="s">
        <v>4165</v>
      </c>
      <c r="C88" t="s">
        <v>168</v>
      </c>
      <c r="D88" t="s">
        <v>4178</v>
      </c>
      <c r="E88" t="s">
        <v>4179</v>
      </c>
      <c r="F88" t="s">
        <v>162</v>
      </c>
      <c r="G88" t="s">
        <v>4105</v>
      </c>
      <c r="H88"/>
      <c r="I88" t="s">
        <v>4098</v>
      </c>
      <c r="J88" t="b">
        <v>0</v>
      </c>
      <c r="K88" t="b">
        <v>0</v>
      </c>
      <c r="L88" t="b">
        <v>1</v>
      </c>
      <c r="M88" t="b">
        <v>1</v>
      </c>
      <c r="N88" t="b">
        <v>0</v>
      </c>
      <c r="O88"/>
      <c r="P88">
        <v>14.17</v>
      </c>
      <c r="Q88">
        <v>7.9</v>
      </c>
      <c r="R88">
        <v>22.07</v>
      </c>
      <c r="S88">
        <v>70</v>
      </c>
      <c r="T88">
        <v>27</v>
      </c>
      <c r="U88">
        <v>32</v>
      </c>
      <c r="V88">
        <v>672</v>
      </c>
      <c r="W88" s="281">
        <v>41837</v>
      </c>
      <c r="X88" s="282"/>
      <c r="Z88" s="9" t="b">
        <f t="shared" si="15"/>
        <v>0</v>
      </c>
      <c r="AA88" s="9" t="str">
        <f t="shared" si="14"/>
        <v>7</v>
      </c>
      <c r="AB88" s="196">
        <f t="shared" si="16"/>
        <v>28.073999999999998</v>
      </c>
      <c r="AC88" s="9">
        <f>VLOOKUP(AA88,'Federal Standards'!$N$9:$P$50,2,FALSE)</f>
        <v>8.5399999999999991</v>
      </c>
      <c r="AD88" s="44">
        <f>VLOOKUP(AA88,'Federal Standards'!$N$9:$P$50,3,FALSE)</f>
        <v>432.8</v>
      </c>
      <c r="AE88" s="44">
        <f t="shared" si="17"/>
        <v>672.55196000000001</v>
      </c>
      <c r="AF88" s="283">
        <f t="shared" si="18"/>
        <v>0.55196000000000822</v>
      </c>
      <c r="AG88" s="291">
        <f t="shared" si="27"/>
        <v>8.206949541861542E-4</v>
      </c>
      <c r="AH88" s="184" t="str">
        <f t="shared" si="19"/>
        <v>YES</v>
      </c>
      <c r="AJ88" s="9" t="str">
        <f t="shared" si="20"/>
        <v>NO</v>
      </c>
      <c r="AK88" s="9" t="str">
        <f t="shared" si="21"/>
        <v>NO</v>
      </c>
      <c r="AL88" s="9" t="str">
        <f t="shared" si="22"/>
        <v>NO</v>
      </c>
      <c r="AM88" s="9" t="str">
        <f t="shared" si="23"/>
        <v>NO</v>
      </c>
      <c r="AN88" s="9" t="str">
        <f t="shared" si="24"/>
        <v>Less than 10% better than Standard</v>
      </c>
      <c r="AO88" s="9" t="str">
        <f t="shared" si="25"/>
        <v>7_Less than 10% better than Standard</v>
      </c>
      <c r="AP88" s="9" t="str">
        <f t="shared" si="26"/>
        <v>7_NO</v>
      </c>
    </row>
    <row r="89" spans="1:42" s="56" customFormat="1">
      <c r="A89" s="465">
        <v>82831</v>
      </c>
      <c r="B89" s="465" t="s">
        <v>4165</v>
      </c>
      <c r="C89" s="465" t="s">
        <v>168</v>
      </c>
      <c r="D89" s="465" t="s">
        <v>4180</v>
      </c>
      <c r="E89" s="465" t="s">
        <v>4181</v>
      </c>
      <c r="F89" s="465" t="s">
        <v>162</v>
      </c>
      <c r="G89" s="465" t="s">
        <v>4105</v>
      </c>
      <c r="H89" s="465"/>
      <c r="I89" s="465" t="s">
        <v>4106</v>
      </c>
      <c r="J89" s="465"/>
      <c r="K89" s="465"/>
      <c r="L89" s="465"/>
      <c r="M89" t="b">
        <v>1</v>
      </c>
      <c r="N89" s="465" t="b">
        <v>0</v>
      </c>
      <c r="O89" s="465" t="s">
        <v>4099</v>
      </c>
      <c r="P89" s="465">
        <v>16.47</v>
      </c>
      <c r="Q89" s="465">
        <v>9.4600000000000009</v>
      </c>
      <c r="R89" s="465">
        <v>25.93</v>
      </c>
      <c r="S89" s="465">
        <v>68</v>
      </c>
      <c r="T89" s="465">
        <v>36</v>
      </c>
      <c r="U89" s="465">
        <v>34</v>
      </c>
      <c r="V89" s="465">
        <v>582</v>
      </c>
      <c r="W89" s="466">
        <v>41535</v>
      </c>
      <c r="X89" s="467"/>
      <c r="Z89" s="56" t="b">
        <f t="shared" si="15"/>
        <v>0</v>
      </c>
      <c r="AA89" s="9" t="str">
        <f>GetFridgeClass(E89,F89,G89,J89,Z89,L89,M89)</f>
        <v>7</v>
      </c>
      <c r="AB89" s="468">
        <f t="shared" si="16"/>
        <v>33.119600000000005</v>
      </c>
      <c r="AC89" s="56">
        <f>VLOOKUP(AA89,'Federal Standards'!$N$9:$P$50,2,FALSE)</f>
        <v>8.5399999999999991</v>
      </c>
      <c r="AD89" s="63">
        <f>VLOOKUP(AA89,'Federal Standards'!$N$9:$P$50,3,FALSE)</f>
        <v>432.8</v>
      </c>
      <c r="AE89" s="63">
        <f t="shared" si="17"/>
        <v>715.64138400000002</v>
      </c>
      <c r="AF89" s="469">
        <f t="shared" si="18"/>
        <v>133.64138400000002</v>
      </c>
      <c r="AG89" s="291">
        <f t="shared" si="27"/>
        <v>0.18674351007068091</v>
      </c>
      <c r="AH89" s="291" t="str">
        <f t="shared" si="19"/>
        <v>YES</v>
      </c>
      <c r="AJ89" s="56" t="str">
        <f t="shared" si="20"/>
        <v>YES</v>
      </c>
      <c r="AK89" s="56" t="str">
        <f t="shared" si="21"/>
        <v>NO</v>
      </c>
      <c r="AL89" s="56" t="str">
        <f t="shared" si="22"/>
        <v>YES</v>
      </c>
      <c r="AM89" s="56" t="str">
        <f t="shared" si="23"/>
        <v>NO</v>
      </c>
      <c r="AN89" s="56" t="str">
        <f t="shared" si="24"/>
        <v>Tier 2 - 15% to 20% better than Standard</v>
      </c>
      <c r="AO89" s="56" t="str">
        <f t="shared" si="25"/>
        <v>7_Tier 2 - 15% to 20% better than Standard</v>
      </c>
      <c r="AP89" s="56" t="str">
        <f t="shared" si="26"/>
        <v>7_YES</v>
      </c>
    </row>
    <row r="90" spans="1:42">
      <c r="A90">
        <v>85379</v>
      </c>
      <c r="B90" t="s">
        <v>4165</v>
      </c>
      <c r="C90" t="s">
        <v>168</v>
      </c>
      <c r="D90" t="s">
        <v>622</v>
      </c>
      <c r="E90" t="s">
        <v>4108</v>
      </c>
      <c r="F90" t="s">
        <v>162</v>
      </c>
      <c r="G90" t="s">
        <v>4105</v>
      </c>
      <c r="H90"/>
      <c r="I90" t="s">
        <v>4098</v>
      </c>
      <c r="J90" t="b">
        <v>0</v>
      </c>
      <c r="K90" t="b">
        <v>0</v>
      </c>
      <c r="L90" t="b">
        <v>0</v>
      </c>
      <c r="M90"/>
      <c r="N90" t="b">
        <v>0</v>
      </c>
      <c r="O90"/>
      <c r="P90">
        <v>10.93</v>
      </c>
      <c r="Q90">
        <v>3.63</v>
      </c>
      <c r="R90">
        <v>14.56</v>
      </c>
      <c r="S90">
        <v>61</v>
      </c>
      <c r="T90">
        <v>28</v>
      </c>
      <c r="U90">
        <v>30</v>
      </c>
      <c r="V90">
        <v>336</v>
      </c>
      <c r="W90" s="281">
        <v>41837</v>
      </c>
      <c r="X90" s="282"/>
      <c r="Z90" s="9" t="b">
        <f t="shared" si="15"/>
        <v>0</v>
      </c>
      <c r="AA90" s="9" t="str">
        <f t="shared" si="14"/>
        <v>3</v>
      </c>
      <c r="AB90" s="196">
        <f t="shared" si="16"/>
        <v>17.3188</v>
      </c>
      <c r="AC90" s="9">
        <f>VLOOKUP(AA90,'Federal Standards'!$N$9:$P$50,2,FALSE)</f>
        <v>8.07</v>
      </c>
      <c r="AD90" s="44">
        <f>VLOOKUP(AA90,'Federal Standards'!$N$9:$P$50,3,FALSE)</f>
        <v>233.7</v>
      </c>
      <c r="AE90" s="44">
        <f t="shared" si="17"/>
        <v>373.462716</v>
      </c>
      <c r="AF90" s="283">
        <f t="shared" si="18"/>
        <v>37.462716</v>
      </c>
      <c r="AG90" s="291">
        <f t="shared" si="27"/>
        <v>0.10031179658640944</v>
      </c>
      <c r="AH90" s="184" t="str">
        <f t="shared" si="19"/>
        <v>YES</v>
      </c>
      <c r="AJ90" s="9" t="str">
        <f t="shared" si="20"/>
        <v>YES</v>
      </c>
      <c r="AK90" s="9" t="str">
        <f t="shared" si="21"/>
        <v>YES</v>
      </c>
      <c r="AL90" s="9" t="str">
        <f t="shared" si="22"/>
        <v>NO</v>
      </c>
      <c r="AM90" s="9" t="str">
        <f t="shared" si="23"/>
        <v>NO</v>
      </c>
      <c r="AN90" s="9" t="str">
        <f t="shared" si="24"/>
        <v>Tier 1 - 10% to 15% better than Standard</v>
      </c>
      <c r="AO90" s="9" t="str">
        <f t="shared" si="25"/>
        <v>3_Tier 1 - 10% to 15% better than Standard</v>
      </c>
      <c r="AP90" s="9" t="str">
        <f t="shared" si="26"/>
        <v>3_YES</v>
      </c>
    </row>
    <row r="91" spans="1:42">
      <c r="A91">
        <v>85378</v>
      </c>
      <c r="B91" t="s">
        <v>4165</v>
      </c>
      <c r="C91" t="s">
        <v>168</v>
      </c>
      <c r="D91" t="s">
        <v>4182</v>
      </c>
      <c r="E91" t="s">
        <v>4108</v>
      </c>
      <c r="F91" t="s">
        <v>162</v>
      </c>
      <c r="G91" t="s">
        <v>4105</v>
      </c>
      <c r="H91"/>
      <c r="I91" t="s">
        <v>4098</v>
      </c>
      <c r="J91" t="b">
        <v>0</v>
      </c>
      <c r="K91" t="b">
        <v>0</v>
      </c>
      <c r="L91" t="b">
        <v>0</v>
      </c>
      <c r="M91"/>
      <c r="N91" t="b">
        <v>0</v>
      </c>
      <c r="O91"/>
      <c r="P91">
        <v>10.93</v>
      </c>
      <c r="Q91">
        <v>3.63</v>
      </c>
      <c r="R91">
        <v>14.56</v>
      </c>
      <c r="S91">
        <v>61</v>
      </c>
      <c r="T91">
        <v>28</v>
      </c>
      <c r="U91">
        <v>30</v>
      </c>
      <c r="V91">
        <v>373</v>
      </c>
      <c r="W91" s="281">
        <v>41837</v>
      </c>
      <c r="X91" s="282"/>
      <c r="Z91" s="9" t="b">
        <f t="shared" si="15"/>
        <v>0</v>
      </c>
      <c r="AA91" s="9" t="str">
        <f t="shared" si="14"/>
        <v>3</v>
      </c>
      <c r="AB91" s="196">
        <f t="shared" si="16"/>
        <v>17.3188</v>
      </c>
      <c r="AC91" s="9">
        <f>VLOOKUP(AA91,'Federal Standards'!$N$9:$P$50,2,FALSE)</f>
        <v>8.07</v>
      </c>
      <c r="AD91" s="44">
        <f>VLOOKUP(AA91,'Federal Standards'!$N$9:$P$50,3,FALSE)</f>
        <v>233.7</v>
      </c>
      <c r="AE91" s="44">
        <f t="shared" si="17"/>
        <v>373.462716</v>
      </c>
      <c r="AF91" s="283">
        <f t="shared" si="18"/>
        <v>0.46271600000000035</v>
      </c>
      <c r="AG91" s="291">
        <f t="shared" si="27"/>
        <v>1.238988472412867E-3</v>
      </c>
      <c r="AH91" s="184" t="str">
        <f t="shared" si="19"/>
        <v>YES</v>
      </c>
      <c r="AJ91" s="9" t="str">
        <f t="shared" si="20"/>
        <v>NO</v>
      </c>
      <c r="AK91" s="9" t="str">
        <f t="shared" si="21"/>
        <v>NO</v>
      </c>
      <c r="AL91" s="9" t="str">
        <f t="shared" si="22"/>
        <v>NO</v>
      </c>
      <c r="AM91" s="9" t="str">
        <f t="shared" si="23"/>
        <v>NO</v>
      </c>
      <c r="AN91" s="9" t="str">
        <f t="shared" si="24"/>
        <v>Less than 10% better than Standard</v>
      </c>
      <c r="AO91" s="9" t="str">
        <f t="shared" si="25"/>
        <v>3_Less than 10% better than Standard</v>
      </c>
      <c r="AP91" s="9" t="str">
        <f t="shared" si="26"/>
        <v>3_NO</v>
      </c>
    </row>
    <row r="92" spans="1:42">
      <c r="A92">
        <v>86134</v>
      </c>
      <c r="B92" t="s">
        <v>4165</v>
      </c>
      <c r="C92" t="s">
        <v>168</v>
      </c>
      <c r="D92" t="s">
        <v>4183</v>
      </c>
      <c r="E92" t="s">
        <v>4108</v>
      </c>
      <c r="F92" t="s">
        <v>162</v>
      </c>
      <c r="G92" t="s">
        <v>4105</v>
      </c>
      <c r="H92"/>
      <c r="I92" t="s">
        <v>4098</v>
      </c>
      <c r="J92" t="b">
        <v>0</v>
      </c>
      <c r="K92" t="b">
        <v>0</v>
      </c>
      <c r="L92" t="b">
        <v>0</v>
      </c>
      <c r="M92"/>
      <c r="N92" t="b">
        <v>0</v>
      </c>
      <c r="O92"/>
      <c r="P92">
        <v>14.1</v>
      </c>
      <c r="Q92">
        <v>3.98</v>
      </c>
      <c r="R92">
        <v>18.079999999999998</v>
      </c>
      <c r="S92">
        <v>67</v>
      </c>
      <c r="T92">
        <v>30</v>
      </c>
      <c r="U92">
        <v>30</v>
      </c>
      <c r="V92">
        <v>404</v>
      </c>
      <c r="W92" s="281">
        <v>41866</v>
      </c>
      <c r="X92" s="282"/>
      <c r="Z92" s="9" t="b">
        <f t="shared" si="15"/>
        <v>0</v>
      </c>
      <c r="AA92" s="9" t="str">
        <f t="shared" si="14"/>
        <v>3</v>
      </c>
      <c r="AB92" s="196">
        <f t="shared" si="16"/>
        <v>21.104800000000001</v>
      </c>
      <c r="AC92" s="9">
        <f>VLOOKUP(AA92,'Federal Standards'!$N$9:$P$50,2,FALSE)</f>
        <v>8.07</v>
      </c>
      <c r="AD92" s="44">
        <f>VLOOKUP(AA92,'Federal Standards'!$N$9:$P$50,3,FALSE)</f>
        <v>233.7</v>
      </c>
      <c r="AE92" s="44">
        <f t="shared" si="17"/>
        <v>404.015736</v>
      </c>
      <c r="AF92" s="283">
        <f t="shared" si="18"/>
        <v>1.5736000000003969E-2</v>
      </c>
      <c r="AG92" s="291">
        <f t="shared" si="27"/>
        <v>3.8948977967541266E-5</v>
      </c>
      <c r="AH92" s="184" t="str">
        <f t="shared" si="19"/>
        <v>YES</v>
      </c>
      <c r="AJ92" s="9" t="str">
        <f t="shared" si="20"/>
        <v>NO</v>
      </c>
      <c r="AK92" s="9" t="str">
        <f t="shared" si="21"/>
        <v>NO</v>
      </c>
      <c r="AL92" s="9" t="str">
        <f t="shared" si="22"/>
        <v>NO</v>
      </c>
      <c r="AM92" s="9" t="str">
        <f t="shared" si="23"/>
        <v>NO</v>
      </c>
      <c r="AN92" s="9" t="str">
        <f t="shared" si="24"/>
        <v>Less than 10% better than Standard</v>
      </c>
      <c r="AO92" s="9" t="str">
        <f t="shared" si="25"/>
        <v>3_Less than 10% better than Standard</v>
      </c>
      <c r="AP92" s="9" t="str">
        <f t="shared" si="26"/>
        <v>3_NO</v>
      </c>
    </row>
    <row r="93" spans="1:42">
      <c r="A93">
        <v>87355</v>
      </c>
      <c r="B93" t="s">
        <v>4165</v>
      </c>
      <c r="C93" t="s">
        <v>168</v>
      </c>
      <c r="D93" t="s">
        <v>625</v>
      </c>
      <c r="E93" t="s">
        <v>4108</v>
      </c>
      <c r="F93" t="s">
        <v>162</v>
      </c>
      <c r="G93" t="s">
        <v>4105</v>
      </c>
      <c r="H93"/>
      <c r="I93" t="s">
        <v>4098</v>
      </c>
      <c r="J93" t="b">
        <v>0</v>
      </c>
      <c r="K93" t="b">
        <v>0</v>
      </c>
      <c r="L93" t="b">
        <v>0</v>
      </c>
      <c r="M93"/>
      <c r="N93" t="b">
        <v>0</v>
      </c>
      <c r="O93"/>
      <c r="P93">
        <v>14.1</v>
      </c>
      <c r="Q93">
        <v>3.98</v>
      </c>
      <c r="R93">
        <v>18.100000000000001</v>
      </c>
      <c r="S93">
        <v>67</v>
      </c>
      <c r="T93">
        <v>30</v>
      </c>
      <c r="U93">
        <v>30</v>
      </c>
      <c r="V93">
        <v>363</v>
      </c>
      <c r="W93" s="281">
        <v>41892</v>
      </c>
      <c r="X93" s="282"/>
      <c r="Z93" s="9" t="b">
        <f t="shared" si="15"/>
        <v>0</v>
      </c>
      <c r="AA93" s="9" t="str">
        <f t="shared" si="14"/>
        <v>3</v>
      </c>
      <c r="AB93" s="196">
        <f t="shared" si="16"/>
        <v>21.104800000000001</v>
      </c>
      <c r="AC93" s="9">
        <f>VLOOKUP(AA93,'Federal Standards'!$N$9:$P$50,2,FALSE)</f>
        <v>8.07</v>
      </c>
      <c r="AD93" s="44">
        <f>VLOOKUP(AA93,'Federal Standards'!$N$9:$P$50,3,FALSE)</f>
        <v>233.7</v>
      </c>
      <c r="AE93" s="44">
        <f t="shared" si="17"/>
        <v>404.015736</v>
      </c>
      <c r="AF93" s="283">
        <f t="shared" si="18"/>
        <v>41.015736000000004</v>
      </c>
      <c r="AG93" s="291">
        <f t="shared" si="27"/>
        <v>0.10152014475000549</v>
      </c>
      <c r="AH93" s="184" t="str">
        <f t="shared" si="19"/>
        <v>YES</v>
      </c>
      <c r="AJ93" s="9" t="str">
        <f t="shared" si="20"/>
        <v>YES</v>
      </c>
      <c r="AK93" s="9" t="str">
        <f t="shared" si="21"/>
        <v>YES</v>
      </c>
      <c r="AL93" s="9" t="str">
        <f t="shared" si="22"/>
        <v>NO</v>
      </c>
      <c r="AM93" s="9" t="str">
        <f t="shared" si="23"/>
        <v>NO</v>
      </c>
      <c r="AN93" s="9" t="str">
        <f t="shared" si="24"/>
        <v>Tier 1 - 10% to 15% better than Standard</v>
      </c>
      <c r="AO93" s="9" t="str">
        <f t="shared" si="25"/>
        <v>3_Tier 1 - 10% to 15% better than Standard</v>
      </c>
      <c r="AP93" s="9" t="str">
        <f t="shared" si="26"/>
        <v>3_YES</v>
      </c>
    </row>
    <row r="94" spans="1:42">
      <c r="A94">
        <v>86136</v>
      </c>
      <c r="B94" t="s">
        <v>4165</v>
      </c>
      <c r="C94" t="s">
        <v>168</v>
      </c>
      <c r="D94" t="s">
        <v>4184</v>
      </c>
      <c r="E94" t="s">
        <v>4108</v>
      </c>
      <c r="F94" t="s">
        <v>162</v>
      </c>
      <c r="G94" t="s">
        <v>4105</v>
      </c>
      <c r="H94"/>
      <c r="I94" t="s">
        <v>4098</v>
      </c>
      <c r="J94" t="b">
        <v>0</v>
      </c>
      <c r="K94" t="b">
        <v>0</v>
      </c>
      <c r="L94" t="b">
        <v>1</v>
      </c>
      <c r="M94" t="b">
        <v>0</v>
      </c>
      <c r="N94" t="b">
        <v>0</v>
      </c>
      <c r="O94"/>
      <c r="P94">
        <v>14.1</v>
      </c>
      <c r="Q94">
        <v>3.98</v>
      </c>
      <c r="R94">
        <v>18.079999999999998</v>
      </c>
      <c r="S94">
        <v>67</v>
      </c>
      <c r="T94">
        <v>30</v>
      </c>
      <c r="U94">
        <v>30</v>
      </c>
      <c r="V94">
        <v>488</v>
      </c>
      <c r="W94" s="281">
        <v>41866</v>
      </c>
      <c r="X94" s="282"/>
      <c r="Z94" s="9" t="b">
        <f t="shared" si="15"/>
        <v>0</v>
      </c>
      <c r="AA94" s="9" t="str">
        <f t="shared" si="14"/>
        <v>3I</v>
      </c>
      <c r="AB94" s="196">
        <f t="shared" si="16"/>
        <v>21.104800000000001</v>
      </c>
      <c r="AC94" s="9">
        <f>VLOOKUP(AA94,'Federal Standards'!$N$9:$P$50,2,FALSE)</f>
        <v>8.07</v>
      </c>
      <c r="AD94" s="44">
        <f>VLOOKUP(AA94,'Federal Standards'!$N$9:$P$50,3,FALSE)</f>
        <v>317.7</v>
      </c>
      <c r="AE94" s="44">
        <f t="shared" si="17"/>
        <v>488.015736</v>
      </c>
      <c r="AF94" s="283">
        <f t="shared" si="18"/>
        <v>1.5736000000003969E-2</v>
      </c>
      <c r="AG94" s="291">
        <f t="shared" si="27"/>
        <v>3.2244861874708008E-5</v>
      </c>
      <c r="AH94" s="184" t="str">
        <f t="shared" si="19"/>
        <v>YES</v>
      </c>
      <c r="AJ94" s="9" t="str">
        <f t="shared" si="20"/>
        <v>NO</v>
      </c>
      <c r="AK94" s="9" t="str">
        <f t="shared" si="21"/>
        <v>NO</v>
      </c>
      <c r="AL94" s="9" t="str">
        <f t="shared" si="22"/>
        <v>NO</v>
      </c>
      <c r="AM94" s="9" t="str">
        <f t="shared" si="23"/>
        <v>NO</v>
      </c>
      <c r="AN94" s="9" t="str">
        <f t="shared" si="24"/>
        <v>Less than 10% better than Standard</v>
      </c>
      <c r="AO94" s="9" t="str">
        <f t="shared" si="25"/>
        <v>3I_Less than 10% better than Standard</v>
      </c>
      <c r="AP94" s="9" t="str">
        <f t="shared" si="26"/>
        <v>3I_NO</v>
      </c>
    </row>
    <row r="95" spans="1:42">
      <c r="A95">
        <v>87358</v>
      </c>
      <c r="B95" t="s">
        <v>4165</v>
      </c>
      <c r="C95" t="s">
        <v>168</v>
      </c>
      <c r="D95" t="s">
        <v>631</v>
      </c>
      <c r="E95" t="s">
        <v>4108</v>
      </c>
      <c r="F95" t="s">
        <v>162</v>
      </c>
      <c r="G95" t="s">
        <v>4105</v>
      </c>
      <c r="H95"/>
      <c r="I95" t="s">
        <v>4098</v>
      </c>
      <c r="J95" t="b">
        <v>0</v>
      </c>
      <c r="K95" t="b">
        <v>0</v>
      </c>
      <c r="L95" t="b">
        <v>0</v>
      </c>
      <c r="M95"/>
      <c r="N95" t="b">
        <v>0</v>
      </c>
      <c r="O95"/>
      <c r="P95">
        <v>15.29</v>
      </c>
      <c r="Q95">
        <v>5.14</v>
      </c>
      <c r="R95">
        <v>20.399999999999999</v>
      </c>
      <c r="S95">
        <v>69</v>
      </c>
      <c r="T95">
        <v>30</v>
      </c>
      <c r="U95">
        <v>32</v>
      </c>
      <c r="V95">
        <v>386</v>
      </c>
      <c r="W95" s="281">
        <v>41892</v>
      </c>
      <c r="X95" s="282"/>
      <c r="Z95" s="9" t="b">
        <f t="shared" si="15"/>
        <v>0</v>
      </c>
      <c r="AA95" s="9" t="str">
        <f t="shared" si="14"/>
        <v>3</v>
      </c>
      <c r="AB95" s="196">
        <f t="shared" si="16"/>
        <v>24.336399999999998</v>
      </c>
      <c r="AC95" s="9">
        <f>VLOOKUP(AA95,'Federal Standards'!$N$9:$P$50,2,FALSE)</f>
        <v>8.07</v>
      </c>
      <c r="AD95" s="44">
        <f>VLOOKUP(AA95,'Federal Standards'!$N$9:$P$50,3,FALSE)</f>
        <v>233.7</v>
      </c>
      <c r="AE95" s="44">
        <f t="shared" si="17"/>
        <v>430.09474799999998</v>
      </c>
      <c r="AF95" s="283">
        <f t="shared" si="18"/>
        <v>44.094747999999981</v>
      </c>
      <c r="AG95" s="291">
        <f t="shared" si="27"/>
        <v>0.10252333516055859</v>
      </c>
      <c r="AH95" s="184" t="str">
        <f t="shared" si="19"/>
        <v>YES</v>
      </c>
      <c r="AJ95" s="9" t="str">
        <f t="shared" si="20"/>
        <v>YES</v>
      </c>
      <c r="AK95" s="9" t="str">
        <f t="shared" si="21"/>
        <v>YES</v>
      </c>
      <c r="AL95" s="9" t="str">
        <f t="shared" si="22"/>
        <v>NO</v>
      </c>
      <c r="AM95" s="9" t="str">
        <f t="shared" si="23"/>
        <v>NO</v>
      </c>
      <c r="AN95" s="9" t="str">
        <f t="shared" si="24"/>
        <v>Tier 1 - 10% to 15% better than Standard</v>
      </c>
      <c r="AO95" s="9" t="str">
        <f t="shared" si="25"/>
        <v>3_Tier 1 - 10% to 15% better than Standard</v>
      </c>
      <c r="AP95" s="9" t="str">
        <f t="shared" si="26"/>
        <v>3_YES</v>
      </c>
    </row>
    <row r="96" spans="1:42">
      <c r="A96">
        <v>85436</v>
      </c>
      <c r="B96" t="s">
        <v>4165</v>
      </c>
      <c r="C96" t="s">
        <v>4165</v>
      </c>
      <c r="D96" t="s">
        <v>4185</v>
      </c>
      <c r="E96" t="s">
        <v>4109</v>
      </c>
      <c r="F96" t="s">
        <v>162</v>
      </c>
      <c r="G96" t="s">
        <v>4105</v>
      </c>
      <c r="H96"/>
      <c r="I96" t="s">
        <v>4170</v>
      </c>
      <c r="J96" t="b">
        <v>0</v>
      </c>
      <c r="K96" t="b">
        <v>0</v>
      </c>
      <c r="L96" t="b">
        <v>1</v>
      </c>
      <c r="M96" t="b">
        <v>0</v>
      </c>
      <c r="N96" t="b">
        <v>0</v>
      </c>
      <c r="O96"/>
      <c r="P96">
        <v>15.42</v>
      </c>
      <c r="Q96">
        <v>6.77</v>
      </c>
      <c r="R96">
        <v>22.19</v>
      </c>
      <c r="S96">
        <v>70</v>
      </c>
      <c r="T96">
        <v>36</v>
      </c>
      <c r="U96">
        <v>27</v>
      </c>
      <c r="V96">
        <v>642</v>
      </c>
      <c r="W96" s="281">
        <v>41837</v>
      </c>
      <c r="X96" s="282"/>
      <c r="Z96" s="9" t="b">
        <f t="shared" si="15"/>
        <v>0</v>
      </c>
      <c r="AA96" s="9" t="str">
        <f t="shared" si="14"/>
        <v>5I</v>
      </c>
      <c r="AB96" s="196">
        <f t="shared" si="16"/>
        <v>27.3352</v>
      </c>
      <c r="AC96" s="9">
        <f>VLOOKUP(AA96,'Federal Standards'!$N$9:$P$50,2,FALSE)</f>
        <v>8.85</v>
      </c>
      <c r="AD96" s="44">
        <f>VLOOKUP(AA96,'Federal Standards'!$N$9:$P$50,3,FALSE)</f>
        <v>401</v>
      </c>
      <c r="AE96" s="44">
        <f t="shared" si="17"/>
        <v>642.91651999999999</v>
      </c>
      <c r="AF96" s="283">
        <f t="shared" si="18"/>
        <v>0.91651999999999134</v>
      </c>
      <c r="AG96" s="291">
        <f t="shared" si="27"/>
        <v>1.4255661061563503E-3</v>
      </c>
      <c r="AH96" s="184" t="str">
        <f t="shared" si="19"/>
        <v>YES</v>
      </c>
      <c r="AJ96" s="9" t="str">
        <f t="shared" si="20"/>
        <v>NO</v>
      </c>
      <c r="AK96" s="9" t="str">
        <f t="shared" si="21"/>
        <v>NO</v>
      </c>
      <c r="AL96" s="9" t="str">
        <f t="shared" si="22"/>
        <v>NO</v>
      </c>
      <c r="AM96" s="9" t="str">
        <f t="shared" si="23"/>
        <v>NO</v>
      </c>
      <c r="AN96" s="9" t="str">
        <f t="shared" si="24"/>
        <v>Less than 10% better than Standard</v>
      </c>
      <c r="AO96" s="9" t="str">
        <f t="shared" si="25"/>
        <v>5I_Less than 10% better than Standard</v>
      </c>
      <c r="AP96" s="9" t="str">
        <f t="shared" si="26"/>
        <v>5I_NO</v>
      </c>
    </row>
    <row r="97" spans="1:42">
      <c r="A97">
        <v>85418</v>
      </c>
      <c r="B97" t="s">
        <v>4165</v>
      </c>
      <c r="C97" t="s">
        <v>4165</v>
      </c>
      <c r="D97" t="s">
        <v>4186</v>
      </c>
      <c r="E97" t="s">
        <v>4109</v>
      </c>
      <c r="F97" t="s">
        <v>162</v>
      </c>
      <c r="G97" t="s">
        <v>4105</v>
      </c>
      <c r="H97"/>
      <c r="I97" t="s">
        <v>4170</v>
      </c>
      <c r="J97" t="b">
        <v>0</v>
      </c>
      <c r="K97" t="b">
        <v>0</v>
      </c>
      <c r="L97" t="b">
        <v>1</v>
      </c>
      <c r="M97" t="b">
        <v>1</v>
      </c>
      <c r="N97" t="b">
        <v>0</v>
      </c>
      <c r="O97"/>
      <c r="P97">
        <v>14.97</v>
      </c>
      <c r="Q97">
        <v>6.77</v>
      </c>
      <c r="R97">
        <v>21.74</v>
      </c>
      <c r="S97">
        <v>70</v>
      </c>
      <c r="T97">
        <v>36</v>
      </c>
      <c r="U97">
        <v>27</v>
      </c>
      <c r="V97">
        <v>724</v>
      </c>
      <c r="W97" s="281">
        <v>41837</v>
      </c>
      <c r="X97" s="282"/>
      <c r="Z97" s="9" t="b">
        <f t="shared" si="15"/>
        <v>0</v>
      </c>
      <c r="AA97" s="9" t="str">
        <f t="shared" si="14"/>
        <v>5A</v>
      </c>
      <c r="AB97" s="196">
        <f t="shared" si="16"/>
        <v>26.885199999999998</v>
      </c>
      <c r="AC97" s="9">
        <f>VLOOKUP(AA97,'Federal Standards'!$N$9:$P$50,2,FALSE)</f>
        <v>9.25</v>
      </c>
      <c r="AD97" s="44">
        <f>VLOOKUP(AA97,'Federal Standards'!$N$9:$P$50,3,FALSE)</f>
        <v>475.4</v>
      </c>
      <c r="AE97" s="44">
        <f t="shared" si="17"/>
        <v>724.08809999999994</v>
      </c>
      <c r="AF97" s="283">
        <f t="shared" si="18"/>
        <v>8.8099999999940337E-2</v>
      </c>
      <c r="AG97" s="291">
        <f t="shared" si="27"/>
        <v>1.2167027741505536E-4</v>
      </c>
      <c r="AH97" s="184" t="str">
        <f t="shared" si="19"/>
        <v>YES</v>
      </c>
      <c r="AJ97" s="9" t="str">
        <f t="shared" si="20"/>
        <v>NO</v>
      </c>
      <c r="AK97" s="9" t="str">
        <f t="shared" si="21"/>
        <v>NO</v>
      </c>
      <c r="AL97" s="9" t="str">
        <f t="shared" si="22"/>
        <v>NO</v>
      </c>
      <c r="AM97" s="9" t="str">
        <f t="shared" si="23"/>
        <v>NO</v>
      </c>
      <c r="AN97" s="9" t="str">
        <f t="shared" si="24"/>
        <v>Less than 10% better than Standard</v>
      </c>
      <c r="AO97" s="9" t="str">
        <f t="shared" si="25"/>
        <v>5A_Less than 10% better than Standard</v>
      </c>
      <c r="AP97" s="9" t="str">
        <f t="shared" si="26"/>
        <v>5A_NO</v>
      </c>
    </row>
    <row r="98" spans="1:42">
      <c r="A98">
        <v>86362</v>
      </c>
      <c r="B98" t="s">
        <v>4165</v>
      </c>
      <c r="C98" t="s">
        <v>4165</v>
      </c>
      <c r="D98" t="s">
        <v>4187</v>
      </c>
      <c r="E98" t="s">
        <v>187</v>
      </c>
      <c r="F98" t="s">
        <v>162</v>
      </c>
      <c r="G98" t="s">
        <v>189</v>
      </c>
      <c r="H98"/>
      <c r="I98"/>
      <c r="J98" t="b">
        <v>0</v>
      </c>
      <c r="K98" t="b">
        <v>0</v>
      </c>
      <c r="L98" t="b">
        <v>1</v>
      </c>
      <c r="M98" t="b">
        <v>0</v>
      </c>
      <c r="N98" t="b">
        <v>0</v>
      </c>
      <c r="O98"/>
      <c r="P98"/>
      <c r="Q98">
        <v>18.579999999999998</v>
      </c>
      <c r="R98">
        <v>18.579999999999998</v>
      </c>
      <c r="S98">
        <v>71</v>
      </c>
      <c r="T98">
        <v>32</v>
      </c>
      <c r="U98">
        <v>27</v>
      </c>
      <c r="V98">
        <v>593</v>
      </c>
      <c r="W98" s="281">
        <v>41872</v>
      </c>
      <c r="X98" s="282"/>
      <c r="Z98" s="9" t="b">
        <f t="shared" si="15"/>
        <v>0</v>
      </c>
      <c r="AA98" s="9" t="str">
        <f t="shared" si="14"/>
        <v>9I</v>
      </c>
      <c r="AB98" s="196">
        <f t="shared" si="16"/>
        <v>32.700799999999994</v>
      </c>
      <c r="AC98" s="9">
        <f>VLOOKUP(AA98,'Federal Standards'!$N$9:$P$50,2,FALSE)</f>
        <v>8.6199999999999992</v>
      </c>
      <c r="AD98" s="44">
        <f>VLOOKUP(AA98,'Federal Standards'!$N$9:$P$50,3,FALSE)</f>
        <v>312.3</v>
      </c>
      <c r="AE98" s="44">
        <f t="shared" si="17"/>
        <v>594.18089599999985</v>
      </c>
      <c r="AF98" s="283">
        <f t="shared" si="18"/>
        <v>1.1808959999998478</v>
      </c>
      <c r="AG98" s="291">
        <f t="shared" si="27"/>
        <v>1.9874351530814751E-3</v>
      </c>
      <c r="AH98" s="184" t="str">
        <f t="shared" si="19"/>
        <v>YES</v>
      </c>
      <c r="AJ98" s="9" t="str">
        <f t="shared" si="20"/>
        <v>NO</v>
      </c>
      <c r="AK98" s="9" t="str">
        <f t="shared" si="21"/>
        <v>NO</v>
      </c>
      <c r="AL98" s="9" t="str">
        <f t="shared" si="22"/>
        <v>NO</v>
      </c>
      <c r="AM98" s="9" t="str">
        <f t="shared" si="23"/>
        <v>NO</v>
      </c>
      <c r="AN98" s="9" t="str">
        <f t="shared" si="24"/>
        <v>Less than 10% better than Standard</v>
      </c>
      <c r="AO98" s="9" t="str">
        <f t="shared" si="25"/>
        <v>9I_Less than 10% better than Standard</v>
      </c>
      <c r="AP98" s="9" t="str">
        <f t="shared" si="26"/>
        <v>9I_NO</v>
      </c>
    </row>
    <row r="99" spans="1:42">
      <c r="A99">
        <v>86380</v>
      </c>
      <c r="B99" t="s">
        <v>4165</v>
      </c>
      <c r="C99" t="s">
        <v>4165</v>
      </c>
      <c r="D99" t="s">
        <v>4188</v>
      </c>
      <c r="E99" t="s">
        <v>4097</v>
      </c>
      <c r="F99" t="s">
        <v>162</v>
      </c>
      <c r="G99" t="s">
        <v>184</v>
      </c>
      <c r="H99"/>
      <c r="I99"/>
      <c r="J99" t="b">
        <v>0</v>
      </c>
      <c r="K99" t="b">
        <v>0</v>
      </c>
      <c r="L99"/>
      <c r="M99"/>
      <c r="N99" t="b">
        <v>0</v>
      </c>
      <c r="O99"/>
      <c r="P99">
        <v>18.579999999999998</v>
      </c>
      <c r="Q99"/>
      <c r="R99">
        <v>18.579999999999998</v>
      </c>
      <c r="S99">
        <v>71</v>
      </c>
      <c r="T99">
        <v>32</v>
      </c>
      <c r="U99">
        <v>27</v>
      </c>
      <c r="V99">
        <v>331</v>
      </c>
      <c r="W99" s="281">
        <v>41872</v>
      </c>
      <c r="X99" s="282"/>
      <c r="Z99" s="9" t="b">
        <f t="shared" si="15"/>
        <v>0</v>
      </c>
      <c r="AA99" s="9" t="str">
        <f t="shared" si="14"/>
        <v>3A</v>
      </c>
      <c r="AB99" s="196">
        <f t="shared" si="16"/>
        <v>18.579999999999998</v>
      </c>
      <c r="AC99" s="9">
        <f>VLOOKUP(AA99,'Federal Standards'!$N$9:$P$50,2,FALSE)</f>
        <v>7.07</v>
      </c>
      <c r="AD99" s="44">
        <f>VLOOKUP(AA99,'Federal Standards'!$N$9:$P$50,3,FALSE)</f>
        <v>201.6</v>
      </c>
      <c r="AE99" s="44">
        <f t="shared" si="17"/>
        <v>332.9606</v>
      </c>
      <c r="AF99" s="283">
        <f t="shared" si="18"/>
        <v>1.9605999999999995</v>
      </c>
      <c r="AG99" s="291">
        <f t="shared" si="27"/>
        <v>5.8883843914264919E-3</v>
      </c>
      <c r="AH99" s="184" t="str">
        <f t="shared" si="19"/>
        <v>YES</v>
      </c>
      <c r="AJ99" s="9" t="str">
        <f t="shared" si="20"/>
        <v>NO</v>
      </c>
      <c r="AK99" s="9" t="str">
        <f t="shared" si="21"/>
        <v>NO</v>
      </c>
      <c r="AL99" s="9" t="str">
        <f t="shared" si="22"/>
        <v>NO</v>
      </c>
      <c r="AM99" s="9" t="str">
        <f t="shared" si="23"/>
        <v>NO</v>
      </c>
      <c r="AN99" s="9" t="str">
        <f t="shared" si="24"/>
        <v>Less than 10% better than Standard</v>
      </c>
      <c r="AO99" s="9" t="str">
        <f t="shared" si="25"/>
        <v>3A_Less than 10% better than Standard</v>
      </c>
      <c r="AP99" s="9" t="str">
        <f t="shared" si="26"/>
        <v>3A_NO</v>
      </c>
    </row>
    <row r="100" spans="1:42">
      <c r="A100">
        <v>85427</v>
      </c>
      <c r="B100" t="s">
        <v>4165</v>
      </c>
      <c r="C100" t="s">
        <v>4165</v>
      </c>
      <c r="D100" t="s">
        <v>699</v>
      </c>
      <c r="E100" t="s">
        <v>4109</v>
      </c>
      <c r="F100" t="s">
        <v>162</v>
      </c>
      <c r="G100" t="s">
        <v>4105</v>
      </c>
      <c r="H100"/>
      <c r="I100" t="s">
        <v>4170</v>
      </c>
      <c r="J100" t="b">
        <v>0</v>
      </c>
      <c r="K100" t="b">
        <v>0</v>
      </c>
      <c r="L100" t="b">
        <v>1</v>
      </c>
      <c r="M100" t="b">
        <v>0</v>
      </c>
      <c r="N100" t="b">
        <v>1</v>
      </c>
      <c r="O100"/>
      <c r="P100">
        <v>15.57</v>
      </c>
      <c r="Q100">
        <v>6.8</v>
      </c>
      <c r="R100">
        <v>22.37</v>
      </c>
      <c r="S100">
        <v>70</v>
      </c>
      <c r="T100">
        <v>36</v>
      </c>
      <c r="U100">
        <v>29</v>
      </c>
      <c r="V100">
        <v>588</v>
      </c>
      <c r="W100" s="281">
        <v>41837</v>
      </c>
      <c r="X100" s="282"/>
      <c r="Z100" s="9" t="b">
        <f t="shared" si="15"/>
        <v>0</v>
      </c>
      <c r="AA100" s="9" t="str">
        <f t="shared" si="14"/>
        <v>5I</v>
      </c>
      <c r="AB100" s="196">
        <f t="shared" si="16"/>
        <v>27.538</v>
      </c>
      <c r="AC100" s="9">
        <f>VLOOKUP(AA100,'Federal Standards'!$N$9:$P$50,2,FALSE)</f>
        <v>8.85</v>
      </c>
      <c r="AD100" s="44">
        <f>VLOOKUP(AA100,'Federal Standards'!$N$9:$P$50,3,FALSE)</f>
        <v>401</v>
      </c>
      <c r="AE100" s="44">
        <f t="shared" si="17"/>
        <v>644.71129999999994</v>
      </c>
      <c r="AF100" s="283">
        <f t="shared" si="18"/>
        <v>56.711299999999937</v>
      </c>
      <c r="AG100" s="291">
        <f t="shared" si="27"/>
        <v>8.7963868478805857E-2</v>
      </c>
      <c r="AH100" s="184" t="str">
        <f t="shared" si="19"/>
        <v>YES</v>
      </c>
      <c r="AJ100" s="9" t="str">
        <f t="shared" si="20"/>
        <v>NO</v>
      </c>
      <c r="AK100" s="9" t="str">
        <f t="shared" si="21"/>
        <v>NO</v>
      </c>
      <c r="AL100" s="9" t="str">
        <f t="shared" si="22"/>
        <v>NO</v>
      </c>
      <c r="AM100" s="9" t="str">
        <f t="shared" si="23"/>
        <v>NO</v>
      </c>
      <c r="AN100" s="9" t="str">
        <f t="shared" si="24"/>
        <v>Less than 10% better than Standard</v>
      </c>
      <c r="AO100" s="9" t="str">
        <f t="shared" si="25"/>
        <v>5I_Less than 10% better than Standard</v>
      </c>
      <c r="AP100" s="9" t="str">
        <f t="shared" si="26"/>
        <v>5I_NO</v>
      </c>
    </row>
    <row r="101" spans="1:42">
      <c r="A101">
        <v>85432</v>
      </c>
      <c r="B101" t="s">
        <v>4165</v>
      </c>
      <c r="C101" t="s">
        <v>4165</v>
      </c>
      <c r="D101" t="s">
        <v>701</v>
      </c>
      <c r="E101" t="s">
        <v>4109</v>
      </c>
      <c r="F101" t="s">
        <v>162</v>
      </c>
      <c r="G101" t="s">
        <v>4105</v>
      </c>
      <c r="H101"/>
      <c r="I101" t="s">
        <v>4170</v>
      </c>
      <c r="J101" t="b">
        <v>0</v>
      </c>
      <c r="K101" t="b">
        <v>0</v>
      </c>
      <c r="L101" t="b">
        <v>1</v>
      </c>
      <c r="M101" t="b">
        <v>1</v>
      </c>
      <c r="N101" t="b">
        <v>0</v>
      </c>
      <c r="O101"/>
      <c r="P101">
        <v>15.13</v>
      </c>
      <c r="Q101">
        <v>6.8</v>
      </c>
      <c r="R101">
        <v>21.93</v>
      </c>
      <c r="S101">
        <v>70</v>
      </c>
      <c r="T101">
        <v>36</v>
      </c>
      <c r="U101">
        <v>29</v>
      </c>
      <c r="V101">
        <v>662</v>
      </c>
      <c r="W101" s="281">
        <v>41837</v>
      </c>
      <c r="X101" s="282"/>
      <c r="Z101" s="9" t="b">
        <f t="shared" si="15"/>
        <v>0</v>
      </c>
      <c r="AA101" s="9" t="str">
        <f t="shared" ref="AA101:AA164" si="28">GetFridgeClass(E101,F101,G101,J101,Z101,L101,M101)</f>
        <v>5A</v>
      </c>
      <c r="AB101" s="196">
        <f t="shared" si="16"/>
        <v>27.097999999999999</v>
      </c>
      <c r="AC101" s="9">
        <f>VLOOKUP(AA101,'Federal Standards'!$N$9:$P$50,2,FALSE)</f>
        <v>9.25</v>
      </c>
      <c r="AD101" s="44">
        <f>VLOOKUP(AA101,'Federal Standards'!$N$9:$P$50,3,FALSE)</f>
        <v>475.4</v>
      </c>
      <c r="AE101" s="44">
        <f t="shared" si="17"/>
        <v>726.05649999999991</v>
      </c>
      <c r="AF101" s="283">
        <f t="shared" si="18"/>
        <v>64.056499999999915</v>
      </c>
      <c r="AG101" s="291">
        <f t="shared" si="27"/>
        <v>8.8225227651016036E-2</v>
      </c>
      <c r="AH101" s="184" t="str">
        <f t="shared" si="19"/>
        <v>YES</v>
      </c>
      <c r="AJ101" s="9" t="str">
        <f t="shared" si="20"/>
        <v>NO</v>
      </c>
      <c r="AK101" s="9" t="str">
        <f t="shared" si="21"/>
        <v>NO</v>
      </c>
      <c r="AL101" s="9" t="str">
        <f t="shared" si="22"/>
        <v>NO</v>
      </c>
      <c r="AM101" s="9" t="str">
        <f t="shared" si="23"/>
        <v>NO</v>
      </c>
      <c r="AN101" s="9" t="str">
        <f t="shared" si="24"/>
        <v>Less than 10% better than Standard</v>
      </c>
      <c r="AO101" s="9" t="str">
        <f t="shared" si="25"/>
        <v>5A_Less than 10% better than Standard</v>
      </c>
      <c r="AP101" s="9" t="str">
        <f t="shared" si="26"/>
        <v>5A_NO</v>
      </c>
    </row>
    <row r="102" spans="1:42">
      <c r="A102">
        <v>85416</v>
      </c>
      <c r="B102" t="s">
        <v>4165</v>
      </c>
      <c r="C102" t="s">
        <v>4165</v>
      </c>
      <c r="D102" t="s">
        <v>4189</v>
      </c>
      <c r="E102" t="s">
        <v>4109</v>
      </c>
      <c r="F102" t="s">
        <v>162</v>
      </c>
      <c r="G102" t="s">
        <v>4105</v>
      </c>
      <c r="H102"/>
      <c r="I102" t="s">
        <v>4170</v>
      </c>
      <c r="J102" t="b">
        <v>0</v>
      </c>
      <c r="K102" t="b">
        <v>0</v>
      </c>
      <c r="L102" t="b">
        <v>1</v>
      </c>
      <c r="M102" t="b">
        <v>0</v>
      </c>
      <c r="N102" t="b">
        <v>0</v>
      </c>
      <c r="O102"/>
      <c r="P102">
        <v>15.42</v>
      </c>
      <c r="Q102">
        <v>6.77</v>
      </c>
      <c r="R102">
        <v>22.19</v>
      </c>
      <c r="S102">
        <v>70</v>
      </c>
      <c r="T102">
        <v>36</v>
      </c>
      <c r="U102">
        <v>29</v>
      </c>
      <c r="V102">
        <v>642</v>
      </c>
      <c r="W102" s="281">
        <v>41837</v>
      </c>
      <c r="X102" s="282"/>
      <c r="Z102" s="9" t="b">
        <f t="shared" si="15"/>
        <v>0</v>
      </c>
      <c r="AA102" s="9" t="str">
        <f t="shared" si="28"/>
        <v>5I</v>
      </c>
      <c r="AB102" s="196">
        <f t="shared" si="16"/>
        <v>27.3352</v>
      </c>
      <c r="AC102" s="9">
        <f>VLOOKUP(AA102,'Federal Standards'!$N$9:$P$50,2,FALSE)</f>
        <v>8.85</v>
      </c>
      <c r="AD102" s="44">
        <f>VLOOKUP(AA102,'Federal Standards'!$N$9:$P$50,3,FALSE)</f>
        <v>401</v>
      </c>
      <c r="AE102" s="44">
        <f t="shared" si="17"/>
        <v>642.91651999999999</v>
      </c>
      <c r="AF102" s="283">
        <f t="shared" si="18"/>
        <v>0.91651999999999134</v>
      </c>
      <c r="AG102" s="291">
        <f t="shared" si="27"/>
        <v>1.4255661061563503E-3</v>
      </c>
      <c r="AH102" s="184" t="str">
        <f t="shared" si="19"/>
        <v>YES</v>
      </c>
      <c r="AJ102" s="9" t="str">
        <f t="shared" si="20"/>
        <v>NO</v>
      </c>
      <c r="AK102" s="9" t="str">
        <f t="shared" si="21"/>
        <v>NO</v>
      </c>
      <c r="AL102" s="9" t="str">
        <f t="shared" si="22"/>
        <v>NO</v>
      </c>
      <c r="AM102" s="9" t="str">
        <f t="shared" si="23"/>
        <v>NO</v>
      </c>
      <c r="AN102" s="9" t="str">
        <f t="shared" si="24"/>
        <v>Less than 10% better than Standard</v>
      </c>
      <c r="AO102" s="9" t="str">
        <f t="shared" si="25"/>
        <v>5I_Less than 10% better than Standard</v>
      </c>
      <c r="AP102" s="9" t="str">
        <f t="shared" si="26"/>
        <v>5I_NO</v>
      </c>
    </row>
    <row r="103" spans="1:42">
      <c r="A103">
        <v>85387</v>
      </c>
      <c r="B103" t="s">
        <v>4165</v>
      </c>
      <c r="C103" t="s">
        <v>4165</v>
      </c>
      <c r="D103" t="s">
        <v>4190</v>
      </c>
      <c r="E103" t="s">
        <v>4179</v>
      </c>
      <c r="F103" t="s">
        <v>162</v>
      </c>
      <c r="G103" t="s">
        <v>4105</v>
      </c>
      <c r="H103"/>
      <c r="I103" t="s">
        <v>4098</v>
      </c>
      <c r="J103" t="b">
        <v>0</v>
      </c>
      <c r="K103" t="b">
        <v>0</v>
      </c>
      <c r="L103" t="b">
        <v>1</v>
      </c>
      <c r="M103" t="b">
        <v>1</v>
      </c>
      <c r="N103" t="b">
        <v>0</v>
      </c>
      <c r="O103"/>
      <c r="P103">
        <v>14.17</v>
      </c>
      <c r="Q103">
        <v>7.99</v>
      </c>
      <c r="R103">
        <v>22.16</v>
      </c>
      <c r="S103">
        <v>70</v>
      </c>
      <c r="T103">
        <v>36</v>
      </c>
      <c r="U103">
        <v>30</v>
      </c>
      <c r="V103">
        <v>673</v>
      </c>
      <c r="W103" s="281">
        <v>41837</v>
      </c>
      <c r="X103" s="282"/>
      <c r="Z103" s="9" t="b">
        <f t="shared" si="15"/>
        <v>0</v>
      </c>
      <c r="AA103" s="9" t="str">
        <f t="shared" si="28"/>
        <v>7</v>
      </c>
      <c r="AB103" s="196">
        <f t="shared" si="16"/>
        <v>28.232399999999998</v>
      </c>
      <c r="AC103" s="9">
        <f>VLOOKUP(AA103,'Federal Standards'!$N$9:$P$50,2,FALSE)</f>
        <v>8.5399999999999991</v>
      </c>
      <c r="AD103" s="44">
        <f>VLOOKUP(AA103,'Federal Standards'!$N$9:$P$50,3,FALSE)</f>
        <v>432.8</v>
      </c>
      <c r="AE103" s="44">
        <f t="shared" si="17"/>
        <v>673.90469599999994</v>
      </c>
      <c r="AF103" s="283">
        <f t="shared" si="18"/>
        <v>0.90469599999994443</v>
      </c>
      <c r="AG103" s="291">
        <f t="shared" si="27"/>
        <v>1.3424687576297058E-3</v>
      </c>
      <c r="AH103" s="184" t="str">
        <f t="shared" si="19"/>
        <v>YES</v>
      </c>
      <c r="AJ103" s="9" t="str">
        <f t="shared" si="20"/>
        <v>NO</v>
      </c>
      <c r="AK103" s="9" t="str">
        <f t="shared" si="21"/>
        <v>NO</v>
      </c>
      <c r="AL103" s="9" t="str">
        <f t="shared" si="22"/>
        <v>NO</v>
      </c>
      <c r="AM103" s="9" t="str">
        <f t="shared" si="23"/>
        <v>NO</v>
      </c>
      <c r="AN103" s="9" t="str">
        <f t="shared" si="24"/>
        <v>Less than 10% better than Standard</v>
      </c>
      <c r="AO103" s="9" t="str">
        <f t="shared" si="25"/>
        <v>7_Less than 10% better than Standard</v>
      </c>
      <c r="AP103" s="9" t="str">
        <f t="shared" si="26"/>
        <v>7_NO</v>
      </c>
    </row>
    <row r="104" spans="1:42">
      <c r="A104">
        <v>85419</v>
      </c>
      <c r="B104" t="s">
        <v>4165</v>
      </c>
      <c r="C104" t="s">
        <v>4165</v>
      </c>
      <c r="D104" t="s">
        <v>4191</v>
      </c>
      <c r="E104" t="s">
        <v>4109</v>
      </c>
      <c r="F104" t="s">
        <v>162</v>
      </c>
      <c r="G104" t="s">
        <v>4105</v>
      </c>
      <c r="H104"/>
      <c r="I104" t="s">
        <v>4170</v>
      </c>
      <c r="J104" t="b">
        <v>0</v>
      </c>
      <c r="K104" t="b">
        <v>0</v>
      </c>
      <c r="L104" t="b">
        <v>1</v>
      </c>
      <c r="M104" t="b">
        <v>0</v>
      </c>
      <c r="N104" t="b">
        <v>0</v>
      </c>
      <c r="O104"/>
      <c r="P104">
        <v>18.72</v>
      </c>
      <c r="Q104">
        <v>8.68</v>
      </c>
      <c r="R104">
        <v>27.4</v>
      </c>
      <c r="S104">
        <v>70</v>
      </c>
      <c r="T104">
        <v>36</v>
      </c>
      <c r="U104">
        <v>33</v>
      </c>
      <c r="V104">
        <v>701</v>
      </c>
      <c r="W104" s="281">
        <v>41837</v>
      </c>
      <c r="X104" s="282"/>
      <c r="Z104" s="9" t="b">
        <f t="shared" si="15"/>
        <v>0</v>
      </c>
      <c r="AA104" s="9" t="str">
        <f t="shared" si="28"/>
        <v>5I</v>
      </c>
      <c r="AB104" s="196">
        <f t="shared" si="16"/>
        <v>33.9968</v>
      </c>
      <c r="AC104" s="9">
        <f>VLOOKUP(AA104,'Federal Standards'!$N$9:$P$50,2,FALSE)</f>
        <v>8.85</v>
      </c>
      <c r="AD104" s="44">
        <f>VLOOKUP(AA104,'Federal Standards'!$N$9:$P$50,3,FALSE)</f>
        <v>401</v>
      </c>
      <c r="AE104" s="44">
        <f t="shared" si="17"/>
        <v>701.87167999999997</v>
      </c>
      <c r="AF104" s="283">
        <f t="shared" si="18"/>
        <v>0.87167999999996937</v>
      </c>
      <c r="AG104" s="291">
        <f t="shared" si="27"/>
        <v>1.2419364177793431E-3</v>
      </c>
      <c r="AH104" s="184" t="str">
        <f t="shared" si="19"/>
        <v>YES</v>
      </c>
      <c r="AJ104" s="9" t="str">
        <f t="shared" si="20"/>
        <v>NO</v>
      </c>
      <c r="AK104" s="9" t="str">
        <f t="shared" si="21"/>
        <v>NO</v>
      </c>
      <c r="AL104" s="9" t="str">
        <f t="shared" si="22"/>
        <v>NO</v>
      </c>
      <c r="AM104" s="9" t="str">
        <f t="shared" si="23"/>
        <v>NO</v>
      </c>
      <c r="AN104" s="9" t="str">
        <f t="shared" si="24"/>
        <v>Less than 10% better than Standard</v>
      </c>
      <c r="AO104" s="9" t="str">
        <f t="shared" si="25"/>
        <v>5I_Less than 10% better than Standard</v>
      </c>
      <c r="AP104" s="9" t="str">
        <f t="shared" si="26"/>
        <v>5I_NO</v>
      </c>
    </row>
    <row r="105" spans="1:42">
      <c r="A105">
        <v>85435</v>
      </c>
      <c r="B105" t="s">
        <v>4165</v>
      </c>
      <c r="C105" t="s">
        <v>4165</v>
      </c>
      <c r="D105" t="s">
        <v>4192</v>
      </c>
      <c r="E105" t="s">
        <v>4109</v>
      </c>
      <c r="F105" t="s">
        <v>162</v>
      </c>
      <c r="G105" t="s">
        <v>4105</v>
      </c>
      <c r="H105"/>
      <c r="I105" t="s">
        <v>4170</v>
      </c>
      <c r="J105" t="b">
        <v>0</v>
      </c>
      <c r="K105" t="b">
        <v>0</v>
      </c>
      <c r="L105" t="b">
        <v>1</v>
      </c>
      <c r="M105" t="b">
        <v>1</v>
      </c>
      <c r="N105" t="b">
        <v>0</v>
      </c>
      <c r="O105"/>
      <c r="P105">
        <v>14.97</v>
      </c>
      <c r="Q105">
        <v>6.77</v>
      </c>
      <c r="R105">
        <v>21.74</v>
      </c>
      <c r="S105">
        <v>70</v>
      </c>
      <c r="T105">
        <v>36</v>
      </c>
      <c r="U105">
        <v>29</v>
      </c>
      <c r="V105">
        <v>724</v>
      </c>
      <c r="W105" s="281">
        <v>41837</v>
      </c>
      <c r="X105" s="282"/>
      <c r="Z105" s="9" t="b">
        <f t="shared" si="15"/>
        <v>0</v>
      </c>
      <c r="AA105" s="9" t="str">
        <f t="shared" si="28"/>
        <v>5A</v>
      </c>
      <c r="AB105" s="196">
        <f t="shared" si="16"/>
        <v>26.885199999999998</v>
      </c>
      <c r="AC105" s="9">
        <f>VLOOKUP(AA105,'Federal Standards'!$N$9:$P$50,2,FALSE)</f>
        <v>9.25</v>
      </c>
      <c r="AD105" s="44">
        <f>VLOOKUP(AA105,'Federal Standards'!$N$9:$P$50,3,FALSE)</f>
        <v>475.4</v>
      </c>
      <c r="AE105" s="44">
        <f t="shared" si="17"/>
        <v>724.08809999999994</v>
      </c>
      <c r="AF105" s="283">
        <f t="shared" si="18"/>
        <v>8.8099999999940337E-2</v>
      </c>
      <c r="AG105" s="291">
        <f t="shared" si="27"/>
        <v>1.2167027741505536E-4</v>
      </c>
      <c r="AH105" s="184" t="str">
        <f t="shared" si="19"/>
        <v>YES</v>
      </c>
      <c r="AJ105" s="9" t="str">
        <f t="shared" si="20"/>
        <v>NO</v>
      </c>
      <c r="AK105" s="9" t="str">
        <f t="shared" si="21"/>
        <v>NO</v>
      </c>
      <c r="AL105" s="9" t="str">
        <f t="shared" si="22"/>
        <v>NO</v>
      </c>
      <c r="AM105" s="9" t="str">
        <f t="shared" si="23"/>
        <v>NO</v>
      </c>
      <c r="AN105" s="9" t="str">
        <f t="shared" si="24"/>
        <v>Less than 10% better than Standard</v>
      </c>
      <c r="AO105" s="9" t="str">
        <f t="shared" si="25"/>
        <v>5A_Less than 10% better than Standard</v>
      </c>
      <c r="AP105" s="9" t="str">
        <f t="shared" si="26"/>
        <v>5A_NO</v>
      </c>
    </row>
    <row r="106" spans="1:42">
      <c r="A106">
        <v>87361</v>
      </c>
      <c r="B106" t="s">
        <v>4165</v>
      </c>
      <c r="C106" t="s">
        <v>4165</v>
      </c>
      <c r="D106" t="s">
        <v>4193</v>
      </c>
      <c r="E106" t="s">
        <v>4179</v>
      </c>
      <c r="F106" t="s">
        <v>162</v>
      </c>
      <c r="G106" t="s">
        <v>4105</v>
      </c>
      <c r="H106"/>
      <c r="I106" t="s">
        <v>4098</v>
      </c>
      <c r="J106" t="b">
        <v>0</v>
      </c>
      <c r="K106" t="b">
        <v>0</v>
      </c>
      <c r="L106" t="b">
        <v>1</v>
      </c>
      <c r="M106" t="b">
        <v>1</v>
      </c>
      <c r="N106" t="b">
        <v>0</v>
      </c>
      <c r="O106"/>
      <c r="P106">
        <v>16.54</v>
      </c>
      <c r="Q106">
        <v>9.0299999999999994</v>
      </c>
      <c r="R106">
        <v>25.57</v>
      </c>
      <c r="S106">
        <v>70</v>
      </c>
      <c r="T106">
        <v>36</v>
      </c>
      <c r="U106">
        <v>33</v>
      </c>
      <c r="V106">
        <v>709</v>
      </c>
      <c r="W106" s="281">
        <v>41892</v>
      </c>
      <c r="X106" s="282"/>
      <c r="Z106" s="9" t="b">
        <f t="shared" si="15"/>
        <v>0</v>
      </c>
      <c r="AA106" s="9" t="str">
        <f t="shared" si="28"/>
        <v>7</v>
      </c>
      <c r="AB106" s="196">
        <f t="shared" si="16"/>
        <v>32.4328</v>
      </c>
      <c r="AC106" s="9">
        <f>VLOOKUP(AA106,'Federal Standards'!$N$9:$P$50,2,FALSE)</f>
        <v>8.5399999999999991</v>
      </c>
      <c r="AD106" s="44">
        <f>VLOOKUP(AA106,'Federal Standards'!$N$9:$P$50,3,FALSE)</f>
        <v>432.8</v>
      </c>
      <c r="AE106" s="44">
        <f t="shared" si="17"/>
        <v>709.77611200000001</v>
      </c>
      <c r="AF106" s="283">
        <f t="shared" si="18"/>
        <v>0.7761120000000119</v>
      </c>
      <c r="AG106" s="291">
        <f t="shared" si="27"/>
        <v>1.0934602994923165E-3</v>
      </c>
      <c r="AH106" s="184" t="str">
        <f t="shared" si="19"/>
        <v>YES</v>
      </c>
      <c r="AJ106" s="9" t="str">
        <f t="shared" si="20"/>
        <v>NO</v>
      </c>
      <c r="AK106" s="9" t="str">
        <f t="shared" si="21"/>
        <v>NO</v>
      </c>
      <c r="AL106" s="9" t="str">
        <f t="shared" si="22"/>
        <v>NO</v>
      </c>
      <c r="AM106" s="9" t="str">
        <f t="shared" si="23"/>
        <v>NO</v>
      </c>
      <c r="AN106" s="9" t="str">
        <f t="shared" si="24"/>
        <v>Less than 10% better than Standard</v>
      </c>
      <c r="AO106" s="9" t="str">
        <f t="shared" si="25"/>
        <v>7_Less than 10% better than Standard</v>
      </c>
      <c r="AP106" s="9" t="str">
        <f t="shared" si="26"/>
        <v>7_NO</v>
      </c>
    </row>
    <row r="107" spans="1:42">
      <c r="A107">
        <v>85417</v>
      </c>
      <c r="B107" t="s">
        <v>4165</v>
      </c>
      <c r="C107" t="s">
        <v>4165</v>
      </c>
      <c r="D107" t="s">
        <v>4194</v>
      </c>
      <c r="E107" t="s">
        <v>4109</v>
      </c>
      <c r="F107" t="s">
        <v>162</v>
      </c>
      <c r="G107" t="s">
        <v>4105</v>
      </c>
      <c r="H107"/>
      <c r="I107" t="s">
        <v>4170</v>
      </c>
      <c r="J107" t="b">
        <v>0</v>
      </c>
      <c r="K107" t="b">
        <v>0</v>
      </c>
      <c r="L107" t="b">
        <v>1</v>
      </c>
      <c r="M107" t="b">
        <v>1</v>
      </c>
      <c r="N107" t="b">
        <v>0</v>
      </c>
      <c r="O107"/>
      <c r="P107">
        <v>18.28</v>
      </c>
      <c r="Q107">
        <v>8.68</v>
      </c>
      <c r="R107">
        <v>26.96</v>
      </c>
      <c r="S107">
        <v>70</v>
      </c>
      <c r="T107">
        <v>36</v>
      </c>
      <c r="U107">
        <v>33</v>
      </c>
      <c r="V107">
        <v>785</v>
      </c>
      <c r="W107" s="281">
        <v>41837</v>
      </c>
      <c r="X107" s="282"/>
      <c r="Z107" s="9" t="b">
        <f t="shared" si="15"/>
        <v>0</v>
      </c>
      <c r="AA107" s="9" t="str">
        <f t="shared" si="28"/>
        <v>5A</v>
      </c>
      <c r="AB107" s="196">
        <f t="shared" si="16"/>
        <v>33.556800000000003</v>
      </c>
      <c r="AC107" s="9">
        <f>VLOOKUP(AA107,'Federal Standards'!$N$9:$P$50,2,FALSE)</f>
        <v>9.25</v>
      </c>
      <c r="AD107" s="44">
        <f>VLOOKUP(AA107,'Federal Standards'!$N$9:$P$50,3,FALSE)</f>
        <v>475.4</v>
      </c>
      <c r="AE107" s="44">
        <f t="shared" si="17"/>
        <v>785.80040000000008</v>
      </c>
      <c r="AF107" s="283">
        <f t="shared" si="18"/>
        <v>0.80040000000008149</v>
      </c>
      <c r="AG107" s="291">
        <f t="shared" si="27"/>
        <v>1.0185792728027135E-3</v>
      </c>
      <c r="AH107" s="184" t="str">
        <f t="shared" si="19"/>
        <v>YES</v>
      </c>
      <c r="AJ107" s="9" t="str">
        <f t="shared" si="20"/>
        <v>NO</v>
      </c>
      <c r="AK107" s="9" t="str">
        <f t="shared" si="21"/>
        <v>NO</v>
      </c>
      <c r="AL107" s="9" t="str">
        <f t="shared" si="22"/>
        <v>NO</v>
      </c>
      <c r="AM107" s="9" t="str">
        <f t="shared" si="23"/>
        <v>NO</v>
      </c>
      <c r="AN107" s="9" t="str">
        <f t="shared" si="24"/>
        <v>Less than 10% better than Standard</v>
      </c>
      <c r="AO107" s="9" t="str">
        <f t="shared" si="25"/>
        <v>5A_Less than 10% better than Standard</v>
      </c>
      <c r="AP107" s="9" t="str">
        <f t="shared" si="26"/>
        <v>5A_NO</v>
      </c>
    </row>
    <row r="108" spans="1:42">
      <c r="A108">
        <v>85402</v>
      </c>
      <c r="B108" t="s">
        <v>4165</v>
      </c>
      <c r="C108" t="s">
        <v>169</v>
      </c>
      <c r="D108" t="s">
        <v>4195</v>
      </c>
      <c r="E108" t="s">
        <v>4179</v>
      </c>
      <c r="F108" t="s">
        <v>162</v>
      </c>
      <c r="G108" t="s">
        <v>4105</v>
      </c>
      <c r="H108"/>
      <c r="I108" t="s">
        <v>4098</v>
      </c>
      <c r="J108" t="b">
        <v>0</v>
      </c>
      <c r="K108" t="b">
        <v>0</v>
      </c>
      <c r="L108" t="b">
        <v>1</v>
      </c>
      <c r="M108" t="b">
        <v>1</v>
      </c>
      <c r="N108" t="b">
        <v>0</v>
      </c>
      <c r="O108"/>
      <c r="P108">
        <v>16.47</v>
      </c>
      <c r="Q108">
        <v>9.07</v>
      </c>
      <c r="R108">
        <v>25.54</v>
      </c>
      <c r="S108">
        <v>70</v>
      </c>
      <c r="T108">
        <v>36</v>
      </c>
      <c r="U108">
        <v>34</v>
      </c>
      <c r="V108">
        <v>709</v>
      </c>
      <c r="W108" s="281">
        <v>41837</v>
      </c>
      <c r="X108" s="282"/>
      <c r="Z108" s="9" t="b">
        <f t="shared" si="15"/>
        <v>0</v>
      </c>
      <c r="AA108" s="9" t="str">
        <f t="shared" si="28"/>
        <v>7</v>
      </c>
      <c r="AB108" s="196">
        <f t="shared" si="16"/>
        <v>32.433199999999999</v>
      </c>
      <c r="AC108" s="9">
        <f>VLOOKUP(AA108,'Federal Standards'!$N$9:$P$50,2,FALSE)</f>
        <v>8.5399999999999991</v>
      </c>
      <c r="AD108" s="44">
        <f>VLOOKUP(AA108,'Federal Standards'!$N$9:$P$50,3,FALSE)</f>
        <v>432.8</v>
      </c>
      <c r="AE108" s="44">
        <f t="shared" si="17"/>
        <v>709.77952800000003</v>
      </c>
      <c r="AF108" s="283">
        <f t="shared" si="18"/>
        <v>0.77952800000002753</v>
      </c>
      <c r="AG108" s="291">
        <f t="shared" si="27"/>
        <v>1.098267799011565E-3</v>
      </c>
      <c r="AH108" s="184" t="str">
        <f t="shared" si="19"/>
        <v>YES</v>
      </c>
      <c r="AJ108" s="9" t="str">
        <f t="shared" si="20"/>
        <v>NO</v>
      </c>
      <c r="AK108" s="9" t="str">
        <f t="shared" si="21"/>
        <v>NO</v>
      </c>
      <c r="AL108" s="9" t="str">
        <f t="shared" si="22"/>
        <v>NO</v>
      </c>
      <c r="AM108" s="9" t="str">
        <f t="shared" si="23"/>
        <v>NO</v>
      </c>
      <c r="AN108" s="9" t="str">
        <f t="shared" si="24"/>
        <v>Less than 10% better than Standard</v>
      </c>
      <c r="AO108" s="9" t="str">
        <f t="shared" si="25"/>
        <v>7_Less than 10% better than Standard</v>
      </c>
      <c r="AP108" s="9" t="str">
        <f t="shared" si="26"/>
        <v>7_NO</v>
      </c>
    </row>
    <row r="109" spans="1:42">
      <c r="A109">
        <v>84138</v>
      </c>
      <c r="B109" t="s">
        <v>4165</v>
      </c>
      <c r="C109" t="s">
        <v>169</v>
      </c>
      <c r="D109" t="s">
        <v>4951</v>
      </c>
      <c r="E109" t="s">
        <v>190</v>
      </c>
      <c r="F109" t="s">
        <v>188</v>
      </c>
      <c r="G109" t="s">
        <v>189</v>
      </c>
      <c r="H109"/>
      <c r="I109" t="s">
        <v>4106</v>
      </c>
      <c r="J109"/>
      <c r="K109"/>
      <c r="L109"/>
      <c r="M109"/>
      <c r="N109" t="b">
        <v>0</v>
      </c>
      <c r="O109"/>
      <c r="P109"/>
      <c r="Q109">
        <v>8.82</v>
      </c>
      <c r="R109">
        <v>8.82</v>
      </c>
      <c r="S109">
        <v>35</v>
      </c>
      <c r="T109">
        <v>41</v>
      </c>
      <c r="U109">
        <v>24</v>
      </c>
      <c r="V109">
        <v>294</v>
      </c>
      <c r="W109" s="281">
        <v>41793</v>
      </c>
      <c r="X109" s="282"/>
      <c r="Z109" s="9" t="b">
        <f t="shared" si="15"/>
        <v>0</v>
      </c>
      <c r="AA109" s="9" t="str">
        <f t="shared" si="28"/>
        <v>10</v>
      </c>
      <c r="AB109" s="196">
        <f t="shared" si="16"/>
        <v>15.523200000000001</v>
      </c>
      <c r="AC109" s="9">
        <f>VLOOKUP(AA109,'Federal Standards'!$N$9:$P$50,2,FALSE)</f>
        <v>7.29</v>
      </c>
      <c r="AD109" s="44">
        <f>VLOOKUP(AA109,'Federal Standards'!$N$9:$P$50,3,FALSE)</f>
        <v>107.8</v>
      </c>
      <c r="AE109" s="44">
        <f t="shared" si="17"/>
        <v>220.96412800000002</v>
      </c>
      <c r="AF109" s="283">
        <f t="shared" si="18"/>
        <v>-73.035871999999983</v>
      </c>
      <c r="AG109" s="291">
        <f t="shared" si="27"/>
        <v>-0.33053270981613803</v>
      </c>
      <c r="AH109" s="184" t="str">
        <f t="shared" si="19"/>
        <v>NO</v>
      </c>
      <c r="AJ109" s="9" t="str">
        <f t="shared" si="20"/>
        <v>NO</v>
      </c>
      <c r="AK109" s="9" t="str">
        <f t="shared" si="21"/>
        <v>NO</v>
      </c>
      <c r="AL109" s="9" t="str">
        <f t="shared" si="22"/>
        <v>NO</v>
      </c>
      <c r="AM109" s="9" t="str">
        <f t="shared" si="23"/>
        <v>NO</v>
      </c>
      <c r="AN109" s="9" t="str">
        <f t="shared" si="24"/>
        <v>Doesn't meet Standard</v>
      </c>
      <c r="AO109" s="9" t="str">
        <f t="shared" si="25"/>
        <v>10_Doesn't meet Standard</v>
      </c>
      <c r="AP109" s="9" t="str">
        <f t="shared" si="26"/>
        <v>10_NO</v>
      </c>
    </row>
    <row r="110" spans="1:42">
      <c r="A110">
        <v>85404</v>
      </c>
      <c r="B110" t="s">
        <v>4165</v>
      </c>
      <c r="C110" t="s">
        <v>169</v>
      </c>
      <c r="D110" t="s">
        <v>4196</v>
      </c>
      <c r="E110" t="s">
        <v>4179</v>
      </c>
      <c r="F110" t="s">
        <v>162</v>
      </c>
      <c r="G110" t="s">
        <v>4105</v>
      </c>
      <c r="H110"/>
      <c r="I110" t="s">
        <v>4098</v>
      </c>
      <c r="J110" t="b">
        <v>0</v>
      </c>
      <c r="K110" t="b">
        <v>0</v>
      </c>
      <c r="L110" t="b">
        <v>1</v>
      </c>
      <c r="M110" t="b">
        <v>1</v>
      </c>
      <c r="N110" t="b">
        <v>0</v>
      </c>
      <c r="O110"/>
      <c r="P110">
        <v>14.17</v>
      </c>
      <c r="Q110">
        <v>7.9</v>
      </c>
      <c r="R110">
        <v>22.07</v>
      </c>
      <c r="S110">
        <v>70</v>
      </c>
      <c r="T110">
        <v>33</v>
      </c>
      <c r="U110">
        <v>34</v>
      </c>
      <c r="V110">
        <v>672</v>
      </c>
      <c r="W110" s="281">
        <v>41837</v>
      </c>
      <c r="X110" s="282"/>
      <c r="Z110" s="9" t="b">
        <f t="shared" si="15"/>
        <v>0</v>
      </c>
      <c r="AA110" s="9" t="str">
        <f t="shared" si="28"/>
        <v>7</v>
      </c>
      <c r="AB110" s="196">
        <f t="shared" si="16"/>
        <v>28.073999999999998</v>
      </c>
      <c r="AC110" s="9">
        <f>VLOOKUP(AA110,'Federal Standards'!$N$9:$P$50,2,FALSE)</f>
        <v>8.5399999999999991</v>
      </c>
      <c r="AD110" s="44">
        <f>VLOOKUP(AA110,'Federal Standards'!$N$9:$P$50,3,FALSE)</f>
        <v>432.8</v>
      </c>
      <c r="AE110" s="44">
        <f t="shared" si="17"/>
        <v>672.55196000000001</v>
      </c>
      <c r="AF110" s="283">
        <f t="shared" si="18"/>
        <v>0.55196000000000822</v>
      </c>
      <c r="AG110" s="291">
        <f t="shared" si="27"/>
        <v>8.206949541861542E-4</v>
      </c>
      <c r="AH110" s="184" t="str">
        <f t="shared" si="19"/>
        <v>YES</v>
      </c>
      <c r="AJ110" s="9" t="str">
        <f t="shared" si="20"/>
        <v>NO</v>
      </c>
      <c r="AK110" s="9" t="str">
        <f t="shared" si="21"/>
        <v>NO</v>
      </c>
      <c r="AL110" s="9" t="str">
        <f t="shared" si="22"/>
        <v>NO</v>
      </c>
      <c r="AM110" s="9" t="str">
        <f t="shared" si="23"/>
        <v>NO</v>
      </c>
      <c r="AN110" s="9" t="str">
        <f t="shared" si="24"/>
        <v>Less than 10% better than Standard</v>
      </c>
      <c r="AO110" s="9" t="str">
        <f t="shared" si="25"/>
        <v>7_Less than 10% better than Standard</v>
      </c>
      <c r="AP110" s="9" t="str">
        <f t="shared" si="26"/>
        <v>7_NO</v>
      </c>
    </row>
    <row r="111" spans="1:42">
      <c r="A111">
        <v>82816</v>
      </c>
      <c r="B111" t="s">
        <v>4165</v>
      </c>
      <c r="C111" t="s">
        <v>169</v>
      </c>
      <c r="D111" t="s">
        <v>4197</v>
      </c>
      <c r="E111" t="s">
        <v>4198</v>
      </c>
      <c r="F111" t="s">
        <v>162</v>
      </c>
      <c r="G111" t="s">
        <v>4105</v>
      </c>
      <c r="H111"/>
      <c r="I111" t="s">
        <v>4199</v>
      </c>
      <c r="J111"/>
      <c r="K111"/>
      <c r="L111"/>
      <c r="M111"/>
      <c r="N111" t="b">
        <v>0</v>
      </c>
      <c r="O111" t="s">
        <v>4099</v>
      </c>
      <c r="P111">
        <v>15.68</v>
      </c>
      <c r="Q111">
        <v>6.88</v>
      </c>
      <c r="R111">
        <v>22.56</v>
      </c>
      <c r="S111">
        <v>68</v>
      </c>
      <c r="T111">
        <v>36</v>
      </c>
      <c r="U111">
        <v>30</v>
      </c>
      <c r="V111">
        <v>539</v>
      </c>
      <c r="W111" s="281">
        <v>41520</v>
      </c>
      <c r="X111" s="282"/>
      <c r="Z111" s="9" t="b">
        <f t="shared" si="15"/>
        <v>0</v>
      </c>
      <c r="AA111" s="9" t="str">
        <f t="shared" si="28"/>
        <v>5</v>
      </c>
      <c r="AB111" s="196">
        <f t="shared" si="16"/>
        <v>27.788800000000002</v>
      </c>
      <c r="AC111" s="9">
        <f>VLOOKUP(AA111,'Federal Standards'!$N$9:$P$50,2,FALSE)</f>
        <v>8.85</v>
      </c>
      <c r="AD111" s="44">
        <f>VLOOKUP(AA111,'Federal Standards'!$N$9:$P$50,3,FALSE)</f>
        <v>317</v>
      </c>
      <c r="AE111" s="44">
        <f t="shared" si="17"/>
        <v>562.93088</v>
      </c>
      <c r="AF111" s="283">
        <f t="shared" si="18"/>
        <v>23.930880000000002</v>
      </c>
      <c r="AG111" s="291">
        <f t="shared" si="27"/>
        <v>4.2511222692206904E-2</v>
      </c>
      <c r="AH111" s="184" t="str">
        <f t="shared" si="19"/>
        <v>YES</v>
      </c>
      <c r="AJ111" s="9" t="str">
        <f t="shared" si="20"/>
        <v>NO</v>
      </c>
      <c r="AK111" s="9" t="str">
        <f t="shared" si="21"/>
        <v>NO</v>
      </c>
      <c r="AL111" s="9" t="str">
        <f t="shared" si="22"/>
        <v>NO</v>
      </c>
      <c r="AM111" s="9" t="str">
        <f t="shared" si="23"/>
        <v>NO</v>
      </c>
      <c r="AN111" s="9" t="str">
        <f t="shared" si="24"/>
        <v>Less than 10% better than Standard</v>
      </c>
      <c r="AO111" s="9" t="str">
        <f t="shared" si="25"/>
        <v>5_Less than 10% better than Standard</v>
      </c>
      <c r="AP111" s="9" t="str">
        <f t="shared" si="26"/>
        <v>5_NO</v>
      </c>
    </row>
    <row r="112" spans="1:42">
      <c r="A112">
        <v>85395</v>
      </c>
      <c r="B112" t="s">
        <v>4165</v>
      </c>
      <c r="C112" t="s">
        <v>169</v>
      </c>
      <c r="D112" t="s">
        <v>395</v>
      </c>
      <c r="E112" t="s">
        <v>4179</v>
      </c>
      <c r="F112" t="s">
        <v>162</v>
      </c>
      <c r="G112" t="s">
        <v>4105</v>
      </c>
      <c r="H112"/>
      <c r="I112" t="s">
        <v>4098</v>
      </c>
      <c r="J112" t="b">
        <v>0</v>
      </c>
      <c r="K112" t="b">
        <v>0</v>
      </c>
      <c r="L112" t="b">
        <v>1</v>
      </c>
      <c r="M112" t="b">
        <v>1</v>
      </c>
      <c r="N112" t="b">
        <v>0</v>
      </c>
      <c r="O112"/>
      <c r="P112">
        <v>16.54</v>
      </c>
      <c r="Q112">
        <v>9.0299999999999994</v>
      </c>
      <c r="R112">
        <v>25.57</v>
      </c>
      <c r="S112">
        <v>70</v>
      </c>
      <c r="T112">
        <v>36</v>
      </c>
      <c r="U112">
        <v>34</v>
      </c>
      <c r="V112">
        <v>647</v>
      </c>
      <c r="W112" s="281">
        <v>41837</v>
      </c>
      <c r="X112" s="282"/>
      <c r="Z112" s="9" t="b">
        <f t="shared" si="15"/>
        <v>0</v>
      </c>
      <c r="AA112" s="9" t="str">
        <f t="shared" si="28"/>
        <v>7</v>
      </c>
      <c r="AB112" s="196">
        <f t="shared" si="16"/>
        <v>32.4328</v>
      </c>
      <c r="AC112" s="9">
        <f>VLOOKUP(AA112,'Federal Standards'!$N$9:$P$50,2,FALSE)</f>
        <v>8.5399999999999991</v>
      </c>
      <c r="AD112" s="44">
        <f>VLOOKUP(AA112,'Federal Standards'!$N$9:$P$50,3,FALSE)</f>
        <v>432.8</v>
      </c>
      <c r="AE112" s="44">
        <f t="shared" si="17"/>
        <v>709.77611200000001</v>
      </c>
      <c r="AF112" s="283">
        <f t="shared" si="18"/>
        <v>62.776112000000012</v>
      </c>
      <c r="AG112" s="291">
        <f t="shared" si="27"/>
        <v>8.8444948961595951E-2</v>
      </c>
      <c r="AH112" s="184" t="str">
        <f t="shared" si="19"/>
        <v>YES</v>
      </c>
      <c r="AJ112" s="9" t="str">
        <f t="shared" si="20"/>
        <v>NO</v>
      </c>
      <c r="AK112" s="9" t="str">
        <f t="shared" si="21"/>
        <v>NO</v>
      </c>
      <c r="AL112" s="9" t="str">
        <f t="shared" si="22"/>
        <v>NO</v>
      </c>
      <c r="AM112" s="9" t="str">
        <f t="shared" si="23"/>
        <v>NO</v>
      </c>
      <c r="AN112" s="9" t="str">
        <f t="shared" si="24"/>
        <v>Less than 10% better than Standard</v>
      </c>
      <c r="AO112" s="9" t="str">
        <f t="shared" si="25"/>
        <v>7_Less than 10% better than Standard</v>
      </c>
      <c r="AP112" s="9" t="str">
        <f t="shared" si="26"/>
        <v>7_NO</v>
      </c>
    </row>
    <row r="113" spans="1:42">
      <c r="A113">
        <v>86382</v>
      </c>
      <c r="B113" t="s">
        <v>4165</v>
      </c>
      <c r="C113" t="s">
        <v>169</v>
      </c>
      <c r="D113" t="s">
        <v>4200</v>
      </c>
      <c r="E113" t="s">
        <v>190</v>
      </c>
      <c r="F113" t="s">
        <v>188</v>
      </c>
      <c r="G113" t="s">
        <v>189</v>
      </c>
      <c r="H113"/>
      <c r="I113"/>
      <c r="J113" t="b">
        <v>0</v>
      </c>
      <c r="K113" t="b">
        <v>1</v>
      </c>
      <c r="L113"/>
      <c r="M113"/>
      <c r="N113" t="b">
        <v>0</v>
      </c>
      <c r="O113"/>
      <c r="P113"/>
      <c r="Q113">
        <v>7.36</v>
      </c>
      <c r="R113">
        <v>7.36</v>
      </c>
      <c r="S113">
        <v>35</v>
      </c>
      <c r="T113">
        <v>37</v>
      </c>
      <c r="U113">
        <v>24</v>
      </c>
      <c r="V113">
        <v>255</v>
      </c>
      <c r="W113" s="281">
        <v>41872</v>
      </c>
      <c r="X113" s="282"/>
      <c r="Z113" s="9" t="b">
        <f t="shared" si="15"/>
        <v>1</v>
      </c>
      <c r="AA113" s="9" t="str">
        <f t="shared" si="28"/>
        <v>18</v>
      </c>
      <c r="AB113" s="196">
        <f t="shared" si="16"/>
        <v>12.9536</v>
      </c>
      <c r="AC113" s="9">
        <f>VLOOKUP(AA113,'Federal Standards'!$N$9:$P$50,2,FALSE)</f>
        <v>9.25</v>
      </c>
      <c r="AD113" s="44">
        <f>VLOOKUP(AA113,'Federal Standards'!$N$9:$P$50,3,FALSE)</f>
        <v>136.80000000000001</v>
      </c>
      <c r="AE113" s="44">
        <f t="shared" si="17"/>
        <v>256.62080000000003</v>
      </c>
      <c r="AF113" s="283">
        <f t="shared" si="18"/>
        <v>1.6208000000000311</v>
      </c>
      <c r="AG113" s="291">
        <f t="shared" si="27"/>
        <v>6.315933860388678E-3</v>
      </c>
      <c r="AH113" s="184" t="str">
        <f t="shared" si="19"/>
        <v>YES</v>
      </c>
      <c r="AJ113" s="9" t="str">
        <f t="shared" si="20"/>
        <v>NO</v>
      </c>
      <c r="AK113" s="9" t="str">
        <f t="shared" si="21"/>
        <v>NO</v>
      </c>
      <c r="AL113" s="9" t="str">
        <f t="shared" si="22"/>
        <v>NO</v>
      </c>
      <c r="AM113" s="9" t="str">
        <f t="shared" si="23"/>
        <v>NO</v>
      </c>
      <c r="AN113" s="9" t="str">
        <f t="shared" si="24"/>
        <v>Less than 10% better than Standard</v>
      </c>
      <c r="AO113" s="9" t="str">
        <f t="shared" si="25"/>
        <v>18_Less than 10% better than Standard</v>
      </c>
      <c r="AP113" s="9" t="str">
        <f t="shared" si="26"/>
        <v>18_NO</v>
      </c>
    </row>
    <row r="114" spans="1:42">
      <c r="A114">
        <v>87250</v>
      </c>
      <c r="B114" t="s">
        <v>4165</v>
      </c>
      <c r="C114" t="s">
        <v>169</v>
      </c>
      <c r="D114" t="s">
        <v>4201</v>
      </c>
      <c r="E114" t="s">
        <v>190</v>
      </c>
      <c r="F114" t="s">
        <v>188</v>
      </c>
      <c r="G114" t="s">
        <v>189</v>
      </c>
      <c r="H114"/>
      <c r="I114"/>
      <c r="J114" t="b">
        <v>0</v>
      </c>
      <c r="K114" t="b">
        <v>0</v>
      </c>
      <c r="L114"/>
      <c r="M114"/>
      <c r="N114" t="b">
        <v>0</v>
      </c>
      <c r="O114"/>
      <c r="P114"/>
      <c r="Q114">
        <v>15.58</v>
      </c>
      <c r="R114">
        <v>15.6</v>
      </c>
      <c r="S114">
        <v>35</v>
      </c>
      <c r="T114">
        <v>56</v>
      </c>
      <c r="U114">
        <v>28</v>
      </c>
      <c r="V114">
        <v>275</v>
      </c>
      <c r="W114" s="281">
        <v>41891</v>
      </c>
      <c r="X114" s="282"/>
      <c r="Z114" s="9" t="b">
        <f t="shared" si="15"/>
        <v>0</v>
      </c>
      <c r="AA114" s="9" t="str">
        <f t="shared" si="28"/>
        <v>10</v>
      </c>
      <c r="AB114" s="196">
        <f t="shared" si="16"/>
        <v>27.4208</v>
      </c>
      <c r="AC114" s="9">
        <f>VLOOKUP(AA114,'Federal Standards'!$N$9:$P$50,2,FALSE)</f>
        <v>7.29</v>
      </c>
      <c r="AD114" s="44">
        <f>VLOOKUP(AA114,'Federal Standards'!$N$9:$P$50,3,FALSE)</f>
        <v>107.8</v>
      </c>
      <c r="AE114" s="44">
        <f t="shared" si="17"/>
        <v>307.697632</v>
      </c>
      <c r="AF114" s="283">
        <f t="shared" si="18"/>
        <v>32.697631999999999</v>
      </c>
      <c r="AG114" s="291">
        <f t="shared" si="27"/>
        <v>0.10626546518239048</v>
      </c>
      <c r="AH114" s="184" t="str">
        <f t="shared" si="19"/>
        <v>YES</v>
      </c>
      <c r="AJ114" s="9" t="str">
        <f t="shared" si="20"/>
        <v>YES</v>
      </c>
      <c r="AK114" s="9" t="str">
        <f t="shared" si="21"/>
        <v>YES</v>
      </c>
      <c r="AL114" s="9" t="str">
        <f t="shared" si="22"/>
        <v>NO</v>
      </c>
      <c r="AM114" s="9" t="str">
        <f t="shared" si="23"/>
        <v>NO</v>
      </c>
      <c r="AN114" s="9" t="str">
        <f t="shared" si="24"/>
        <v>Tier 1 - 10% to 15% better than Standard</v>
      </c>
      <c r="AO114" s="9" t="str">
        <f t="shared" si="25"/>
        <v>10_Tier 1 - 10% to 15% better than Standard</v>
      </c>
      <c r="AP114" s="9" t="str">
        <f t="shared" si="26"/>
        <v>10_YES</v>
      </c>
    </row>
    <row r="115" spans="1:42">
      <c r="A115">
        <v>86386</v>
      </c>
      <c r="B115" t="s">
        <v>4165</v>
      </c>
      <c r="C115" t="s">
        <v>169</v>
      </c>
      <c r="D115" t="s">
        <v>4202</v>
      </c>
      <c r="E115" t="s">
        <v>190</v>
      </c>
      <c r="F115" t="s">
        <v>188</v>
      </c>
      <c r="G115" t="s">
        <v>189</v>
      </c>
      <c r="H115"/>
      <c r="I115"/>
      <c r="J115" t="b">
        <v>0</v>
      </c>
      <c r="K115" t="b">
        <v>0</v>
      </c>
      <c r="L115"/>
      <c r="M115"/>
      <c r="N115" t="b">
        <v>0</v>
      </c>
      <c r="O115"/>
      <c r="P115"/>
      <c r="Q115">
        <v>11.11</v>
      </c>
      <c r="R115">
        <v>11.11</v>
      </c>
      <c r="S115">
        <v>35</v>
      </c>
      <c r="T115">
        <v>43</v>
      </c>
      <c r="U115">
        <v>28</v>
      </c>
      <c r="V115">
        <v>249</v>
      </c>
      <c r="W115" s="281">
        <v>41872</v>
      </c>
      <c r="X115" s="282"/>
      <c r="Z115" s="9" t="b">
        <f t="shared" si="15"/>
        <v>0</v>
      </c>
      <c r="AA115" s="9" t="str">
        <f t="shared" si="28"/>
        <v>10</v>
      </c>
      <c r="AB115" s="196">
        <f t="shared" si="16"/>
        <v>19.553599999999999</v>
      </c>
      <c r="AC115" s="9">
        <f>VLOOKUP(AA115,'Federal Standards'!$N$9:$P$50,2,FALSE)</f>
        <v>7.29</v>
      </c>
      <c r="AD115" s="44">
        <f>VLOOKUP(AA115,'Federal Standards'!$N$9:$P$50,3,FALSE)</f>
        <v>107.8</v>
      </c>
      <c r="AE115" s="44">
        <f t="shared" si="17"/>
        <v>250.34574399999997</v>
      </c>
      <c r="AF115" s="283">
        <f t="shared" si="18"/>
        <v>1.3457439999999679</v>
      </c>
      <c r="AG115" s="291">
        <f t="shared" si="27"/>
        <v>5.3755417547660328E-3</v>
      </c>
      <c r="AH115" s="184" t="str">
        <f t="shared" si="19"/>
        <v>YES</v>
      </c>
      <c r="AJ115" s="9" t="str">
        <f t="shared" si="20"/>
        <v>NO</v>
      </c>
      <c r="AK115" s="9" t="str">
        <f t="shared" si="21"/>
        <v>NO</v>
      </c>
      <c r="AL115" s="9" t="str">
        <f t="shared" si="22"/>
        <v>NO</v>
      </c>
      <c r="AM115" s="9" t="str">
        <f t="shared" si="23"/>
        <v>NO</v>
      </c>
      <c r="AN115" s="9" t="str">
        <f t="shared" si="24"/>
        <v>Less than 10% better than Standard</v>
      </c>
      <c r="AO115" s="9" t="str">
        <f t="shared" si="25"/>
        <v>10_Less than 10% better than Standard</v>
      </c>
      <c r="AP115" s="9" t="str">
        <f t="shared" si="26"/>
        <v>10_NO</v>
      </c>
    </row>
    <row r="116" spans="1:42">
      <c r="A116">
        <v>86364</v>
      </c>
      <c r="B116" t="s">
        <v>4165</v>
      </c>
      <c r="C116" t="s">
        <v>169</v>
      </c>
      <c r="D116" t="s">
        <v>4203</v>
      </c>
      <c r="E116" t="s">
        <v>187</v>
      </c>
      <c r="F116" t="s">
        <v>162</v>
      </c>
      <c r="G116" t="s">
        <v>189</v>
      </c>
      <c r="H116"/>
      <c r="I116"/>
      <c r="J116" t="b">
        <v>0</v>
      </c>
      <c r="K116" t="b">
        <v>0</v>
      </c>
      <c r="L116" t="b">
        <v>0</v>
      </c>
      <c r="M116"/>
      <c r="N116" t="b">
        <v>0</v>
      </c>
      <c r="O116"/>
      <c r="P116"/>
      <c r="Q116">
        <v>20.22</v>
      </c>
      <c r="R116">
        <v>20.22</v>
      </c>
      <c r="S116">
        <v>74</v>
      </c>
      <c r="T116">
        <v>34</v>
      </c>
      <c r="U116">
        <v>31</v>
      </c>
      <c r="V116">
        <v>480</v>
      </c>
      <c r="W116" s="281">
        <v>41872</v>
      </c>
      <c r="X116" s="282"/>
      <c r="Z116" s="9" t="b">
        <f t="shared" si="15"/>
        <v>0</v>
      </c>
      <c r="AA116" s="9" t="str">
        <f t="shared" si="28"/>
        <v>9</v>
      </c>
      <c r="AB116" s="196">
        <f t="shared" si="16"/>
        <v>35.587199999999996</v>
      </c>
      <c r="AC116" s="9">
        <f>VLOOKUP(AA116,'Federal Standards'!$N$9:$P$50,2,FALSE)</f>
        <v>8.6199999999999992</v>
      </c>
      <c r="AD116" s="44">
        <f>VLOOKUP(AA116,'Federal Standards'!$N$9:$P$50,3,FALSE)</f>
        <v>228.3</v>
      </c>
      <c r="AE116" s="44">
        <f t="shared" si="17"/>
        <v>535.06166399999995</v>
      </c>
      <c r="AF116" s="283">
        <f t="shared" si="18"/>
        <v>55.061663999999951</v>
      </c>
      <c r="AG116" s="291">
        <f t="shared" si="27"/>
        <v>0.10290713707345693</v>
      </c>
      <c r="AH116" s="184" t="str">
        <f t="shared" si="19"/>
        <v>YES</v>
      </c>
      <c r="AJ116" s="9" t="str">
        <f t="shared" si="20"/>
        <v>YES</v>
      </c>
      <c r="AK116" s="9" t="str">
        <f t="shared" si="21"/>
        <v>YES</v>
      </c>
      <c r="AL116" s="9" t="str">
        <f t="shared" si="22"/>
        <v>NO</v>
      </c>
      <c r="AM116" s="9" t="str">
        <f t="shared" si="23"/>
        <v>NO</v>
      </c>
      <c r="AN116" s="9" t="str">
        <f t="shared" si="24"/>
        <v>Tier 1 - 10% to 15% better than Standard</v>
      </c>
      <c r="AO116" s="9" t="str">
        <f t="shared" si="25"/>
        <v>9_Tier 1 - 10% to 15% better than Standard</v>
      </c>
      <c r="AP116" s="9" t="str">
        <f t="shared" si="26"/>
        <v>9_YES</v>
      </c>
    </row>
    <row r="117" spans="1:42">
      <c r="A117">
        <v>87238</v>
      </c>
      <c r="B117" t="s">
        <v>4165</v>
      </c>
      <c r="C117" t="s">
        <v>169</v>
      </c>
      <c r="D117" t="s">
        <v>4204</v>
      </c>
      <c r="E117" t="s">
        <v>187</v>
      </c>
      <c r="F117" t="s">
        <v>188</v>
      </c>
      <c r="G117" t="s">
        <v>189</v>
      </c>
      <c r="H117"/>
      <c r="I117"/>
      <c r="J117" t="b">
        <v>0</v>
      </c>
      <c r="K117" t="b">
        <v>0</v>
      </c>
      <c r="L117" t="b">
        <v>0</v>
      </c>
      <c r="M117"/>
      <c r="N117" t="b">
        <v>0</v>
      </c>
      <c r="O117"/>
      <c r="P117"/>
      <c r="Q117">
        <v>12.82</v>
      </c>
      <c r="R117">
        <v>12.82</v>
      </c>
      <c r="S117">
        <v>63</v>
      </c>
      <c r="T117">
        <v>30</v>
      </c>
      <c r="U117">
        <v>29</v>
      </c>
      <c r="V117">
        <v>318</v>
      </c>
      <c r="W117" s="281">
        <v>41891</v>
      </c>
      <c r="X117" s="282"/>
      <c r="Z117" s="9" t="b">
        <f t="shared" si="15"/>
        <v>0</v>
      </c>
      <c r="AA117" s="9" t="str">
        <f t="shared" si="28"/>
        <v>8</v>
      </c>
      <c r="AB117" s="196">
        <f t="shared" si="16"/>
        <v>22.563200000000002</v>
      </c>
      <c r="AC117" s="9">
        <f>VLOOKUP(AA117,'Federal Standards'!$N$9:$P$50,2,FALSE)</f>
        <v>5.57</v>
      </c>
      <c r="AD117" s="44">
        <f>VLOOKUP(AA117,'Federal Standards'!$N$9:$P$50,3,FALSE)</f>
        <v>193.7</v>
      </c>
      <c r="AE117" s="44">
        <f t="shared" si="17"/>
        <v>319.37702400000001</v>
      </c>
      <c r="AF117" s="283">
        <f t="shared" si="18"/>
        <v>1.3770240000000058</v>
      </c>
      <c r="AG117" s="291">
        <f t="shared" si="27"/>
        <v>4.3115938108309439E-3</v>
      </c>
      <c r="AH117" s="184" t="str">
        <f t="shared" si="19"/>
        <v>YES</v>
      </c>
      <c r="AJ117" s="9" t="str">
        <f t="shared" si="20"/>
        <v>NO</v>
      </c>
      <c r="AK117" s="9" t="str">
        <f t="shared" si="21"/>
        <v>NO</v>
      </c>
      <c r="AL117" s="9" t="str">
        <f t="shared" si="22"/>
        <v>NO</v>
      </c>
      <c r="AM117" s="9" t="str">
        <f t="shared" si="23"/>
        <v>NO</v>
      </c>
      <c r="AN117" s="9" t="str">
        <f t="shared" si="24"/>
        <v>Less than 10% better than Standard</v>
      </c>
      <c r="AO117" s="9" t="str">
        <f t="shared" si="25"/>
        <v>8_Less than 10% better than Standard</v>
      </c>
      <c r="AP117" s="9" t="str">
        <f t="shared" si="26"/>
        <v>8_NO</v>
      </c>
    </row>
    <row r="118" spans="1:42">
      <c r="A118">
        <v>86340</v>
      </c>
      <c r="B118" t="s">
        <v>4165</v>
      </c>
      <c r="C118" t="s">
        <v>169</v>
      </c>
      <c r="D118" t="s">
        <v>4205</v>
      </c>
      <c r="E118" t="s">
        <v>187</v>
      </c>
      <c r="F118" t="s">
        <v>188</v>
      </c>
      <c r="G118" t="s">
        <v>189</v>
      </c>
      <c r="H118"/>
      <c r="I118"/>
      <c r="J118" t="b">
        <v>0</v>
      </c>
      <c r="K118" t="b">
        <v>0</v>
      </c>
      <c r="L118" t="b">
        <v>0</v>
      </c>
      <c r="M118"/>
      <c r="N118" t="b">
        <v>0</v>
      </c>
      <c r="O118"/>
      <c r="P118"/>
      <c r="Q118">
        <v>14.43</v>
      </c>
      <c r="R118">
        <v>14.43</v>
      </c>
      <c r="S118">
        <v>63</v>
      </c>
      <c r="T118">
        <v>30</v>
      </c>
      <c r="U118">
        <v>31</v>
      </c>
      <c r="V118">
        <v>334</v>
      </c>
      <c r="W118" s="281">
        <v>41872</v>
      </c>
      <c r="X118" s="282"/>
      <c r="Z118" s="9" t="b">
        <f t="shared" si="15"/>
        <v>0</v>
      </c>
      <c r="AA118" s="9" t="str">
        <f t="shared" si="28"/>
        <v>8</v>
      </c>
      <c r="AB118" s="196">
        <f t="shared" si="16"/>
        <v>25.396799999999999</v>
      </c>
      <c r="AC118" s="9">
        <f>VLOOKUP(AA118,'Federal Standards'!$N$9:$P$50,2,FALSE)</f>
        <v>5.57</v>
      </c>
      <c r="AD118" s="44">
        <f>VLOOKUP(AA118,'Federal Standards'!$N$9:$P$50,3,FALSE)</f>
        <v>193.7</v>
      </c>
      <c r="AE118" s="44">
        <f t="shared" si="17"/>
        <v>335.16017599999998</v>
      </c>
      <c r="AF118" s="283">
        <f t="shared" si="18"/>
        <v>1.1601759999999786</v>
      </c>
      <c r="AG118" s="291">
        <f t="shared" si="27"/>
        <v>3.4615568408102836E-3</v>
      </c>
      <c r="AH118" s="184" t="str">
        <f t="shared" si="19"/>
        <v>YES</v>
      </c>
      <c r="AJ118" s="9" t="str">
        <f t="shared" si="20"/>
        <v>NO</v>
      </c>
      <c r="AK118" s="9" t="str">
        <f t="shared" si="21"/>
        <v>NO</v>
      </c>
      <c r="AL118" s="9" t="str">
        <f t="shared" si="22"/>
        <v>NO</v>
      </c>
      <c r="AM118" s="9" t="str">
        <f t="shared" si="23"/>
        <v>NO</v>
      </c>
      <c r="AN118" s="9" t="str">
        <f t="shared" si="24"/>
        <v>Less than 10% better than Standard</v>
      </c>
      <c r="AO118" s="9" t="str">
        <f t="shared" si="25"/>
        <v>8_Less than 10% better than Standard</v>
      </c>
      <c r="AP118" s="9" t="str">
        <f t="shared" si="26"/>
        <v>8_NO</v>
      </c>
    </row>
    <row r="119" spans="1:42">
      <c r="A119">
        <v>86838</v>
      </c>
      <c r="B119" t="s">
        <v>4165</v>
      </c>
      <c r="C119" t="s">
        <v>169</v>
      </c>
      <c r="D119" t="s">
        <v>409</v>
      </c>
      <c r="E119" t="s">
        <v>4108</v>
      </c>
      <c r="F119" t="s">
        <v>162</v>
      </c>
      <c r="G119" t="s">
        <v>4105</v>
      </c>
      <c r="H119"/>
      <c r="I119" t="s">
        <v>4098</v>
      </c>
      <c r="J119" t="b">
        <v>0</v>
      </c>
      <c r="K119" t="b">
        <v>0</v>
      </c>
      <c r="L119" t="b">
        <v>1</v>
      </c>
      <c r="M119" t="b">
        <v>0</v>
      </c>
      <c r="N119" t="b">
        <v>0</v>
      </c>
      <c r="O119"/>
      <c r="P119">
        <v>14.1</v>
      </c>
      <c r="Q119">
        <v>3.98</v>
      </c>
      <c r="R119">
        <v>18.079999999999998</v>
      </c>
      <c r="S119">
        <v>67</v>
      </c>
      <c r="T119">
        <v>30</v>
      </c>
      <c r="U119">
        <v>30</v>
      </c>
      <c r="V119">
        <v>447</v>
      </c>
      <c r="W119" s="281">
        <v>41884</v>
      </c>
      <c r="X119" s="282"/>
      <c r="Z119" s="9" t="b">
        <f t="shared" si="15"/>
        <v>0</v>
      </c>
      <c r="AA119" s="9" t="str">
        <f t="shared" si="28"/>
        <v>3I</v>
      </c>
      <c r="AB119" s="196">
        <f t="shared" si="16"/>
        <v>21.104800000000001</v>
      </c>
      <c r="AC119" s="9">
        <f>VLOOKUP(AA119,'Federal Standards'!$N$9:$P$50,2,FALSE)</f>
        <v>8.07</v>
      </c>
      <c r="AD119" s="44">
        <f>VLOOKUP(AA119,'Federal Standards'!$N$9:$P$50,3,FALSE)</f>
        <v>317.7</v>
      </c>
      <c r="AE119" s="44">
        <f t="shared" si="17"/>
        <v>488.015736</v>
      </c>
      <c r="AF119" s="283">
        <f t="shared" si="18"/>
        <v>41.015736000000004</v>
      </c>
      <c r="AG119" s="291">
        <f t="shared" si="27"/>
        <v>8.4045929207495887E-2</v>
      </c>
      <c r="AH119" s="184" t="str">
        <f t="shared" si="19"/>
        <v>YES</v>
      </c>
      <c r="AJ119" s="9" t="str">
        <f t="shared" si="20"/>
        <v>NO</v>
      </c>
      <c r="AK119" s="9" t="str">
        <f t="shared" si="21"/>
        <v>NO</v>
      </c>
      <c r="AL119" s="9" t="str">
        <f t="shared" si="22"/>
        <v>NO</v>
      </c>
      <c r="AM119" s="9" t="str">
        <f t="shared" si="23"/>
        <v>NO</v>
      </c>
      <c r="AN119" s="9" t="str">
        <f t="shared" si="24"/>
        <v>Less than 10% better than Standard</v>
      </c>
      <c r="AO119" s="9" t="str">
        <f t="shared" si="25"/>
        <v>3I_Less than 10% better than Standard</v>
      </c>
      <c r="AP119" s="9" t="str">
        <f t="shared" si="26"/>
        <v>3I_NO</v>
      </c>
    </row>
    <row r="120" spans="1:42">
      <c r="A120">
        <v>87360</v>
      </c>
      <c r="B120" t="s">
        <v>4165</v>
      </c>
      <c r="C120" t="s">
        <v>169</v>
      </c>
      <c r="D120" t="s">
        <v>411</v>
      </c>
      <c r="E120" t="s">
        <v>4108</v>
      </c>
      <c r="F120" t="s">
        <v>162</v>
      </c>
      <c r="G120" t="s">
        <v>4105</v>
      </c>
      <c r="H120"/>
      <c r="I120" t="s">
        <v>4098</v>
      </c>
      <c r="J120" t="b">
        <v>0</v>
      </c>
      <c r="K120" t="b">
        <v>0</v>
      </c>
      <c r="L120" t="b">
        <v>1</v>
      </c>
      <c r="M120" t="b">
        <v>0</v>
      </c>
      <c r="N120" t="b">
        <v>0</v>
      </c>
      <c r="O120"/>
      <c r="P120">
        <v>15.29</v>
      </c>
      <c r="Q120">
        <v>5.14</v>
      </c>
      <c r="R120">
        <v>20.399999999999999</v>
      </c>
      <c r="S120">
        <v>69</v>
      </c>
      <c r="T120">
        <v>30</v>
      </c>
      <c r="U120">
        <v>32</v>
      </c>
      <c r="V120">
        <v>470</v>
      </c>
      <c r="W120" s="281">
        <v>41892</v>
      </c>
      <c r="X120" s="282"/>
      <c r="Z120" s="9" t="b">
        <f t="shared" si="15"/>
        <v>0</v>
      </c>
      <c r="AA120" s="9" t="str">
        <f t="shared" si="28"/>
        <v>3I</v>
      </c>
      <c r="AB120" s="196">
        <f t="shared" si="16"/>
        <v>24.336399999999998</v>
      </c>
      <c r="AC120" s="9">
        <f>VLOOKUP(AA120,'Federal Standards'!$N$9:$P$50,2,FALSE)</f>
        <v>8.07</v>
      </c>
      <c r="AD120" s="44">
        <f>VLOOKUP(AA120,'Federal Standards'!$N$9:$P$50,3,FALSE)</f>
        <v>317.7</v>
      </c>
      <c r="AE120" s="44">
        <f t="shared" si="17"/>
        <v>514.09474799999998</v>
      </c>
      <c r="AF120" s="283">
        <f t="shared" si="18"/>
        <v>44.094747999999981</v>
      </c>
      <c r="AG120" s="291">
        <f t="shared" si="27"/>
        <v>8.5771636787855265E-2</v>
      </c>
      <c r="AH120" s="184" t="str">
        <f t="shared" si="19"/>
        <v>YES</v>
      </c>
      <c r="AJ120" s="9" t="str">
        <f t="shared" si="20"/>
        <v>NO</v>
      </c>
      <c r="AK120" s="9" t="str">
        <f t="shared" si="21"/>
        <v>NO</v>
      </c>
      <c r="AL120" s="9" t="str">
        <f t="shared" si="22"/>
        <v>NO</v>
      </c>
      <c r="AM120" s="9" t="str">
        <f t="shared" si="23"/>
        <v>NO</v>
      </c>
      <c r="AN120" s="9" t="str">
        <f t="shared" si="24"/>
        <v>Less than 10% better than Standard</v>
      </c>
      <c r="AO120" s="9" t="str">
        <f t="shared" si="25"/>
        <v>3I_Less than 10% better than Standard</v>
      </c>
      <c r="AP120" s="9" t="str">
        <f t="shared" si="26"/>
        <v>3I_NO</v>
      </c>
    </row>
    <row r="121" spans="1:42">
      <c r="A121">
        <v>85368</v>
      </c>
      <c r="B121" t="s">
        <v>4165</v>
      </c>
      <c r="C121" t="s">
        <v>169</v>
      </c>
      <c r="D121" t="s">
        <v>420</v>
      </c>
      <c r="E121" t="s">
        <v>4108</v>
      </c>
      <c r="F121" t="s">
        <v>162</v>
      </c>
      <c r="G121" t="s">
        <v>4105</v>
      </c>
      <c r="H121"/>
      <c r="I121" t="s">
        <v>4098</v>
      </c>
      <c r="J121" t="b">
        <v>0</v>
      </c>
      <c r="K121" t="b">
        <v>0</v>
      </c>
      <c r="L121" t="b">
        <v>0</v>
      </c>
      <c r="M121"/>
      <c r="N121" t="b">
        <v>0</v>
      </c>
      <c r="O121"/>
      <c r="P121">
        <v>12.67</v>
      </c>
      <c r="Q121">
        <v>3.63</v>
      </c>
      <c r="R121">
        <v>16.3</v>
      </c>
      <c r="S121">
        <v>66</v>
      </c>
      <c r="T121">
        <v>28</v>
      </c>
      <c r="U121">
        <v>30</v>
      </c>
      <c r="V121">
        <v>348</v>
      </c>
      <c r="W121" s="281">
        <v>41837</v>
      </c>
      <c r="X121" s="282"/>
      <c r="Z121" s="9" t="b">
        <f t="shared" si="15"/>
        <v>0</v>
      </c>
      <c r="AA121" s="9" t="str">
        <f t="shared" si="28"/>
        <v>3</v>
      </c>
      <c r="AB121" s="196">
        <f t="shared" si="16"/>
        <v>19.058799999999998</v>
      </c>
      <c r="AC121" s="9">
        <f>VLOOKUP(AA121,'Federal Standards'!$N$9:$P$50,2,FALSE)</f>
        <v>8.07</v>
      </c>
      <c r="AD121" s="44">
        <f>VLOOKUP(AA121,'Federal Standards'!$N$9:$P$50,3,FALSE)</f>
        <v>233.7</v>
      </c>
      <c r="AE121" s="44">
        <f t="shared" si="17"/>
        <v>387.50451599999997</v>
      </c>
      <c r="AF121" s="283">
        <f t="shared" si="18"/>
        <v>39.504515999999967</v>
      </c>
      <c r="AG121" s="291">
        <f t="shared" si="27"/>
        <v>0.10194594996668367</v>
      </c>
      <c r="AH121" s="184" t="str">
        <f t="shared" si="19"/>
        <v>YES</v>
      </c>
      <c r="AJ121" s="9" t="str">
        <f t="shared" si="20"/>
        <v>YES</v>
      </c>
      <c r="AK121" s="9" t="str">
        <f t="shared" si="21"/>
        <v>YES</v>
      </c>
      <c r="AL121" s="9" t="str">
        <f t="shared" si="22"/>
        <v>NO</v>
      </c>
      <c r="AM121" s="9" t="str">
        <f t="shared" si="23"/>
        <v>NO</v>
      </c>
      <c r="AN121" s="9" t="str">
        <f t="shared" si="24"/>
        <v>Tier 1 - 10% to 15% better than Standard</v>
      </c>
      <c r="AO121" s="9" t="str">
        <f t="shared" si="25"/>
        <v>3_Tier 1 - 10% to 15% better than Standard</v>
      </c>
      <c r="AP121" s="9" t="str">
        <f t="shared" si="26"/>
        <v>3_YES</v>
      </c>
    </row>
    <row r="122" spans="1:42">
      <c r="A122">
        <v>86836</v>
      </c>
      <c r="B122" t="s">
        <v>4165</v>
      </c>
      <c r="C122" t="s">
        <v>169</v>
      </c>
      <c r="D122" t="s">
        <v>432</v>
      </c>
      <c r="E122" t="s">
        <v>4108</v>
      </c>
      <c r="F122" t="s">
        <v>162</v>
      </c>
      <c r="G122" t="s">
        <v>4105</v>
      </c>
      <c r="H122"/>
      <c r="I122" t="s">
        <v>4098</v>
      </c>
      <c r="J122" t="b">
        <v>0</v>
      </c>
      <c r="K122" t="b">
        <v>0</v>
      </c>
      <c r="L122" t="b">
        <v>0</v>
      </c>
      <c r="M122"/>
      <c r="N122" t="b">
        <v>0</v>
      </c>
      <c r="O122"/>
      <c r="P122">
        <v>14.1</v>
      </c>
      <c r="Q122">
        <v>3.98</v>
      </c>
      <c r="R122">
        <v>18.079999999999998</v>
      </c>
      <c r="S122">
        <v>67</v>
      </c>
      <c r="T122">
        <v>30</v>
      </c>
      <c r="U122">
        <v>30</v>
      </c>
      <c r="V122">
        <v>363</v>
      </c>
      <c r="W122" s="281">
        <v>41884</v>
      </c>
      <c r="X122" s="282"/>
      <c r="Z122" s="9" t="b">
        <f t="shared" si="15"/>
        <v>0</v>
      </c>
      <c r="AA122" s="9" t="str">
        <f t="shared" si="28"/>
        <v>3</v>
      </c>
      <c r="AB122" s="196">
        <f t="shared" si="16"/>
        <v>21.104800000000001</v>
      </c>
      <c r="AC122" s="9">
        <f>VLOOKUP(AA122,'Federal Standards'!$N$9:$P$50,2,FALSE)</f>
        <v>8.07</v>
      </c>
      <c r="AD122" s="44">
        <f>VLOOKUP(AA122,'Federal Standards'!$N$9:$P$50,3,FALSE)</f>
        <v>233.7</v>
      </c>
      <c r="AE122" s="44">
        <f t="shared" si="17"/>
        <v>404.015736</v>
      </c>
      <c r="AF122" s="283">
        <f t="shared" si="18"/>
        <v>41.015736000000004</v>
      </c>
      <c r="AG122" s="291">
        <f t="shared" si="27"/>
        <v>0.10152014475000549</v>
      </c>
      <c r="AH122" s="184" t="str">
        <f t="shared" si="19"/>
        <v>YES</v>
      </c>
      <c r="AJ122" s="9" t="str">
        <f t="shared" si="20"/>
        <v>YES</v>
      </c>
      <c r="AK122" s="9" t="str">
        <f t="shared" si="21"/>
        <v>YES</v>
      </c>
      <c r="AL122" s="9" t="str">
        <f t="shared" si="22"/>
        <v>NO</v>
      </c>
      <c r="AM122" s="9" t="str">
        <f t="shared" si="23"/>
        <v>NO</v>
      </c>
      <c r="AN122" s="9" t="str">
        <f t="shared" si="24"/>
        <v>Tier 1 - 10% to 15% better than Standard</v>
      </c>
      <c r="AO122" s="9" t="str">
        <f t="shared" si="25"/>
        <v>3_Tier 1 - 10% to 15% better than Standard</v>
      </c>
      <c r="AP122" s="9" t="str">
        <f t="shared" si="26"/>
        <v>3_YES</v>
      </c>
    </row>
    <row r="123" spans="1:42">
      <c r="A123">
        <v>86375</v>
      </c>
      <c r="B123" t="s">
        <v>4165</v>
      </c>
      <c r="C123" t="s">
        <v>169</v>
      </c>
      <c r="D123" t="s">
        <v>4206</v>
      </c>
      <c r="E123" t="s">
        <v>4097</v>
      </c>
      <c r="F123" t="s">
        <v>162</v>
      </c>
      <c r="G123" t="s">
        <v>184</v>
      </c>
      <c r="H123"/>
      <c r="I123"/>
      <c r="J123" t="b">
        <v>0</v>
      </c>
      <c r="K123" t="b">
        <v>0</v>
      </c>
      <c r="L123"/>
      <c r="M123"/>
      <c r="N123" t="b">
        <v>0</v>
      </c>
      <c r="O123"/>
      <c r="P123">
        <v>16.63</v>
      </c>
      <c r="Q123"/>
      <c r="R123">
        <v>16.63</v>
      </c>
      <c r="S123">
        <v>68</v>
      </c>
      <c r="T123">
        <v>34</v>
      </c>
      <c r="U123">
        <v>29</v>
      </c>
      <c r="V123">
        <v>318</v>
      </c>
      <c r="W123" s="281">
        <v>41872</v>
      </c>
      <c r="X123" s="282"/>
      <c r="Z123" s="9" t="b">
        <f t="shared" si="15"/>
        <v>0</v>
      </c>
      <c r="AA123" s="9" t="str">
        <f t="shared" si="28"/>
        <v>3A</v>
      </c>
      <c r="AB123" s="196">
        <f t="shared" si="16"/>
        <v>16.63</v>
      </c>
      <c r="AC123" s="9">
        <f>VLOOKUP(AA123,'Federal Standards'!$N$9:$P$50,2,FALSE)</f>
        <v>7.07</v>
      </c>
      <c r="AD123" s="44">
        <f>VLOOKUP(AA123,'Federal Standards'!$N$9:$P$50,3,FALSE)</f>
        <v>201.6</v>
      </c>
      <c r="AE123" s="44">
        <f t="shared" si="17"/>
        <v>319.17410000000001</v>
      </c>
      <c r="AF123" s="283">
        <f t="shared" si="18"/>
        <v>1.1741000000000099</v>
      </c>
      <c r="AG123" s="291">
        <f t="shared" si="27"/>
        <v>3.6785566247386926E-3</v>
      </c>
      <c r="AH123" s="184" t="str">
        <f t="shared" si="19"/>
        <v>YES</v>
      </c>
      <c r="AJ123" s="9" t="str">
        <f t="shared" si="20"/>
        <v>NO</v>
      </c>
      <c r="AK123" s="9" t="str">
        <f t="shared" si="21"/>
        <v>NO</v>
      </c>
      <c r="AL123" s="9" t="str">
        <f t="shared" si="22"/>
        <v>NO</v>
      </c>
      <c r="AM123" s="9" t="str">
        <f t="shared" si="23"/>
        <v>NO</v>
      </c>
      <c r="AN123" s="9" t="str">
        <f t="shared" si="24"/>
        <v>Less than 10% better than Standard</v>
      </c>
      <c r="AO123" s="9" t="str">
        <f t="shared" si="25"/>
        <v>3A_Less than 10% better than Standard</v>
      </c>
      <c r="AP123" s="9" t="str">
        <f t="shared" si="26"/>
        <v>3A_NO</v>
      </c>
    </row>
    <row r="124" spans="1:42">
      <c r="A124">
        <v>83108</v>
      </c>
      <c r="B124" t="s">
        <v>4165</v>
      </c>
      <c r="C124" t="s">
        <v>169</v>
      </c>
      <c r="D124" t="s">
        <v>4952</v>
      </c>
      <c r="E124" t="s">
        <v>4181</v>
      </c>
      <c r="F124" t="s">
        <v>162</v>
      </c>
      <c r="G124" t="s">
        <v>4105</v>
      </c>
      <c r="H124"/>
      <c r="I124" t="s">
        <v>4173</v>
      </c>
      <c r="J124"/>
      <c r="K124"/>
      <c r="L124"/>
      <c r="M124" t="b">
        <v>1</v>
      </c>
      <c r="N124" t="b">
        <v>0</v>
      </c>
      <c r="O124"/>
      <c r="P124">
        <v>14.22</v>
      </c>
      <c r="Q124">
        <v>8.31</v>
      </c>
      <c r="R124">
        <v>22.53</v>
      </c>
      <c r="S124">
        <v>68</v>
      </c>
      <c r="T124">
        <v>33</v>
      </c>
      <c r="U124">
        <v>34</v>
      </c>
      <c r="V124">
        <v>549</v>
      </c>
      <c r="W124" s="281">
        <v>41673</v>
      </c>
      <c r="X124" s="282"/>
      <c r="Z124" s="9" t="b">
        <f t="shared" si="15"/>
        <v>0</v>
      </c>
      <c r="AA124" s="9" t="str">
        <f>GetFridgeClass(E124,F124,G124,J124,Z124,L124,M124)</f>
        <v>7</v>
      </c>
      <c r="AB124" s="196">
        <f t="shared" si="16"/>
        <v>28.845600000000001</v>
      </c>
      <c r="AC124" s="9">
        <f>VLOOKUP(AA124,'Federal Standards'!$N$9:$P$50,2,FALSE)</f>
        <v>8.5399999999999991</v>
      </c>
      <c r="AD124" s="44">
        <f>VLOOKUP(AA124,'Federal Standards'!$N$9:$P$50,3,FALSE)</f>
        <v>432.8</v>
      </c>
      <c r="AE124" s="44">
        <f t="shared" si="17"/>
        <v>679.14142400000003</v>
      </c>
      <c r="AF124" s="283">
        <f t="shared" si="18"/>
        <v>130.14142400000003</v>
      </c>
      <c r="AG124" s="291">
        <f t="shared" si="27"/>
        <v>0.19162639680185378</v>
      </c>
      <c r="AH124" s="184" t="str">
        <f t="shared" si="19"/>
        <v>YES</v>
      </c>
      <c r="AJ124" s="9" t="str">
        <f t="shared" si="20"/>
        <v>YES</v>
      </c>
      <c r="AK124" s="9" t="str">
        <f t="shared" si="21"/>
        <v>NO</v>
      </c>
      <c r="AL124" s="9" t="str">
        <f t="shared" si="22"/>
        <v>YES</v>
      </c>
      <c r="AM124" s="9" t="str">
        <f t="shared" si="23"/>
        <v>NO</v>
      </c>
      <c r="AN124" s="9" t="str">
        <f t="shared" si="24"/>
        <v>Tier 2 - 15% to 20% better than Standard</v>
      </c>
      <c r="AO124" s="9" t="str">
        <f t="shared" si="25"/>
        <v>7_Tier 2 - 15% to 20% better than Standard</v>
      </c>
      <c r="AP124" s="9" t="str">
        <f t="shared" si="26"/>
        <v>7_YES</v>
      </c>
    </row>
    <row r="125" spans="1:42">
      <c r="A125">
        <v>83489</v>
      </c>
      <c r="B125" t="s">
        <v>4165</v>
      </c>
      <c r="C125" t="s">
        <v>169</v>
      </c>
      <c r="D125" t="s">
        <v>4207</v>
      </c>
      <c r="E125" t="s">
        <v>4104</v>
      </c>
      <c r="F125" t="s">
        <v>162</v>
      </c>
      <c r="G125" t="s">
        <v>4105</v>
      </c>
      <c r="H125"/>
      <c r="I125" t="s">
        <v>4106</v>
      </c>
      <c r="J125"/>
      <c r="K125"/>
      <c r="L125"/>
      <c r="M125"/>
      <c r="N125" t="b">
        <v>0</v>
      </c>
      <c r="O125"/>
      <c r="P125">
        <v>11.01</v>
      </c>
      <c r="Q125">
        <v>3.74</v>
      </c>
      <c r="R125">
        <v>14.8</v>
      </c>
      <c r="S125">
        <v>59</v>
      </c>
      <c r="T125">
        <v>28</v>
      </c>
      <c r="U125">
        <v>31</v>
      </c>
      <c r="V125">
        <v>443</v>
      </c>
      <c r="W125" s="281">
        <v>41743</v>
      </c>
      <c r="X125" s="282"/>
      <c r="Z125" s="9" t="b">
        <f t="shared" si="15"/>
        <v>0</v>
      </c>
      <c r="AA125" s="9" t="str">
        <f t="shared" si="28"/>
        <v>3</v>
      </c>
      <c r="AB125" s="196">
        <f t="shared" si="16"/>
        <v>17.592400000000001</v>
      </c>
      <c r="AC125" s="9">
        <f>VLOOKUP(AA125,'Federal Standards'!$N$9:$P$50,2,FALSE)</f>
        <v>8.07</v>
      </c>
      <c r="AD125" s="44">
        <f>VLOOKUP(AA125,'Federal Standards'!$N$9:$P$50,3,FALSE)</f>
        <v>233.7</v>
      </c>
      <c r="AE125" s="44">
        <f t="shared" si="17"/>
        <v>375.67066799999998</v>
      </c>
      <c r="AF125" s="283">
        <f t="shared" si="18"/>
        <v>-67.329332000000022</v>
      </c>
      <c r="AG125" s="291">
        <f t="shared" si="27"/>
        <v>-0.17922435189962721</v>
      </c>
      <c r="AH125" s="184" t="str">
        <f t="shared" si="19"/>
        <v>NO</v>
      </c>
      <c r="AJ125" s="9" t="str">
        <f t="shared" si="20"/>
        <v>NO</v>
      </c>
      <c r="AK125" s="9" t="str">
        <f t="shared" si="21"/>
        <v>NO</v>
      </c>
      <c r="AL125" s="9" t="str">
        <f t="shared" si="22"/>
        <v>NO</v>
      </c>
      <c r="AM125" s="9" t="str">
        <f t="shared" si="23"/>
        <v>NO</v>
      </c>
      <c r="AN125" s="9" t="str">
        <f t="shared" si="24"/>
        <v>Doesn't meet Standard</v>
      </c>
      <c r="AO125" s="9" t="str">
        <f t="shared" si="25"/>
        <v>3_Doesn't meet Standard</v>
      </c>
      <c r="AP125" s="9" t="str">
        <f t="shared" si="26"/>
        <v>3_NO</v>
      </c>
    </row>
    <row r="126" spans="1:42">
      <c r="A126">
        <v>83150</v>
      </c>
      <c r="B126" t="s">
        <v>4165</v>
      </c>
      <c r="C126" t="s">
        <v>169</v>
      </c>
      <c r="D126" t="s">
        <v>4953</v>
      </c>
      <c r="E126" t="s">
        <v>4104</v>
      </c>
      <c r="F126" t="s">
        <v>162</v>
      </c>
      <c r="G126" t="s">
        <v>4105</v>
      </c>
      <c r="H126"/>
      <c r="I126" t="s">
        <v>4106</v>
      </c>
      <c r="J126"/>
      <c r="K126"/>
      <c r="L126"/>
      <c r="M126"/>
      <c r="N126" t="b">
        <v>0</v>
      </c>
      <c r="O126"/>
      <c r="P126">
        <v>11.01</v>
      </c>
      <c r="Q126">
        <v>3.74</v>
      </c>
      <c r="R126">
        <v>14.75</v>
      </c>
      <c r="S126">
        <v>59</v>
      </c>
      <c r="T126">
        <v>28</v>
      </c>
      <c r="U126">
        <v>31</v>
      </c>
      <c r="V126">
        <v>443</v>
      </c>
      <c r="W126" s="281">
        <v>41683</v>
      </c>
      <c r="X126" s="282"/>
      <c r="Z126" s="9" t="b">
        <f t="shared" si="15"/>
        <v>0</v>
      </c>
      <c r="AA126" s="9" t="str">
        <f t="shared" si="28"/>
        <v>3</v>
      </c>
      <c r="AB126" s="196">
        <f t="shared" si="16"/>
        <v>17.592400000000001</v>
      </c>
      <c r="AC126" s="9">
        <f>VLOOKUP(AA126,'Federal Standards'!$N$9:$P$50,2,FALSE)</f>
        <v>8.07</v>
      </c>
      <c r="AD126" s="44">
        <f>VLOOKUP(AA126,'Federal Standards'!$N$9:$P$50,3,FALSE)</f>
        <v>233.7</v>
      </c>
      <c r="AE126" s="44">
        <f t="shared" si="17"/>
        <v>375.67066799999998</v>
      </c>
      <c r="AF126" s="283">
        <f t="shared" si="18"/>
        <v>-67.329332000000022</v>
      </c>
      <c r="AG126" s="291">
        <f t="shared" si="27"/>
        <v>-0.17922435189962721</v>
      </c>
      <c r="AH126" s="184" t="str">
        <f t="shared" si="19"/>
        <v>NO</v>
      </c>
      <c r="AJ126" s="9" t="str">
        <f t="shared" si="20"/>
        <v>NO</v>
      </c>
      <c r="AK126" s="9" t="str">
        <f t="shared" si="21"/>
        <v>NO</v>
      </c>
      <c r="AL126" s="9" t="str">
        <f t="shared" si="22"/>
        <v>NO</v>
      </c>
      <c r="AM126" s="9" t="str">
        <f t="shared" si="23"/>
        <v>NO</v>
      </c>
      <c r="AN126" s="9" t="str">
        <f t="shared" si="24"/>
        <v>Doesn't meet Standard</v>
      </c>
      <c r="AO126" s="9" t="str">
        <f t="shared" si="25"/>
        <v>3_Doesn't meet Standard</v>
      </c>
      <c r="AP126" s="9" t="str">
        <f t="shared" si="26"/>
        <v>3_NO</v>
      </c>
    </row>
    <row r="127" spans="1:42">
      <c r="A127">
        <v>85380</v>
      </c>
      <c r="B127" t="s">
        <v>4165</v>
      </c>
      <c r="C127" t="s">
        <v>169</v>
      </c>
      <c r="D127" t="s">
        <v>4208</v>
      </c>
      <c r="E127" t="s">
        <v>4108</v>
      </c>
      <c r="F127" t="s">
        <v>162</v>
      </c>
      <c r="G127" t="s">
        <v>4105</v>
      </c>
      <c r="H127"/>
      <c r="I127" t="s">
        <v>4098</v>
      </c>
      <c r="J127" t="b">
        <v>0</v>
      </c>
      <c r="K127" t="b">
        <v>0</v>
      </c>
      <c r="L127" t="b">
        <v>0</v>
      </c>
      <c r="M127"/>
      <c r="N127" t="b">
        <v>0</v>
      </c>
      <c r="O127"/>
      <c r="P127">
        <v>12.67</v>
      </c>
      <c r="Q127">
        <v>3.63</v>
      </c>
      <c r="R127">
        <v>16.3</v>
      </c>
      <c r="S127">
        <v>66</v>
      </c>
      <c r="T127">
        <v>28</v>
      </c>
      <c r="U127">
        <v>30</v>
      </c>
      <c r="V127">
        <v>387</v>
      </c>
      <c r="W127" s="281">
        <v>41837</v>
      </c>
      <c r="X127" s="282"/>
      <c r="Z127" s="9" t="b">
        <f t="shared" si="15"/>
        <v>0</v>
      </c>
      <c r="AA127" s="9" t="str">
        <f t="shared" si="28"/>
        <v>3</v>
      </c>
      <c r="AB127" s="196">
        <f t="shared" si="16"/>
        <v>19.058799999999998</v>
      </c>
      <c r="AC127" s="9">
        <f>VLOOKUP(AA127,'Federal Standards'!$N$9:$P$50,2,FALSE)</f>
        <v>8.07</v>
      </c>
      <c r="AD127" s="44">
        <f>VLOOKUP(AA127,'Federal Standards'!$N$9:$P$50,3,FALSE)</f>
        <v>233.7</v>
      </c>
      <c r="AE127" s="44">
        <f t="shared" si="17"/>
        <v>387.50451599999997</v>
      </c>
      <c r="AF127" s="283">
        <f t="shared" si="18"/>
        <v>0.50451599999996688</v>
      </c>
      <c r="AG127" s="291">
        <f t="shared" si="27"/>
        <v>1.3019616008809738E-3</v>
      </c>
      <c r="AH127" s="184" t="str">
        <f t="shared" si="19"/>
        <v>YES</v>
      </c>
      <c r="AJ127" s="9" t="str">
        <f t="shared" si="20"/>
        <v>NO</v>
      </c>
      <c r="AK127" s="9" t="str">
        <f t="shared" si="21"/>
        <v>NO</v>
      </c>
      <c r="AL127" s="9" t="str">
        <f t="shared" si="22"/>
        <v>NO</v>
      </c>
      <c r="AM127" s="9" t="str">
        <f t="shared" si="23"/>
        <v>NO</v>
      </c>
      <c r="AN127" s="9" t="str">
        <f t="shared" si="24"/>
        <v>Less than 10% better than Standard</v>
      </c>
      <c r="AO127" s="9" t="str">
        <f t="shared" si="25"/>
        <v>3_Less than 10% better than Standard</v>
      </c>
      <c r="AP127" s="9" t="str">
        <f t="shared" si="26"/>
        <v>3_NO</v>
      </c>
    </row>
    <row r="128" spans="1:42">
      <c r="A128">
        <v>83490</v>
      </c>
      <c r="B128" t="s">
        <v>4165</v>
      </c>
      <c r="C128" t="s">
        <v>169</v>
      </c>
      <c r="D128" t="s">
        <v>4209</v>
      </c>
      <c r="E128" t="s">
        <v>4104</v>
      </c>
      <c r="F128" t="s">
        <v>162</v>
      </c>
      <c r="G128" t="s">
        <v>4105</v>
      </c>
      <c r="H128"/>
      <c r="I128" t="s">
        <v>4106</v>
      </c>
      <c r="J128"/>
      <c r="K128"/>
      <c r="L128"/>
      <c r="M128"/>
      <c r="N128" t="b">
        <v>0</v>
      </c>
      <c r="O128"/>
      <c r="P128">
        <v>12.76</v>
      </c>
      <c r="Q128">
        <v>3.74</v>
      </c>
      <c r="R128">
        <v>16.5</v>
      </c>
      <c r="S128">
        <v>64</v>
      </c>
      <c r="T128">
        <v>28</v>
      </c>
      <c r="U128">
        <v>31</v>
      </c>
      <c r="V128">
        <v>460</v>
      </c>
      <c r="W128" s="281">
        <v>41743</v>
      </c>
      <c r="X128" s="282"/>
      <c r="Z128" s="9" t="b">
        <f t="shared" si="15"/>
        <v>0</v>
      </c>
      <c r="AA128" s="9" t="str">
        <f t="shared" si="28"/>
        <v>3</v>
      </c>
      <c r="AB128" s="196">
        <f t="shared" si="16"/>
        <v>19.342400000000001</v>
      </c>
      <c r="AC128" s="9">
        <f>VLOOKUP(AA128,'Federal Standards'!$N$9:$P$50,2,FALSE)</f>
        <v>8.07</v>
      </c>
      <c r="AD128" s="44">
        <f>VLOOKUP(AA128,'Federal Standards'!$N$9:$P$50,3,FALSE)</f>
        <v>233.7</v>
      </c>
      <c r="AE128" s="44">
        <f t="shared" si="17"/>
        <v>389.79316800000004</v>
      </c>
      <c r="AF128" s="283">
        <f t="shared" si="18"/>
        <v>-70.206831999999963</v>
      </c>
      <c r="AG128" s="291">
        <f t="shared" si="27"/>
        <v>-0.18011303882062898</v>
      </c>
      <c r="AH128" s="184" t="str">
        <f t="shared" si="19"/>
        <v>NO</v>
      </c>
      <c r="AJ128" s="9" t="str">
        <f t="shared" si="20"/>
        <v>NO</v>
      </c>
      <c r="AK128" s="9" t="str">
        <f t="shared" si="21"/>
        <v>NO</v>
      </c>
      <c r="AL128" s="9" t="str">
        <f t="shared" si="22"/>
        <v>NO</v>
      </c>
      <c r="AM128" s="9" t="str">
        <f t="shared" si="23"/>
        <v>NO</v>
      </c>
      <c r="AN128" s="9" t="str">
        <f t="shared" si="24"/>
        <v>Doesn't meet Standard</v>
      </c>
      <c r="AO128" s="9" t="str">
        <f t="shared" si="25"/>
        <v>3_Doesn't meet Standard</v>
      </c>
      <c r="AP128" s="9" t="str">
        <f t="shared" si="26"/>
        <v>3_NO</v>
      </c>
    </row>
    <row r="129" spans="1:42">
      <c r="A129">
        <v>87359</v>
      </c>
      <c r="B129" t="s">
        <v>4165</v>
      </c>
      <c r="C129" t="s">
        <v>169</v>
      </c>
      <c r="D129" t="s">
        <v>4210</v>
      </c>
      <c r="E129" t="s">
        <v>4108</v>
      </c>
      <c r="F129" t="s">
        <v>162</v>
      </c>
      <c r="G129" t="s">
        <v>4105</v>
      </c>
      <c r="H129"/>
      <c r="I129" t="s">
        <v>4098</v>
      </c>
      <c r="J129" t="b">
        <v>0</v>
      </c>
      <c r="K129" t="b">
        <v>0</v>
      </c>
      <c r="L129" t="b">
        <v>0</v>
      </c>
      <c r="M129"/>
      <c r="N129" t="b">
        <v>0</v>
      </c>
      <c r="O129"/>
      <c r="P129">
        <v>14.1</v>
      </c>
      <c r="Q129">
        <v>3.98</v>
      </c>
      <c r="R129">
        <v>18.100000000000001</v>
      </c>
      <c r="S129">
        <v>67</v>
      </c>
      <c r="T129">
        <v>30</v>
      </c>
      <c r="U129">
        <v>30</v>
      </c>
      <c r="V129">
        <v>404</v>
      </c>
      <c r="W129" s="281">
        <v>41892</v>
      </c>
      <c r="X129" s="282"/>
      <c r="Z129" s="9" t="b">
        <f t="shared" si="15"/>
        <v>0</v>
      </c>
      <c r="AA129" s="9" t="str">
        <f t="shared" si="28"/>
        <v>3</v>
      </c>
      <c r="AB129" s="196">
        <f t="shared" si="16"/>
        <v>21.104800000000001</v>
      </c>
      <c r="AC129" s="9">
        <f>VLOOKUP(AA129,'Federal Standards'!$N$9:$P$50,2,FALSE)</f>
        <v>8.07</v>
      </c>
      <c r="AD129" s="44">
        <f>VLOOKUP(AA129,'Federal Standards'!$N$9:$P$50,3,FALSE)</f>
        <v>233.7</v>
      </c>
      <c r="AE129" s="44">
        <f t="shared" si="17"/>
        <v>404.015736</v>
      </c>
      <c r="AF129" s="283">
        <f t="shared" si="18"/>
        <v>1.5736000000003969E-2</v>
      </c>
      <c r="AG129" s="291">
        <f t="shared" si="27"/>
        <v>3.8948977967541266E-5</v>
      </c>
      <c r="AH129" s="184" t="str">
        <f t="shared" si="19"/>
        <v>YES</v>
      </c>
      <c r="AJ129" s="9" t="str">
        <f t="shared" si="20"/>
        <v>NO</v>
      </c>
      <c r="AK129" s="9" t="str">
        <f t="shared" si="21"/>
        <v>NO</v>
      </c>
      <c r="AL129" s="9" t="str">
        <f t="shared" si="22"/>
        <v>NO</v>
      </c>
      <c r="AM129" s="9" t="str">
        <f t="shared" si="23"/>
        <v>NO</v>
      </c>
      <c r="AN129" s="9" t="str">
        <f t="shared" si="24"/>
        <v>Less than 10% better than Standard</v>
      </c>
      <c r="AO129" s="9" t="str">
        <f t="shared" si="25"/>
        <v>3_Less than 10% better than Standard</v>
      </c>
      <c r="AP129" s="9" t="str">
        <f t="shared" si="26"/>
        <v>3_NO</v>
      </c>
    </row>
    <row r="130" spans="1:42">
      <c r="A130">
        <v>83019</v>
      </c>
      <c r="B130" t="s">
        <v>4165</v>
      </c>
      <c r="C130" t="s">
        <v>169</v>
      </c>
      <c r="D130" t="s">
        <v>4211</v>
      </c>
      <c r="E130" t="s">
        <v>4104</v>
      </c>
      <c r="F130" t="s">
        <v>162</v>
      </c>
      <c r="G130" t="s">
        <v>4105</v>
      </c>
      <c r="H130"/>
      <c r="I130" t="s">
        <v>4106</v>
      </c>
      <c r="J130"/>
      <c r="K130"/>
      <c r="L130"/>
      <c r="M130"/>
      <c r="N130" t="b">
        <v>0</v>
      </c>
      <c r="O130" t="s">
        <v>4099</v>
      </c>
      <c r="P130">
        <v>15.25</v>
      </c>
      <c r="Q130">
        <v>5.26</v>
      </c>
      <c r="R130">
        <v>20.51</v>
      </c>
      <c r="S130">
        <v>68</v>
      </c>
      <c r="T130">
        <v>30</v>
      </c>
      <c r="U130">
        <v>34</v>
      </c>
      <c r="V130">
        <v>509</v>
      </c>
      <c r="W130" s="281">
        <v>41620</v>
      </c>
      <c r="X130" s="282"/>
      <c r="Z130" s="9" t="b">
        <f t="shared" si="15"/>
        <v>0</v>
      </c>
      <c r="AA130" s="9" t="str">
        <f t="shared" si="28"/>
        <v>3</v>
      </c>
      <c r="AB130" s="196">
        <f t="shared" si="16"/>
        <v>24.5076</v>
      </c>
      <c r="AC130" s="9">
        <f>VLOOKUP(AA130,'Federal Standards'!$N$9:$P$50,2,FALSE)</f>
        <v>8.07</v>
      </c>
      <c r="AD130" s="44">
        <f>VLOOKUP(AA130,'Federal Standards'!$N$9:$P$50,3,FALSE)</f>
        <v>233.7</v>
      </c>
      <c r="AE130" s="44">
        <f t="shared" si="17"/>
        <v>431.47633199999996</v>
      </c>
      <c r="AF130" s="283">
        <f t="shared" si="18"/>
        <v>-77.523668000000043</v>
      </c>
      <c r="AG130" s="291">
        <f t="shared" si="27"/>
        <v>-0.17967073104718997</v>
      </c>
      <c r="AH130" s="184" t="str">
        <f t="shared" si="19"/>
        <v>NO</v>
      </c>
      <c r="AJ130" s="9" t="str">
        <f t="shared" si="20"/>
        <v>NO</v>
      </c>
      <c r="AK130" s="9" t="str">
        <f t="shared" si="21"/>
        <v>NO</v>
      </c>
      <c r="AL130" s="9" t="str">
        <f t="shared" si="22"/>
        <v>NO</v>
      </c>
      <c r="AM130" s="9" t="str">
        <f t="shared" si="23"/>
        <v>NO</v>
      </c>
      <c r="AN130" s="9" t="str">
        <f t="shared" si="24"/>
        <v>Doesn't meet Standard</v>
      </c>
      <c r="AO130" s="9" t="str">
        <f t="shared" si="25"/>
        <v>3_Doesn't meet Standard</v>
      </c>
      <c r="AP130" s="9" t="str">
        <f t="shared" si="26"/>
        <v>3_NO</v>
      </c>
    </row>
    <row r="131" spans="1:42">
      <c r="A131">
        <v>86195</v>
      </c>
      <c r="B131" t="s">
        <v>4165</v>
      </c>
      <c r="C131" t="s">
        <v>169</v>
      </c>
      <c r="D131" t="s">
        <v>4212</v>
      </c>
      <c r="E131" t="s">
        <v>4108</v>
      </c>
      <c r="F131" t="s">
        <v>162</v>
      </c>
      <c r="G131" t="s">
        <v>4105</v>
      </c>
      <c r="H131"/>
      <c r="I131" t="s">
        <v>4098</v>
      </c>
      <c r="J131" t="b">
        <v>0</v>
      </c>
      <c r="K131" t="b">
        <v>0</v>
      </c>
      <c r="L131" t="b">
        <v>0</v>
      </c>
      <c r="M131"/>
      <c r="N131" t="b">
        <v>0</v>
      </c>
      <c r="O131"/>
      <c r="P131">
        <v>15.29</v>
      </c>
      <c r="Q131">
        <v>5.14</v>
      </c>
      <c r="R131">
        <v>20.43</v>
      </c>
      <c r="S131">
        <v>69</v>
      </c>
      <c r="T131">
        <v>30</v>
      </c>
      <c r="U131">
        <v>32</v>
      </c>
      <c r="V131">
        <v>430</v>
      </c>
      <c r="W131" s="281">
        <v>41871</v>
      </c>
      <c r="X131" s="282"/>
      <c r="Z131" s="9" t="b">
        <f t="shared" si="15"/>
        <v>0</v>
      </c>
      <c r="AA131" s="9" t="str">
        <f t="shared" si="28"/>
        <v>3</v>
      </c>
      <c r="AB131" s="196">
        <f t="shared" si="16"/>
        <v>24.336399999999998</v>
      </c>
      <c r="AC131" s="9">
        <f>VLOOKUP(AA131,'Federal Standards'!$N$9:$P$50,2,FALSE)</f>
        <v>8.07</v>
      </c>
      <c r="AD131" s="44">
        <f>VLOOKUP(AA131,'Federal Standards'!$N$9:$P$50,3,FALSE)</f>
        <v>233.7</v>
      </c>
      <c r="AE131" s="44">
        <f t="shared" si="17"/>
        <v>430.09474799999998</v>
      </c>
      <c r="AF131" s="283">
        <f t="shared" si="18"/>
        <v>9.4747999999981403E-2</v>
      </c>
      <c r="AG131" s="291">
        <f t="shared" si="27"/>
        <v>2.2029564518184121E-4</v>
      </c>
      <c r="AH131" s="184" t="str">
        <f t="shared" si="19"/>
        <v>YES</v>
      </c>
      <c r="AJ131" s="9" t="str">
        <f t="shared" si="20"/>
        <v>NO</v>
      </c>
      <c r="AK131" s="9" t="str">
        <f t="shared" si="21"/>
        <v>NO</v>
      </c>
      <c r="AL131" s="9" t="str">
        <f t="shared" si="22"/>
        <v>NO</v>
      </c>
      <c r="AM131" s="9" t="str">
        <f t="shared" si="23"/>
        <v>NO</v>
      </c>
      <c r="AN131" s="9" t="str">
        <f t="shared" si="24"/>
        <v>Less than 10% better than Standard</v>
      </c>
      <c r="AO131" s="9" t="str">
        <f t="shared" si="25"/>
        <v>3_Less than 10% better than Standard</v>
      </c>
      <c r="AP131" s="9" t="str">
        <f t="shared" si="26"/>
        <v>3_NO</v>
      </c>
    </row>
    <row r="132" spans="1:42">
      <c r="A132">
        <v>86351</v>
      </c>
      <c r="B132" t="s">
        <v>4165</v>
      </c>
      <c r="C132" t="s">
        <v>169</v>
      </c>
      <c r="D132" t="s">
        <v>4213</v>
      </c>
      <c r="E132" t="s">
        <v>187</v>
      </c>
      <c r="F132" t="s">
        <v>162</v>
      </c>
      <c r="G132" t="s">
        <v>189</v>
      </c>
      <c r="H132"/>
      <c r="I132"/>
      <c r="J132" t="b">
        <v>0</v>
      </c>
      <c r="K132" t="b">
        <v>0</v>
      </c>
      <c r="L132" t="b">
        <v>0</v>
      </c>
      <c r="M132"/>
      <c r="N132" t="b">
        <v>0</v>
      </c>
      <c r="O132"/>
      <c r="P132"/>
      <c r="Q132">
        <v>16.63</v>
      </c>
      <c r="R132">
        <v>16.63</v>
      </c>
      <c r="S132">
        <v>68</v>
      </c>
      <c r="T132">
        <v>34</v>
      </c>
      <c r="U132">
        <v>29</v>
      </c>
      <c r="V132">
        <v>479</v>
      </c>
      <c r="W132" s="281">
        <v>41872</v>
      </c>
      <c r="X132" s="282"/>
      <c r="Z132" s="9" t="b">
        <f t="shared" si="15"/>
        <v>0</v>
      </c>
      <c r="AA132" s="9" t="str">
        <f t="shared" si="28"/>
        <v>9</v>
      </c>
      <c r="AB132" s="196">
        <f t="shared" si="16"/>
        <v>29.268799999999999</v>
      </c>
      <c r="AC132" s="9">
        <f>VLOOKUP(AA132,'Federal Standards'!$N$9:$P$50,2,FALSE)</f>
        <v>8.6199999999999992</v>
      </c>
      <c r="AD132" s="44">
        <f>VLOOKUP(AA132,'Federal Standards'!$N$9:$P$50,3,FALSE)</f>
        <v>228.3</v>
      </c>
      <c r="AE132" s="44">
        <f t="shared" si="17"/>
        <v>480.59705599999995</v>
      </c>
      <c r="AF132" s="283">
        <f t="shared" si="18"/>
        <v>1.5970559999999523</v>
      </c>
      <c r="AG132" s="291">
        <f t="shared" si="27"/>
        <v>3.3230665482893687E-3</v>
      </c>
      <c r="AH132" s="184" t="str">
        <f t="shared" si="19"/>
        <v>YES</v>
      </c>
      <c r="AJ132" s="9" t="str">
        <f t="shared" si="20"/>
        <v>NO</v>
      </c>
      <c r="AK132" s="9" t="str">
        <f t="shared" si="21"/>
        <v>NO</v>
      </c>
      <c r="AL132" s="9" t="str">
        <f t="shared" si="22"/>
        <v>NO</v>
      </c>
      <c r="AM132" s="9" t="str">
        <f t="shared" si="23"/>
        <v>NO</v>
      </c>
      <c r="AN132" s="9" t="str">
        <f t="shared" si="24"/>
        <v>Less than 10% better than Standard</v>
      </c>
      <c r="AO132" s="9" t="str">
        <f t="shared" si="25"/>
        <v>9_Less than 10% better than Standard</v>
      </c>
      <c r="AP132" s="9" t="str">
        <f t="shared" si="26"/>
        <v>9_NO</v>
      </c>
    </row>
    <row r="133" spans="1:42">
      <c r="A133">
        <v>86398</v>
      </c>
      <c r="B133" t="s">
        <v>4165</v>
      </c>
      <c r="C133" t="s">
        <v>169</v>
      </c>
      <c r="D133" t="s">
        <v>4214</v>
      </c>
      <c r="E133" t="s">
        <v>4097</v>
      </c>
      <c r="F133" t="s">
        <v>162</v>
      </c>
      <c r="G133" t="s">
        <v>184</v>
      </c>
      <c r="H133"/>
      <c r="I133"/>
      <c r="J133" t="b">
        <v>0</v>
      </c>
      <c r="K133" t="b">
        <v>0</v>
      </c>
      <c r="L133"/>
      <c r="M133"/>
      <c r="N133" t="b">
        <v>0</v>
      </c>
      <c r="O133"/>
      <c r="P133">
        <v>20.53</v>
      </c>
      <c r="Q133"/>
      <c r="R133">
        <v>20.53</v>
      </c>
      <c r="S133">
        <v>74</v>
      </c>
      <c r="T133">
        <v>34</v>
      </c>
      <c r="U133">
        <v>31</v>
      </c>
      <c r="V133">
        <v>345</v>
      </c>
      <c r="W133" s="281">
        <v>41872</v>
      </c>
      <c r="X133" s="282"/>
      <c r="Z133" s="9" t="b">
        <f t="shared" si="15"/>
        <v>0</v>
      </c>
      <c r="AA133" s="9" t="str">
        <f t="shared" si="28"/>
        <v>3A</v>
      </c>
      <c r="AB133" s="196">
        <f t="shared" si="16"/>
        <v>20.53</v>
      </c>
      <c r="AC133" s="9">
        <f>VLOOKUP(AA133,'Federal Standards'!$N$9:$P$50,2,FALSE)</f>
        <v>7.07</v>
      </c>
      <c r="AD133" s="44">
        <f>VLOOKUP(AA133,'Federal Standards'!$N$9:$P$50,3,FALSE)</f>
        <v>201.6</v>
      </c>
      <c r="AE133" s="44">
        <f t="shared" si="17"/>
        <v>346.74710000000005</v>
      </c>
      <c r="AF133" s="283">
        <f t="shared" si="18"/>
        <v>1.7471000000000458</v>
      </c>
      <c r="AG133" s="291">
        <f t="shared" si="27"/>
        <v>5.0385424997066901E-3</v>
      </c>
      <c r="AH133" s="184" t="str">
        <f t="shared" si="19"/>
        <v>YES</v>
      </c>
      <c r="AJ133" s="9" t="str">
        <f t="shared" si="20"/>
        <v>NO</v>
      </c>
      <c r="AK133" s="9" t="str">
        <f t="shared" si="21"/>
        <v>NO</v>
      </c>
      <c r="AL133" s="9" t="str">
        <f t="shared" si="22"/>
        <v>NO</v>
      </c>
      <c r="AM133" s="9" t="str">
        <f t="shared" si="23"/>
        <v>NO</v>
      </c>
      <c r="AN133" s="9" t="str">
        <f t="shared" si="24"/>
        <v>Less than 10% better than Standard</v>
      </c>
      <c r="AO133" s="9" t="str">
        <f t="shared" si="25"/>
        <v>3A_Less than 10% better than Standard</v>
      </c>
      <c r="AP133" s="9" t="str">
        <f t="shared" si="26"/>
        <v>3A_NO</v>
      </c>
    </row>
    <row r="134" spans="1:42">
      <c r="A134">
        <v>86366</v>
      </c>
      <c r="B134" t="s">
        <v>4165</v>
      </c>
      <c r="C134" t="s">
        <v>169</v>
      </c>
      <c r="D134" t="s">
        <v>4214</v>
      </c>
      <c r="E134" t="s">
        <v>187</v>
      </c>
      <c r="F134" t="s">
        <v>162</v>
      </c>
      <c r="G134" t="s">
        <v>189</v>
      </c>
      <c r="H134"/>
      <c r="I134"/>
      <c r="J134" t="b">
        <v>0</v>
      </c>
      <c r="K134" t="b">
        <v>0</v>
      </c>
      <c r="L134" t="b">
        <v>0</v>
      </c>
      <c r="M134"/>
      <c r="N134" t="b">
        <v>0</v>
      </c>
      <c r="O134"/>
      <c r="P134"/>
      <c r="Q134">
        <v>20.53</v>
      </c>
      <c r="R134">
        <v>20.53</v>
      </c>
      <c r="S134">
        <v>74</v>
      </c>
      <c r="T134">
        <v>34</v>
      </c>
      <c r="U134">
        <v>31</v>
      </c>
      <c r="V134">
        <v>538</v>
      </c>
      <c r="W134" s="281">
        <v>41872</v>
      </c>
      <c r="X134" s="282"/>
      <c r="Z134" s="9" t="b">
        <f t="shared" si="15"/>
        <v>0</v>
      </c>
      <c r="AA134" s="9" t="str">
        <f t="shared" si="28"/>
        <v>9</v>
      </c>
      <c r="AB134" s="196">
        <f t="shared" si="16"/>
        <v>36.132800000000003</v>
      </c>
      <c r="AC134" s="9">
        <f>VLOOKUP(AA134,'Federal Standards'!$N$9:$P$50,2,FALSE)</f>
        <v>8.6199999999999992</v>
      </c>
      <c r="AD134" s="44">
        <f>VLOOKUP(AA134,'Federal Standards'!$N$9:$P$50,3,FALSE)</f>
        <v>228.3</v>
      </c>
      <c r="AE134" s="44">
        <f t="shared" si="17"/>
        <v>539.76473600000008</v>
      </c>
      <c r="AF134" s="283">
        <f t="shared" si="18"/>
        <v>1.7647360000000845</v>
      </c>
      <c r="AG134" s="291">
        <f t="shared" si="27"/>
        <v>3.2694540459940018E-3</v>
      </c>
      <c r="AH134" s="184" t="str">
        <f t="shared" si="19"/>
        <v>YES</v>
      </c>
      <c r="AJ134" s="9" t="str">
        <f t="shared" si="20"/>
        <v>NO</v>
      </c>
      <c r="AK134" s="9" t="str">
        <f t="shared" si="21"/>
        <v>NO</v>
      </c>
      <c r="AL134" s="9" t="str">
        <f t="shared" si="22"/>
        <v>NO</v>
      </c>
      <c r="AM134" s="9" t="str">
        <f t="shared" si="23"/>
        <v>NO</v>
      </c>
      <c r="AN134" s="9" t="str">
        <f t="shared" si="24"/>
        <v>Less than 10% better than Standard</v>
      </c>
      <c r="AO134" s="9" t="str">
        <f t="shared" si="25"/>
        <v>9_Less than 10% better than Standard</v>
      </c>
      <c r="AP134" s="9" t="str">
        <f t="shared" si="26"/>
        <v>9_NO</v>
      </c>
    </row>
    <row r="135" spans="1:42">
      <c r="A135">
        <v>83110</v>
      </c>
      <c r="B135" t="s">
        <v>4165</v>
      </c>
      <c r="C135" t="s">
        <v>169</v>
      </c>
      <c r="D135" t="s">
        <v>4215</v>
      </c>
      <c r="E135" t="s">
        <v>4216</v>
      </c>
      <c r="F135" t="s">
        <v>162</v>
      </c>
      <c r="G135" t="s">
        <v>4105</v>
      </c>
      <c r="H135"/>
      <c r="I135" t="s">
        <v>4199</v>
      </c>
      <c r="J135"/>
      <c r="K135"/>
      <c r="L135"/>
      <c r="M135"/>
      <c r="N135" t="b">
        <v>0</v>
      </c>
      <c r="O135"/>
      <c r="P135">
        <v>19.02</v>
      </c>
      <c r="Q135">
        <v>8.74</v>
      </c>
      <c r="R135">
        <v>27.76</v>
      </c>
      <c r="S135">
        <v>68</v>
      </c>
      <c r="T135">
        <v>36</v>
      </c>
      <c r="U135">
        <v>34</v>
      </c>
      <c r="V135">
        <v>564</v>
      </c>
      <c r="W135" s="281">
        <v>41673</v>
      </c>
      <c r="X135" s="282"/>
      <c r="Z135" s="9" t="b">
        <f t="shared" si="15"/>
        <v>0</v>
      </c>
      <c r="AA135" s="9" t="str">
        <f t="shared" si="28"/>
        <v>5A</v>
      </c>
      <c r="AB135" s="196">
        <f t="shared" si="16"/>
        <v>34.4024</v>
      </c>
      <c r="AC135" s="9">
        <f>VLOOKUP(AA135,'Federal Standards'!$N$9:$P$50,2,FALSE)</f>
        <v>9.25</v>
      </c>
      <c r="AD135" s="44">
        <f>VLOOKUP(AA135,'Federal Standards'!$N$9:$P$50,3,FALSE)</f>
        <v>475.4</v>
      </c>
      <c r="AE135" s="44">
        <f t="shared" si="17"/>
        <v>793.62220000000002</v>
      </c>
      <c r="AF135" s="283">
        <f t="shared" si="18"/>
        <v>229.62220000000002</v>
      </c>
      <c r="AG135" s="291">
        <f t="shared" si="27"/>
        <v>0.28933439613962414</v>
      </c>
      <c r="AH135" s="184" t="str">
        <f t="shared" si="19"/>
        <v>YES</v>
      </c>
      <c r="AJ135" s="9" t="str">
        <f t="shared" si="20"/>
        <v>YES</v>
      </c>
      <c r="AK135" s="9" t="str">
        <f t="shared" si="21"/>
        <v>NO</v>
      </c>
      <c r="AL135" s="9" t="str">
        <f t="shared" si="22"/>
        <v>NO</v>
      </c>
      <c r="AM135" s="9" t="str">
        <f t="shared" si="23"/>
        <v>YES</v>
      </c>
      <c r="AN135" s="9" t="str">
        <f t="shared" si="24"/>
        <v>Tier 3 - 20%  or better than Standard</v>
      </c>
      <c r="AO135" s="9" t="str">
        <f t="shared" si="25"/>
        <v>5A_Tier 3 - 20%  or better than Standard</v>
      </c>
      <c r="AP135" s="9" t="str">
        <f t="shared" si="26"/>
        <v>5A_YES</v>
      </c>
    </row>
    <row r="136" spans="1:42">
      <c r="A136">
        <v>85839</v>
      </c>
      <c r="B136" t="s">
        <v>4165</v>
      </c>
      <c r="C136" t="s">
        <v>169</v>
      </c>
      <c r="D136" t="s">
        <v>4217</v>
      </c>
      <c r="E136" t="s">
        <v>4179</v>
      </c>
      <c r="F136" t="s">
        <v>162</v>
      </c>
      <c r="G136" t="s">
        <v>4105</v>
      </c>
      <c r="H136"/>
      <c r="I136" t="s">
        <v>4098</v>
      </c>
      <c r="J136" t="b">
        <v>0</v>
      </c>
      <c r="K136" t="b">
        <v>0</v>
      </c>
      <c r="L136" t="b">
        <v>1</v>
      </c>
      <c r="M136" t="b">
        <v>1</v>
      </c>
      <c r="N136" t="b">
        <v>0</v>
      </c>
      <c r="O136"/>
      <c r="P136">
        <v>16.54</v>
      </c>
      <c r="Q136">
        <v>9.0299999999999994</v>
      </c>
      <c r="R136">
        <v>25.6</v>
      </c>
      <c r="S136">
        <v>70</v>
      </c>
      <c r="T136">
        <v>36</v>
      </c>
      <c r="U136">
        <v>34</v>
      </c>
      <c r="V136">
        <v>647</v>
      </c>
      <c r="W136" s="281">
        <v>41864</v>
      </c>
      <c r="X136" s="282"/>
      <c r="Z136" s="9" t="b">
        <f t="shared" si="15"/>
        <v>0</v>
      </c>
      <c r="AA136" s="9" t="str">
        <f t="shared" si="28"/>
        <v>7</v>
      </c>
      <c r="AB136" s="196">
        <f t="shared" si="16"/>
        <v>32.4328</v>
      </c>
      <c r="AC136" s="9">
        <f>VLOOKUP(AA136,'Federal Standards'!$N$9:$P$50,2,FALSE)</f>
        <v>8.5399999999999991</v>
      </c>
      <c r="AD136" s="44">
        <f>VLOOKUP(AA136,'Federal Standards'!$N$9:$P$50,3,FALSE)</f>
        <v>432.8</v>
      </c>
      <c r="AE136" s="44">
        <f t="shared" si="17"/>
        <v>709.77611200000001</v>
      </c>
      <c r="AF136" s="283">
        <f t="shared" si="18"/>
        <v>62.776112000000012</v>
      </c>
      <c r="AG136" s="291">
        <f t="shared" si="27"/>
        <v>8.8444948961595951E-2</v>
      </c>
      <c r="AH136" s="184" t="str">
        <f t="shared" si="19"/>
        <v>YES</v>
      </c>
      <c r="AJ136" s="9" t="str">
        <f t="shared" si="20"/>
        <v>NO</v>
      </c>
      <c r="AK136" s="9" t="str">
        <f t="shared" si="21"/>
        <v>NO</v>
      </c>
      <c r="AL136" s="9" t="str">
        <f t="shared" si="22"/>
        <v>NO</v>
      </c>
      <c r="AM136" s="9" t="str">
        <f t="shared" si="23"/>
        <v>NO</v>
      </c>
      <c r="AN136" s="9" t="str">
        <f t="shared" si="24"/>
        <v>Less than 10% better than Standard</v>
      </c>
      <c r="AO136" s="9" t="str">
        <f t="shared" si="25"/>
        <v>7_Less than 10% better than Standard</v>
      </c>
      <c r="AP136" s="9" t="str">
        <f t="shared" si="26"/>
        <v>7_NO</v>
      </c>
    </row>
    <row r="137" spans="1:42">
      <c r="A137">
        <v>84034</v>
      </c>
      <c r="B137" t="s">
        <v>4165</v>
      </c>
      <c r="C137" t="s">
        <v>169</v>
      </c>
      <c r="D137" t="s">
        <v>473</v>
      </c>
      <c r="E137" t="s">
        <v>4109</v>
      </c>
      <c r="F137" t="s">
        <v>162</v>
      </c>
      <c r="G137" t="s">
        <v>4105</v>
      </c>
      <c r="H137"/>
      <c r="I137" t="s">
        <v>4170</v>
      </c>
      <c r="J137" t="b">
        <v>0</v>
      </c>
      <c r="K137" t="b">
        <v>0</v>
      </c>
      <c r="L137" t="b">
        <v>1</v>
      </c>
      <c r="M137" t="b">
        <v>1</v>
      </c>
      <c r="N137" t="b">
        <v>0</v>
      </c>
      <c r="O137"/>
      <c r="P137">
        <v>18.48</v>
      </c>
      <c r="Q137">
        <v>8.7100000000000009</v>
      </c>
      <c r="R137">
        <v>27.2</v>
      </c>
      <c r="S137">
        <v>68</v>
      </c>
      <c r="T137">
        <v>36</v>
      </c>
      <c r="U137">
        <v>34</v>
      </c>
      <c r="V137">
        <v>717</v>
      </c>
      <c r="W137" s="281">
        <v>41782</v>
      </c>
      <c r="X137" s="282"/>
      <c r="Z137" s="9" t="b">
        <f t="shared" si="15"/>
        <v>0</v>
      </c>
      <c r="AA137" s="9" t="str">
        <f t="shared" si="28"/>
        <v>5A</v>
      </c>
      <c r="AB137" s="196">
        <f t="shared" si="16"/>
        <v>33.809600000000003</v>
      </c>
      <c r="AC137" s="9">
        <f>VLOOKUP(AA137,'Federal Standards'!$N$9:$P$50,2,FALSE)</f>
        <v>9.25</v>
      </c>
      <c r="AD137" s="44">
        <f>VLOOKUP(AA137,'Federal Standards'!$N$9:$P$50,3,FALSE)</f>
        <v>475.4</v>
      </c>
      <c r="AE137" s="44">
        <f t="shared" si="17"/>
        <v>788.13879999999995</v>
      </c>
      <c r="AF137" s="283">
        <f t="shared" si="18"/>
        <v>71.138799999999947</v>
      </c>
      <c r="AG137" s="291">
        <f t="shared" si="27"/>
        <v>9.0261766074706581E-2</v>
      </c>
      <c r="AH137" s="184" t="str">
        <f t="shared" si="19"/>
        <v>YES</v>
      </c>
      <c r="AJ137" s="9" t="str">
        <f t="shared" si="20"/>
        <v>NO</v>
      </c>
      <c r="AK137" s="9" t="str">
        <f t="shared" si="21"/>
        <v>NO</v>
      </c>
      <c r="AL137" s="9" t="str">
        <f t="shared" si="22"/>
        <v>NO</v>
      </c>
      <c r="AM137" s="9" t="str">
        <f t="shared" si="23"/>
        <v>NO</v>
      </c>
      <c r="AN137" s="9" t="str">
        <f t="shared" si="24"/>
        <v>Less than 10% better than Standard</v>
      </c>
      <c r="AO137" s="9" t="str">
        <f t="shared" si="25"/>
        <v>5A_Less than 10% better than Standard</v>
      </c>
      <c r="AP137" s="9" t="str">
        <f t="shared" si="26"/>
        <v>5A_NO</v>
      </c>
    </row>
    <row r="138" spans="1:42">
      <c r="A138">
        <v>85386</v>
      </c>
      <c r="B138" t="s">
        <v>4165</v>
      </c>
      <c r="C138" t="s">
        <v>169</v>
      </c>
      <c r="D138" t="s">
        <v>4218</v>
      </c>
      <c r="E138" t="s">
        <v>4179</v>
      </c>
      <c r="F138" t="s">
        <v>162</v>
      </c>
      <c r="G138" t="s">
        <v>4105</v>
      </c>
      <c r="H138"/>
      <c r="I138" t="s">
        <v>4098</v>
      </c>
      <c r="J138" t="b">
        <v>0</v>
      </c>
      <c r="K138" t="b">
        <v>0</v>
      </c>
      <c r="L138" t="b">
        <v>1</v>
      </c>
      <c r="M138" t="b">
        <v>1</v>
      </c>
      <c r="N138" t="b">
        <v>0</v>
      </c>
      <c r="O138"/>
      <c r="P138">
        <v>14.17</v>
      </c>
      <c r="Q138">
        <v>7.99</v>
      </c>
      <c r="R138">
        <v>22.2</v>
      </c>
      <c r="S138">
        <v>70</v>
      </c>
      <c r="T138">
        <v>33</v>
      </c>
      <c r="U138">
        <v>33</v>
      </c>
      <c r="V138">
        <v>673</v>
      </c>
      <c r="W138" s="281">
        <v>41837</v>
      </c>
      <c r="X138" s="282"/>
      <c r="Z138" s="9" t="b">
        <f t="shared" ref="Z138:Z201" si="29">IF(R138&lt;7.75,TRUE, FALSE)</f>
        <v>0</v>
      </c>
      <c r="AA138" s="9" t="str">
        <f t="shared" si="28"/>
        <v>7</v>
      </c>
      <c r="AB138" s="196">
        <f t="shared" ref="AB138:AB201" si="30">IF(OR(E138="Internal Freezer",E138 = "Single Door"),P138 + Q138*1.47,P138 + Q138*1.76)</f>
        <v>28.232399999999998</v>
      </c>
      <c r="AC138" s="9">
        <f>VLOOKUP(AA138,'Federal Standards'!$N$9:$P$50,2,FALSE)</f>
        <v>8.5399999999999991</v>
      </c>
      <c r="AD138" s="44">
        <f>VLOOKUP(AA138,'Federal Standards'!$N$9:$P$50,3,FALSE)</f>
        <v>432.8</v>
      </c>
      <c r="AE138" s="44">
        <f t="shared" ref="AE138:AE201" si="31">AB138*AC138+AD138</f>
        <v>673.90469599999994</v>
      </c>
      <c r="AF138" s="283">
        <f t="shared" ref="AF138:AF201" si="32">IF($AF$2,AE138-V138,MAX(0,AE138-V138))</f>
        <v>0.90469599999994443</v>
      </c>
      <c r="AG138" s="291">
        <f t="shared" si="27"/>
        <v>1.3424687576297058E-3</v>
      </c>
      <c r="AH138" s="184" t="str">
        <f t="shared" ref="AH138:AH201" si="33">IF(AF138&gt;=0,"YES","NO")</f>
        <v>YES</v>
      </c>
      <c r="AJ138" s="9" t="str">
        <f t="shared" ref="AJ138:AJ201" si="34">IF(AG138&gt;=0.1,"YES","NO")</f>
        <v>NO</v>
      </c>
      <c r="AK138" s="9" t="str">
        <f t="shared" ref="AK138:AK201" si="35">IF(AND($AG138&gt;=0.1,$AG138&lt;0.15),"YES","NO")</f>
        <v>NO</v>
      </c>
      <c r="AL138" s="9" t="str">
        <f t="shared" ref="AL138:AL201" si="36">IF(AND($AG138&gt;=0.15,$AG138&lt;0.2),"YES","NO")</f>
        <v>NO</v>
      </c>
      <c r="AM138" s="9" t="str">
        <f t="shared" ref="AM138:AM201" si="37">IF($AG138&gt;=0.2,"YES","NO")</f>
        <v>NO</v>
      </c>
      <c r="AN138" s="9" t="str">
        <f t="shared" ref="AN138:AN201" si="38">VLOOKUP(AG138,$AO$2:$AP$6,2,TRUE)</f>
        <v>Less than 10% better than Standard</v>
      </c>
      <c r="AO138" s="9" t="str">
        <f t="shared" ref="AO138:AO201" si="39">AA138&amp;"_"&amp;AN138</f>
        <v>7_Less than 10% better than Standard</v>
      </c>
      <c r="AP138" s="9" t="str">
        <f t="shared" ref="AP138:AP201" si="40">CONCATENATE(AA138,"_",AJ138)</f>
        <v>7_NO</v>
      </c>
    </row>
    <row r="139" spans="1:42">
      <c r="A139">
        <v>83126</v>
      </c>
      <c r="B139" t="s">
        <v>4165</v>
      </c>
      <c r="C139" t="s">
        <v>169</v>
      </c>
      <c r="D139" t="s">
        <v>4219</v>
      </c>
      <c r="E139" t="s">
        <v>4198</v>
      </c>
      <c r="F139" t="s">
        <v>162</v>
      </c>
      <c r="G139" t="s">
        <v>4105</v>
      </c>
      <c r="H139"/>
      <c r="I139" t="s">
        <v>4199</v>
      </c>
      <c r="J139"/>
      <c r="K139"/>
      <c r="L139"/>
      <c r="M139"/>
      <c r="N139" t="b">
        <v>0</v>
      </c>
      <c r="O139" t="s">
        <v>4099</v>
      </c>
      <c r="P139">
        <v>18.95</v>
      </c>
      <c r="Q139">
        <v>8.84</v>
      </c>
      <c r="R139">
        <v>27.79</v>
      </c>
      <c r="S139">
        <v>68</v>
      </c>
      <c r="T139">
        <v>36</v>
      </c>
      <c r="U139">
        <v>34</v>
      </c>
      <c r="V139">
        <v>489</v>
      </c>
      <c r="W139" s="281">
        <v>41675</v>
      </c>
      <c r="X139" s="282"/>
      <c r="Z139" s="9" t="b">
        <f t="shared" si="29"/>
        <v>0</v>
      </c>
      <c r="AA139" s="9" t="str">
        <f t="shared" si="28"/>
        <v>5</v>
      </c>
      <c r="AB139" s="196">
        <f t="shared" si="30"/>
        <v>34.508400000000002</v>
      </c>
      <c r="AC139" s="9">
        <f>VLOOKUP(AA139,'Federal Standards'!$N$9:$P$50,2,FALSE)</f>
        <v>8.85</v>
      </c>
      <c r="AD139" s="44">
        <f>VLOOKUP(AA139,'Federal Standards'!$N$9:$P$50,3,FALSE)</f>
        <v>317</v>
      </c>
      <c r="AE139" s="44">
        <f t="shared" si="31"/>
        <v>622.39933999999994</v>
      </c>
      <c r="AF139" s="283">
        <f t="shared" si="32"/>
        <v>133.39933999999994</v>
      </c>
      <c r="AG139" s="291">
        <f t="shared" si="27"/>
        <v>0.21433078640475414</v>
      </c>
      <c r="AH139" s="184" t="str">
        <f t="shared" si="33"/>
        <v>YES</v>
      </c>
      <c r="AJ139" s="9" t="str">
        <f t="shared" si="34"/>
        <v>YES</v>
      </c>
      <c r="AK139" s="9" t="str">
        <f t="shared" si="35"/>
        <v>NO</v>
      </c>
      <c r="AL139" s="9" t="str">
        <f t="shared" si="36"/>
        <v>NO</v>
      </c>
      <c r="AM139" s="9" t="str">
        <f t="shared" si="37"/>
        <v>YES</v>
      </c>
      <c r="AN139" s="9" t="str">
        <f t="shared" si="38"/>
        <v>Tier 3 - 20%  or better than Standard</v>
      </c>
      <c r="AO139" s="9" t="str">
        <f t="shared" si="39"/>
        <v>5_Tier 3 - 20%  or better than Standard</v>
      </c>
      <c r="AP139" s="9" t="str">
        <f t="shared" si="40"/>
        <v>5_YES</v>
      </c>
    </row>
    <row r="140" spans="1:42">
      <c r="A140">
        <v>85408</v>
      </c>
      <c r="B140" t="s">
        <v>4165</v>
      </c>
      <c r="C140" t="s">
        <v>169</v>
      </c>
      <c r="D140" t="s">
        <v>485</v>
      </c>
      <c r="E140" t="s">
        <v>4179</v>
      </c>
      <c r="F140" t="s">
        <v>162</v>
      </c>
      <c r="G140" t="s">
        <v>4105</v>
      </c>
      <c r="H140"/>
      <c r="I140" t="s">
        <v>4098</v>
      </c>
      <c r="J140" t="b">
        <v>0</v>
      </c>
      <c r="K140" t="b">
        <v>0</v>
      </c>
      <c r="L140" t="b">
        <v>1</v>
      </c>
      <c r="M140" t="b">
        <v>1</v>
      </c>
      <c r="N140" t="b">
        <v>0</v>
      </c>
      <c r="O140"/>
      <c r="P140">
        <v>14.3</v>
      </c>
      <c r="Q140">
        <v>7.9</v>
      </c>
      <c r="R140">
        <v>22.2</v>
      </c>
      <c r="S140">
        <v>70</v>
      </c>
      <c r="T140">
        <v>33</v>
      </c>
      <c r="U140">
        <v>34</v>
      </c>
      <c r="V140">
        <v>614</v>
      </c>
      <c r="W140" s="281">
        <v>41837</v>
      </c>
      <c r="X140" s="282"/>
      <c r="Z140" s="9" t="b">
        <f t="shared" si="29"/>
        <v>0</v>
      </c>
      <c r="AA140" s="9" t="str">
        <f t="shared" si="28"/>
        <v>7</v>
      </c>
      <c r="AB140" s="196">
        <f t="shared" si="30"/>
        <v>28.204000000000001</v>
      </c>
      <c r="AC140" s="9">
        <f>VLOOKUP(AA140,'Federal Standards'!$N$9:$P$50,2,FALSE)</f>
        <v>8.5399999999999991</v>
      </c>
      <c r="AD140" s="44">
        <f>VLOOKUP(AA140,'Federal Standards'!$N$9:$P$50,3,FALSE)</f>
        <v>432.8</v>
      </c>
      <c r="AE140" s="44">
        <f t="shared" si="31"/>
        <v>673.66215999999997</v>
      </c>
      <c r="AF140" s="283">
        <f t="shared" si="32"/>
        <v>59.662159999999972</v>
      </c>
      <c r="AG140" s="291">
        <f t="shared" ref="AG140:AG203" si="41">AF140/AE140</f>
        <v>8.8563917557726524E-2</v>
      </c>
      <c r="AH140" s="184" t="str">
        <f t="shared" si="33"/>
        <v>YES</v>
      </c>
      <c r="AJ140" s="9" t="str">
        <f t="shared" si="34"/>
        <v>NO</v>
      </c>
      <c r="AK140" s="9" t="str">
        <f t="shared" si="35"/>
        <v>NO</v>
      </c>
      <c r="AL140" s="9" t="str">
        <f t="shared" si="36"/>
        <v>NO</v>
      </c>
      <c r="AM140" s="9" t="str">
        <f t="shared" si="37"/>
        <v>NO</v>
      </c>
      <c r="AN140" s="9" t="str">
        <f t="shared" si="38"/>
        <v>Less than 10% better than Standard</v>
      </c>
      <c r="AO140" s="9" t="str">
        <f t="shared" si="39"/>
        <v>7_Less than 10% better than Standard</v>
      </c>
      <c r="AP140" s="9" t="str">
        <f t="shared" si="40"/>
        <v>7_NO</v>
      </c>
    </row>
    <row r="141" spans="1:42">
      <c r="A141">
        <v>83127</v>
      </c>
      <c r="B141" t="s">
        <v>4165</v>
      </c>
      <c r="C141" t="s">
        <v>169</v>
      </c>
      <c r="D141" t="s">
        <v>4954</v>
      </c>
      <c r="E141" t="s">
        <v>187</v>
      </c>
      <c r="F141" t="s">
        <v>162</v>
      </c>
      <c r="G141" t="s">
        <v>189</v>
      </c>
      <c r="H141"/>
      <c r="I141" t="s">
        <v>4173</v>
      </c>
      <c r="J141"/>
      <c r="K141"/>
      <c r="L141"/>
      <c r="M141"/>
      <c r="N141" t="b">
        <v>0</v>
      </c>
      <c r="O141"/>
      <c r="P141"/>
      <c r="Q141">
        <v>16.73</v>
      </c>
      <c r="R141">
        <v>16.73</v>
      </c>
      <c r="S141">
        <v>66</v>
      </c>
      <c r="T141">
        <v>32</v>
      </c>
      <c r="U141">
        <v>27</v>
      </c>
      <c r="V141">
        <v>615</v>
      </c>
      <c r="W141" s="281">
        <v>41675</v>
      </c>
      <c r="X141" s="282"/>
      <c r="Z141" s="9" t="b">
        <f t="shared" si="29"/>
        <v>0</v>
      </c>
      <c r="AA141" s="9" t="str">
        <f t="shared" si="28"/>
        <v>9</v>
      </c>
      <c r="AB141" s="196">
        <f t="shared" si="30"/>
        <v>29.444800000000001</v>
      </c>
      <c r="AC141" s="9">
        <f>VLOOKUP(AA141,'Federal Standards'!$N$9:$P$50,2,FALSE)</f>
        <v>8.6199999999999992</v>
      </c>
      <c r="AD141" s="44">
        <f>VLOOKUP(AA141,'Federal Standards'!$N$9:$P$50,3,FALSE)</f>
        <v>228.3</v>
      </c>
      <c r="AE141" s="44">
        <f t="shared" si="31"/>
        <v>482.11417599999999</v>
      </c>
      <c r="AF141" s="283">
        <f t="shared" si="32"/>
        <v>-132.88582400000001</v>
      </c>
      <c r="AG141" s="291">
        <f t="shared" si="41"/>
        <v>-0.27563143880672786</v>
      </c>
      <c r="AH141" s="184" t="str">
        <f t="shared" si="33"/>
        <v>NO</v>
      </c>
      <c r="AJ141" s="9" t="str">
        <f t="shared" si="34"/>
        <v>NO</v>
      </c>
      <c r="AK141" s="9" t="str">
        <f t="shared" si="35"/>
        <v>NO</v>
      </c>
      <c r="AL141" s="9" t="str">
        <f t="shared" si="36"/>
        <v>NO</v>
      </c>
      <c r="AM141" s="9" t="str">
        <f t="shared" si="37"/>
        <v>NO</v>
      </c>
      <c r="AN141" s="9" t="str">
        <f t="shared" si="38"/>
        <v>Doesn't meet Standard</v>
      </c>
      <c r="AO141" s="9" t="str">
        <f t="shared" si="39"/>
        <v>9_Doesn't meet Standard</v>
      </c>
      <c r="AP141" s="9" t="str">
        <f t="shared" si="40"/>
        <v>9_NO</v>
      </c>
    </row>
    <row r="142" spans="1:42">
      <c r="A142">
        <v>84035</v>
      </c>
      <c r="B142" t="s">
        <v>4165</v>
      </c>
      <c r="C142" t="s">
        <v>169</v>
      </c>
      <c r="D142" t="s">
        <v>495</v>
      </c>
      <c r="E142" t="s">
        <v>4109</v>
      </c>
      <c r="F142" t="s">
        <v>162</v>
      </c>
      <c r="G142" t="s">
        <v>4105</v>
      </c>
      <c r="H142"/>
      <c r="I142" t="s">
        <v>4170</v>
      </c>
      <c r="J142" t="b">
        <v>0</v>
      </c>
      <c r="K142" t="b">
        <v>0</v>
      </c>
      <c r="L142" t="b">
        <v>1</v>
      </c>
      <c r="M142" t="b">
        <v>1</v>
      </c>
      <c r="N142" t="b">
        <v>0</v>
      </c>
      <c r="O142"/>
      <c r="P142">
        <v>15.13</v>
      </c>
      <c r="Q142">
        <v>6.8</v>
      </c>
      <c r="R142">
        <v>21.9</v>
      </c>
      <c r="S142">
        <v>68</v>
      </c>
      <c r="T142">
        <v>36</v>
      </c>
      <c r="U142">
        <v>30</v>
      </c>
      <c r="V142">
        <v>662</v>
      </c>
      <c r="W142" s="281">
        <v>41782</v>
      </c>
      <c r="X142" s="282"/>
      <c r="Z142" s="9" t="b">
        <f t="shared" si="29"/>
        <v>0</v>
      </c>
      <c r="AA142" s="9" t="str">
        <f t="shared" si="28"/>
        <v>5A</v>
      </c>
      <c r="AB142" s="196">
        <f t="shared" si="30"/>
        <v>27.097999999999999</v>
      </c>
      <c r="AC142" s="9">
        <f>VLOOKUP(AA142,'Federal Standards'!$N$9:$P$50,2,FALSE)</f>
        <v>9.25</v>
      </c>
      <c r="AD142" s="44">
        <f>VLOOKUP(AA142,'Federal Standards'!$N$9:$P$50,3,FALSE)</f>
        <v>475.4</v>
      </c>
      <c r="AE142" s="44">
        <f t="shared" si="31"/>
        <v>726.05649999999991</v>
      </c>
      <c r="AF142" s="283">
        <f t="shared" si="32"/>
        <v>64.056499999999915</v>
      </c>
      <c r="AG142" s="291">
        <f t="shared" si="41"/>
        <v>8.8225227651016036E-2</v>
      </c>
      <c r="AH142" s="184" t="str">
        <f t="shared" si="33"/>
        <v>YES</v>
      </c>
      <c r="AJ142" s="9" t="str">
        <f t="shared" si="34"/>
        <v>NO</v>
      </c>
      <c r="AK142" s="9" t="str">
        <f t="shared" si="35"/>
        <v>NO</v>
      </c>
      <c r="AL142" s="9" t="str">
        <f t="shared" si="36"/>
        <v>NO</v>
      </c>
      <c r="AM142" s="9" t="str">
        <f t="shared" si="37"/>
        <v>NO</v>
      </c>
      <c r="AN142" s="9" t="str">
        <f t="shared" si="38"/>
        <v>Less than 10% better than Standard</v>
      </c>
      <c r="AO142" s="9" t="str">
        <f t="shared" si="39"/>
        <v>5A_Less than 10% better than Standard</v>
      </c>
      <c r="AP142" s="9" t="str">
        <f t="shared" si="40"/>
        <v>5A_NO</v>
      </c>
    </row>
    <row r="143" spans="1:42">
      <c r="A143">
        <v>83105</v>
      </c>
      <c r="B143" t="s">
        <v>4165</v>
      </c>
      <c r="C143" t="s">
        <v>169</v>
      </c>
      <c r="D143" t="s">
        <v>4955</v>
      </c>
      <c r="E143" t="s">
        <v>4104</v>
      </c>
      <c r="F143" t="s">
        <v>162</v>
      </c>
      <c r="G143" t="s">
        <v>4105</v>
      </c>
      <c r="H143"/>
      <c r="I143" t="s">
        <v>4173</v>
      </c>
      <c r="J143"/>
      <c r="K143"/>
      <c r="L143"/>
      <c r="M143"/>
      <c r="N143" t="b">
        <v>0</v>
      </c>
      <c r="O143"/>
      <c r="P143">
        <v>14.13</v>
      </c>
      <c r="Q143">
        <v>4.07</v>
      </c>
      <c r="R143">
        <v>18.2</v>
      </c>
      <c r="S143">
        <v>65</v>
      </c>
      <c r="T143">
        <v>30</v>
      </c>
      <c r="U143">
        <v>31</v>
      </c>
      <c r="V143">
        <v>479</v>
      </c>
      <c r="W143" s="281">
        <v>41673</v>
      </c>
      <c r="X143" s="282"/>
      <c r="Z143" s="9" t="b">
        <f t="shared" si="29"/>
        <v>0</v>
      </c>
      <c r="AA143" s="9" t="str">
        <f t="shared" si="28"/>
        <v>3</v>
      </c>
      <c r="AB143" s="196">
        <f t="shared" si="30"/>
        <v>21.293200000000002</v>
      </c>
      <c r="AC143" s="9">
        <f>VLOOKUP(AA143,'Federal Standards'!$N$9:$P$50,2,FALSE)</f>
        <v>8.07</v>
      </c>
      <c r="AD143" s="44">
        <f>VLOOKUP(AA143,'Federal Standards'!$N$9:$P$50,3,FALSE)</f>
        <v>233.7</v>
      </c>
      <c r="AE143" s="44">
        <f t="shared" si="31"/>
        <v>405.53612399999997</v>
      </c>
      <c r="AF143" s="283">
        <f t="shared" si="32"/>
        <v>-73.463876000000027</v>
      </c>
      <c r="AG143" s="291">
        <f t="shared" si="41"/>
        <v>-0.18115248347148485</v>
      </c>
      <c r="AH143" s="184" t="str">
        <f t="shared" si="33"/>
        <v>NO</v>
      </c>
      <c r="AJ143" s="9" t="str">
        <f t="shared" si="34"/>
        <v>NO</v>
      </c>
      <c r="AK143" s="9" t="str">
        <f t="shared" si="35"/>
        <v>NO</v>
      </c>
      <c r="AL143" s="9" t="str">
        <f t="shared" si="36"/>
        <v>NO</v>
      </c>
      <c r="AM143" s="9" t="str">
        <f t="shared" si="37"/>
        <v>NO</v>
      </c>
      <c r="AN143" s="9" t="str">
        <f t="shared" si="38"/>
        <v>Doesn't meet Standard</v>
      </c>
      <c r="AO143" s="9" t="str">
        <f t="shared" si="39"/>
        <v>3_Doesn't meet Standard</v>
      </c>
      <c r="AP143" s="9" t="str">
        <f t="shared" si="40"/>
        <v>3_NO</v>
      </c>
    </row>
    <row r="144" spans="1:42">
      <c r="A144">
        <v>86396</v>
      </c>
      <c r="B144" t="s">
        <v>4165</v>
      </c>
      <c r="C144" t="s">
        <v>4220</v>
      </c>
      <c r="D144" t="s">
        <v>4221</v>
      </c>
      <c r="E144" t="s">
        <v>4097</v>
      </c>
      <c r="F144" t="s">
        <v>162</v>
      </c>
      <c r="G144" t="s">
        <v>184</v>
      </c>
      <c r="H144"/>
      <c r="I144"/>
      <c r="J144" t="b">
        <v>0</v>
      </c>
      <c r="K144" t="b">
        <v>0</v>
      </c>
      <c r="L144"/>
      <c r="M144"/>
      <c r="N144" t="b">
        <v>0</v>
      </c>
      <c r="O144"/>
      <c r="P144">
        <v>16.63</v>
      </c>
      <c r="Q144"/>
      <c r="R144">
        <v>16.63</v>
      </c>
      <c r="S144">
        <v>68</v>
      </c>
      <c r="T144">
        <v>34</v>
      </c>
      <c r="U144">
        <v>29</v>
      </c>
      <c r="V144">
        <v>286</v>
      </c>
      <c r="W144" s="281">
        <v>41872</v>
      </c>
      <c r="X144" s="282"/>
      <c r="Z144" s="9" t="b">
        <f t="shared" si="29"/>
        <v>0</v>
      </c>
      <c r="AA144" s="9" t="str">
        <f t="shared" si="28"/>
        <v>3A</v>
      </c>
      <c r="AB144" s="196">
        <f t="shared" si="30"/>
        <v>16.63</v>
      </c>
      <c r="AC144" s="9">
        <f>VLOOKUP(AA144,'Federal Standards'!$N$9:$P$50,2,FALSE)</f>
        <v>7.07</v>
      </c>
      <c r="AD144" s="44">
        <f>VLOOKUP(AA144,'Federal Standards'!$N$9:$P$50,3,FALSE)</f>
        <v>201.6</v>
      </c>
      <c r="AE144" s="44">
        <f t="shared" si="31"/>
        <v>319.17410000000001</v>
      </c>
      <c r="AF144" s="283">
        <f t="shared" si="32"/>
        <v>33.17410000000001</v>
      </c>
      <c r="AG144" s="291">
        <f t="shared" si="41"/>
        <v>0.10393731822224926</v>
      </c>
      <c r="AH144" s="184" t="str">
        <f t="shared" si="33"/>
        <v>YES</v>
      </c>
      <c r="AJ144" s="9" t="str">
        <f t="shared" si="34"/>
        <v>YES</v>
      </c>
      <c r="AK144" s="9" t="str">
        <f t="shared" si="35"/>
        <v>YES</v>
      </c>
      <c r="AL144" s="9" t="str">
        <f t="shared" si="36"/>
        <v>NO</v>
      </c>
      <c r="AM144" s="9" t="str">
        <f t="shared" si="37"/>
        <v>NO</v>
      </c>
      <c r="AN144" s="9" t="str">
        <f t="shared" si="38"/>
        <v>Tier 1 - 10% to 15% better than Standard</v>
      </c>
      <c r="AO144" s="9" t="str">
        <f t="shared" si="39"/>
        <v>3A_Tier 1 - 10% to 15% better than Standard</v>
      </c>
      <c r="AP144" s="9" t="str">
        <f t="shared" si="40"/>
        <v>3A_YES</v>
      </c>
    </row>
    <row r="145" spans="1:42">
      <c r="A145">
        <v>86399</v>
      </c>
      <c r="B145" t="s">
        <v>4165</v>
      </c>
      <c r="C145" t="s">
        <v>4220</v>
      </c>
      <c r="D145" t="s">
        <v>4222</v>
      </c>
      <c r="E145" t="s">
        <v>4097</v>
      </c>
      <c r="F145" t="s">
        <v>162</v>
      </c>
      <c r="G145" t="s">
        <v>184</v>
      </c>
      <c r="H145"/>
      <c r="I145"/>
      <c r="J145" t="b">
        <v>0</v>
      </c>
      <c r="K145" t="b">
        <v>0</v>
      </c>
      <c r="L145"/>
      <c r="M145"/>
      <c r="N145" t="b">
        <v>0</v>
      </c>
      <c r="O145"/>
      <c r="P145">
        <v>20.53</v>
      </c>
      <c r="Q145"/>
      <c r="R145">
        <v>20.53</v>
      </c>
      <c r="S145">
        <v>74</v>
      </c>
      <c r="T145">
        <v>34</v>
      </c>
      <c r="U145">
        <v>31</v>
      </c>
      <c r="V145">
        <v>310</v>
      </c>
      <c r="W145" s="281">
        <v>41872</v>
      </c>
      <c r="X145" s="282"/>
      <c r="Z145" s="9" t="b">
        <f t="shared" si="29"/>
        <v>0</v>
      </c>
      <c r="AA145" s="9" t="str">
        <f t="shared" si="28"/>
        <v>3A</v>
      </c>
      <c r="AB145" s="196">
        <f t="shared" si="30"/>
        <v>20.53</v>
      </c>
      <c r="AC145" s="9">
        <f>VLOOKUP(AA145,'Federal Standards'!$N$9:$P$50,2,FALSE)</f>
        <v>7.07</v>
      </c>
      <c r="AD145" s="44">
        <f>VLOOKUP(AA145,'Federal Standards'!$N$9:$P$50,3,FALSE)</f>
        <v>201.6</v>
      </c>
      <c r="AE145" s="44">
        <f t="shared" si="31"/>
        <v>346.74710000000005</v>
      </c>
      <c r="AF145" s="283">
        <f t="shared" si="32"/>
        <v>36.747100000000046</v>
      </c>
      <c r="AG145" s="291">
        <f t="shared" si="41"/>
        <v>0.10597666137654804</v>
      </c>
      <c r="AH145" s="184" t="str">
        <f t="shared" si="33"/>
        <v>YES</v>
      </c>
      <c r="AJ145" s="9" t="str">
        <f t="shared" si="34"/>
        <v>YES</v>
      </c>
      <c r="AK145" s="9" t="str">
        <f t="shared" si="35"/>
        <v>YES</v>
      </c>
      <c r="AL145" s="9" t="str">
        <f t="shared" si="36"/>
        <v>NO</v>
      </c>
      <c r="AM145" s="9" t="str">
        <f t="shared" si="37"/>
        <v>NO</v>
      </c>
      <c r="AN145" s="9" t="str">
        <f t="shared" si="38"/>
        <v>Tier 1 - 10% to 15% better than Standard</v>
      </c>
      <c r="AO145" s="9" t="str">
        <f t="shared" si="39"/>
        <v>3A_Tier 1 - 10% to 15% better than Standard</v>
      </c>
      <c r="AP145" s="9" t="str">
        <f t="shared" si="40"/>
        <v>3A_YES</v>
      </c>
    </row>
    <row r="146" spans="1:42">
      <c r="A146">
        <v>87661</v>
      </c>
      <c r="B146" t="s">
        <v>4165</v>
      </c>
      <c r="C146" t="s">
        <v>170</v>
      </c>
      <c r="D146" t="s">
        <v>4223</v>
      </c>
      <c r="E146" t="s">
        <v>190</v>
      </c>
      <c r="F146" t="s">
        <v>188</v>
      </c>
      <c r="G146" t="s">
        <v>189</v>
      </c>
      <c r="H146"/>
      <c r="I146"/>
      <c r="J146" t="b">
        <v>0</v>
      </c>
      <c r="K146" t="b">
        <v>0</v>
      </c>
      <c r="L146"/>
      <c r="M146"/>
      <c r="N146" t="b">
        <v>0</v>
      </c>
      <c r="O146"/>
      <c r="P146"/>
      <c r="Q146">
        <v>15.58</v>
      </c>
      <c r="R146">
        <v>15.58</v>
      </c>
      <c r="S146">
        <v>35</v>
      </c>
      <c r="T146">
        <v>56</v>
      </c>
      <c r="U146">
        <v>28</v>
      </c>
      <c r="V146">
        <v>306</v>
      </c>
      <c r="W146" s="281">
        <v>41893</v>
      </c>
      <c r="X146" s="282"/>
      <c r="Z146" s="9" t="b">
        <f t="shared" si="29"/>
        <v>0</v>
      </c>
      <c r="AA146" s="9" t="str">
        <f t="shared" si="28"/>
        <v>10</v>
      </c>
      <c r="AB146" s="196">
        <f t="shared" si="30"/>
        <v>27.4208</v>
      </c>
      <c r="AC146" s="9">
        <f>VLOOKUP(AA146,'Federal Standards'!$N$9:$P$50,2,FALSE)</f>
        <v>7.29</v>
      </c>
      <c r="AD146" s="44">
        <f>VLOOKUP(AA146,'Federal Standards'!$N$9:$P$50,3,FALSE)</f>
        <v>107.8</v>
      </c>
      <c r="AE146" s="44">
        <f t="shared" si="31"/>
        <v>307.697632</v>
      </c>
      <c r="AF146" s="283">
        <f t="shared" si="32"/>
        <v>1.6976319999999987</v>
      </c>
      <c r="AG146" s="291">
        <f t="shared" si="41"/>
        <v>5.517208530223589E-3</v>
      </c>
      <c r="AH146" s="184" t="str">
        <f t="shared" si="33"/>
        <v>YES</v>
      </c>
      <c r="AJ146" s="9" t="str">
        <f t="shared" si="34"/>
        <v>NO</v>
      </c>
      <c r="AK146" s="9" t="str">
        <f t="shared" si="35"/>
        <v>NO</v>
      </c>
      <c r="AL146" s="9" t="str">
        <f t="shared" si="36"/>
        <v>NO</v>
      </c>
      <c r="AM146" s="9" t="str">
        <f t="shared" si="37"/>
        <v>NO</v>
      </c>
      <c r="AN146" s="9" t="str">
        <f t="shared" si="38"/>
        <v>Less than 10% better than Standard</v>
      </c>
      <c r="AO146" s="9" t="str">
        <f t="shared" si="39"/>
        <v>10_Less than 10% better than Standard</v>
      </c>
      <c r="AP146" s="9" t="str">
        <f t="shared" si="40"/>
        <v>10_NO</v>
      </c>
    </row>
    <row r="147" spans="1:42">
      <c r="A147">
        <v>85384</v>
      </c>
      <c r="B147" t="s">
        <v>4165</v>
      </c>
      <c r="C147" t="s">
        <v>170</v>
      </c>
      <c r="D147" t="s">
        <v>4224</v>
      </c>
      <c r="E147" t="s">
        <v>4108</v>
      </c>
      <c r="F147" t="s">
        <v>162</v>
      </c>
      <c r="G147" t="s">
        <v>4105</v>
      </c>
      <c r="H147"/>
      <c r="I147" t="s">
        <v>4098</v>
      </c>
      <c r="J147" t="b">
        <v>0</v>
      </c>
      <c r="K147" t="b">
        <v>0</v>
      </c>
      <c r="L147" t="b">
        <v>1</v>
      </c>
      <c r="M147" t="b">
        <v>0</v>
      </c>
      <c r="N147" t="b">
        <v>0</v>
      </c>
      <c r="O147"/>
      <c r="P147">
        <v>10.93</v>
      </c>
      <c r="Q147">
        <v>3.63</v>
      </c>
      <c r="R147">
        <v>14.56</v>
      </c>
      <c r="S147">
        <v>61</v>
      </c>
      <c r="T147">
        <v>28</v>
      </c>
      <c r="U147">
        <v>30</v>
      </c>
      <c r="V147">
        <v>457</v>
      </c>
      <c r="W147" s="281">
        <v>41837</v>
      </c>
      <c r="X147" s="282"/>
      <c r="Z147" s="9" t="b">
        <f t="shared" si="29"/>
        <v>0</v>
      </c>
      <c r="AA147" s="9" t="str">
        <f t="shared" si="28"/>
        <v>3I</v>
      </c>
      <c r="AB147" s="196">
        <f t="shared" si="30"/>
        <v>17.3188</v>
      </c>
      <c r="AC147" s="9">
        <f>VLOOKUP(AA147,'Federal Standards'!$N$9:$P$50,2,FALSE)</f>
        <v>8.07</v>
      </c>
      <c r="AD147" s="44">
        <f>VLOOKUP(AA147,'Federal Standards'!$N$9:$P$50,3,FALSE)</f>
        <v>317.7</v>
      </c>
      <c r="AE147" s="44">
        <f t="shared" si="31"/>
        <v>457.462716</v>
      </c>
      <c r="AF147" s="283">
        <f t="shared" si="32"/>
        <v>0.46271600000000035</v>
      </c>
      <c r="AG147" s="291">
        <f t="shared" si="41"/>
        <v>1.0114835238288586E-3</v>
      </c>
      <c r="AH147" s="184" t="str">
        <f t="shared" si="33"/>
        <v>YES</v>
      </c>
      <c r="AJ147" s="9" t="str">
        <f t="shared" si="34"/>
        <v>NO</v>
      </c>
      <c r="AK147" s="9" t="str">
        <f t="shared" si="35"/>
        <v>NO</v>
      </c>
      <c r="AL147" s="9" t="str">
        <f t="shared" si="36"/>
        <v>NO</v>
      </c>
      <c r="AM147" s="9" t="str">
        <f t="shared" si="37"/>
        <v>NO</v>
      </c>
      <c r="AN147" s="9" t="str">
        <f t="shared" si="38"/>
        <v>Less than 10% better than Standard</v>
      </c>
      <c r="AO147" s="9" t="str">
        <f t="shared" si="39"/>
        <v>3I_Less than 10% better than Standard</v>
      </c>
      <c r="AP147" s="9" t="str">
        <f t="shared" si="40"/>
        <v>3I_NO</v>
      </c>
    </row>
    <row r="148" spans="1:42">
      <c r="A148">
        <v>85411</v>
      </c>
      <c r="B148" t="s">
        <v>4165</v>
      </c>
      <c r="C148" t="s">
        <v>170</v>
      </c>
      <c r="D148" t="s">
        <v>811</v>
      </c>
      <c r="E148" t="s">
        <v>4109</v>
      </c>
      <c r="F148" t="s">
        <v>162</v>
      </c>
      <c r="G148" t="s">
        <v>4105</v>
      </c>
      <c r="H148"/>
      <c r="I148" t="s">
        <v>4170</v>
      </c>
      <c r="J148" t="b">
        <v>0</v>
      </c>
      <c r="K148" t="b">
        <v>0</v>
      </c>
      <c r="L148" t="b">
        <v>1</v>
      </c>
      <c r="M148" t="b">
        <v>1</v>
      </c>
      <c r="N148" t="b">
        <v>0</v>
      </c>
      <c r="O148"/>
      <c r="P148">
        <v>18.48</v>
      </c>
      <c r="Q148">
        <v>8.7100000000000009</v>
      </c>
      <c r="R148">
        <v>27.19</v>
      </c>
      <c r="S148">
        <v>70</v>
      </c>
      <c r="T148">
        <v>36</v>
      </c>
      <c r="U148">
        <v>34</v>
      </c>
      <c r="V148">
        <v>717</v>
      </c>
      <c r="W148" s="281">
        <v>41837</v>
      </c>
      <c r="X148" s="282"/>
      <c r="Z148" s="9" t="b">
        <f t="shared" si="29"/>
        <v>0</v>
      </c>
      <c r="AA148" s="9" t="str">
        <f t="shared" si="28"/>
        <v>5A</v>
      </c>
      <c r="AB148" s="196">
        <f t="shared" si="30"/>
        <v>33.809600000000003</v>
      </c>
      <c r="AC148" s="9">
        <f>VLOOKUP(AA148,'Federal Standards'!$N$9:$P$50,2,FALSE)</f>
        <v>9.25</v>
      </c>
      <c r="AD148" s="44">
        <f>VLOOKUP(AA148,'Federal Standards'!$N$9:$P$50,3,FALSE)</f>
        <v>475.4</v>
      </c>
      <c r="AE148" s="44">
        <f t="shared" si="31"/>
        <v>788.13879999999995</v>
      </c>
      <c r="AF148" s="283">
        <f t="shared" si="32"/>
        <v>71.138799999999947</v>
      </c>
      <c r="AG148" s="291">
        <f t="shared" si="41"/>
        <v>9.0261766074706581E-2</v>
      </c>
      <c r="AH148" s="184" t="str">
        <f t="shared" si="33"/>
        <v>YES</v>
      </c>
      <c r="AJ148" s="9" t="str">
        <f t="shared" si="34"/>
        <v>NO</v>
      </c>
      <c r="AK148" s="9" t="str">
        <f t="shared" si="35"/>
        <v>NO</v>
      </c>
      <c r="AL148" s="9" t="str">
        <f t="shared" si="36"/>
        <v>NO</v>
      </c>
      <c r="AM148" s="9" t="str">
        <f t="shared" si="37"/>
        <v>NO</v>
      </c>
      <c r="AN148" s="9" t="str">
        <f t="shared" si="38"/>
        <v>Less than 10% better than Standard</v>
      </c>
      <c r="AO148" s="9" t="str">
        <f t="shared" si="39"/>
        <v>5A_Less than 10% better than Standard</v>
      </c>
      <c r="AP148" s="9" t="str">
        <f t="shared" si="40"/>
        <v>5A_NO</v>
      </c>
    </row>
    <row r="149" spans="1:42">
      <c r="A149">
        <v>85385</v>
      </c>
      <c r="B149" t="s">
        <v>4165</v>
      </c>
      <c r="C149" t="s">
        <v>170</v>
      </c>
      <c r="D149" t="s">
        <v>4225</v>
      </c>
      <c r="E149" t="s">
        <v>4108</v>
      </c>
      <c r="F149" t="s">
        <v>162</v>
      </c>
      <c r="G149" t="s">
        <v>4105</v>
      </c>
      <c r="H149"/>
      <c r="I149" t="s">
        <v>4098</v>
      </c>
      <c r="J149" t="b">
        <v>0</v>
      </c>
      <c r="K149" t="b">
        <v>0</v>
      </c>
      <c r="L149" t="b">
        <v>1</v>
      </c>
      <c r="M149" t="b">
        <v>0</v>
      </c>
      <c r="N149" t="b">
        <v>0</v>
      </c>
      <c r="O149"/>
      <c r="P149">
        <v>12.67</v>
      </c>
      <c r="Q149">
        <v>3.63</v>
      </c>
      <c r="R149">
        <v>16.3</v>
      </c>
      <c r="S149">
        <v>66</v>
      </c>
      <c r="T149">
        <v>28</v>
      </c>
      <c r="U149">
        <v>30</v>
      </c>
      <c r="V149">
        <v>471</v>
      </c>
      <c r="W149" s="281">
        <v>41837</v>
      </c>
      <c r="X149" s="282"/>
      <c r="Z149" s="9" t="b">
        <f t="shared" si="29"/>
        <v>0</v>
      </c>
      <c r="AA149" s="9" t="str">
        <f t="shared" si="28"/>
        <v>3I</v>
      </c>
      <c r="AB149" s="196">
        <f t="shared" si="30"/>
        <v>19.058799999999998</v>
      </c>
      <c r="AC149" s="9">
        <f>VLOOKUP(AA149,'Federal Standards'!$N$9:$P$50,2,FALSE)</f>
        <v>8.07</v>
      </c>
      <c r="AD149" s="44">
        <f>VLOOKUP(AA149,'Federal Standards'!$N$9:$P$50,3,FALSE)</f>
        <v>317.7</v>
      </c>
      <c r="AE149" s="44">
        <f t="shared" si="31"/>
        <v>471.50451599999997</v>
      </c>
      <c r="AF149" s="283">
        <f t="shared" si="32"/>
        <v>0.50451599999996688</v>
      </c>
      <c r="AG149" s="291">
        <f t="shared" si="41"/>
        <v>1.0700130812744261E-3</v>
      </c>
      <c r="AH149" s="184" t="str">
        <f t="shared" si="33"/>
        <v>YES</v>
      </c>
      <c r="AJ149" s="9" t="str">
        <f t="shared" si="34"/>
        <v>NO</v>
      </c>
      <c r="AK149" s="9" t="str">
        <f t="shared" si="35"/>
        <v>NO</v>
      </c>
      <c r="AL149" s="9" t="str">
        <f t="shared" si="36"/>
        <v>NO</v>
      </c>
      <c r="AM149" s="9" t="str">
        <f t="shared" si="37"/>
        <v>NO</v>
      </c>
      <c r="AN149" s="9" t="str">
        <f t="shared" si="38"/>
        <v>Less than 10% better than Standard</v>
      </c>
      <c r="AO149" s="9" t="str">
        <f t="shared" si="39"/>
        <v>3I_Less than 10% better than Standard</v>
      </c>
      <c r="AP149" s="9" t="str">
        <f t="shared" si="40"/>
        <v>3I_NO</v>
      </c>
    </row>
    <row r="150" spans="1:42">
      <c r="A150">
        <v>85410</v>
      </c>
      <c r="B150" t="s">
        <v>4165</v>
      </c>
      <c r="C150" t="s">
        <v>170</v>
      </c>
      <c r="D150" t="s">
        <v>819</v>
      </c>
      <c r="E150" t="s">
        <v>4109</v>
      </c>
      <c r="F150" t="s">
        <v>162</v>
      </c>
      <c r="G150" t="s">
        <v>4105</v>
      </c>
      <c r="H150"/>
      <c r="I150" t="s">
        <v>4170</v>
      </c>
      <c r="J150" t="b">
        <v>0</v>
      </c>
      <c r="K150" t="b">
        <v>0</v>
      </c>
      <c r="L150" t="b">
        <v>1</v>
      </c>
      <c r="M150" t="b">
        <v>1</v>
      </c>
      <c r="N150" t="b">
        <v>0</v>
      </c>
      <c r="O150"/>
      <c r="P150">
        <v>15.13</v>
      </c>
      <c r="Q150">
        <v>6.8</v>
      </c>
      <c r="R150">
        <v>21.93</v>
      </c>
      <c r="S150">
        <v>70</v>
      </c>
      <c r="T150">
        <v>36</v>
      </c>
      <c r="U150">
        <v>30</v>
      </c>
      <c r="V150">
        <v>662</v>
      </c>
      <c r="W150" s="281">
        <v>41837</v>
      </c>
      <c r="X150" s="282"/>
      <c r="Z150" s="9" t="b">
        <f t="shared" si="29"/>
        <v>0</v>
      </c>
      <c r="AA150" s="9" t="str">
        <f t="shared" si="28"/>
        <v>5A</v>
      </c>
      <c r="AB150" s="196">
        <f t="shared" si="30"/>
        <v>27.097999999999999</v>
      </c>
      <c r="AC150" s="9">
        <f>VLOOKUP(AA150,'Federal Standards'!$N$9:$P$50,2,FALSE)</f>
        <v>9.25</v>
      </c>
      <c r="AD150" s="44">
        <f>VLOOKUP(AA150,'Federal Standards'!$N$9:$P$50,3,FALSE)</f>
        <v>475.4</v>
      </c>
      <c r="AE150" s="44">
        <f t="shared" si="31"/>
        <v>726.05649999999991</v>
      </c>
      <c r="AF150" s="283">
        <f t="shared" si="32"/>
        <v>64.056499999999915</v>
      </c>
      <c r="AG150" s="291">
        <f t="shared" si="41"/>
        <v>8.8225227651016036E-2</v>
      </c>
      <c r="AH150" s="184" t="str">
        <f t="shared" si="33"/>
        <v>YES</v>
      </c>
      <c r="AJ150" s="9" t="str">
        <f t="shared" si="34"/>
        <v>NO</v>
      </c>
      <c r="AK150" s="9" t="str">
        <f t="shared" si="35"/>
        <v>NO</v>
      </c>
      <c r="AL150" s="9" t="str">
        <f t="shared" si="36"/>
        <v>NO</v>
      </c>
      <c r="AM150" s="9" t="str">
        <f t="shared" si="37"/>
        <v>NO</v>
      </c>
      <c r="AN150" s="9" t="str">
        <f t="shared" si="38"/>
        <v>Less than 10% better than Standard</v>
      </c>
      <c r="AO150" s="9" t="str">
        <f t="shared" si="39"/>
        <v>5A_Less than 10% better than Standard</v>
      </c>
      <c r="AP150" s="9" t="str">
        <f t="shared" si="40"/>
        <v>5A_NO</v>
      </c>
    </row>
    <row r="151" spans="1:42">
      <c r="A151">
        <v>87928</v>
      </c>
      <c r="B151" t="s">
        <v>4165</v>
      </c>
      <c r="C151" t="s">
        <v>170</v>
      </c>
      <c r="D151" t="s">
        <v>4226</v>
      </c>
      <c r="E151" t="s">
        <v>187</v>
      </c>
      <c r="F151" t="s">
        <v>162</v>
      </c>
      <c r="G151" t="s">
        <v>189</v>
      </c>
      <c r="H151"/>
      <c r="I151"/>
      <c r="J151" t="b">
        <v>0</v>
      </c>
      <c r="K151" t="b">
        <v>0</v>
      </c>
      <c r="L151" t="b">
        <v>0</v>
      </c>
      <c r="M151"/>
      <c r="N151" t="b">
        <v>0</v>
      </c>
      <c r="O151"/>
      <c r="P151"/>
      <c r="Q151">
        <v>13.82</v>
      </c>
      <c r="R151">
        <v>13.82</v>
      </c>
      <c r="S151">
        <v>63</v>
      </c>
      <c r="T151">
        <v>30</v>
      </c>
      <c r="U151">
        <v>31</v>
      </c>
      <c r="V151">
        <v>393</v>
      </c>
      <c r="W151" s="281">
        <v>41900</v>
      </c>
      <c r="X151" s="282"/>
      <c r="Z151" s="9" t="b">
        <f t="shared" si="29"/>
        <v>0</v>
      </c>
      <c r="AA151" s="9" t="str">
        <f t="shared" si="28"/>
        <v>9</v>
      </c>
      <c r="AB151" s="196">
        <f t="shared" si="30"/>
        <v>24.3232</v>
      </c>
      <c r="AC151" s="9">
        <f>VLOOKUP(AA151,'Federal Standards'!$N$9:$P$50,2,FALSE)</f>
        <v>8.6199999999999992</v>
      </c>
      <c r="AD151" s="44">
        <f>VLOOKUP(AA151,'Federal Standards'!$N$9:$P$50,3,FALSE)</f>
        <v>228.3</v>
      </c>
      <c r="AE151" s="44">
        <f t="shared" si="31"/>
        <v>437.96598399999999</v>
      </c>
      <c r="AF151" s="283">
        <f t="shared" si="32"/>
        <v>44.965983999999992</v>
      </c>
      <c r="AG151" s="291">
        <f t="shared" si="41"/>
        <v>0.10267003749770666</v>
      </c>
      <c r="AH151" s="184" t="str">
        <f t="shared" si="33"/>
        <v>YES</v>
      </c>
      <c r="AJ151" s="9" t="str">
        <f t="shared" si="34"/>
        <v>YES</v>
      </c>
      <c r="AK151" s="9" t="str">
        <f t="shared" si="35"/>
        <v>YES</v>
      </c>
      <c r="AL151" s="9" t="str">
        <f t="shared" si="36"/>
        <v>NO</v>
      </c>
      <c r="AM151" s="9" t="str">
        <f t="shared" si="37"/>
        <v>NO</v>
      </c>
      <c r="AN151" s="9" t="str">
        <f t="shared" si="38"/>
        <v>Tier 1 - 10% to 15% better than Standard</v>
      </c>
      <c r="AO151" s="9" t="str">
        <f t="shared" si="39"/>
        <v>9_Tier 1 - 10% to 15% better than Standard</v>
      </c>
      <c r="AP151" s="9" t="str">
        <f t="shared" si="40"/>
        <v>9_YES</v>
      </c>
    </row>
    <row r="152" spans="1:42">
      <c r="A152">
        <v>84121</v>
      </c>
      <c r="B152" t="s">
        <v>4165</v>
      </c>
      <c r="C152" t="s">
        <v>170</v>
      </c>
      <c r="D152" t="s">
        <v>958</v>
      </c>
      <c r="E152" t="s">
        <v>4109</v>
      </c>
      <c r="F152" t="s">
        <v>162</v>
      </c>
      <c r="G152" t="s">
        <v>4105</v>
      </c>
      <c r="H152"/>
      <c r="I152" t="s">
        <v>4170</v>
      </c>
      <c r="J152" t="b">
        <v>0</v>
      </c>
      <c r="K152" t="b">
        <v>0</v>
      </c>
      <c r="L152" t="b">
        <v>1</v>
      </c>
      <c r="M152" t="b">
        <v>0</v>
      </c>
      <c r="N152" t="b">
        <v>0</v>
      </c>
      <c r="O152"/>
      <c r="P152">
        <v>15.57</v>
      </c>
      <c r="Q152">
        <v>6.8</v>
      </c>
      <c r="R152">
        <v>22.37</v>
      </c>
      <c r="S152">
        <v>70</v>
      </c>
      <c r="T152">
        <v>36</v>
      </c>
      <c r="U152">
        <v>30</v>
      </c>
      <c r="V152">
        <v>588</v>
      </c>
      <c r="W152" s="281">
        <v>41792</v>
      </c>
      <c r="X152" s="282"/>
      <c r="Z152" s="9" t="b">
        <f t="shared" si="29"/>
        <v>0</v>
      </c>
      <c r="AA152" s="9" t="str">
        <f t="shared" si="28"/>
        <v>5I</v>
      </c>
      <c r="AB152" s="196">
        <f t="shared" si="30"/>
        <v>27.538</v>
      </c>
      <c r="AC152" s="9">
        <f>VLOOKUP(AA152,'Federal Standards'!$N$9:$P$50,2,FALSE)</f>
        <v>8.85</v>
      </c>
      <c r="AD152" s="44">
        <f>VLOOKUP(AA152,'Federal Standards'!$N$9:$P$50,3,FALSE)</f>
        <v>401</v>
      </c>
      <c r="AE152" s="44">
        <f t="shared" si="31"/>
        <v>644.71129999999994</v>
      </c>
      <c r="AF152" s="283">
        <f t="shared" si="32"/>
        <v>56.711299999999937</v>
      </c>
      <c r="AG152" s="291">
        <f t="shared" si="41"/>
        <v>8.7963868478805857E-2</v>
      </c>
      <c r="AH152" s="184" t="str">
        <f t="shared" si="33"/>
        <v>YES</v>
      </c>
      <c r="AJ152" s="9" t="str">
        <f t="shared" si="34"/>
        <v>NO</v>
      </c>
      <c r="AK152" s="9" t="str">
        <f t="shared" si="35"/>
        <v>NO</v>
      </c>
      <c r="AL152" s="9" t="str">
        <f t="shared" si="36"/>
        <v>NO</v>
      </c>
      <c r="AM152" s="9" t="str">
        <f t="shared" si="37"/>
        <v>NO</v>
      </c>
      <c r="AN152" s="9" t="str">
        <f t="shared" si="38"/>
        <v>Less than 10% better than Standard</v>
      </c>
      <c r="AO152" s="9" t="str">
        <f t="shared" si="39"/>
        <v>5I_Less than 10% better than Standard</v>
      </c>
      <c r="AP152" s="9" t="str">
        <f t="shared" si="40"/>
        <v>5I_NO</v>
      </c>
    </row>
    <row r="153" spans="1:42">
      <c r="A153">
        <v>85709</v>
      </c>
      <c r="B153" t="s">
        <v>171</v>
      </c>
      <c r="C153" t="s">
        <v>4227</v>
      </c>
      <c r="D153" t="s">
        <v>4228</v>
      </c>
      <c r="E153" t="s">
        <v>4109</v>
      </c>
      <c r="F153" t="s">
        <v>162</v>
      </c>
      <c r="G153" t="s">
        <v>4105</v>
      </c>
      <c r="H153"/>
      <c r="I153"/>
      <c r="J153" t="b">
        <v>0</v>
      </c>
      <c r="K153" t="b">
        <v>0</v>
      </c>
      <c r="L153" t="b">
        <v>1</v>
      </c>
      <c r="M153" t="b">
        <v>0</v>
      </c>
      <c r="N153" t="b">
        <v>0</v>
      </c>
      <c r="O153" t="s">
        <v>4099</v>
      </c>
      <c r="P153">
        <v>13.5</v>
      </c>
      <c r="Q153">
        <v>5.7</v>
      </c>
      <c r="R153">
        <v>19.5</v>
      </c>
      <c r="S153">
        <v>70</v>
      </c>
      <c r="T153">
        <v>36</v>
      </c>
      <c r="U153">
        <v>29</v>
      </c>
      <c r="V153">
        <v>445</v>
      </c>
      <c r="W153" s="281">
        <v>41850</v>
      </c>
      <c r="X153" s="282"/>
      <c r="Z153" s="9" t="b">
        <f t="shared" si="29"/>
        <v>0</v>
      </c>
      <c r="AA153" s="9" t="str">
        <f t="shared" si="28"/>
        <v>5I</v>
      </c>
      <c r="AB153" s="196">
        <f t="shared" si="30"/>
        <v>23.532</v>
      </c>
      <c r="AC153" s="9">
        <f>VLOOKUP(AA153,'Federal Standards'!$N$9:$P$50,2,FALSE)</f>
        <v>8.85</v>
      </c>
      <c r="AD153" s="44">
        <f>VLOOKUP(AA153,'Federal Standards'!$N$9:$P$50,3,FALSE)</f>
        <v>401</v>
      </c>
      <c r="AE153" s="44">
        <f t="shared" si="31"/>
        <v>609.25819999999999</v>
      </c>
      <c r="AF153" s="283">
        <f t="shared" si="32"/>
        <v>164.25819999999999</v>
      </c>
      <c r="AG153" s="291">
        <f t="shared" si="41"/>
        <v>0.26960359335335987</v>
      </c>
      <c r="AH153" s="184" t="str">
        <f t="shared" si="33"/>
        <v>YES</v>
      </c>
      <c r="AJ153" s="9" t="str">
        <f t="shared" si="34"/>
        <v>YES</v>
      </c>
      <c r="AK153" s="9" t="str">
        <f t="shared" si="35"/>
        <v>NO</v>
      </c>
      <c r="AL153" s="9" t="str">
        <f t="shared" si="36"/>
        <v>NO</v>
      </c>
      <c r="AM153" s="9" t="str">
        <f t="shared" si="37"/>
        <v>YES</v>
      </c>
      <c r="AN153" s="9" t="str">
        <f t="shared" si="38"/>
        <v>Tier 3 - 20%  or better than Standard</v>
      </c>
      <c r="AO153" s="9" t="str">
        <f t="shared" si="39"/>
        <v>5I_Tier 3 - 20%  or better than Standard</v>
      </c>
      <c r="AP153" s="9" t="str">
        <f t="shared" si="40"/>
        <v>5I_YES</v>
      </c>
    </row>
    <row r="154" spans="1:42">
      <c r="A154">
        <v>85710</v>
      </c>
      <c r="B154" t="s">
        <v>171</v>
      </c>
      <c r="C154" t="s">
        <v>4227</v>
      </c>
      <c r="D154" t="s">
        <v>4956</v>
      </c>
      <c r="E154" t="s">
        <v>4179</v>
      </c>
      <c r="F154" t="s">
        <v>162</v>
      </c>
      <c r="G154" t="s">
        <v>4105</v>
      </c>
      <c r="H154"/>
      <c r="I154"/>
      <c r="J154" t="b">
        <v>0</v>
      </c>
      <c r="K154" t="b">
        <v>0</v>
      </c>
      <c r="L154" t="b">
        <v>0</v>
      </c>
      <c r="M154"/>
      <c r="N154" t="b">
        <v>0</v>
      </c>
      <c r="O154" t="s">
        <v>4099</v>
      </c>
      <c r="P154">
        <v>13.35</v>
      </c>
      <c r="Q154">
        <v>7.9</v>
      </c>
      <c r="R154">
        <v>21.25</v>
      </c>
      <c r="S154">
        <v>70</v>
      </c>
      <c r="T154">
        <v>36</v>
      </c>
      <c r="U154">
        <v>31</v>
      </c>
      <c r="V154">
        <v>509</v>
      </c>
      <c r="W154" s="281">
        <v>41850</v>
      </c>
      <c r="X154" s="282"/>
      <c r="Z154" s="9" t="b">
        <f t="shared" si="29"/>
        <v>0</v>
      </c>
      <c r="AA154" s="9" t="str">
        <f t="shared" si="28"/>
        <v>4</v>
      </c>
      <c r="AB154" s="196">
        <f t="shared" si="30"/>
        <v>27.253999999999998</v>
      </c>
      <c r="AC154" s="9">
        <f>VLOOKUP(AA154,'Federal Standards'!$N$9:$P$50,2,FALSE)</f>
        <v>8.51</v>
      </c>
      <c r="AD154" s="44">
        <f>VLOOKUP(AA154,'Federal Standards'!$N$9:$P$50,3,FALSE)</f>
        <v>297.8</v>
      </c>
      <c r="AE154" s="44">
        <f t="shared" si="31"/>
        <v>529.73154</v>
      </c>
      <c r="AF154" s="283">
        <f t="shared" si="32"/>
        <v>20.731539999999995</v>
      </c>
      <c r="AG154" s="291">
        <f t="shared" si="41"/>
        <v>3.9135936667089893E-2</v>
      </c>
      <c r="AH154" s="184" t="str">
        <f t="shared" si="33"/>
        <v>YES</v>
      </c>
      <c r="AJ154" s="9" t="str">
        <f t="shared" si="34"/>
        <v>NO</v>
      </c>
      <c r="AK154" s="9" t="str">
        <f t="shared" si="35"/>
        <v>NO</v>
      </c>
      <c r="AL154" s="9" t="str">
        <f t="shared" si="36"/>
        <v>NO</v>
      </c>
      <c r="AM154" s="9" t="str">
        <f t="shared" si="37"/>
        <v>NO</v>
      </c>
      <c r="AN154" s="9" t="str">
        <f t="shared" si="38"/>
        <v>Less than 10% better than Standard</v>
      </c>
      <c r="AO154" s="9" t="str">
        <f t="shared" si="39"/>
        <v>4_Less than 10% better than Standard</v>
      </c>
      <c r="AP154" s="9" t="str">
        <f t="shared" si="40"/>
        <v>4_NO</v>
      </c>
    </row>
    <row r="155" spans="1:42">
      <c r="A155">
        <v>85141</v>
      </c>
      <c r="B155" t="s">
        <v>171</v>
      </c>
      <c r="C155" t="s">
        <v>171</v>
      </c>
      <c r="D155" t="s">
        <v>4229</v>
      </c>
      <c r="E155" t="s">
        <v>4109</v>
      </c>
      <c r="F155" t="s">
        <v>162</v>
      </c>
      <c r="G155" t="s">
        <v>4105</v>
      </c>
      <c r="H155"/>
      <c r="I155"/>
      <c r="J155" t="b">
        <v>0</v>
      </c>
      <c r="K155" t="b">
        <v>0</v>
      </c>
      <c r="L155" t="b">
        <v>0</v>
      </c>
      <c r="M155"/>
      <c r="N155" t="b">
        <v>0</v>
      </c>
      <c r="O155" t="s">
        <v>4099</v>
      </c>
      <c r="P155">
        <v>12.34</v>
      </c>
      <c r="Q155">
        <v>5.15</v>
      </c>
      <c r="R155">
        <v>17.489999999999998</v>
      </c>
      <c r="S155">
        <v>67</v>
      </c>
      <c r="T155">
        <v>35</v>
      </c>
      <c r="U155">
        <v>29</v>
      </c>
      <c r="V155">
        <v>454</v>
      </c>
      <c r="W155" s="281">
        <v>41822</v>
      </c>
      <c r="X155" s="282"/>
      <c r="Z155" s="9" t="b">
        <f t="shared" si="29"/>
        <v>0</v>
      </c>
      <c r="AA155" s="9" t="str">
        <f t="shared" si="28"/>
        <v>5</v>
      </c>
      <c r="AB155" s="196">
        <f t="shared" si="30"/>
        <v>21.404</v>
      </c>
      <c r="AC155" s="9">
        <f>VLOOKUP(AA155,'Federal Standards'!$N$9:$P$50,2,FALSE)</f>
        <v>8.85</v>
      </c>
      <c r="AD155" s="44">
        <f>VLOOKUP(AA155,'Federal Standards'!$N$9:$P$50,3,FALSE)</f>
        <v>317</v>
      </c>
      <c r="AE155" s="44">
        <f t="shared" si="31"/>
        <v>506.42539999999997</v>
      </c>
      <c r="AF155" s="283">
        <f t="shared" si="32"/>
        <v>52.425399999999968</v>
      </c>
      <c r="AG155" s="291">
        <f t="shared" si="41"/>
        <v>0.10352047902810556</v>
      </c>
      <c r="AH155" s="184" t="str">
        <f t="shared" si="33"/>
        <v>YES</v>
      </c>
      <c r="AJ155" s="9" t="str">
        <f t="shared" si="34"/>
        <v>YES</v>
      </c>
      <c r="AK155" s="9" t="str">
        <f t="shared" si="35"/>
        <v>YES</v>
      </c>
      <c r="AL155" s="9" t="str">
        <f t="shared" si="36"/>
        <v>NO</v>
      </c>
      <c r="AM155" s="9" t="str">
        <f t="shared" si="37"/>
        <v>NO</v>
      </c>
      <c r="AN155" s="9" t="str">
        <f t="shared" si="38"/>
        <v>Tier 1 - 10% to 15% better than Standard</v>
      </c>
      <c r="AO155" s="9" t="str">
        <f t="shared" si="39"/>
        <v>5_Tier 1 - 10% to 15% better than Standard</v>
      </c>
      <c r="AP155" s="9" t="str">
        <f t="shared" si="40"/>
        <v>5_YES</v>
      </c>
    </row>
    <row r="156" spans="1:42">
      <c r="A156">
        <v>85147</v>
      </c>
      <c r="B156" t="s">
        <v>171</v>
      </c>
      <c r="C156" t="s">
        <v>171</v>
      </c>
      <c r="D156" t="s">
        <v>4230</v>
      </c>
      <c r="E156" t="s">
        <v>4109</v>
      </c>
      <c r="F156" t="s">
        <v>162</v>
      </c>
      <c r="G156" t="s">
        <v>4105</v>
      </c>
      <c r="H156"/>
      <c r="I156"/>
      <c r="J156" t="b">
        <v>0</v>
      </c>
      <c r="K156" t="b">
        <v>0</v>
      </c>
      <c r="L156" t="b">
        <v>1</v>
      </c>
      <c r="M156" t="b">
        <v>0</v>
      </c>
      <c r="N156" t="b">
        <v>0</v>
      </c>
      <c r="O156" t="s">
        <v>4099</v>
      </c>
      <c r="P156">
        <v>12.3</v>
      </c>
      <c r="Q156">
        <v>5.15</v>
      </c>
      <c r="R156">
        <v>17.45</v>
      </c>
      <c r="S156">
        <v>67</v>
      </c>
      <c r="T156">
        <v>35</v>
      </c>
      <c r="U156">
        <v>29</v>
      </c>
      <c r="V156">
        <v>538</v>
      </c>
      <c r="W156" s="281">
        <v>41822</v>
      </c>
      <c r="X156" s="282"/>
      <c r="Z156" s="9" t="b">
        <f t="shared" si="29"/>
        <v>0</v>
      </c>
      <c r="AA156" s="9" t="str">
        <f t="shared" si="28"/>
        <v>5I</v>
      </c>
      <c r="AB156" s="196">
        <f t="shared" si="30"/>
        <v>21.364000000000001</v>
      </c>
      <c r="AC156" s="9">
        <f>VLOOKUP(AA156,'Federal Standards'!$N$9:$P$50,2,FALSE)</f>
        <v>8.85</v>
      </c>
      <c r="AD156" s="44">
        <f>VLOOKUP(AA156,'Federal Standards'!$N$9:$P$50,3,FALSE)</f>
        <v>401</v>
      </c>
      <c r="AE156" s="44">
        <f t="shared" si="31"/>
        <v>590.07140000000004</v>
      </c>
      <c r="AF156" s="283">
        <f t="shared" si="32"/>
        <v>52.07140000000004</v>
      </c>
      <c r="AG156" s="291">
        <f t="shared" si="41"/>
        <v>8.8245930916156984E-2</v>
      </c>
      <c r="AH156" s="184" t="str">
        <f t="shared" si="33"/>
        <v>YES</v>
      </c>
      <c r="AJ156" s="9" t="str">
        <f t="shared" si="34"/>
        <v>NO</v>
      </c>
      <c r="AK156" s="9" t="str">
        <f t="shared" si="35"/>
        <v>NO</v>
      </c>
      <c r="AL156" s="9" t="str">
        <f t="shared" si="36"/>
        <v>NO</v>
      </c>
      <c r="AM156" s="9" t="str">
        <f t="shared" si="37"/>
        <v>NO</v>
      </c>
      <c r="AN156" s="9" t="str">
        <f t="shared" si="38"/>
        <v>Less than 10% better than Standard</v>
      </c>
      <c r="AO156" s="9" t="str">
        <f t="shared" si="39"/>
        <v>5I_Less than 10% better than Standard</v>
      </c>
      <c r="AP156" s="9" t="str">
        <f t="shared" si="40"/>
        <v>5I_NO</v>
      </c>
    </row>
    <row r="157" spans="1:42">
      <c r="A157">
        <v>85137</v>
      </c>
      <c r="B157" t="s">
        <v>171</v>
      </c>
      <c r="C157" t="s">
        <v>171</v>
      </c>
      <c r="D157" t="s">
        <v>4231</v>
      </c>
      <c r="E157" t="s">
        <v>4109</v>
      </c>
      <c r="F157" t="s">
        <v>162</v>
      </c>
      <c r="G157" t="s">
        <v>4105</v>
      </c>
      <c r="H157"/>
      <c r="I157"/>
      <c r="J157" t="b">
        <v>0</v>
      </c>
      <c r="K157" t="b">
        <v>0</v>
      </c>
      <c r="L157" t="b">
        <v>0</v>
      </c>
      <c r="M157"/>
      <c r="N157" t="b">
        <v>0</v>
      </c>
      <c r="O157" t="s">
        <v>4099</v>
      </c>
      <c r="P157">
        <v>9.5299999999999994</v>
      </c>
      <c r="Q157">
        <v>3.94</v>
      </c>
      <c r="R157">
        <v>13.47</v>
      </c>
      <c r="S157">
        <v>67</v>
      </c>
      <c r="T157">
        <v>25</v>
      </c>
      <c r="U157">
        <v>26</v>
      </c>
      <c r="V157">
        <v>461</v>
      </c>
      <c r="W157" s="281">
        <v>41822</v>
      </c>
      <c r="X157" s="282"/>
      <c r="Z157" s="9" t="b">
        <f t="shared" si="29"/>
        <v>0</v>
      </c>
      <c r="AA157" s="9" t="str">
        <f t="shared" si="28"/>
        <v>5</v>
      </c>
      <c r="AB157" s="196">
        <f t="shared" si="30"/>
        <v>16.464399999999998</v>
      </c>
      <c r="AC157" s="9">
        <f>VLOOKUP(AA157,'Federal Standards'!$N$9:$P$50,2,FALSE)</f>
        <v>8.85</v>
      </c>
      <c r="AD157" s="44">
        <f>VLOOKUP(AA157,'Federal Standards'!$N$9:$P$50,3,FALSE)</f>
        <v>317</v>
      </c>
      <c r="AE157" s="44">
        <f t="shared" si="31"/>
        <v>462.70993999999996</v>
      </c>
      <c r="AF157" s="283">
        <f t="shared" si="32"/>
        <v>1.7099399999999605</v>
      </c>
      <c r="AG157" s="291">
        <f t="shared" si="41"/>
        <v>3.6954900947231881E-3</v>
      </c>
      <c r="AH157" s="184" t="str">
        <f t="shared" si="33"/>
        <v>YES</v>
      </c>
      <c r="AJ157" s="9" t="str">
        <f t="shared" si="34"/>
        <v>NO</v>
      </c>
      <c r="AK157" s="9" t="str">
        <f t="shared" si="35"/>
        <v>NO</v>
      </c>
      <c r="AL157" s="9" t="str">
        <f t="shared" si="36"/>
        <v>NO</v>
      </c>
      <c r="AM157" s="9" t="str">
        <f t="shared" si="37"/>
        <v>NO</v>
      </c>
      <c r="AN157" s="9" t="str">
        <f t="shared" si="38"/>
        <v>Less than 10% better than Standard</v>
      </c>
      <c r="AO157" s="9" t="str">
        <f t="shared" si="39"/>
        <v>5_Less than 10% better than Standard</v>
      </c>
      <c r="AP157" s="9" t="str">
        <f t="shared" si="40"/>
        <v>5_NO</v>
      </c>
    </row>
    <row r="158" spans="1:42">
      <c r="A158">
        <v>85143</v>
      </c>
      <c r="B158" t="s">
        <v>171</v>
      </c>
      <c r="C158" t="s">
        <v>171</v>
      </c>
      <c r="D158" t="s">
        <v>4232</v>
      </c>
      <c r="E158" t="s">
        <v>4109</v>
      </c>
      <c r="F158" t="s">
        <v>162</v>
      </c>
      <c r="G158" t="s">
        <v>4105</v>
      </c>
      <c r="H158"/>
      <c r="I158"/>
      <c r="J158" t="b">
        <v>0</v>
      </c>
      <c r="K158" t="b">
        <v>0</v>
      </c>
      <c r="L158" t="b">
        <v>1</v>
      </c>
      <c r="M158" t="b">
        <v>0</v>
      </c>
      <c r="N158" t="b">
        <v>0</v>
      </c>
      <c r="O158" t="s">
        <v>4099</v>
      </c>
      <c r="P158">
        <v>9.49</v>
      </c>
      <c r="Q158">
        <v>3.94</v>
      </c>
      <c r="R158">
        <v>13.43</v>
      </c>
      <c r="S158">
        <v>67</v>
      </c>
      <c r="T158">
        <v>25</v>
      </c>
      <c r="U158">
        <v>26</v>
      </c>
      <c r="V158">
        <v>545</v>
      </c>
      <c r="W158" s="281">
        <v>41822</v>
      </c>
      <c r="X158" s="282"/>
      <c r="Z158" s="9" t="b">
        <f t="shared" si="29"/>
        <v>0</v>
      </c>
      <c r="AA158" s="9" t="str">
        <f t="shared" si="28"/>
        <v>5I</v>
      </c>
      <c r="AB158" s="196">
        <f t="shared" si="30"/>
        <v>16.424399999999999</v>
      </c>
      <c r="AC158" s="9">
        <f>VLOOKUP(AA158,'Federal Standards'!$N$9:$P$50,2,FALSE)</f>
        <v>8.85</v>
      </c>
      <c r="AD158" s="44">
        <f>VLOOKUP(AA158,'Federal Standards'!$N$9:$P$50,3,FALSE)</f>
        <v>401</v>
      </c>
      <c r="AE158" s="44">
        <f t="shared" si="31"/>
        <v>546.35593999999992</v>
      </c>
      <c r="AF158" s="283">
        <f t="shared" si="32"/>
        <v>1.3559399999999187</v>
      </c>
      <c r="AG158" s="291">
        <f t="shared" si="41"/>
        <v>2.4817887035325703E-3</v>
      </c>
      <c r="AH158" s="184" t="str">
        <f t="shared" si="33"/>
        <v>YES</v>
      </c>
      <c r="AJ158" s="9" t="str">
        <f t="shared" si="34"/>
        <v>NO</v>
      </c>
      <c r="AK158" s="9" t="str">
        <f t="shared" si="35"/>
        <v>NO</v>
      </c>
      <c r="AL158" s="9" t="str">
        <f t="shared" si="36"/>
        <v>NO</v>
      </c>
      <c r="AM158" s="9" t="str">
        <f t="shared" si="37"/>
        <v>NO</v>
      </c>
      <c r="AN158" s="9" t="str">
        <f t="shared" si="38"/>
        <v>Less than 10% better than Standard</v>
      </c>
      <c r="AO158" s="9" t="str">
        <f t="shared" si="39"/>
        <v>5I_Less than 10% better than Standard</v>
      </c>
      <c r="AP158" s="9" t="str">
        <f t="shared" si="40"/>
        <v>5I_NO</v>
      </c>
    </row>
    <row r="159" spans="1:42">
      <c r="A159">
        <v>85138</v>
      </c>
      <c r="B159" t="s">
        <v>171</v>
      </c>
      <c r="C159" t="s">
        <v>171</v>
      </c>
      <c r="D159" t="s">
        <v>4233</v>
      </c>
      <c r="E159" t="s">
        <v>4109</v>
      </c>
      <c r="F159" t="s">
        <v>162</v>
      </c>
      <c r="G159" t="s">
        <v>4105</v>
      </c>
      <c r="H159"/>
      <c r="I159"/>
      <c r="J159" t="b">
        <v>0</v>
      </c>
      <c r="K159" t="b">
        <v>0</v>
      </c>
      <c r="L159" t="b">
        <v>0</v>
      </c>
      <c r="M159"/>
      <c r="N159" t="b">
        <v>0</v>
      </c>
      <c r="O159" t="s">
        <v>4099</v>
      </c>
      <c r="P159">
        <v>12.23</v>
      </c>
      <c r="Q159">
        <v>5.0199999999999996</v>
      </c>
      <c r="R159">
        <v>17.25</v>
      </c>
      <c r="S159">
        <v>67</v>
      </c>
      <c r="T159">
        <v>31</v>
      </c>
      <c r="U159">
        <v>26</v>
      </c>
      <c r="V159">
        <v>501</v>
      </c>
      <c r="W159" s="281">
        <v>41822</v>
      </c>
      <c r="X159" s="282"/>
      <c r="Z159" s="9" t="b">
        <f t="shared" si="29"/>
        <v>0</v>
      </c>
      <c r="AA159" s="9" t="str">
        <f t="shared" si="28"/>
        <v>5</v>
      </c>
      <c r="AB159" s="196">
        <f t="shared" si="30"/>
        <v>21.065199999999997</v>
      </c>
      <c r="AC159" s="9">
        <f>VLOOKUP(AA159,'Federal Standards'!$N$9:$P$50,2,FALSE)</f>
        <v>8.85</v>
      </c>
      <c r="AD159" s="44">
        <f>VLOOKUP(AA159,'Federal Standards'!$N$9:$P$50,3,FALSE)</f>
        <v>317</v>
      </c>
      <c r="AE159" s="44">
        <f t="shared" si="31"/>
        <v>503.42701999999997</v>
      </c>
      <c r="AF159" s="283">
        <f t="shared" si="32"/>
        <v>2.4270199999999704</v>
      </c>
      <c r="AG159" s="291">
        <f t="shared" si="41"/>
        <v>4.820996695807012E-3</v>
      </c>
      <c r="AH159" s="184" t="str">
        <f t="shared" si="33"/>
        <v>YES</v>
      </c>
      <c r="AJ159" s="9" t="str">
        <f t="shared" si="34"/>
        <v>NO</v>
      </c>
      <c r="AK159" s="9" t="str">
        <f t="shared" si="35"/>
        <v>NO</v>
      </c>
      <c r="AL159" s="9" t="str">
        <f t="shared" si="36"/>
        <v>NO</v>
      </c>
      <c r="AM159" s="9" t="str">
        <f t="shared" si="37"/>
        <v>NO</v>
      </c>
      <c r="AN159" s="9" t="str">
        <f t="shared" si="38"/>
        <v>Less than 10% better than Standard</v>
      </c>
      <c r="AO159" s="9" t="str">
        <f t="shared" si="39"/>
        <v>5_Less than 10% better than Standard</v>
      </c>
      <c r="AP159" s="9" t="str">
        <f t="shared" si="40"/>
        <v>5_NO</v>
      </c>
    </row>
    <row r="160" spans="1:42">
      <c r="A160">
        <v>85144</v>
      </c>
      <c r="B160" t="s">
        <v>171</v>
      </c>
      <c r="C160" t="s">
        <v>171</v>
      </c>
      <c r="D160" t="s">
        <v>4234</v>
      </c>
      <c r="E160" t="s">
        <v>4109</v>
      </c>
      <c r="F160" t="s">
        <v>162</v>
      </c>
      <c r="G160" t="s">
        <v>4105</v>
      </c>
      <c r="H160"/>
      <c r="I160"/>
      <c r="J160" t="b">
        <v>0</v>
      </c>
      <c r="K160" t="b">
        <v>0</v>
      </c>
      <c r="L160" t="b">
        <v>1</v>
      </c>
      <c r="M160" t="b">
        <v>0</v>
      </c>
      <c r="N160" t="b">
        <v>0</v>
      </c>
      <c r="O160" t="s">
        <v>4099</v>
      </c>
      <c r="P160">
        <v>12.18</v>
      </c>
      <c r="Q160">
        <v>5.0199999999999996</v>
      </c>
      <c r="R160">
        <v>17.2</v>
      </c>
      <c r="S160">
        <v>67</v>
      </c>
      <c r="T160">
        <v>31</v>
      </c>
      <c r="U160">
        <v>26</v>
      </c>
      <c r="V160">
        <v>585</v>
      </c>
      <c r="W160" s="281">
        <v>41822</v>
      </c>
      <c r="X160" s="282"/>
      <c r="Z160" s="9" t="b">
        <f t="shared" si="29"/>
        <v>0</v>
      </c>
      <c r="AA160" s="9" t="str">
        <f t="shared" si="28"/>
        <v>5I</v>
      </c>
      <c r="AB160" s="196">
        <f t="shared" si="30"/>
        <v>21.0152</v>
      </c>
      <c r="AC160" s="9">
        <f>VLOOKUP(AA160,'Federal Standards'!$N$9:$P$50,2,FALSE)</f>
        <v>8.85</v>
      </c>
      <c r="AD160" s="44">
        <f>VLOOKUP(AA160,'Federal Standards'!$N$9:$P$50,3,FALSE)</f>
        <v>401</v>
      </c>
      <c r="AE160" s="44">
        <f t="shared" si="31"/>
        <v>586.98451999999997</v>
      </c>
      <c r="AF160" s="283">
        <f t="shared" si="32"/>
        <v>1.984519999999975</v>
      </c>
      <c r="AG160" s="291">
        <f t="shared" si="41"/>
        <v>3.3808728039369336E-3</v>
      </c>
      <c r="AH160" s="184" t="str">
        <f t="shared" si="33"/>
        <v>YES</v>
      </c>
      <c r="AJ160" s="9" t="str">
        <f t="shared" si="34"/>
        <v>NO</v>
      </c>
      <c r="AK160" s="9" t="str">
        <f t="shared" si="35"/>
        <v>NO</v>
      </c>
      <c r="AL160" s="9" t="str">
        <f t="shared" si="36"/>
        <v>NO</v>
      </c>
      <c r="AM160" s="9" t="str">
        <f t="shared" si="37"/>
        <v>NO</v>
      </c>
      <c r="AN160" s="9" t="str">
        <f t="shared" si="38"/>
        <v>Less than 10% better than Standard</v>
      </c>
      <c r="AO160" s="9" t="str">
        <f t="shared" si="39"/>
        <v>5I_Less than 10% better than Standard</v>
      </c>
      <c r="AP160" s="9" t="str">
        <f t="shared" si="40"/>
        <v>5I_NO</v>
      </c>
    </row>
    <row r="161" spans="1:42">
      <c r="A161">
        <v>85139</v>
      </c>
      <c r="B161" t="s">
        <v>171</v>
      </c>
      <c r="C161" t="s">
        <v>171</v>
      </c>
      <c r="D161" t="s">
        <v>4235</v>
      </c>
      <c r="E161" t="s">
        <v>4109</v>
      </c>
      <c r="F161" t="s">
        <v>162</v>
      </c>
      <c r="G161" t="s">
        <v>4105</v>
      </c>
      <c r="H161"/>
      <c r="I161"/>
      <c r="J161" t="b">
        <v>0</v>
      </c>
      <c r="K161" t="b">
        <v>0</v>
      </c>
      <c r="L161" t="b">
        <v>0</v>
      </c>
      <c r="M161"/>
      <c r="N161" t="b">
        <v>0</v>
      </c>
      <c r="O161" t="s">
        <v>4099</v>
      </c>
      <c r="P161">
        <v>12.34</v>
      </c>
      <c r="Q161">
        <v>5.0199999999999996</v>
      </c>
      <c r="R161">
        <v>17.36</v>
      </c>
      <c r="S161">
        <v>67</v>
      </c>
      <c r="T161">
        <v>31</v>
      </c>
      <c r="U161">
        <v>26</v>
      </c>
      <c r="V161">
        <v>452</v>
      </c>
      <c r="W161" s="281">
        <v>41822</v>
      </c>
      <c r="X161" s="282"/>
      <c r="Z161" s="9" t="b">
        <f t="shared" si="29"/>
        <v>0</v>
      </c>
      <c r="AA161" s="9" t="str">
        <f t="shared" si="28"/>
        <v>5</v>
      </c>
      <c r="AB161" s="196">
        <f t="shared" si="30"/>
        <v>21.175199999999997</v>
      </c>
      <c r="AC161" s="9">
        <f>VLOOKUP(AA161,'Federal Standards'!$N$9:$P$50,2,FALSE)</f>
        <v>8.85</v>
      </c>
      <c r="AD161" s="44">
        <f>VLOOKUP(AA161,'Federal Standards'!$N$9:$P$50,3,FALSE)</f>
        <v>317</v>
      </c>
      <c r="AE161" s="44">
        <f t="shared" si="31"/>
        <v>504.40051999999997</v>
      </c>
      <c r="AF161" s="283">
        <f t="shared" si="32"/>
        <v>52.400519999999972</v>
      </c>
      <c r="AG161" s="291">
        <f t="shared" si="41"/>
        <v>0.1038867287448474</v>
      </c>
      <c r="AH161" s="184" t="str">
        <f t="shared" si="33"/>
        <v>YES</v>
      </c>
      <c r="AJ161" s="9" t="str">
        <f t="shared" si="34"/>
        <v>YES</v>
      </c>
      <c r="AK161" s="9" t="str">
        <f t="shared" si="35"/>
        <v>YES</v>
      </c>
      <c r="AL161" s="9" t="str">
        <f t="shared" si="36"/>
        <v>NO</v>
      </c>
      <c r="AM161" s="9" t="str">
        <f t="shared" si="37"/>
        <v>NO</v>
      </c>
      <c r="AN161" s="9" t="str">
        <f t="shared" si="38"/>
        <v>Tier 1 - 10% to 15% better than Standard</v>
      </c>
      <c r="AO161" s="9" t="str">
        <f t="shared" si="39"/>
        <v>5_Tier 1 - 10% to 15% better than Standard</v>
      </c>
      <c r="AP161" s="9" t="str">
        <f t="shared" si="40"/>
        <v>5_YES</v>
      </c>
    </row>
    <row r="162" spans="1:42">
      <c r="A162">
        <v>85145</v>
      </c>
      <c r="B162" t="s">
        <v>171</v>
      </c>
      <c r="C162" t="s">
        <v>171</v>
      </c>
      <c r="D162" t="s">
        <v>4236</v>
      </c>
      <c r="E162" t="s">
        <v>4109</v>
      </c>
      <c r="F162" t="s">
        <v>162</v>
      </c>
      <c r="G162" t="s">
        <v>4105</v>
      </c>
      <c r="H162"/>
      <c r="I162"/>
      <c r="J162" t="b">
        <v>0</v>
      </c>
      <c r="K162" t="b">
        <v>0</v>
      </c>
      <c r="L162" t="b">
        <v>1</v>
      </c>
      <c r="M162" t="b">
        <v>0</v>
      </c>
      <c r="N162" t="b">
        <v>0</v>
      </c>
      <c r="O162" t="s">
        <v>4099</v>
      </c>
      <c r="P162">
        <v>12.3</v>
      </c>
      <c r="Q162">
        <v>5.0199999999999996</v>
      </c>
      <c r="R162">
        <v>17.32</v>
      </c>
      <c r="S162">
        <v>67</v>
      </c>
      <c r="T162">
        <v>31</v>
      </c>
      <c r="U162">
        <v>26</v>
      </c>
      <c r="V162">
        <v>535</v>
      </c>
      <c r="W162" s="281">
        <v>41822</v>
      </c>
      <c r="X162" s="282"/>
      <c r="Z162" s="9" t="b">
        <f t="shared" si="29"/>
        <v>0</v>
      </c>
      <c r="AA162" s="9" t="str">
        <f t="shared" si="28"/>
        <v>5I</v>
      </c>
      <c r="AB162" s="196">
        <f t="shared" si="30"/>
        <v>21.135199999999998</v>
      </c>
      <c r="AC162" s="9">
        <f>VLOOKUP(AA162,'Federal Standards'!$N$9:$P$50,2,FALSE)</f>
        <v>8.85</v>
      </c>
      <c r="AD162" s="44">
        <f>VLOOKUP(AA162,'Federal Standards'!$N$9:$P$50,3,FALSE)</f>
        <v>401</v>
      </c>
      <c r="AE162" s="44">
        <f t="shared" si="31"/>
        <v>588.04651999999999</v>
      </c>
      <c r="AF162" s="283">
        <f t="shared" si="32"/>
        <v>53.046519999999987</v>
      </c>
      <c r="AG162" s="291">
        <f t="shared" si="41"/>
        <v>9.0208033201182772E-2</v>
      </c>
      <c r="AH162" s="184" t="str">
        <f t="shared" si="33"/>
        <v>YES</v>
      </c>
      <c r="AJ162" s="9" t="str">
        <f t="shared" si="34"/>
        <v>NO</v>
      </c>
      <c r="AK162" s="9" t="str">
        <f t="shared" si="35"/>
        <v>NO</v>
      </c>
      <c r="AL162" s="9" t="str">
        <f t="shared" si="36"/>
        <v>NO</v>
      </c>
      <c r="AM162" s="9" t="str">
        <f t="shared" si="37"/>
        <v>NO</v>
      </c>
      <c r="AN162" s="9" t="str">
        <f t="shared" si="38"/>
        <v>Less than 10% better than Standard</v>
      </c>
      <c r="AO162" s="9" t="str">
        <f t="shared" si="39"/>
        <v>5I_Less than 10% better than Standard</v>
      </c>
      <c r="AP162" s="9" t="str">
        <f t="shared" si="40"/>
        <v>5I_NO</v>
      </c>
    </row>
    <row r="163" spans="1:42">
      <c r="A163">
        <v>85142</v>
      </c>
      <c r="B163" t="s">
        <v>171</v>
      </c>
      <c r="C163" t="s">
        <v>171</v>
      </c>
      <c r="D163" t="s">
        <v>4237</v>
      </c>
      <c r="E163" t="s">
        <v>4109</v>
      </c>
      <c r="F163" t="s">
        <v>162</v>
      </c>
      <c r="G163" t="s">
        <v>4105</v>
      </c>
      <c r="H163"/>
      <c r="I163"/>
      <c r="J163" t="b">
        <v>0</v>
      </c>
      <c r="K163" t="b">
        <v>0</v>
      </c>
      <c r="L163" t="b">
        <v>0</v>
      </c>
      <c r="M163"/>
      <c r="N163" t="b">
        <v>0</v>
      </c>
      <c r="O163" t="s">
        <v>4099</v>
      </c>
      <c r="P163">
        <v>14.78</v>
      </c>
      <c r="Q163">
        <v>5.36</v>
      </c>
      <c r="R163">
        <v>20.14</v>
      </c>
      <c r="S163">
        <v>70</v>
      </c>
      <c r="T163">
        <v>36</v>
      </c>
      <c r="U163">
        <v>36</v>
      </c>
      <c r="V163">
        <v>448</v>
      </c>
      <c r="W163" s="281">
        <v>41822</v>
      </c>
      <c r="X163" s="282"/>
      <c r="Z163" s="9" t="b">
        <f t="shared" si="29"/>
        <v>0</v>
      </c>
      <c r="AA163" s="9" t="str">
        <f t="shared" si="28"/>
        <v>5</v>
      </c>
      <c r="AB163" s="196">
        <f t="shared" si="30"/>
        <v>24.2136</v>
      </c>
      <c r="AC163" s="9">
        <f>VLOOKUP(AA163,'Federal Standards'!$N$9:$P$50,2,FALSE)</f>
        <v>8.85</v>
      </c>
      <c r="AD163" s="44">
        <f>VLOOKUP(AA163,'Federal Standards'!$N$9:$P$50,3,FALSE)</f>
        <v>317</v>
      </c>
      <c r="AE163" s="44">
        <f t="shared" si="31"/>
        <v>531.29035999999996</v>
      </c>
      <c r="AF163" s="283">
        <f t="shared" si="32"/>
        <v>83.290359999999964</v>
      </c>
      <c r="AG163" s="291">
        <f t="shared" si="41"/>
        <v>0.15676994402834632</v>
      </c>
      <c r="AH163" s="184" t="str">
        <f t="shared" si="33"/>
        <v>YES</v>
      </c>
      <c r="AJ163" s="9" t="str">
        <f t="shared" si="34"/>
        <v>YES</v>
      </c>
      <c r="AK163" s="9" t="str">
        <f t="shared" si="35"/>
        <v>NO</v>
      </c>
      <c r="AL163" s="9" t="str">
        <f t="shared" si="36"/>
        <v>YES</v>
      </c>
      <c r="AM163" s="9" t="str">
        <f t="shared" si="37"/>
        <v>NO</v>
      </c>
      <c r="AN163" s="9" t="str">
        <f t="shared" si="38"/>
        <v>Tier 2 - 15% to 20% better than Standard</v>
      </c>
      <c r="AO163" s="9" t="str">
        <f t="shared" si="39"/>
        <v>5_Tier 2 - 15% to 20% better than Standard</v>
      </c>
      <c r="AP163" s="9" t="str">
        <f t="shared" si="40"/>
        <v>5_YES</v>
      </c>
    </row>
    <row r="164" spans="1:42">
      <c r="A164">
        <v>85148</v>
      </c>
      <c r="B164" t="s">
        <v>171</v>
      </c>
      <c r="C164" t="s">
        <v>171</v>
      </c>
      <c r="D164" t="s">
        <v>4238</v>
      </c>
      <c r="E164" t="s">
        <v>4109</v>
      </c>
      <c r="F164" t="s">
        <v>162</v>
      </c>
      <c r="G164" t="s">
        <v>4105</v>
      </c>
      <c r="H164"/>
      <c r="I164"/>
      <c r="J164" t="b">
        <v>0</v>
      </c>
      <c r="K164" t="b">
        <v>0</v>
      </c>
      <c r="L164" t="b">
        <v>1</v>
      </c>
      <c r="M164" t="b">
        <v>0</v>
      </c>
      <c r="N164" t="b">
        <v>0</v>
      </c>
      <c r="O164" t="s">
        <v>4099</v>
      </c>
      <c r="P164">
        <v>14.74</v>
      </c>
      <c r="Q164">
        <v>5.36</v>
      </c>
      <c r="R164">
        <v>20.100000000000001</v>
      </c>
      <c r="S164">
        <v>70</v>
      </c>
      <c r="T164">
        <v>36</v>
      </c>
      <c r="U164">
        <v>36</v>
      </c>
      <c r="V164">
        <v>532</v>
      </c>
      <c r="W164" s="281">
        <v>41822</v>
      </c>
      <c r="X164" s="282"/>
      <c r="Z164" s="9" t="b">
        <f t="shared" si="29"/>
        <v>0</v>
      </c>
      <c r="AA164" s="9" t="str">
        <f t="shared" si="28"/>
        <v>5I</v>
      </c>
      <c r="AB164" s="196">
        <f t="shared" si="30"/>
        <v>24.1736</v>
      </c>
      <c r="AC164" s="9">
        <f>VLOOKUP(AA164,'Federal Standards'!$N$9:$P$50,2,FALSE)</f>
        <v>8.85</v>
      </c>
      <c r="AD164" s="44">
        <f>VLOOKUP(AA164,'Federal Standards'!$N$9:$P$50,3,FALSE)</f>
        <v>401</v>
      </c>
      <c r="AE164" s="44">
        <f t="shared" si="31"/>
        <v>614.93636000000004</v>
      </c>
      <c r="AF164" s="283">
        <f t="shared" si="32"/>
        <v>82.936360000000036</v>
      </c>
      <c r="AG164" s="291">
        <f t="shared" si="41"/>
        <v>0.13486982620445476</v>
      </c>
      <c r="AH164" s="184" t="str">
        <f t="shared" si="33"/>
        <v>YES</v>
      </c>
      <c r="AJ164" s="9" t="str">
        <f t="shared" si="34"/>
        <v>YES</v>
      </c>
      <c r="AK164" s="9" t="str">
        <f t="shared" si="35"/>
        <v>YES</v>
      </c>
      <c r="AL164" s="9" t="str">
        <f t="shared" si="36"/>
        <v>NO</v>
      </c>
      <c r="AM164" s="9" t="str">
        <f t="shared" si="37"/>
        <v>NO</v>
      </c>
      <c r="AN164" s="9" t="str">
        <f t="shared" si="38"/>
        <v>Tier 1 - 10% to 15% better than Standard</v>
      </c>
      <c r="AO164" s="9" t="str">
        <f t="shared" si="39"/>
        <v>5I_Tier 1 - 10% to 15% better than Standard</v>
      </c>
      <c r="AP164" s="9" t="str">
        <f t="shared" si="40"/>
        <v>5I_YES</v>
      </c>
    </row>
    <row r="165" spans="1:42">
      <c r="A165">
        <v>85730</v>
      </c>
      <c r="B165" t="s">
        <v>1638</v>
      </c>
      <c r="C165" t="s">
        <v>1285</v>
      </c>
      <c r="D165" t="s">
        <v>1286</v>
      </c>
      <c r="E165" t="s">
        <v>4109</v>
      </c>
      <c r="F165" t="s">
        <v>162</v>
      </c>
      <c r="G165" t="s">
        <v>4105</v>
      </c>
      <c r="H165"/>
      <c r="I165" t="s">
        <v>4170</v>
      </c>
      <c r="J165" t="b">
        <v>0</v>
      </c>
      <c r="K165" t="b">
        <v>0</v>
      </c>
      <c r="L165" t="b">
        <v>1</v>
      </c>
      <c r="M165" t="b">
        <v>1</v>
      </c>
      <c r="N165" t="b">
        <v>0</v>
      </c>
      <c r="O165" t="s">
        <v>4099</v>
      </c>
      <c r="P165">
        <v>18.64</v>
      </c>
      <c r="Q165">
        <v>9.17</v>
      </c>
      <c r="R165">
        <v>27.8</v>
      </c>
      <c r="S165">
        <v>69</v>
      </c>
      <c r="T165">
        <v>36</v>
      </c>
      <c r="U165">
        <v>34</v>
      </c>
      <c r="V165">
        <v>725</v>
      </c>
      <c r="W165" s="281">
        <v>41862</v>
      </c>
      <c r="X165" s="282"/>
      <c r="Z165" s="9" t="b">
        <f t="shared" si="29"/>
        <v>0</v>
      </c>
      <c r="AA165" s="9" t="str">
        <f t="shared" ref="AA165:AA228" si="42">GetFridgeClass(E165,F165,G165,J165,Z165,L165,M165)</f>
        <v>5A</v>
      </c>
      <c r="AB165" s="196">
        <f t="shared" si="30"/>
        <v>34.779200000000003</v>
      </c>
      <c r="AC165" s="9">
        <f>VLOOKUP(AA165,'Federal Standards'!$N$9:$P$50,2,FALSE)</f>
        <v>9.25</v>
      </c>
      <c r="AD165" s="44">
        <f>VLOOKUP(AA165,'Federal Standards'!$N$9:$P$50,3,FALSE)</f>
        <v>475.4</v>
      </c>
      <c r="AE165" s="44">
        <f t="shared" si="31"/>
        <v>797.10760000000005</v>
      </c>
      <c r="AF165" s="283">
        <f t="shared" si="32"/>
        <v>72.107600000000048</v>
      </c>
      <c r="AG165" s="291">
        <f t="shared" si="41"/>
        <v>9.0461563783860596E-2</v>
      </c>
      <c r="AH165" s="184" t="str">
        <f t="shared" si="33"/>
        <v>YES</v>
      </c>
      <c r="AJ165" s="9" t="str">
        <f t="shared" si="34"/>
        <v>NO</v>
      </c>
      <c r="AK165" s="9" t="str">
        <f t="shared" si="35"/>
        <v>NO</v>
      </c>
      <c r="AL165" s="9" t="str">
        <f t="shared" si="36"/>
        <v>NO</v>
      </c>
      <c r="AM165" s="9" t="str">
        <f t="shared" si="37"/>
        <v>NO</v>
      </c>
      <c r="AN165" s="9" t="str">
        <f t="shared" si="38"/>
        <v>Less than 10% better than Standard</v>
      </c>
      <c r="AO165" s="9" t="str">
        <f t="shared" si="39"/>
        <v>5A_Less than 10% better than Standard</v>
      </c>
      <c r="AP165" s="9" t="str">
        <f t="shared" si="40"/>
        <v>5A_NO</v>
      </c>
    </row>
    <row r="166" spans="1:42">
      <c r="A166">
        <v>86738</v>
      </c>
      <c r="B166" t="s">
        <v>1638</v>
      </c>
      <c r="C166" t="s">
        <v>1285</v>
      </c>
      <c r="D166" t="s">
        <v>4239</v>
      </c>
      <c r="E166" t="s">
        <v>4109</v>
      </c>
      <c r="F166" t="s">
        <v>162</v>
      </c>
      <c r="G166" t="s">
        <v>4105</v>
      </c>
      <c r="H166"/>
      <c r="I166" t="s">
        <v>4170</v>
      </c>
      <c r="J166" t="b">
        <v>0</v>
      </c>
      <c r="K166" t="b">
        <v>0</v>
      </c>
      <c r="L166" t="b">
        <v>1</v>
      </c>
      <c r="M166" t="b">
        <v>0</v>
      </c>
      <c r="N166" t="b">
        <v>1</v>
      </c>
      <c r="O166" t="s">
        <v>4099</v>
      </c>
      <c r="P166">
        <v>15.84</v>
      </c>
      <c r="Q166">
        <v>6.85</v>
      </c>
      <c r="R166">
        <v>22.7</v>
      </c>
      <c r="S166">
        <v>68</v>
      </c>
      <c r="T166">
        <v>33</v>
      </c>
      <c r="U166">
        <v>33</v>
      </c>
      <c r="V166">
        <v>647</v>
      </c>
      <c r="W166" s="281">
        <v>41884</v>
      </c>
      <c r="X166" s="282"/>
      <c r="Z166" s="9" t="b">
        <f t="shared" si="29"/>
        <v>0</v>
      </c>
      <c r="AA166" s="9" t="str">
        <f t="shared" si="42"/>
        <v>5I</v>
      </c>
      <c r="AB166" s="196">
        <f t="shared" si="30"/>
        <v>27.896000000000001</v>
      </c>
      <c r="AC166" s="9">
        <f>VLOOKUP(AA166,'Federal Standards'!$N$9:$P$50,2,FALSE)</f>
        <v>8.85</v>
      </c>
      <c r="AD166" s="44">
        <f>VLOOKUP(AA166,'Federal Standards'!$N$9:$P$50,3,FALSE)</f>
        <v>401</v>
      </c>
      <c r="AE166" s="44">
        <f t="shared" si="31"/>
        <v>647.87959999999998</v>
      </c>
      <c r="AF166" s="283">
        <f t="shared" si="32"/>
        <v>0.87959999999998217</v>
      </c>
      <c r="AG166" s="291">
        <f t="shared" si="41"/>
        <v>1.3576596639251833E-3</v>
      </c>
      <c r="AH166" s="184" t="str">
        <f t="shared" si="33"/>
        <v>YES</v>
      </c>
      <c r="AJ166" s="9" t="str">
        <f t="shared" si="34"/>
        <v>NO</v>
      </c>
      <c r="AK166" s="9" t="str">
        <f t="shared" si="35"/>
        <v>NO</v>
      </c>
      <c r="AL166" s="9" t="str">
        <f t="shared" si="36"/>
        <v>NO</v>
      </c>
      <c r="AM166" s="9" t="str">
        <f t="shared" si="37"/>
        <v>NO</v>
      </c>
      <c r="AN166" s="9" t="str">
        <f t="shared" si="38"/>
        <v>Less than 10% better than Standard</v>
      </c>
      <c r="AO166" s="9" t="str">
        <f t="shared" si="39"/>
        <v>5I_Less than 10% better than Standard</v>
      </c>
      <c r="AP166" s="9" t="str">
        <f t="shared" si="40"/>
        <v>5I_NO</v>
      </c>
    </row>
    <row r="167" spans="1:42">
      <c r="A167">
        <v>86739</v>
      </c>
      <c r="B167" t="s">
        <v>1638</v>
      </c>
      <c r="C167" t="s">
        <v>1285</v>
      </c>
      <c r="D167" t="s">
        <v>4240</v>
      </c>
      <c r="E167" t="s">
        <v>4109</v>
      </c>
      <c r="F167" t="s">
        <v>162</v>
      </c>
      <c r="G167" t="s">
        <v>4105</v>
      </c>
      <c r="H167"/>
      <c r="I167" t="s">
        <v>4170</v>
      </c>
      <c r="J167" t="b">
        <v>0</v>
      </c>
      <c r="K167" t="b">
        <v>0</v>
      </c>
      <c r="L167" t="b">
        <v>1</v>
      </c>
      <c r="M167" t="b">
        <v>0</v>
      </c>
      <c r="N167" t="b">
        <v>0</v>
      </c>
      <c r="O167" t="s">
        <v>4099</v>
      </c>
      <c r="P167">
        <v>15.93</v>
      </c>
      <c r="Q167">
        <v>7.16</v>
      </c>
      <c r="R167">
        <v>23.1</v>
      </c>
      <c r="S167">
        <v>69</v>
      </c>
      <c r="T167">
        <v>36</v>
      </c>
      <c r="U167">
        <v>29</v>
      </c>
      <c r="V167">
        <v>596</v>
      </c>
      <c r="W167" s="281">
        <v>41884</v>
      </c>
      <c r="X167" s="282"/>
      <c r="Z167" s="9" t="b">
        <f t="shared" si="29"/>
        <v>0</v>
      </c>
      <c r="AA167" s="9" t="str">
        <f t="shared" si="42"/>
        <v>5I</v>
      </c>
      <c r="AB167" s="196">
        <f t="shared" si="30"/>
        <v>28.531599999999997</v>
      </c>
      <c r="AC167" s="9">
        <f>VLOOKUP(AA167,'Federal Standards'!$N$9:$P$50,2,FALSE)</f>
        <v>8.85</v>
      </c>
      <c r="AD167" s="44">
        <f>VLOOKUP(AA167,'Federal Standards'!$N$9:$P$50,3,FALSE)</f>
        <v>401</v>
      </c>
      <c r="AE167" s="44">
        <f t="shared" si="31"/>
        <v>653.50465999999994</v>
      </c>
      <c r="AF167" s="283">
        <f t="shared" si="32"/>
        <v>57.504659999999944</v>
      </c>
      <c r="AG167" s="291">
        <f t="shared" si="41"/>
        <v>8.7994261586443703E-2</v>
      </c>
      <c r="AH167" s="184" t="str">
        <f t="shared" si="33"/>
        <v>YES</v>
      </c>
      <c r="AJ167" s="9" t="str">
        <f t="shared" si="34"/>
        <v>NO</v>
      </c>
      <c r="AK167" s="9" t="str">
        <f t="shared" si="35"/>
        <v>NO</v>
      </c>
      <c r="AL167" s="9" t="str">
        <f t="shared" si="36"/>
        <v>NO</v>
      </c>
      <c r="AM167" s="9" t="str">
        <f t="shared" si="37"/>
        <v>NO</v>
      </c>
      <c r="AN167" s="9" t="str">
        <f t="shared" si="38"/>
        <v>Less than 10% better than Standard</v>
      </c>
      <c r="AO167" s="9" t="str">
        <f t="shared" si="39"/>
        <v>5I_Less than 10% better than Standard</v>
      </c>
      <c r="AP167" s="9" t="str">
        <f t="shared" si="40"/>
        <v>5I_NO</v>
      </c>
    </row>
    <row r="168" spans="1:42">
      <c r="A168">
        <v>85731</v>
      </c>
      <c r="B168" t="s">
        <v>1638</v>
      </c>
      <c r="C168" t="s">
        <v>1285</v>
      </c>
      <c r="D168" t="s">
        <v>1288</v>
      </c>
      <c r="E168" t="s">
        <v>4109</v>
      </c>
      <c r="F168" t="s">
        <v>162</v>
      </c>
      <c r="G168" t="s">
        <v>4105</v>
      </c>
      <c r="H168"/>
      <c r="I168" t="s">
        <v>4170</v>
      </c>
      <c r="J168" t="b">
        <v>0</v>
      </c>
      <c r="K168" t="b">
        <v>0</v>
      </c>
      <c r="L168" t="b">
        <v>1</v>
      </c>
      <c r="M168" t="b">
        <v>1</v>
      </c>
      <c r="N168" t="b">
        <v>0</v>
      </c>
      <c r="O168" t="s">
        <v>4099</v>
      </c>
      <c r="P168">
        <v>15.03</v>
      </c>
      <c r="Q168">
        <v>7.16</v>
      </c>
      <c r="R168">
        <v>22.2</v>
      </c>
      <c r="S168">
        <v>69</v>
      </c>
      <c r="T168">
        <v>36</v>
      </c>
      <c r="U168">
        <v>29</v>
      </c>
      <c r="V168">
        <v>665</v>
      </c>
      <c r="W168" s="281">
        <v>41862</v>
      </c>
      <c r="X168" s="282"/>
      <c r="Z168" s="9" t="b">
        <f t="shared" si="29"/>
        <v>0</v>
      </c>
      <c r="AA168" s="9" t="str">
        <f t="shared" si="42"/>
        <v>5A</v>
      </c>
      <c r="AB168" s="196">
        <f t="shared" si="30"/>
        <v>27.631599999999999</v>
      </c>
      <c r="AC168" s="9">
        <f>VLOOKUP(AA168,'Federal Standards'!$N$9:$P$50,2,FALSE)</f>
        <v>9.25</v>
      </c>
      <c r="AD168" s="44">
        <f>VLOOKUP(AA168,'Federal Standards'!$N$9:$P$50,3,FALSE)</f>
        <v>475.4</v>
      </c>
      <c r="AE168" s="44">
        <f t="shared" si="31"/>
        <v>730.9923</v>
      </c>
      <c r="AF168" s="283">
        <f t="shared" si="32"/>
        <v>65.9923</v>
      </c>
      <c r="AG168" s="291">
        <f t="shared" si="41"/>
        <v>9.0277695127568378E-2</v>
      </c>
      <c r="AH168" s="184" t="str">
        <f t="shared" si="33"/>
        <v>YES</v>
      </c>
      <c r="AJ168" s="9" t="str">
        <f t="shared" si="34"/>
        <v>NO</v>
      </c>
      <c r="AK168" s="9" t="str">
        <f t="shared" si="35"/>
        <v>NO</v>
      </c>
      <c r="AL168" s="9" t="str">
        <f t="shared" si="36"/>
        <v>NO</v>
      </c>
      <c r="AM168" s="9" t="str">
        <f t="shared" si="37"/>
        <v>NO</v>
      </c>
      <c r="AN168" s="9" t="str">
        <f t="shared" si="38"/>
        <v>Less than 10% better than Standard</v>
      </c>
      <c r="AO168" s="9" t="str">
        <f t="shared" si="39"/>
        <v>5A_Less than 10% better than Standard</v>
      </c>
      <c r="AP168" s="9" t="str">
        <f t="shared" si="40"/>
        <v>5A_NO</v>
      </c>
    </row>
    <row r="169" spans="1:42">
      <c r="A169">
        <v>84852</v>
      </c>
      <c r="B169" t="s">
        <v>1638</v>
      </c>
      <c r="C169" t="s">
        <v>1290</v>
      </c>
      <c r="D169" t="s">
        <v>4241</v>
      </c>
      <c r="E169" t="s">
        <v>4097</v>
      </c>
      <c r="F169" t="s">
        <v>162</v>
      </c>
      <c r="G169" t="s">
        <v>184</v>
      </c>
      <c r="H169"/>
      <c r="I169" t="s">
        <v>4098</v>
      </c>
      <c r="J169" t="b">
        <v>0</v>
      </c>
      <c r="K169" t="b">
        <v>1</v>
      </c>
      <c r="L169"/>
      <c r="M169"/>
      <c r="N169" t="b">
        <v>0</v>
      </c>
      <c r="O169" t="s">
        <v>4099</v>
      </c>
      <c r="P169">
        <v>5.41</v>
      </c>
      <c r="Q169"/>
      <c r="R169">
        <v>5.4</v>
      </c>
      <c r="S169">
        <v>36</v>
      </c>
      <c r="T169">
        <v>24</v>
      </c>
      <c r="U169">
        <v>24</v>
      </c>
      <c r="V169">
        <v>308</v>
      </c>
      <c r="W169" s="281">
        <v>41807</v>
      </c>
      <c r="X169" s="282"/>
      <c r="Z169" s="9" t="b">
        <f t="shared" si="29"/>
        <v>1</v>
      </c>
      <c r="AA169" s="9" t="str">
        <f t="shared" si="42"/>
        <v>13A</v>
      </c>
      <c r="AB169" s="196">
        <f t="shared" si="30"/>
        <v>5.41</v>
      </c>
      <c r="AC169" s="9">
        <f>VLOOKUP(AA169,'Federal Standards'!$N$9:$P$50,2,FALSE)</f>
        <v>9.17</v>
      </c>
      <c r="AD169" s="44">
        <f>VLOOKUP(AA169,'Federal Standards'!$N$9:$P$50,3,FALSE)</f>
        <v>259.3</v>
      </c>
      <c r="AE169" s="44">
        <f t="shared" si="31"/>
        <v>308.90970000000004</v>
      </c>
      <c r="AF169" s="283">
        <f t="shared" si="32"/>
        <v>0.90970000000004347</v>
      </c>
      <c r="AG169" s="291">
        <f t="shared" si="41"/>
        <v>2.9448735342400816E-3</v>
      </c>
      <c r="AH169" s="184" t="str">
        <f t="shared" si="33"/>
        <v>YES</v>
      </c>
      <c r="AJ169" s="9" t="str">
        <f t="shared" si="34"/>
        <v>NO</v>
      </c>
      <c r="AK169" s="9" t="str">
        <f t="shared" si="35"/>
        <v>NO</v>
      </c>
      <c r="AL169" s="9" t="str">
        <f t="shared" si="36"/>
        <v>NO</v>
      </c>
      <c r="AM169" s="9" t="str">
        <f t="shared" si="37"/>
        <v>NO</v>
      </c>
      <c r="AN169" s="9" t="str">
        <f t="shared" si="38"/>
        <v>Less than 10% better than Standard</v>
      </c>
      <c r="AO169" s="9" t="str">
        <f t="shared" si="39"/>
        <v>13A_Less than 10% better than Standard</v>
      </c>
      <c r="AP169" s="9" t="str">
        <f t="shared" si="40"/>
        <v>13A_NO</v>
      </c>
    </row>
    <row r="170" spans="1:42">
      <c r="A170">
        <v>85715</v>
      </c>
      <c r="B170" t="s">
        <v>1638</v>
      </c>
      <c r="C170" t="s">
        <v>1290</v>
      </c>
      <c r="D170" t="s">
        <v>4242</v>
      </c>
      <c r="E170" t="s">
        <v>4119</v>
      </c>
      <c r="F170" t="s">
        <v>162</v>
      </c>
      <c r="G170" t="s">
        <v>184</v>
      </c>
      <c r="H170"/>
      <c r="I170" t="s">
        <v>4098</v>
      </c>
      <c r="J170" t="b">
        <v>0</v>
      </c>
      <c r="K170" t="b">
        <v>0</v>
      </c>
      <c r="L170"/>
      <c r="M170"/>
      <c r="N170" t="b">
        <v>0</v>
      </c>
      <c r="O170" t="s">
        <v>4099</v>
      </c>
      <c r="P170">
        <v>5.5</v>
      </c>
      <c r="Q170"/>
      <c r="R170">
        <v>5.5</v>
      </c>
      <c r="S170">
        <v>34</v>
      </c>
      <c r="T170">
        <v>24</v>
      </c>
      <c r="U170">
        <v>24</v>
      </c>
      <c r="V170">
        <v>439</v>
      </c>
      <c r="W170" s="281">
        <v>41852</v>
      </c>
      <c r="X170" s="282"/>
      <c r="Z170" s="9" t="b">
        <f t="shared" si="29"/>
        <v>1</v>
      </c>
      <c r="AA170" s="9" t="str">
        <f t="shared" si="42"/>
        <v>[Wine Chiller - exempt]</v>
      </c>
      <c r="AB170" s="196">
        <f t="shared" si="30"/>
        <v>5.5</v>
      </c>
      <c r="AC170" s="9" t="e">
        <f>VLOOKUP(AA170,'Federal Standards'!$N$9:$P$50,2,FALSE)</f>
        <v>#N/A</v>
      </c>
      <c r="AD170" s="44" t="e">
        <f>VLOOKUP(AA170,'Federal Standards'!$N$9:$P$50,3,FALSE)</f>
        <v>#N/A</v>
      </c>
      <c r="AE170" s="44" t="e">
        <f t="shared" si="31"/>
        <v>#N/A</v>
      </c>
      <c r="AF170" s="283" t="e">
        <f t="shared" si="32"/>
        <v>#N/A</v>
      </c>
      <c r="AG170" s="291" t="e">
        <f t="shared" si="41"/>
        <v>#N/A</v>
      </c>
      <c r="AH170" s="184" t="e">
        <f t="shared" si="33"/>
        <v>#N/A</v>
      </c>
      <c r="AJ170" s="9" t="e">
        <f t="shared" si="34"/>
        <v>#N/A</v>
      </c>
      <c r="AK170" s="9" t="e">
        <f t="shared" si="35"/>
        <v>#N/A</v>
      </c>
      <c r="AL170" s="9" t="e">
        <f t="shared" si="36"/>
        <v>#N/A</v>
      </c>
      <c r="AM170" s="9" t="e">
        <f t="shared" si="37"/>
        <v>#N/A</v>
      </c>
      <c r="AN170" s="9" t="e">
        <f t="shared" si="38"/>
        <v>#N/A</v>
      </c>
      <c r="AO170" s="9" t="e">
        <f t="shared" si="39"/>
        <v>#N/A</v>
      </c>
      <c r="AP170" s="9" t="e">
        <f t="shared" si="40"/>
        <v>#N/A</v>
      </c>
    </row>
    <row r="171" spans="1:42">
      <c r="A171">
        <v>84855</v>
      </c>
      <c r="B171" t="s">
        <v>1638</v>
      </c>
      <c r="C171" t="s">
        <v>1290</v>
      </c>
      <c r="D171" t="s">
        <v>4243</v>
      </c>
      <c r="E171" t="s">
        <v>4179</v>
      </c>
      <c r="F171" t="s">
        <v>162</v>
      </c>
      <c r="G171" t="s">
        <v>4105</v>
      </c>
      <c r="H171"/>
      <c r="I171" t="s">
        <v>4098</v>
      </c>
      <c r="J171" t="b">
        <v>0</v>
      </c>
      <c r="K171" t="b">
        <v>1</v>
      </c>
      <c r="L171" t="b">
        <v>1</v>
      </c>
      <c r="M171" t="b">
        <v>0</v>
      </c>
      <c r="N171" t="b">
        <v>0</v>
      </c>
      <c r="O171" t="s">
        <v>4099</v>
      </c>
      <c r="P171">
        <v>3.35</v>
      </c>
      <c r="Q171">
        <v>0.99</v>
      </c>
      <c r="R171">
        <v>4.3</v>
      </c>
      <c r="S171">
        <v>34</v>
      </c>
      <c r="T171">
        <v>24</v>
      </c>
      <c r="U171">
        <v>24</v>
      </c>
      <c r="V171">
        <v>575</v>
      </c>
      <c r="W171" s="281">
        <v>41807</v>
      </c>
      <c r="X171" s="282"/>
      <c r="Z171" s="9" t="b">
        <f t="shared" si="29"/>
        <v>1</v>
      </c>
      <c r="AA171" s="9" t="str">
        <f t="shared" si="42"/>
        <v>14I</v>
      </c>
      <c r="AB171" s="196">
        <f t="shared" si="30"/>
        <v>5.0923999999999996</v>
      </c>
      <c r="AC171" s="9">
        <f>VLOOKUP(AA171,'Federal Standards'!$N$9:$P$50,2,FALSE)</f>
        <v>6.82</v>
      </c>
      <c r="AD171" s="44">
        <f>VLOOKUP(AA171,'Federal Standards'!$N$9:$P$50,3,FALSE)</f>
        <v>540.9</v>
      </c>
      <c r="AE171" s="44">
        <f t="shared" si="31"/>
        <v>575.63016800000003</v>
      </c>
      <c r="AF171" s="283">
        <f t="shared" si="32"/>
        <v>0.63016800000002604</v>
      </c>
      <c r="AG171" s="291">
        <f t="shared" si="41"/>
        <v>1.0947445687037481E-3</v>
      </c>
      <c r="AH171" s="184" t="str">
        <f t="shared" si="33"/>
        <v>YES</v>
      </c>
      <c r="AJ171" s="9" t="str">
        <f t="shared" si="34"/>
        <v>NO</v>
      </c>
      <c r="AK171" s="9" t="str">
        <f t="shared" si="35"/>
        <v>NO</v>
      </c>
      <c r="AL171" s="9" t="str">
        <f t="shared" si="36"/>
        <v>NO</v>
      </c>
      <c r="AM171" s="9" t="str">
        <f t="shared" si="37"/>
        <v>NO</v>
      </c>
      <c r="AN171" s="9" t="str">
        <f t="shared" si="38"/>
        <v>Less than 10% better than Standard</v>
      </c>
      <c r="AO171" s="9" t="str">
        <f t="shared" si="39"/>
        <v>14I_Less than 10% better than Standard</v>
      </c>
      <c r="AP171" s="9" t="str">
        <f t="shared" si="40"/>
        <v>14I_NO</v>
      </c>
    </row>
    <row r="172" spans="1:42">
      <c r="A172">
        <v>85729</v>
      </c>
      <c r="B172" t="s">
        <v>1638</v>
      </c>
      <c r="C172" t="s">
        <v>1290</v>
      </c>
      <c r="D172" t="s">
        <v>4244</v>
      </c>
      <c r="E172" t="s">
        <v>4109</v>
      </c>
      <c r="F172" t="s">
        <v>162</v>
      </c>
      <c r="G172" t="s">
        <v>4105</v>
      </c>
      <c r="H172"/>
      <c r="I172" t="s">
        <v>4098</v>
      </c>
      <c r="J172" t="b">
        <v>1</v>
      </c>
      <c r="K172" t="b">
        <v>0</v>
      </c>
      <c r="L172" t="b">
        <v>1</v>
      </c>
      <c r="M172" t="b">
        <v>0</v>
      </c>
      <c r="N172" t="b">
        <v>1</v>
      </c>
      <c r="O172" t="s">
        <v>4099</v>
      </c>
      <c r="P172">
        <v>10.48</v>
      </c>
      <c r="Q172">
        <v>3.98</v>
      </c>
      <c r="R172">
        <v>14.5</v>
      </c>
      <c r="S172">
        <v>80</v>
      </c>
      <c r="T172">
        <v>30</v>
      </c>
      <c r="U172">
        <v>25</v>
      </c>
      <c r="V172">
        <v>534</v>
      </c>
      <c r="W172" s="281">
        <v>41862</v>
      </c>
      <c r="X172" s="282"/>
      <c r="Z172" s="9" t="b">
        <f t="shared" si="29"/>
        <v>0</v>
      </c>
      <c r="AA172" s="9" t="str">
        <f t="shared" si="42"/>
        <v>5I-BI</v>
      </c>
      <c r="AB172" s="196">
        <f t="shared" si="30"/>
        <v>17.4848</v>
      </c>
      <c r="AC172" s="9">
        <f>VLOOKUP(AA172,'Federal Standards'!$N$9:$P$50,2,FALSE)</f>
        <v>9.4</v>
      </c>
      <c r="AD172" s="44">
        <f>VLOOKUP(AA172,'Federal Standards'!$N$9:$P$50,3,FALSE)</f>
        <v>420.9</v>
      </c>
      <c r="AE172" s="44">
        <f t="shared" si="31"/>
        <v>585.25711999999999</v>
      </c>
      <c r="AF172" s="283">
        <f t="shared" si="32"/>
        <v>51.257119999999986</v>
      </c>
      <c r="AG172" s="291">
        <f t="shared" si="41"/>
        <v>8.7580515039270238E-2</v>
      </c>
      <c r="AH172" s="184" t="str">
        <f t="shared" si="33"/>
        <v>YES</v>
      </c>
      <c r="AJ172" s="9" t="str">
        <f t="shared" si="34"/>
        <v>NO</v>
      </c>
      <c r="AK172" s="9" t="str">
        <f t="shared" si="35"/>
        <v>NO</v>
      </c>
      <c r="AL172" s="9" t="str">
        <f t="shared" si="36"/>
        <v>NO</v>
      </c>
      <c r="AM172" s="9" t="str">
        <f t="shared" si="37"/>
        <v>NO</v>
      </c>
      <c r="AN172" s="9" t="str">
        <f t="shared" si="38"/>
        <v>Less than 10% better than Standard</v>
      </c>
      <c r="AO172" s="9" t="str">
        <f t="shared" si="39"/>
        <v>5I-BI_Less than 10% better than Standard</v>
      </c>
      <c r="AP172" s="9" t="str">
        <f t="shared" si="40"/>
        <v>5I-BI_NO</v>
      </c>
    </row>
    <row r="173" spans="1:42">
      <c r="A173">
        <v>85734</v>
      </c>
      <c r="B173" t="s">
        <v>1638</v>
      </c>
      <c r="C173" t="s">
        <v>1290</v>
      </c>
      <c r="D173" t="s">
        <v>4245</v>
      </c>
      <c r="E173" t="s">
        <v>4109</v>
      </c>
      <c r="F173" t="s">
        <v>162</v>
      </c>
      <c r="G173" t="s">
        <v>4105</v>
      </c>
      <c r="H173"/>
      <c r="I173" t="s">
        <v>4098</v>
      </c>
      <c r="J173" t="b">
        <v>1</v>
      </c>
      <c r="K173" t="b">
        <v>0</v>
      </c>
      <c r="L173" t="b">
        <v>1</v>
      </c>
      <c r="M173" t="b">
        <v>0</v>
      </c>
      <c r="N173" t="b">
        <v>0</v>
      </c>
      <c r="O173" t="s">
        <v>4099</v>
      </c>
      <c r="P173">
        <v>14.99</v>
      </c>
      <c r="Q173">
        <v>6.34</v>
      </c>
      <c r="R173">
        <v>21.3</v>
      </c>
      <c r="S173">
        <v>85</v>
      </c>
      <c r="T173">
        <v>36</v>
      </c>
      <c r="U173">
        <v>26</v>
      </c>
      <c r="V173">
        <v>607</v>
      </c>
      <c r="W173" s="281">
        <v>41862</v>
      </c>
      <c r="X173" s="282"/>
      <c r="Z173" s="9" t="b">
        <f t="shared" si="29"/>
        <v>0</v>
      </c>
      <c r="AA173" s="9" t="str">
        <f t="shared" si="42"/>
        <v>5I-BI</v>
      </c>
      <c r="AB173" s="196">
        <f t="shared" si="30"/>
        <v>26.148400000000002</v>
      </c>
      <c r="AC173" s="9">
        <f>VLOOKUP(AA173,'Federal Standards'!$N$9:$P$50,2,FALSE)</f>
        <v>9.4</v>
      </c>
      <c r="AD173" s="44">
        <f>VLOOKUP(AA173,'Federal Standards'!$N$9:$P$50,3,FALSE)</f>
        <v>420.9</v>
      </c>
      <c r="AE173" s="44">
        <f t="shared" si="31"/>
        <v>666.69496000000004</v>
      </c>
      <c r="AF173" s="283">
        <f t="shared" si="32"/>
        <v>59.694960000000037</v>
      </c>
      <c r="AG173" s="291">
        <f t="shared" si="41"/>
        <v>8.9538639980119294E-2</v>
      </c>
      <c r="AH173" s="184" t="str">
        <f t="shared" si="33"/>
        <v>YES</v>
      </c>
      <c r="AJ173" s="9" t="str">
        <f t="shared" si="34"/>
        <v>NO</v>
      </c>
      <c r="AK173" s="9" t="str">
        <f t="shared" si="35"/>
        <v>NO</v>
      </c>
      <c r="AL173" s="9" t="str">
        <f t="shared" si="36"/>
        <v>NO</v>
      </c>
      <c r="AM173" s="9" t="str">
        <f t="shared" si="37"/>
        <v>NO</v>
      </c>
      <c r="AN173" s="9" t="str">
        <f t="shared" si="38"/>
        <v>Less than 10% better than Standard</v>
      </c>
      <c r="AO173" s="9" t="str">
        <f t="shared" si="39"/>
        <v>5I-BI_Less than 10% better than Standard</v>
      </c>
      <c r="AP173" s="9" t="str">
        <f t="shared" si="40"/>
        <v>5I-BI_NO</v>
      </c>
    </row>
    <row r="174" spans="1:42">
      <c r="A174">
        <v>84848</v>
      </c>
      <c r="B174" t="s">
        <v>1638</v>
      </c>
      <c r="C174" t="s">
        <v>1290</v>
      </c>
      <c r="D174" t="s">
        <v>4246</v>
      </c>
      <c r="E174" t="s">
        <v>4097</v>
      </c>
      <c r="F174" t="s">
        <v>162</v>
      </c>
      <c r="G174" t="s">
        <v>184</v>
      </c>
      <c r="H174"/>
      <c r="I174" t="s">
        <v>4247</v>
      </c>
      <c r="J174" t="b">
        <v>0</v>
      </c>
      <c r="K174" t="b">
        <v>1</v>
      </c>
      <c r="L174"/>
      <c r="M174"/>
      <c r="N174" t="b">
        <v>0</v>
      </c>
      <c r="O174" t="s">
        <v>4099</v>
      </c>
      <c r="P174">
        <v>5.09</v>
      </c>
      <c r="Q174"/>
      <c r="R174">
        <v>5.0999999999999996</v>
      </c>
      <c r="S174">
        <v>35</v>
      </c>
      <c r="T174">
        <v>24</v>
      </c>
      <c r="U174">
        <v>24</v>
      </c>
      <c r="V174">
        <v>305</v>
      </c>
      <c r="W174" s="281">
        <v>41807</v>
      </c>
      <c r="X174" s="282"/>
      <c r="Z174" s="9" t="b">
        <f t="shared" si="29"/>
        <v>1</v>
      </c>
      <c r="AA174" s="9" t="str">
        <f t="shared" si="42"/>
        <v>13A</v>
      </c>
      <c r="AB174" s="196">
        <f t="shared" si="30"/>
        <v>5.09</v>
      </c>
      <c r="AC174" s="9">
        <f>VLOOKUP(AA174,'Federal Standards'!$N$9:$P$50,2,FALSE)</f>
        <v>9.17</v>
      </c>
      <c r="AD174" s="44">
        <f>VLOOKUP(AA174,'Federal Standards'!$N$9:$P$50,3,FALSE)</f>
        <v>259.3</v>
      </c>
      <c r="AE174" s="44">
        <f t="shared" si="31"/>
        <v>305.9753</v>
      </c>
      <c r="AF174" s="283">
        <f t="shared" si="32"/>
        <v>0.97530000000000427</v>
      </c>
      <c r="AG174" s="291">
        <f t="shared" si="41"/>
        <v>3.1875121946118011E-3</v>
      </c>
      <c r="AH174" s="184" t="str">
        <f t="shared" si="33"/>
        <v>YES</v>
      </c>
      <c r="AJ174" s="9" t="str">
        <f t="shared" si="34"/>
        <v>NO</v>
      </c>
      <c r="AK174" s="9" t="str">
        <f t="shared" si="35"/>
        <v>NO</v>
      </c>
      <c r="AL174" s="9" t="str">
        <f t="shared" si="36"/>
        <v>NO</v>
      </c>
      <c r="AM174" s="9" t="str">
        <f t="shared" si="37"/>
        <v>NO</v>
      </c>
      <c r="AN174" s="9" t="str">
        <f t="shared" si="38"/>
        <v>Less than 10% better than Standard</v>
      </c>
      <c r="AO174" s="9" t="str">
        <f t="shared" si="39"/>
        <v>13A_Less than 10% better than Standard</v>
      </c>
      <c r="AP174" s="9" t="str">
        <f t="shared" si="40"/>
        <v>13A_NO</v>
      </c>
    </row>
    <row r="175" spans="1:42">
      <c r="A175">
        <v>87073</v>
      </c>
      <c r="B175" t="s">
        <v>1638</v>
      </c>
      <c r="C175" t="s">
        <v>1290</v>
      </c>
      <c r="D175" t="s">
        <v>4248</v>
      </c>
      <c r="E175" t="s">
        <v>187</v>
      </c>
      <c r="F175" t="s">
        <v>162</v>
      </c>
      <c r="G175" t="s">
        <v>189</v>
      </c>
      <c r="H175"/>
      <c r="I175" t="s">
        <v>4098</v>
      </c>
      <c r="J175" t="b">
        <v>1</v>
      </c>
      <c r="K175" t="b">
        <v>0</v>
      </c>
      <c r="L175" t="b">
        <v>1</v>
      </c>
      <c r="M175" t="b">
        <v>0</v>
      </c>
      <c r="N175" t="b">
        <v>0</v>
      </c>
      <c r="O175" t="s">
        <v>4099</v>
      </c>
      <c r="P175"/>
      <c r="Q175">
        <v>21.92</v>
      </c>
      <c r="R175">
        <v>21.9</v>
      </c>
      <c r="S175">
        <v>84</v>
      </c>
      <c r="T175">
        <v>36</v>
      </c>
      <c r="U175">
        <v>26</v>
      </c>
      <c r="V175">
        <v>724</v>
      </c>
      <c r="W175" s="281">
        <v>41890</v>
      </c>
      <c r="X175" s="282"/>
      <c r="Z175" s="9" t="b">
        <f t="shared" si="29"/>
        <v>0</v>
      </c>
      <c r="AA175" s="9" t="str">
        <f t="shared" si="42"/>
        <v>9I-BI</v>
      </c>
      <c r="AB175" s="196">
        <f t="shared" si="30"/>
        <v>38.5792</v>
      </c>
      <c r="AC175" s="9">
        <f>VLOOKUP(AA175,'Federal Standards'!$N$9:$P$50,2,FALSE)</f>
        <v>9.86</v>
      </c>
      <c r="AD175" s="44">
        <f>VLOOKUP(AA175,'Federal Standards'!$N$9:$P$50,3,FALSE)</f>
        <v>344.9</v>
      </c>
      <c r="AE175" s="44">
        <f t="shared" si="31"/>
        <v>725.29091199999993</v>
      </c>
      <c r="AF175" s="283">
        <f t="shared" si="32"/>
        <v>1.2909119999999348</v>
      </c>
      <c r="AG175" s="291">
        <f t="shared" si="41"/>
        <v>1.7798540952901599E-3</v>
      </c>
      <c r="AH175" s="184" t="str">
        <f t="shared" si="33"/>
        <v>YES</v>
      </c>
      <c r="AJ175" s="9" t="str">
        <f t="shared" si="34"/>
        <v>NO</v>
      </c>
      <c r="AK175" s="9" t="str">
        <f t="shared" si="35"/>
        <v>NO</v>
      </c>
      <c r="AL175" s="9" t="str">
        <f t="shared" si="36"/>
        <v>NO</v>
      </c>
      <c r="AM175" s="9" t="str">
        <f t="shared" si="37"/>
        <v>NO</v>
      </c>
      <c r="AN175" s="9" t="str">
        <f t="shared" si="38"/>
        <v>Less than 10% better than Standard</v>
      </c>
      <c r="AO175" s="9" t="str">
        <f t="shared" si="39"/>
        <v>9I-BI_Less than 10% better than Standard</v>
      </c>
      <c r="AP175" s="9" t="str">
        <f t="shared" si="40"/>
        <v>9I-BI_NO</v>
      </c>
    </row>
    <row r="176" spans="1:42">
      <c r="A176">
        <v>84850</v>
      </c>
      <c r="B176" t="s">
        <v>1638</v>
      </c>
      <c r="C176" t="s">
        <v>1290</v>
      </c>
      <c r="D176" t="s">
        <v>4249</v>
      </c>
      <c r="E176" t="s">
        <v>4097</v>
      </c>
      <c r="F176" t="s">
        <v>162</v>
      </c>
      <c r="G176" t="s">
        <v>184</v>
      </c>
      <c r="H176"/>
      <c r="I176" t="s">
        <v>4098</v>
      </c>
      <c r="J176" t="b">
        <v>0</v>
      </c>
      <c r="K176" t="b">
        <v>1</v>
      </c>
      <c r="L176"/>
      <c r="M176"/>
      <c r="N176" t="b">
        <v>0</v>
      </c>
      <c r="O176" t="s">
        <v>4099</v>
      </c>
      <c r="P176">
        <v>5.41</v>
      </c>
      <c r="Q176"/>
      <c r="R176">
        <v>5.4</v>
      </c>
      <c r="S176">
        <v>34</v>
      </c>
      <c r="T176">
        <v>24</v>
      </c>
      <c r="U176">
        <v>24</v>
      </c>
      <c r="V176">
        <v>308</v>
      </c>
      <c r="W176" s="281">
        <v>41807</v>
      </c>
      <c r="X176" s="282"/>
      <c r="Z176" s="9" t="b">
        <f t="shared" si="29"/>
        <v>1</v>
      </c>
      <c r="AA176" s="9" t="str">
        <f t="shared" si="42"/>
        <v>13A</v>
      </c>
      <c r="AB176" s="196">
        <f t="shared" si="30"/>
        <v>5.41</v>
      </c>
      <c r="AC176" s="9">
        <f>VLOOKUP(AA176,'Federal Standards'!$N$9:$P$50,2,FALSE)</f>
        <v>9.17</v>
      </c>
      <c r="AD176" s="44">
        <f>VLOOKUP(AA176,'Federal Standards'!$N$9:$P$50,3,FALSE)</f>
        <v>259.3</v>
      </c>
      <c r="AE176" s="44">
        <f t="shared" si="31"/>
        <v>308.90970000000004</v>
      </c>
      <c r="AF176" s="283">
        <f t="shared" si="32"/>
        <v>0.90970000000004347</v>
      </c>
      <c r="AG176" s="291">
        <f t="shared" si="41"/>
        <v>2.9448735342400816E-3</v>
      </c>
      <c r="AH176" s="184" t="str">
        <f t="shared" si="33"/>
        <v>YES</v>
      </c>
      <c r="AJ176" s="9" t="str">
        <f t="shared" si="34"/>
        <v>NO</v>
      </c>
      <c r="AK176" s="9" t="str">
        <f t="shared" si="35"/>
        <v>NO</v>
      </c>
      <c r="AL176" s="9" t="str">
        <f t="shared" si="36"/>
        <v>NO</v>
      </c>
      <c r="AM176" s="9" t="str">
        <f t="shared" si="37"/>
        <v>NO</v>
      </c>
      <c r="AN176" s="9" t="str">
        <f t="shared" si="38"/>
        <v>Less than 10% better than Standard</v>
      </c>
      <c r="AO176" s="9" t="str">
        <f t="shared" si="39"/>
        <v>13A_Less than 10% better than Standard</v>
      </c>
      <c r="AP176" s="9" t="str">
        <f t="shared" si="40"/>
        <v>13A_NO</v>
      </c>
    </row>
    <row r="177" spans="1:42">
      <c r="A177">
        <v>85724</v>
      </c>
      <c r="B177" t="s">
        <v>1638</v>
      </c>
      <c r="C177" t="s">
        <v>1290</v>
      </c>
      <c r="D177" t="s">
        <v>4250</v>
      </c>
      <c r="E177" t="s">
        <v>4109</v>
      </c>
      <c r="F177" t="s">
        <v>162</v>
      </c>
      <c r="G177" t="s">
        <v>4105</v>
      </c>
      <c r="H177"/>
      <c r="I177" t="s">
        <v>4098</v>
      </c>
      <c r="J177" t="b">
        <v>1</v>
      </c>
      <c r="K177" t="b">
        <v>0</v>
      </c>
      <c r="L177" t="b">
        <v>1</v>
      </c>
      <c r="M177" t="b">
        <v>0</v>
      </c>
      <c r="N177" t="b">
        <v>1</v>
      </c>
      <c r="O177" t="s">
        <v>4099</v>
      </c>
      <c r="P177">
        <v>10.64</v>
      </c>
      <c r="Q177">
        <v>3.98</v>
      </c>
      <c r="R177">
        <v>14.6</v>
      </c>
      <c r="S177">
        <v>80</v>
      </c>
      <c r="T177">
        <v>30</v>
      </c>
      <c r="U177">
        <v>25</v>
      </c>
      <c r="V177">
        <v>567</v>
      </c>
      <c r="W177" s="281">
        <v>41862</v>
      </c>
      <c r="X177" s="282"/>
      <c r="Z177" s="9" t="b">
        <f t="shared" si="29"/>
        <v>0</v>
      </c>
      <c r="AA177" s="9" t="str">
        <f t="shared" si="42"/>
        <v>5I-BI</v>
      </c>
      <c r="AB177" s="196">
        <f t="shared" si="30"/>
        <v>17.6448</v>
      </c>
      <c r="AC177" s="9">
        <f>VLOOKUP(AA177,'Federal Standards'!$N$9:$P$50,2,FALSE)</f>
        <v>9.4</v>
      </c>
      <c r="AD177" s="44">
        <f>VLOOKUP(AA177,'Federal Standards'!$N$9:$P$50,3,FALSE)</f>
        <v>420.9</v>
      </c>
      <c r="AE177" s="44">
        <f t="shared" si="31"/>
        <v>586.76112000000001</v>
      </c>
      <c r="AF177" s="283">
        <f t="shared" si="32"/>
        <v>19.761120000000005</v>
      </c>
      <c r="AG177" s="291">
        <f t="shared" si="41"/>
        <v>3.3678305065611716E-2</v>
      </c>
      <c r="AH177" s="184" t="str">
        <f t="shared" si="33"/>
        <v>YES</v>
      </c>
      <c r="AJ177" s="9" t="str">
        <f t="shared" si="34"/>
        <v>NO</v>
      </c>
      <c r="AK177" s="9" t="str">
        <f t="shared" si="35"/>
        <v>NO</v>
      </c>
      <c r="AL177" s="9" t="str">
        <f t="shared" si="36"/>
        <v>NO</v>
      </c>
      <c r="AM177" s="9" t="str">
        <f t="shared" si="37"/>
        <v>NO</v>
      </c>
      <c r="AN177" s="9" t="str">
        <f t="shared" si="38"/>
        <v>Less than 10% better than Standard</v>
      </c>
      <c r="AO177" s="9" t="str">
        <f t="shared" si="39"/>
        <v>5I-BI_Less than 10% better than Standard</v>
      </c>
      <c r="AP177" s="9" t="str">
        <f t="shared" si="40"/>
        <v>5I-BI_NO</v>
      </c>
    </row>
    <row r="178" spans="1:42">
      <c r="A178">
        <v>83022</v>
      </c>
      <c r="B178" t="s">
        <v>1638</v>
      </c>
      <c r="C178" t="s">
        <v>1290</v>
      </c>
      <c r="D178" t="s">
        <v>4251</v>
      </c>
      <c r="E178" t="s">
        <v>4198</v>
      </c>
      <c r="F178" t="s">
        <v>162</v>
      </c>
      <c r="G178" t="s">
        <v>4105</v>
      </c>
      <c r="H178"/>
      <c r="I178" t="s">
        <v>4199</v>
      </c>
      <c r="J178"/>
      <c r="K178"/>
      <c r="L178"/>
      <c r="M178"/>
      <c r="N178" t="b">
        <v>0</v>
      </c>
      <c r="O178" t="s">
        <v>4099</v>
      </c>
      <c r="P178">
        <v>14.32</v>
      </c>
      <c r="Q178">
        <v>6.18</v>
      </c>
      <c r="R178">
        <v>20.5</v>
      </c>
      <c r="S178">
        <v>84</v>
      </c>
      <c r="T178">
        <v>35</v>
      </c>
      <c r="U178">
        <v>26</v>
      </c>
      <c r="V178">
        <v>571</v>
      </c>
      <c r="W178" s="281">
        <v>41624</v>
      </c>
      <c r="X178" s="282"/>
      <c r="Z178" s="9" t="b">
        <f t="shared" si="29"/>
        <v>0</v>
      </c>
      <c r="AA178" s="9" t="str">
        <f t="shared" si="42"/>
        <v>5</v>
      </c>
      <c r="AB178" s="196">
        <f t="shared" si="30"/>
        <v>25.1968</v>
      </c>
      <c r="AC178" s="9">
        <f>VLOOKUP(AA178,'Federal Standards'!$N$9:$P$50,2,FALSE)</f>
        <v>8.85</v>
      </c>
      <c r="AD178" s="44">
        <f>VLOOKUP(AA178,'Federal Standards'!$N$9:$P$50,3,FALSE)</f>
        <v>317</v>
      </c>
      <c r="AE178" s="44">
        <f t="shared" si="31"/>
        <v>539.99167999999997</v>
      </c>
      <c r="AF178" s="283">
        <f t="shared" si="32"/>
        <v>-31.008320000000026</v>
      </c>
      <c r="AG178" s="291">
        <f t="shared" si="41"/>
        <v>-5.7423699565148908E-2</v>
      </c>
      <c r="AH178" s="184" t="str">
        <f t="shared" si="33"/>
        <v>NO</v>
      </c>
      <c r="AJ178" s="9" t="str">
        <f t="shared" si="34"/>
        <v>NO</v>
      </c>
      <c r="AK178" s="9" t="str">
        <f t="shared" si="35"/>
        <v>NO</v>
      </c>
      <c r="AL178" s="9" t="str">
        <f t="shared" si="36"/>
        <v>NO</v>
      </c>
      <c r="AM178" s="9" t="str">
        <f t="shared" si="37"/>
        <v>NO</v>
      </c>
      <c r="AN178" s="9" t="str">
        <f t="shared" si="38"/>
        <v>Doesn't meet Standard</v>
      </c>
      <c r="AO178" s="9" t="str">
        <f t="shared" si="39"/>
        <v>5_Doesn't meet Standard</v>
      </c>
      <c r="AP178" s="9" t="str">
        <f t="shared" si="40"/>
        <v>5_NO</v>
      </c>
    </row>
    <row r="179" spans="1:42">
      <c r="A179">
        <v>86780</v>
      </c>
      <c r="B179" t="s">
        <v>1638</v>
      </c>
      <c r="C179" t="s">
        <v>1290</v>
      </c>
      <c r="D179" t="s">
        <v>1291</v>
      </c>
      <c r="E179" t="s">
        <v>4097</v>
      </c>
      <c r="F179" t="s">
        <v>162</v>
      </c>
      <c r="G179" t="s">
        <v>184</v>
      </c>
      <c r="H179"/>
      <c r="I179" t="s">
        <v>4098</v>
      </c>
      <c r="J179" t="b">
        <v>1</v>
      </c>
      <c r="K179" t="b">
        <v>0</v>
      </c>
      <c r="L179"/>
      <c r="M179"/>
      <c r="N179" t="b">
        <v>0</v>
      </c>
      <c r="O179" t="s">
        <v>4099</v>
      </c>
      <c r="P179">
        <v>21.97</v>
      </c>
      <c r="Q179"/>
      <c r="R179">
        <v>22</v>
      </c>
      <c r="S179">
        <v>84</v>
      </c>
      <c r="T179">
        <v>36</v>
      </c>
      <c r="U179">
        <v>26</v>
      </c>
      <c r="V179">
        <v>363</v>
      </c>
      <c r="W179" s="281">
        <v>41884</v>
      </c>
      <c r="X179" s="282"/>
      <c r="Z179" s="9" t="b">
        <f t="shared" si="29"/>
        <v>0</v>
      </c>
      <c r="AA179" s="9" t="str">
        <f t="shared" si="42"/>
        <v>3A-BI</v>
      </c>
      <c r="AB179" s="196">
        <f t="shared" si="30"/>
        <v>21.97</v>
      </c>
      <c r="AC179" s="9">
        <f>VLOOKUP(AA179,'Federal Standards'!$N$9:$P$50,2,FALSE)</f>
        <v>8.02</v>
      </c>
      <c r="AD179" s="44">
        <f>VLOOKUP(AA179,'Federal Standards'!$N$9:$P$50,3,FALSE)</f>
        <v>228.5</v>
      </c>
      <c r="AE179" s="44">
        <f t="shared" si="31"/>
        <v>404.69939999999997</v>
      </c>
      <c r="AF179" s="283">
        <f t="shared" si="32"/>
        <v>41.699399999999969</v>
      </c>
      <c r="AG179" s="291">
        <f t="shared" si="41"/>
        <v>0.10303795854404521</v>
      </c>
      <c r="AH179" s="184" t="str">
        <f t="shared" si="33"/>
        <v>YES</v>
      </c>
      <c r="AJ179" s="9" t="str">
        <f t="shared" si="34"/>
        <v>YES</v>
      </c>
      <c r="AK179" s="9" t="str">
        <f t="shared" si="35"/>
        <v>YES</v>
      </c>
      <c r="AL179" s="9" t="str">
        <f t="shared" si="36"/>
        <v>NO</v>
      </c>
      <c r="AM179" s="9" t="str">
        <f t="shared" si="37"/>
        <v>NO</v>
      </c>
      <c r="AN179" s="9" t="str">
        <f t="shared" si="38"/>
        <v>Tier 1 - 10% to 15% better than Standard</v>
      </c>
      <c r="AO179" s="9" t="str">
        <f t="shared" si="39"/>
        <v>3A-BI_Tier 1 - 10% to 15% better than Standard</v>
      </c>
      <c r="AP179" s="9" t="str">
        <f t="shared" si="40"/>
        <v>3A-BI_YES</v>
      </c>
    </row>
    <row r="180" spans="1:42">
      <c r="A180">
        <v>86766</v>
      </c>
      <c r="B180" t="s">
        <v>1638</v>
      </c>
      <c r="C180" t="s">
        <v>1290</v>
      </c>
      <c r="D180" t="s">
        <v>4252</v>
      </c>
      <c r="E180" t="s">
        <v>4179</v>
      </c>
      <c r="F180" t="s">
        <v>162</v>
      </c>
      <c r="G180" t="s">
        <v>4105</v>
      </c>
      <c r="H180"/>
      <c r="I180" t="s">
        <v>4098</v>
      </c>
      <c r="J180" t="b">
        <v>1</v>
      </c>
      <c r="K180" t="b">
        <v>0</v>
      </c>
      <c r="L180" t="b">
        <v>1</v>
      </c>
      <c r="M180" t="b">
        <v>0</v>
      </c>
      <c r="N180" t="b">
        <v>0</v>
      </c>
      <c r="O180" t="s">
        <v>4099</v>
      </c>
      <c r="P180">
        <v>15.77</v>
      </c>
      <c r="Q180">
        <v>9.4</v>
      </c>
      <c r="R180">
        <v>25.2</v>
      </c>
      <c r="S180">
        <v>84</v>
      </c>
      <c r="T180">
        <v>42</v>
      </c>
      <c r="U180">
        <v>26</v>
      </c>
      <c r="V180">
        <v>771</v>
      </c>
      <c r="W180" s="281">
        <v>41884</v>
      </c>
      <c r="X180" s="282"/>
      <c r="Z180" s="9" t="b">
        <f t="shared" si="29"/>
        <v>0</v>
      </c>
      <c r="AA180" s="9" t="str">
        <f t="shared" si="42"/>
        <v>4I-BI</v>
      </c>
      <c r="AB180" s="196">
        <f t="shared" si="30"/>
        <v>32.314</v>
      </c>
      <c r="AC180" s="9">
        <f>VLOOKUP(AA180,'Federal Standards'!$N$9:$P$50,2,FALSE)</f>
        <v>10.220000000000001</v>
      </c>
      <c r="AD180" s="44">
        <f>VLOOKUP(AA180,'Federal Standards'!$N$9:$P$50,3,FALSE)</f>
        <v>441.4</v>
      </c>
      <c r="AE180" s="44">
        <f t="shared" si="31"/>
        <v>771.64908000000003</v>
      </c>
      <c r="AF180" s="283">
        <f t="shared" si="32"/>
        <v>0.6490800000000263</v>
      </c>
      <c r="AG180" s="291">
        <f t="shared" si="41"/>
        <v>8.4115955921314168E-4</v>
      </c>
      <c r="AH180" s="184" t="str">
        <f t="shared" si="33"/>
        <v>YES</v>
      </c>
      <c r="AJ180" s="9" t="str">
        <f t="shared" si="34"/>
        <v>NO</v>
      </c>
      <c r="AK180" s="9" t="str">
        <f t="shared" si="35"/>
        <v>NO</v>
      </c>
      <c r="AL180" s="9" t="str">
        <f t="shared" si="36"/>
        <v>NO</v>
      </c>
      <c r="AM180" s="9" t="str">
        <f t="shared" si="37"/>
        <v>NO</v>
      </c>
      <c r="AN180" s="9" t="str">
        <f t="shared" si="38"/>
        <v>Less than 10% better than Standard</v>
      </c>
      <c r="AO180" s="9" t="str">
        <f t="shared" si="39"/>
        <v>4I-BI_Less than 10% better than Standard</v>
      </c>
      <c r="AP180" s="9" t="str">
        <f t="shared" si="40"/>
        <v>4I-BI_NO</v>
      </c>
    </row>
    <row r="181" spans="1:42">
      <c r="A181">
        <v>86767</v>
      </c>
      <c r="B181" t="s">
        <v>1638</v>
      </c>
      <c r="C181" t="s">
        <v>1290</v>
      </c>
      <c r="D181" t="s">
        <v>4253</v>
      </c>
      <c r="E181" t="s">
        <v>4179</v>
      </c>
      <c r="F181" t="s">
        <v>162</v>
      </c>
      <c r="G181" t="s">
        <v>4105</v>
      </c>
      <c r="H181"/>
      <c r="I181" t="s">
        <v>4098</v>
      </c>
      <c r="J181" t="b">
        <v>1</v>
      </c>
      <c r="K181" t="b">
        <v>0</v>
      </c>
      <c r="L181" t="b">
        <v>1</v>
      </c>
      <c r="M181" t="b">
        <v>0</v>
      </c>
      <c r="N181" t="b">
        <v>0</v>
      </c>
      <c r="O181" t="s">
        <v>4099</v>
      </c>
      <c r="P181">
        <v>17.170000000000002</v>
      </c>
      <c r="Q181">
        <v>12.39</v>
      </c>
      <c r="R181">
        <v>29.6</v>
      </c>
      <c r="S181">
        <v>84</v>
      </c>
      <c r="T181">
        <v>48</v>
      </c>
      <c r="U181">
        <v>26</v>
      </c>
      <c r="V181">
        <v>839</v>
      </c>
      <c r="W181" s="281">
        <v>41884</v>
      </c>
      <c r="X181" s="282"/>
      <c r="Z181" s="9" t="b">
        <f t="shared" si="29"/>
        <v>0</v>
      </c>
      <c r="AA181" s="9" t="str">
        <f t="shared" si="42"/>
        <v>4I-BI</v>
      </c>
      <c r="AB181" s="196">
        <f t="shared" si="30"/>
        <v>38.976399999999998</v>
      </c>
      <c r="AC181" s="9">
        <f>VLOOKUP(AA181,'Federal Standards'!$N$9:$P$50,2,FALSE)</f>
        <v>10.220000000000001</v>
      </c>
      <c r="AD181" s="44">
        <f>VLOOKUP(AA181,'Federal Standards'!$N$9:$P$50,3,FALSE)</f>
        <v>441.4</v>
      </c>
      <c r="AE181" s="44">
        <f t="shared" si="31"/>
        <v>839.73880800000006</v>
      </c>
      <c r="AF181" s="283">
        <f t="shared" si="32"/>
        <v>0.73880800000006275</v>
      </c>
      <c r="AG181" s="291">
        <f t="shared" si="41"/>
        <v>8.7980690300556248E-4</v>
      </c>
      <c r="AH181" s="184" t="str">
        <f t="shared" si="33"/>
        <v>YES</v>
      </c>
      <c r="AJ181" s="9" t="str">
        <f t="shared" si="34"/>
        <v>NO</v>
      </c>
      <c r="AK181" s="9" t="str">
        <f t="shared" si="35"/>
        <v>NO</v>
      </c>
      <c r="AL181" s="9" t="str">
        <f t="shared" si="36"/>
        <v>NO</v>
      </c>
      <c r="AM181" s="9" t="str">
        <f t="shared" si="37"/>
        <v>NO</v>
      </c>
      <c r="AN181" s="9" t="str">
        <f t="shared" si="38"/>
        <v>Less than 10% better than Standard</v>
      </c>
      <c r="AO181" s="9" t="str">
        <f t="shared" si="39"/>
        <v>4I-BI_Less than 10% better than Standard</v>
      </c>
      <c r="AP181" s="9" t="str">
        <f t="shared" si="40"/>
        <v>4I-BI_NO</v>
      </c>
    </row>
    <row r="182" spans="1:42">
      <c r="A182">
        <v>86768</v>
      </c>
      <c r="B182" t="s">
        <v>1638</v>
      </c>
      <c r="C182" t="s">
        <v>1290</v>
      </c>
      <c r="D182" t="s">
        <v>4254</v>
      </c>
      <c r="E182" t="s">
        <v>4179</v>
      </c>
      <c r="F182" t="s">
        <v>162</v>
      </c>
      <c r="G182" t="s">
        <v>4105</v>
      </c>
      <c r="H182"/>
      <c r="I182" t="s">
        <v>4098</v>
      </c>
      <c r="J182" t="b">
        <v>1</v>
      </c>
      <c r="K182" t="b">
        <v>0</v>
      </c>
      <c r="L182" t="b">
        <v>1</v>
      </c>
      <c r="M182" t="b">
        <v>1</v>
      </c>
      <c r="N182" t="b">
        <v>0</v>
      </c>
      <c r="O182" t="s">
        <v>4099</v>
      </c>
      <c r="P182">
        <v>11.54</v>
      </c>
      <c r="Q182">
        <v>8.8699999999999992</v>
      </c>
      <c r="R182">
        <v>20.399999999999999</v>
      </c>
      <c r="S182">
        <v>84</v>
      </c>
      <c r="T182">
        <v>36</v>
      </c>
      <c r="U182">
        <v>26</v>
      </c>
      <c r="V182">
        <v>780</v>
      </c>
      <c r="W182" s="281">
        <v>41884</v>
      </c>
      <c r="X182" s="282"/>
      <c r="Z182" s="9" t="b">
        <f t="shared" si="29"/>
        <v>0</v>
      </c>
      <c r="AA182" s="9" t="str">
        <f t="shared" si="42"/>
        <v>7-BI</v>
      </c>
      <c r="AB182" s="196">
        <f t="shared" si="30"/>
        <v>27.151199999999996</v>
      </c>
      <c r="AC182" s="9">
        <f>VLOOKUP(AA182,'Federal Standards'!$N$9:$P$50,2,FALSE)</f>
        <v>10.25</v>
      </c>
      <c r="AD182" s="44">
        <f>VLOOKUP(AA182,'Federal Standards'!$N$9:$P$50,3,FALSE)</f>
        <v>502.6</v>
      </c>
      <c r="AE182" s="44">
        <f t="shared" si="31"/>
        <v>780.89979999999991</v>
      </c>
      <c r="AF182" s="283">
        <f t="shared" si="32"/>
        <v>0.89979999999991378</v>
      </c>
      <c r="AG182" s="291">
        <f t="shared" si="41"/>
        <v>1.152260507686023E-3</v>
      </c>
      <c r="AH182" s="184" t="str">
        <f t="shared" si="33"/>
        <v>YES</v>
      </c>
      <c r="AJ182" s="9" t="str">
        <f t="shared" si="34"/>
        <v>NO</v>
      </c>
      <c r="AK182" s="9" t="str">
        <f t="shared" si="35"/>
        <v>NO</v>
      </c>
      <c r="AL182" s="9" t="str">
        <f t="shared" si="36"/>
        <v>NO</v>
      </c>
      <c r="AM182" s="9" t="str">
        <f t="shared" si="37"/>
        <v>NO</v>
      </c>
      <c r="AN182" s="9" t="str">
        <f t="shared" si="38"/>
        <v>Less than 10% better than Standard</v>
      </c>
      <c r="AO182" s="9" t="str">
        <f t="shared" si="39"/>
        <v>7-BI_Less than 10% better than Standard</v>
      </c>
      <c r="AP182" s="9" t="str">
        <f t="shared" si="40"/>
        <v>7-BI_NO</v>
      </c>
    </row>
    <row r="183" spans="1:42">
      <c r="A183">
        <v>86769</v>
      </c>
      <c r="B183" t="s">
        <v>1638</v>
      </c>
      <c r="C183" t="s">
        <v>1290</v>
      </c>
      <c r="D183" t="s">
        <v>4255</v>
      </c>
      <c r="E183" t="s">
        <v>4179</v>
      </c>
      <c r="F183" t="s">
        <v>162</v>
      </c>
      <c r="G183" t="s">
        <v>4105</v>
      </c>
      <c r="H183"/>
      <c r="I183" t="s">
        <v>4098</v>
      </c>
      <c r="J183" t="b">
        <v>1</v>
      </c>
      <c r="K183" t="b">
        <v>0</v>
      </c>
      <c r="L183" t="b">
        <v>1</v>
      </c>
      <c r="M183" t="b">
        <v>1</v>
      </c>
      <c r="N183" t="b">
        <v>0</v>
      </c>
      <c r="O183" t="s">
        <v>4099</v>
      </c>
      <c r="P183">
        <v>15.77</v>
      </c>
      <c r="Q183">
        <v>8.84</v>
      </c>
      <c r="R183">
        <v>24.6</v>
      </c>
      <c r="S183">
        <v>84</v>
      </c>
      <c r="T183">
        <v>36</v>
      </c>
      <c r="U183">
        <v>26</v>
      </c>
      <c r="V183">
        <v>823</v>
      </c>
      <c r="W183" s="281">
        <v>41884</v>
      </c>
      <c r="X183" s="282"/>
      <c r="Z183" s="9" t="b">
        <f t="shared" si="29"/>
        <v>0</v>
      </c>
      <c r="AA183" s="9" t="str">
        <f t="shared" si="42"/>
        <v>7-BI</v>
      </c>
      <c r="AB183" s="196">
        <f t="shared" si="30"/>
        <v>31.328400000000002</v>
      </c>
      <c r="AC183" s="9">
        <f>VLOOKUP(AA183,'Federal Standards'!$N$9:$P$50,2,FALSE)</f>
        <v>10.25</v>
      </c>
      <c r="AD183" s="44">
        <f>VLOOKUP(AA183,'Federal Standards'!$N$9:$P$50,3,FALSE)</f>
        <v>502.6</v>
      </c>
      <c r="AE183" s="44">
        <f t="shared" si="31"/>
        <v>823.7161000000001</v>
      </c>
      <c r="AF183" s="283">
        <f t="shared" si="32"/>
        <v>0.71610000000009677</v>
      </c>
      <c r="AG183" s="291">
        <f t="shared" si="41"/>
        <v>8.693529239019326E-4</v>
      </c>
      <c r="AH183" s="184" t="str">
        <f t="shared" si="33"/>
        <v>YES</v>
      </c>
      <c r="AJ183" s="9" t="str">
        <f t="shared" si="34"/>
        <v>NO</v>
      </c>
      <c r="AK183" s="9" t="str">
        <f t="shared" si="35"/>
        <v>NO</v>
      </c>
      <c r="AL183" s="9" t="str">
        <f t="shared" si="36"/>
        <v>NO</v>
      </c>
      <c r="AM183" s="9" t="str">
        <f t="shared" si="37"/>
        <v>NO</v>
      </c>
      <c r="AN183" s="9" t="str">
        <f t="shared" si="38"/>
        <v>Less than 10% better than Standard</v>
      </c>
      <c r="AO183" s="9" t="str">
        <f t="shared" si="39"/>
        <v>7-BI_Less than 10% better than Standard</v>
      </c>
      <c r="AP183" s="9" t="str">
        <f t="shared" si="40"/>
        <v>7-BI_NO</v>
      </c>
    </row>
    <row r="184" spans="1:42">
      <c r="A184">
        <v>86770</v>
      </c>
      <c r="B184" t="s">
        <v>1638</v>
      </c>
      <c r="C184" t="s">
        <v>1290</v>
      </c>
      <c r="D184" t="s">
        <v>4256</v>
      </c>
      <c r="E184" t="s">
        <v>4179</v>
      </c>
      <c r="F184" t="s">
        <v>162</v>
      </c>
      <c r="G184" t="s">
        <v>4105</v>
      </c>
      <c r="H184"/>
      <c r="I184" t="s">
        <v>4098</v>
      </c>
      <c r="J184" t="b">
        <v>1</v>
      </c>
      <c r="K184" t="b">
        <v>0</v>
      </c>
      <c r="L184" t="b">
        <v>1</v>
      </c>
      <c r="M184" t="b">
        <v>1</v>
      </c>
      <c r="N184" t="b">
        <v>0</v>
      </c>
      <c r="O184" t="s">
        <v>4099</v>
      </c>
      <c r="P184">
        <v>17.170000000000002</v>
      </c>
      <c r="Q184">
        <v>11.64</v>
      </c>
      <c r="R184">
        <v>28.8</v>
      </c>
      <c r="S184">
        <v>84</v>
      </c>
      <c r="T184">
        <v>48</v>
      </c>
      <c r="U184">
        <v>26</v>
      </c>
      <c r="V184">
        <v>888</v>
      </c>
      <c r="W184" s="281">
        <v>41884</v>
      </c>
      <c r="X184" s="282"/>
      <c r="Z184" s="9" t="b">
        <f t="shared" si="29"/>
        <v>0</v>
      </c>
      <c r="AA184" s="9" t="str">
        <f t="shared" si="42"/>
        <v>7-BI</v>
      </c>
      <c r="AB184" s="196">
        <f t="shared" si="30"/>
        <v>37.656400000000005</v>
      </c>
      <c r="AC184" s="9">
        <f>VLOOKUP(AA184,'Federal Standards'!$N$9:$P$50,2,FALSE)</f>
        <v>10.25</v>
      </c>
      <c r="AD184" s="44">
        <f>VLOOKUP(AA184,'Federal Standards'!$N$9:$P$50,3,FALSE)</f>
        <v>502.6</v>
      </c>
      <c r="AE184" s="44">
        <f t="shared" si="31"/>
        <v>888.57810000000006</v>
      </c>
      <c r="AF184" s="283">
        <f t="shared" si="32"/>
        <v>0.57810000000006312</v>
      </c>
      <c r="AG184" s="291">
        <f t="shared" si="41"/>
        <v>6.5058997065093444E-4</v>
      </c>
      <c r="AH184" s="184" t="str">
        <f t="shared" si="33"/>
        <v>YES</v>
      </c>
      <c r="AJ184" s="9" t="str">
        <f t="shared" si="34"/>
        <v>NO</v>
      </c>
      <c r="AK184" s="9" t="str">
        <f t="shared" si="35"/>
        <v>NO</v>
      </c>
      <c r="AL184" s="9" t="str">
        <f t="shared" si="36"/>
        <v>NO</v>
      </c>
      <c r="AM184" s="9" t="str">
        <f t="shared" si="37"/>
        <v>NO</v>
      </c>
      <c r="AN184" s="9" t="str">
        <f t="shared" si="38"/>
        <v>Less than 10% better than Standard</v>
      </c>
      <c r="AO184" s="9" t="str">
        <f t="shared" si="39"/>
        <v>7-BI_Less than 10% better than Standard</v>
      </c>
      <c r="AP184" s="9" t="str">
        <f t="shared" si="40"/>
        <v>7-BI_NO</v>
      </c>
    </row>
    <row r="185" spans="1:42">
      <c r="A185">
        <v>86771</v>
      </c>
      <c r="B185" t="s">
        <v>1638</v>
      </c>
      <c r="C185" t="s">
        <v>1290</v>
      </c>
      <c r="D185" t="s">
        <v>4257</v>
      </c>
      <c r="E185" t="s">
        <v>4179</v>
      </c>
      <c r="F185" t="s">
        <v>162</v>
      </c>
      <c r="G185" t="s">
        <v>4105</v>
      </c>
      <c r="H185"/>
      <c r="I185" t="s">
        <v>4098</v>
      </c>
      <c r="J185" t="b">
        <v>1</v>
      </c>
      <c r="K185" t="b">
        <v>0</v>
      </c>
      <c r="L185" t="b">
        <v>1</v>
      </c>
      <c r="M185" t="b">
        <v>1</v>
      </c>
      <c r="N185" t="b">
        <v>0</v>
      </c>
      <c r="O185" t="s">
        <v>4099</v>
      </c>
      <c r="P185">
        <v>15.77</v>
      </c>
      <c r="Q185">
        <v>8.84</v>
      </c>
      <c r="R185">
        <v>24.6</v>
      </c>
      <c r="S185">
        <v>84</v>
      </c>
      <c r="T185">
        <v>42</v>
      </c>
      <c r="U185">
        <v>26</v>
      </c>
      <c r="V185">
        <v>823</v>
      </c>
      <c r="W185" s="281">
        <v>41884</v>
      </c>
      <c r="X185" s="282"/>
      <c r="Z185" s="9" t="b">
        <f t="shared" si="29"/>
        <v>0</v>
      </c>
      <c r="AA185" s="9" t="str">
        <f t="shared" si="42"/>
        <v>7-BI</v>
      </c>
      <c r="AB185" s="196">
        <f t="shared" si="30"/>
        <v>31.328400000000002</v>
      </c>
      <c r="AC185" s="9">
        <f>VLOOKUP(AA185,'Federal Standards'!$N$9:$P$50,2,FALSE)</f>
        <v>10.25</v>
      </c>
      <c r="AD185" s="44">
        <f>VLOOKUP(AA185,'Federal Standards'!$N$9:$P$50,3,FALSE)</f>
        <v>502.6</v>
      </c>
      <c r="AE185" s="44">
        <f t="shared" si="31"/>
        <v>823.7161000000001</v>
      </c>
      <c r="AF185" s="283">
        <f t="shared" si="32"/>
        <v>0.71610000000009677</v>
      </c>
      <c r="AG185" s="291">
        <f t="shared" si="41"/>
        <v>8.693529239019326E-4</v>
      </c>
      <c r="AH185" s="184" t="str">
        <f t="shared" si="33"/>
        <v>YES</v>
      </c>
      <c r="AJ185" s="9" t="str">
        <f t="shared" si="34"/>
        <v>NO</v>
      </c>
      <c r="AK185" s="9" t="str">
        <f t="shared" si="35"/>
        <v>NO</v>
      </c>
      <c r="AL185" s="9" t="str">
        <f t="shared" si="36"/>
        <v>NO</v>
      </c>
      <c r="AM185" s="9" t="str">
        <f t="shared" si="37"/>
        <v>NO</v>
      </c>
      <c r="AN185" s="9" t="str">
        <f t="shared" si="38"/>
        <v>Less than 10% better than Standard</v>
      </c>
      <c r="AO185" s="9" t="str">
        <f t="shared" si="39"/>
        <v>7-BI_Less than 10% better than Standard</v>
      </c>
      <c r="AP185" s="9" t="str">
        <f t="shared" si="40"/>
        <v>7-BI_NO</v>
      </c>
    </row>
    <row r="186" spans="1:42">
      <c r="A186">
        <v>85733</v>
      </c>
      <c r="B186" t="s">
        <v>1638</v>
      </c>
      <c r="C186" t="s">
        <v>180</v>
      </c>
      <c r="D186" t="s">
        <v>1297</v>
      </c>
      <c r="E186" t="s">
        <v>4109</v>
      </c>
      <c r="F186" t="s">
        <v>162</v>
      </c>
      <c r="G186" t="s">
        <v>4105</v>
      </c>
      <c r="H186"/>
      <c r="I186" t="s">
        <v>4170</v>
      </c>
      <c r="J186" t="b">
        <v>0</v>
      </c>
      <c r="K186" t="b">
        <v>0</v>
      </c>
      <c r="L186" t="b">
        <v>1</v>
      </c>
      <c r="M186" t="b">
        <v>1</v>
      </c>
      <c r="N186" t="b">
        <v>0</v>
      </c>
      <c r="O186" t="s">
        <v>4099</v>
      </c>
      <c r="P186">
        <v>18.53</v>
      </c>
      <c r="Q186">
        <v>9.17</v>
      </c>
      <c r="R186">
        <v>27.7</v>
      </c>
      <c r="S186">
        <v>69</v>
      </c>
      <c r="T186">
        <v>36</v>
      </c>
      <c r="U186">
        <v>34</v>
      </c>
      <c r="V186">
        <v>724</v>
      </c>
      <c r="W186" s="281">
        <v>41862</v>
      </c>
      <c r="X186" s="282"/>
      <c r="Z186" s="9" t="b">
        <f t="shared" si="29"/>
        <v>0</v>
      </c>
      <c r="AA186" s="9" t="str">
        <f t="shared" si="42"/>
        <v>5A</v>
      </c>
      <c r="AB186" s="196">
        <f t="shared" si="30"/>
        <v>34.669200000000004</v>
      </c>
      <c r="AC186" s="9">
        <f>VLOOKUP(AA186,'Federal Standards'!$N$9:$P$50,2,FALSE)</f>
        <v>9.25</v>
      </c>
      <c r="AD186" s="44">
        <f>VLOOKUP(AA186,'Federal Standards'!$N$9:$P$50,3,FALSE)</f>
        <v>475.4</v>
      </c>
      <c r="AE186" s="44">
        <f t="shared" si="31"/>
        <v>796.09010000000001</v>
      </c>
      <c r="AF186" s="283">
        <f t="shared" si="32"/>
        <v>72.090100000000007</v>
      </c>
      <c r="AG186" s="291">
        <f t="shared" si="41"/>
        <v>9.0555202231506218E-2</v>
      </c>
      <c r="AH186" s="184" t="str">
        <f t="shared" si="33"/>
        <v>YES</v>
      </c>
      <c r="AJ186" s="9" t="str">
        <f t="shared" si="34"/>
        <v>NO</v>
      </c>
      <c r="AK186" s="9" t="str">
        <f t="shared" si="35"/>
        <v>NO</v>
      </c>
      <c r="AL186" s="9" t="str">
        <f t="shared" si="36"/>
        <v>NO</v>
      </c>
      <c r="AM186" s="9" t="str">
        <f t="shared" si="37"/>
        <v>NO</v>
      </c>
      <c r="AN186" s="9" t="str">
        <f t="shared" si="38"/>
        <v>Less than 10% better than Standard</v>
      </c>
      <c r="AO186" s="9" t="str">
        <f t="shared" si="39"/>
        <v>5A_Less than 10% better than Standard</v>
      </c>
      <c r="AP186" s="9" t="str">
        <f t="shared" si="40"/>
        <v>5A_NO</v>
      </c>
    </row>
    <row r="187" spans="1:42">
      <c r="A187">
        <v>86761</v>
      </c>
      <c r="B187" t="s">
        <v>1638</v>
      </c>
      <c r="C187" t="s">
        <v>180</v>
      </c>
      <c r="D187" t="s">
        <v>4258</v>
      </c>
      <c r="E187" t="s">
        <v>4109</v>
      </c>
      <c r="F187" t="s">
        <v>162</v>
      </c>
      <c r="G187" t="s">
        <v>4105</v>
      </c>
      <c r="H187"/>
      <c r="I187" t="s">
        <v>4170</v>
      </c>
      <c r="J187" t="b">
        <v>0</v>
      </c>
      <c r="K187" t="b">
        <v>0</v>
      </c>
      <c r="L187" t="b">
        <v>1</v>
      </c>
      <c r="M187" t="b">
        <v>0</v>
      </c>
      <c r="N187" t="b">
        <v>1</v>
      </c>
      <c r="O187" t="s">
        <v>4099</v>
      </c>
      <c r="P187">
        <v>15.91</v>
      </c>
      <c r="Q187">
        <v>6.85</v>
      </c>
      <c r="R187">
        <v>22.8</v>
      </c>
      <c r="S187">
        <v>68</v>
      </c>
      <c r="T187">
        <v>33</v>
      </c>
      <c r="U187">
        <v>33</v>
      </c>
      <c r="V187">
        <v>647</v>
      </c>
      <c r="W187" s="281">
        <v>41884</v>
      </c>
      <c r="X187" s="282"/>
      <c r="Z187" s="9" t="b">
        <f t="shared" si="29"/>
        <v>0</v>
      </c>
      <c r="AA187" s="9" t="str">
        <f t="shared" si="42"/>
        <v>5I</v>
      </c>
      <c r="AB187" s="196">
        <f t="shared" si="30"/>
        <v>27.966000000000001</v>
      </c>
      <c r="AC187" s="9">
        <f>VLOOKUP(AA187,'Federal Standards'!$N$9:$P$50,2,FALSE)</f>
        <v>8.85</v>
      </c>
      <c r="AD187" s="44">
        <f>VLOOKUP(AA187,'Federal Standards'!$N$9:$P$50,3,FALSE)</f>
        <v>401</v>
      </c>
      <c r="AE187" s="44">
        <f t="shared" si="31"/>
        <v>648.4991</v>
      </c>
      <c r="AF187" s="283">
        <f t="shared" si="32"/>
        <v>1.4990999999999985</v>
      </c>
      <c r="AG187" s="291">
        <f t="shared" si="41"/>
        <v>2.3116454594925397E-3</v>
      </c>
      <c r="AH187" s="184" t="str">
        <f t="shared" si="33"/>
        <v>YES</v>
      </c>
      <c r="AJ187" s="9" t="str">
        <f t="shared" si="34"/>
        <v>NO</v>
      </c>
      <c r="AK187" s="9" t="str">
        <f t="shared" si="35"/>
        <v>NO</v>
      </c>
      <c r="AL187" s="9" t="str">
        <f t="shared" si="36"/>
        <v>NO</v>
      </c>
      <c r="AM187" s="9" t="str">
        <f t="shared" si="37"/>
        <v>NO</v>
      </c>
      <c r="AN187" s="9" t="str">
        <f t="shared" si="38"/>
        <v>Less than 10% better than Standard</v>
      </c>
      <c r="AO187" s="9" t="str">
        <f t="shared" si="39"/>
        <v>5I_Less than 10% better than Standard</v>
      </c>
      <c r="AP187" s="9" t="str">
        <f t="shared" si="40"/>
        <v>5I_NO</v>
      </c>
    </row>
    <row r="188" spans="1:42">
      <c r="A188">
        <v>83020</v>
      </c>
      <c r="B188" t="s">
        <v>1638</v>
      </c>
      <c r="C188" t="s">
        <v>180</v>
      </c>
      <c r="D188" t="s">
        <v>4259</v>
      </c>
      <c r="E188" t="s">
        <v>4216</v>
      </c>
      <c r="F188" t="s">
        <v>162</v>
      </c>
      <c r="G188" t="s">
        <v>4105</v>
      </c>
      <c r="H188"/>
      <c r="I188" t="s">
        <v>4199</v>
      </c>
      <c r="J188"/>
      <c r="K188"/>
      <c r="L188"/>
      <c r="M188"/>
      <c r="N188" t="b">
        <v>1</v>
      </c>
      <c r="O188" t="s">
        <v>4099</v>
      </c>
      <c r="P188">
        <v>17.399999999999999</v>
      </c>
      <c r="Q188">
        <v>7.44</v>
      </c>
      <c r="R188">
        <v>24.84</v>
      </c>
      <c r="S188">
        <v>69</v>
      </c>
      <c r="T188">
        <v>36</v>
      </c>
      <c r="U188">
        <v>31</v>
      </c>
      <c r="V188">
        <v>687</v>
      </c>
      <c r="W188" s="281">
        <v>41624</v>
      </c>
      <c r="X188" s="282"/>
      <c r="Z188" s="9" t="b">
        <f t="shared" si="29"/>
        <v>0</v>
      </c>
      <c r="AA188" s="9" t="str">
        <f t="shared" si="42"/>
        <v>5A</v>
      </c>
      <c r="AB188" s="196">
        <f t="shared" si="30"/>
        <v>30.494399999999999</v>
      </c>
      <c r="AC188" s="9">
        <f>VLOOKUP(AA188,'Federal Standards'!$N$9:$P$50,2,FALSE)</f>
        <v>9.25</v>
      </c>
      <c r="AD188" s="44">
        <f>VLOOKUP(AA188,'Federal Standards'!$N$9:$P$50,3,FALSE)</f>
        <v>475.4</v>
      </c>
      <c r="AE188" s="44">
        <f t="shared" si="31"/>
        <v>757.47319999999991</v>
      </c>
      <c r="AF188" s="283">
        <f t="shared" si="32"/>
        <v>70.473199999999906</v>
      </c>
      <c r="AG188" s="291">
        <f t="shared" si="41"/>
        <v>9.3037219006560118E-2</v>
      </c>
      <c r="AH188" s="184" t="str">
        <f t="shared" si="33"/>
        <v>YES</v>
      </c>
      <c r="AJ188" s="9" t="str">
        <f t="shared" si="34"/>
        <v>NO</v>
      </c>
      <c r="AK188" s="9" t="str">
        <f t="shared" si="35"/>
        <v>NO</v>
      </c>
      <c r="AL188" s="9" t="str">
        <f t="shared" si="36"/>
        <v>NO</v>
      </c>
      <c r="AM188" s="9" t="str">
        <f t="shared" si="37"/>
        <v>NO</v>
      </c>
      <c r="AN188" s="9" t="str">
        <f t="shared" si="38"/>
        <v>Less than 10% better than Standard</v>
      </c>
      <c r="AO188" s="9" t="str">
        <f t="shared" si="39"/>
        <v>5A_Less than 10% better than Standard</v>
      </c>
      <c r="AP188" s="9" t="str">
        <f t="shared" si="40"/>
        <v>5A_NO</v>
      </c>
    </row>
    <row r="189" spans="1:42">
      <c r="A189">
        <v>86762</v>
      </c>
      <c r="B189" t="s">
        <v>1638</v>
      </c>
      <c r="C189" t="s">
        <v>180</v>
      </c>
      <c r="D189" t="s">
        <v>4260</v>
      </c>
      <c r="E189" t="s">
        <v>4109</v>
      </c>
      <c r="F189" t="s">
        <v>162</v>
      </c>
      <c r="G189" t="s">
        <v>4105</v>
      </c>
      <c r="H189"/>
      <c r="I189" t="s">
        <v>4170</v>
      </c>
      <c r="J189" t="b">
        <v>0</v>
      </c>
      <c r="K189" t="b">
        <v>0</v>
      </c>
      <c r="L189" t="b">
        <v>1</v>
      </c>
      <c r="M189" t="b">
        <v>0</v>
      </c>
      <c r="N189" t="b">
        <v>1</v>
      </c>
      <c r="O189" t="s">
        <v>4099</v>
      </c>
      <c r="P189">
        <v>13.72</v>
      </c>
      <c r="Q189">
        <v>6.31</v>
      </c>
      <c r="R189">
        <v>20</v>
      </c>
      <c r="S189">
        <v>66</v>
      </c>
      <c r="T189">
        <v>30</v>
      </c>
      <c r="U189">
        <v>33</v>
      </c>
      <c r="V189">
        <v>620</v>
      </c>
      <c r="W189" s="281">
        <v>41884</v>
      </c>
      <c r="X189" s="282"/>
      <c r="Z189" s="9" t="b">
        <f t="shared" si="29"/>
        <v>0</v>
      </c>
      <c r="AA189" s="9" t="str">
        <f t="shared" si="42"/>
        <v>5I</v>
      </c>
      <c r="AB189" s="196">
        <f t="shared" si="30"/>
        <v>24.825600000000001</v>
      </c>
      <c r="AC189" s="9">
        <f>VLOOKUP(AA189,'Federal Standards'!$N$9:$P$50,2,FALSE)</f>
        <v>8.85</v>
      </c>
      <c r="AD189" s="44">
        <f>VLOOKUP(AA189,'Federal Standards'!$N$9:$P$50,3,FALSE)</f>
        <v>401</v>
      </c>
      <c r="AE189" s="44">
        <f t="shared" si="31"/>
        <v>620.70655999999997</v>
      </c>
      <c r="AF189" s="283">
        <f t="shared" si="32"/>
        <v>0.70655999999996766</v>
      </c>
      <c r="AG189" s="291">
        <f t="shared" si="41"/>
        <v>1.1383156640071077E-3</v>
      </c>
      <c r="AH189" s="184" t="str">
        <f t="shared" si="33"/>
        <v>YES</v>
      </c>
      <c r="AJ189" s="9" t="str">
        <f t="shared" si="34"/>
        <v>NO</v>
      </c>
      <c r="AK189" s="9" t="str">
        <f t="shared" si="35"/>
        <v>NO</v>
      </c>
      <c r="AL189" s="9" t="str">
        <f t="shared" si="36"/>
        <v>NO</v>
      </c>
      <c r="AM189" s="9" t="str">
        <f t="shared" si="37"/>
        <v>NO</v>
      </c>
      <c r="AN189" s="9" t="str">
        <f t="shared" si="38"/>
        <v>Less than 10% better than Standard</v>
      </c>
      <c r="AO189" s="9" t="str">
        <f t="shared" si="39"/>
        <v>5I_Less than 10% better than Standard</v>
      </c>
      <c r="AP189" s="9" t="str">
        <f t="shared" si="40"/>
        <v>5I_NO</v>
      </c>
    </row>
    <row r="190" spans="1:42">
      <c r="A190">
        <v>85726</v>
      </c>
      <c r="B190" t="s">
        <v>1638</v>
      </c>
      <c r="C190" t="s">
        <v>180</v>
      </c>
      <c r="D190" t="s">
        <v>4261</v>
      </c>
      <c r="E190" t="s">
        <v>4179</v>
      </c>
      <c r="F190" t="s">
        <v>162</v>
      </c>
      <c r="G190" t="s">
        <v>4105</v>
      </c>
      <c r="H190"/>
      <c r="I190" t="s">
        <v>4098</v>
      </c>
      <c r="J190" t="b">
        <v>1</v>
      </c>
      <c r="K190" t="b">
        <v>0</v>
      </c>
      <c r="L190" t="b">
        <v>1</v>
      </c>
      <c r="M190" t="b">
        <v>1</v>
      </c>
      <c r="N190" t="b">
        <v>0</v>
      </c>
      <c r="O190" t="s">
        <v>4099</v>
      </c>
      <c r="P190">
        <v>15.59</v>
      </c>
      <c r="Q190">
        <v>8.8000000000000007</v>
      </c>
      <c r="R190">
        <v>24.4</v>
      </c>
      <c r="S190">
        <v>84</v>
      </c>
      <c r="T190">
        <v>42</v>
      </c>
      <c r="U190">
        <v>24</v>
      </c>
      <c r="V190">
        <v>820</v>
      </c>
      <c r="W190" s="281">
        <v>41862</v>
      </c>
      <c r="X190" s="282"/>
      <c r="Z190" s="9" t="b">
        <f t="shared" si="29"/>
        <v>0</v>
      </c>
      <c r="AA190" s="9" t="str">
        <f t="shared" si="42"/>
        <v>7-BI</v>
      </c>
      <c r="AB190" s="196">
        <f t="shared" si="30"/>
        <v>31.078000000000003</v>
      </c>
      <c r="AC190" s="9">
        <f>VLOOKUP(AA190,'Federal Standards'!$N$9:$P$50,2,FALSE)</f>
        <v>10.25</v>
      </c>
      <c r="AD190" s="44">
        <f>VLOOKUP(AA190,'Federal Standards'!$N$9:$P$50,3,FALSE)</f>
        <v>502.6</v>
      </c>
      <c r="AE190" s="44">
        <f t="shared" si="31"/>
        <v>821.14949999999999</v>
      </c>
      <c r="AF190" s="283">
        <f t="shared" si="32"/>
        <v>1.1494999999999891</v>
      </c>
      <c r="AG190" s="291">
        <f t="shared" si="41"/>
        <v>1.399866893909074E-3</v>
      </c>
      <c r="AH190" s="184" t="str">
        <f t="shared" si="33"/>
        <v>YES</v>
      </c>
      <c r="AJ190" s="9" t="str">
        <f t="shared" si="34"/>
        <v>NO</v>
      </c>
      <c r="AK190" s="9" t="str">
        <f t="shared" si="35"/>
        <v>NO</v>
      </c>
      <c r="AL190" s="9" t="str">
        <f t="shared" si="36"/>
        <v>NO</v>
      </c>
      <c r="AM190" s="9" t="str">
        <f t="shared" si="37"/>
        <v>NO</v>
      </c>
      <c r="AN190" s="9" t="str">
        <f t="shared" si="38"/>
        <v>Less than 10% better than Standard</v>
      </c>
      <c r="AO190" s="9" t="str">
        <f t="shared" si="39"/>
        <v>7-BI_Less than 10% better than Standard</v>
      </c>
      <c r="AP190" s="9" t="str">
        <f t="shared" si="40"/>
        <v>7-BI_NO</v>
      </c>
    </row>
    <row r="191" spans="1:42">
      <c r="A191">
        <v>85728</v>
      </c>
      <c r="B191" t="s">
        <v>1638</v>
      </c>
      <c r="C191" t="s">
        <v>180</v>
      </c>
      <c r="D191" t="s">
        <v>4262</v>
      </c>
      <c r="E191" t="s">
        <v>4179</v>
      </c>
      <c r="F191" t="s">
        <v>162</v>
      </c>
      <c r="G191" t="s">
        <v>4105</v>
      </c>
      <c r="H191"/>
      <c r="I191" t="s">
        <v>4098</v>
      </c>
      <c r="J191" t="b">
        <v>1</v>
      </c>
      <c r="K191" t="b">
        <v>0</v>
      </c>
      <c r="L191" t="b">
        <v>1</v>
      </c>
      <c r="M191" t="b">
        <v>1</v>
      </c>
      <c r="N191" t="b">
        <v>0</v>
      </c>
      <c r="O191" t="s">
        <v>4099</v>
      </c>
      <c r="P191">
        <v>18.64</v>
      </c>
      <c r="Q191">
        <v>9.9700000000000006</v>
      </c>
      <c r="R191">
        <v>28.6</v>
      </c>
      <c r="S191">
        <v>84</v>
      </c>
      <c r="T191">
        <v>48</v>
      </c>
      <c r="U191">
        <v>24</v>
      </c>
      <c r="V191">
        <v>873</v>
      </c>
      <c r="W191" s="281">
        <v>41862</v>
      </c>
      <c r="X191" s="282"/>
      <c r="Z191" s="9" t="b">
        <f t="shared" si="29"/>
        <v>0</v>
      </c>
      <c r="AA191" s="9" t="str">
        <f t="shared" si="42"/>
        <v>7-BI</v>
      </c>
      <c r="AB191" s="196">
        <f t="shared" si="30"/>
        <v>36.187200000000004</v>
      </c>
      <c r="AC191" s="9">
        <f>VLOOKUP(AA191,'Federal Standards'!$N$9:$P$50,2,FALSE)</f>
        <v>10.25</v>
      </c>
      <c r="AD191" s="44">
        <f>VLOOKUP(AA191,'Federal Standards'!$N$9:$P$50,3,FALSE)</f>
        <v>502.6</v>
      </c>
      <c r="AE191" s="44">
        <f t="shared" si="31"/>
        <v>873.51880000000006</v>
      </c>
      <c r="AF191" s="283">
        <f t="shared" si="32"/>
        <v>0.51880000000005566</v>
      </c>
      <c r="AG191" s="291">
        <f t="shared" si="41"/>
        <v>5.9391967293669654E-4</v>
      </c>
      <c r="AH191" s="184" t="str">
        <f t="shared" si="33"/>
        <v>YES</v>
      </c>
      <c r="AJ191" s="9" t="str">
        <f t="shared" si="34"/>
        <v>NO</v>
      </c>
      <c r="AK191" s="9" t="str">
        <f t="shared" si="35"/>
        <v>NO</v>
      </c>
      <c r="AL191" s="9" t="str">
        <f t="shared" si="36"/>
        <v>NO</v>
      </c>
      <c r="AM191" s="9" t="str">
        <f t="shared" si="37"/>
        <v>NO</v>
      </c>
      <c r="AN191" s="9" t="str">
        <f t="shared" si="38"/>
        <v>Less than 10% better than Standard</v>
      </c>
      <c r="AO191" s="9" t="str">
        <f t="shared" si="39"/>
        <v>7-BI_Less than 10% better than Standard</v>
      </c>
      <c r="AP191" s="9" t="str">
        <f t="shared" si="40"/>
        <v>7-BI_NO</v>
      </c>
    </row>
    <row r="192" spans="1:42">
      <c r="A192">
        <v>86763</v>
      </c>
      <c r="B192" t="s">
        <v>1638</v>
      </c>
      <c r="C192" t="s">
        <v>180</v>
      </c>
      <c r="D192" t="s">
        <v>1299</v>
      </c>
      <c r="E192" t="s">
        <v>4179</v>
      </c>
      <c r="F192" t="s">
        <v>162</v>
      </c>
      <c r="G192" t="s">
        <v>4105</v>
      </c>
      <c r="H192"/>
      <c r="I192" t="s">
        <v>4098</v>
      </c>
      <c r="J192" t="b">
        <v>0</v>
      </c>
      <c r="K192" t="b">
        <v>0</v>
      </c>
      <c r="L192" t="b">
        <v>1</v>
      </c>
      <c r="M192" t="b">
        <v>1</v>
      </c>
      <c r="N192" t="b">
        <v>0</v>
      </c>
      <c r="O192" t="s">
        <v>4099</v>
      </c>
      <c r="P192">
        <v>16.23</v>
      </c>
      <c r="Q192">
        <v>9.0299999999999994</v>
      </c>
      <c r="R192">
        <v>25.3</v>
      </c>
      <c r="S192">
        <v>70</v>
      </c>
      <c r="T192">
        <v>36</v>
      </c>
      <c r="U192">
        <v>32</v>
      </c>
      <c r="V192">
        <v>643</v>
      </c>
      <c r="W192" s="281">
        <v>41884</v>
      </c>
      <c r="X192" s="282"/>
      <c r="Z192" s="9" t="b">
        <f t="shared" si="29"/>
        <v>0</v>
      </c>
      <c r="AA192" s="9" t="str">
        <f t="shared" si="42"/>
        <v>7</v>
      </c>
      <c r="AB192" s="196">
        <f t="shared" si="30"/>
        <v>32.122799999999998</v>
      </c>
      <c r="AC192" s="9">
        <f>VLOOKUP(AA192,'Federal Standards'!$N$9:$P$50,2,FALSE)</f>
        <v>8.5399999999999991</v>
      </c>
      <c r="AD192" s="44">
        <f>VLOOKUP(AA192,'Federal Standards'!$N$9:$P$50,3,FALSE)</f>
        <v>432.8</v>
      </c>
      <c r="AE192" s="44">
        <f t="shared" si="31"/>
        <v>707.12871199999995</v>
      </c>
      <c r="AF192" s="283">
        <f t="shared" si="32"/>
        <v>64.12871199999995</v>
      </c>
      <c r="AG192" s="291">
        <f t="shared" si="41"/>
        <v>9.0688881545514105E-2</v>
      </c>
      <c r="AH192" s="184" t="str">
        <f t="shared" si="33"/>
        <v>YES</v>
      </c>
      <c r="AJ192" s="9" t="str">
        <f t="shared" si="34"/>
        <v>NO</v>
      </c>
      <c r="AK192" s="9" t="str">
        <f t="shared" si="35"/>
        <v>NO</v>
      </c>
      <c r="AL192" s="9" t="str">
        <f t="shared" si="36"/>
        <v>NO</v>
      </c>
      <c r="AM192" s="9" t="str">
        <f t="shared" si="37"/>
        <v>NO</v>
      </c>
      <c r="AN192" s="9" t="str">
        <f t="shared" si="38"/>
        <v>Less than 10% better than Standard</v>
      </c>
      <c r="AO192" s="9" t="str">
        <f t="shared" si="39"/>
        <v>7_Less than 10% better than Standard</v>
      </c>
      <c r="AP192" s="9" t="str">
        <f t="shared" si="40"/>
        <v>7_NO</v>
      </c>
    </row>
    <row r="193" spans="1:42">
      <c r="A193">
        <v>86765</v>
      </c>
      <c r="B193" t="s">
        <v>1638</v>
      </c>
      <c r="C193" t="s">
        <v>180</v>
      </c>
      <c r="D193" t="s">
        <v>4263</v>
      </c>
      <c r="E193" t="s">
        <v>4179</v>
      </c>
      <c r="F193" t="s">
        <v>162</v>
      </c>
      <c r="G193" t="s">
        <v>4105</v>
      </c>
      <c r="H193"/>
      <c r="I193" t="s">
        <v>4098</v>
      </c>
      <c r="J193" t="b">
        <v>0</v>
      </c>
      <c r="K193" t="b">
        <v>0</v>
      </c>
      <c r="L193" t="b">
        <v>1</v>
      </c>
      <c r="M193" t="b">
        <v>1</v>
      </c>
      <c r="N193" t="b">
        <v>0</v>
      </c>
      <c r="O193" t="s">
        <v>4099</v>
      </c>
      <c r="P193">
        <v>18</v>
      </c>
      <c r="Q193">
        <v>10.16</v>
      </c>
      <c r="R193">
        <v>28.2</v>
      </c>
      <c r="S193">
        <v>70</v>
      </c>
      <c r="T193">
        <v>36</v>
      </c>
      <c r="U193">
        <v>34</v>
      </c>
      <c r="V193">
        <v>738</v>
      </c>
      <c r="W193" s="281">
        <v>41884</v>
      </c>
      <c r="X193" s="282"/>
      <c r="Z193" s="9" t="b">
        <f t="shared" si="29"/>
        <v>0</v>
      </c>
      <c r="AA193" s="9" t="str">
        <f t="shared" si="42"/>
        <v>7</v>
      </c>
      <c r="AB193" s="196">
        <f t="shared" si="30"/>
        <v>35.881599999999999</v>
      </c>
      <c r="AC193" s="9">
        <f>VLOOKUP(AA193,'Federal Standards'!$N$9:$P$50,2,FALSE)</f>
        <v>8.5399999999999991</v>
      </c>
      <c r="AD193" s="44">
        <f>VLOOKUP(AA193,'Federal Standards'!$N$9:$P$50,3,FALSE)</f>
        <v>432.8</v>
      </c>
      <c r="AE193" s="44">
        <f t="shared" si="31"/>
        <v>739.22886399999993</v>
      </c>
      <c r="AF193" s="283">
        <f t="shared" si="32"/>
        <v>1.2288639999999305</v>
      </c>
      <c r="AG193" s="291">
        <f t="shared" si="41"/>
        <v>1.6623593312502616E-3</v>
      </c>
      <c r="AH193" s="184" t="str">
        <f t="shared" si="33"/>
        <v>YES</v>
      </c>
      <c r="AJ193" s="9" t="str">
        <f t="shared" si="34"/>
        <v>NO</v>
      </c>
      <c r="AK193" s="9" t="str">
        <f t="shared" si="35"/>
        <v>NO</v>
      </c>
      <c r="AL193" s="9" t="str">
        <f t="shared" si="36"/>
        <v>NO</v>
      </c>
      <c r="AM193" s="9" t="str">
        <f t="shared" si="37"/>
        <v>NO</v>
      </c>
      <c r="AN193" s="9" t="str">
        <f t="shared" si="38"/>
        <v>Less than 10% better than Standard</v>
      </c>
      <c r="AO193" s="9" t="str">
        <f t="shared" si="39"/>
        <v>7_Less than 10% better than Standard</v>
      </c>
      <c r="AP193" s="9" t="str">
        <f t="shared" si="40"/>
        <v>7_NO</v>
      </c>
    </row>
    <row r="194" spans="1:42">
      <c r="A194">
        <v>83021</v>
      </c>
      <c r="B194" t="s">
        <v>1638</v>
      </c>
      <c r="C194" t="s">
        <v>180</v>
      </c>
      <c r="D194" t="s">
        <v>4264</v>
      </c>
      <c r="E194" t="s">
        <v>4216</v>
      </c>
      <c r="F194" t="s">
        <v>162</v>
      </c>
      <c r="G194" t="s">
        <v>4105</v>
      </c>
      <c r="H194"/>
      <c r="I194" t="s">
        <v>4199</v>
      </c>
      <c r="J194"/>
      <c r="K194"/>
      <c r="L194"/>
      <c r="M194"/>
      <c r="N194" t="b">
        <v>1</v>
      </c>
      <c r="O194" t="s">
        <v>4099</v>
      </c>
      <c r="P194">
        <v>14.74</v>
      </c>
      <c r="Q194">
        <v>6</v>
      </c>
      <c r="R194">
        <v>20.74</v>
      </c>
      <c r="S194">
        <v>69</v>
      </c>
      <c r="T194">
        <v>36</v>
      </c>
      <c r="U194">
        <v>27</v>
      </c>
      <c r="V194">
        <v>662</v>
      </c>
      <c r="W194" s="281">
        <v>41624</v>
      </c>
      <c r="X194" s="282"/>
      <c r="Z194" s="9" t="b">
        <f t="shared" si="29"/>
        <v>0</v>
      </c>
      <c r="AA194" s="9" t="str">
        <f t="shared" si="42"/>
        <v>5A</v>
      </c>
      <c r="AB194" s="196">
        <f t="shared" si="30"/>
        <v>25.3</v>
      </c>
      <c r="AC194" s="9">
        <f>VLOOKUP(AA194,'Federal Standards'!$N$9:$P$50,2,FALSE)</f>
        <v>9.25</v>
      </c>
      <c r="AD194" s="44">
        <f>VLOOKUP(AA194,'Federal Standards'!$N$9:$P$50,3,FALSE)</f>
        <v>475.4</v>
      </c>
      <c r="AE194" s="44">
        <f t="shared" si="31"/>
        <v>709.42499999999995</v>
      </c>
      <c r="AF194" s="283">
        <f t="shared" si="32"/>
        <v>47.424999999999955</v>
      </c>
      <c r="AG194" s="291">
        <f t="shared" si="41"/>
        <v>6.6849913662473073E-2</v>
      </c>
      <c r="AH194" s="184" t="str">
        <f t="shared" si="33"/>
        <v>YES</v>
      </c>
      <c r="AJ194" s="9" t="str">
        <f t="shared" si="34"/>
        <v>NO</v>
      </c>
      <c r="AK194" s="9" t="str">
        <f t="shared" si="35"/>
        <v>NO</v>
      </c>
      <c r="AL194" s="9" t="str">
        <f t="shared" si="36"/>
        <v>NO</v>
      </c>
      <c r="AM194" s="9" t="str">
        <f t="shared" si="37"/>
        <v>NO</v>
      </c>
      <c r="AN194" s="9" t="str">
        <f t="shared" si="38"/>
        <v>Less than 10% better than Standard</v>
      </c>
      <c r="AO194" s="9" t="str">
        <f t="shared" si="39"/>
        <v>5A_Less than 10% better than Standard</v>
      </c>
      <c r="AP194" s="9" t="str">
        <f t="shared" si="40"/>
        <v>5A_NO</v>
      </c>
    </row>
    <row r="195" spans="1:42">
      <c r="A195">
        <v>85732</v>
      </c>
      <c r="B195" t="s">
        <v>1638</v>
      </c>
      <c r="C195" t="s">
        <v>180</v>
      </c>
      <c r="D195" t="s">
        <v>1309</v>
      </c>
      <c r="E195" t="s">
        <v>4109</v>
      </c>
      <c r="F195" t="s">
        <v>162</v>
      </c>
      <c r="G195" t="s">
        <v>4105</v>
      </c>
      <c r="H195"/>
      <c r="I195" t="s">
        <v>4170</v>
      </c>
      <c r="J195" t="b">
        <v>0</v>
      </c>
      <c r="K195" t="b">
        <v>0</v>
      </c>
      <c r="L195" t="b">
        <v>1</v>
      </c>
      <c r="M195" t="b">
        <v>1</v>
      </c>
      <c r="N195" t="b">
        <v>0</v>
      </c>
      <c r="O195" t="s">
        <v>4099</v>
      </c>
      <c r="P195">
        <v>14.93</v>
      </c>
      <c r="Q195">
        <v>7.16</v>
      </c>
      <c r="R195">
        <v>22.1</v>
      </c>
      <c r="S195">
        <v>69</v>
      </c>
      <c r="T195">
        <v>36</v>
      </c>
      <c r="U195">
        <v>29</v>
      </c>
      <c r="V195">
        <v>664</v>
      </c>
      <c r="W195" s="281">
        <v>41862</v>
      </c>
      <c r="X195" s="282"/>
      <c r="Z195" s="9" t="b">
        <f t="shared" si="29"/>
        <v>0</v>
      </c>
      <c r="AA195" s="9" t="str">
        <f t="shared" si="42"/>
        <v>5A</v>
      </c>
      <c r="AB195" s="196">
        <f t="shared" si="30"/>
        <v>27.531599999999997</v>
      </c>
      <c r="AC195" s="9">
        <f>VLOOKUP(AA195,'Federal Standards'!$N$9:$P$50,2,FALSE)</f>
        <v>9.25</v>
      </c>
      <c r="AD195" s="44">
        <f>VLOOKUP(AA195,'Federal Standards'!$N$9:$P$50,3,FALSE)</f>
        <v>475.4</v>
      </c>
      <c r="AE195" s="44">
        <f t="shared" si="31"/>
        <v>730.06729999999993</v>
      </c>
      <c r="AF195" s="283">
        <f t="shared" si="32"/>
        <v>66.067299999999932</v>
      </c>
      <c r="AG195" s="291">
        <f t="shared" si="41"/>
        <v>9.0494807807444511E-2</v>
      </c>
      <c r="AH195" s="184" t="str">
        <f t="shared" si="33"/>
        <v>YES</v>
      </c>
      <c r="AJ195" s="9" t="str">
        <f t="shared" si="34"/>
        <v>NO</v>
      </c>
      <c r="AK195" s="9" t="str">
        <f t="shared" si="35"/>
        <v>NO</v>
      </c>
      <c r="AL195" s="9" t="str">
        <f t="shared" si="36"/>
        <v>NO</v>
      </c>
      <c r="AM195" s="9" t="str">
        <f t="shared" si="37"/>
        <v>NO</v>
      </c>
      <c r="AN195" s="9" t="str">
        <f t="shared" si="38"/>
        <v>Less than 10% better than Standard</v>
      </c>
      <c r="AO195" s="9" t="str">
        <f t="shared" si="39"/>
        <v>5A_Less than 10% better than Standard</v>
      </c>
      <c r="AP195" s="9" t="str">
        <f t="shared" si="40"/>
        <v>5A_NO</v>
      </c>
    </row>
    <row r="196" spans="1:42">
      <c r="A196">
        <v>87074</v>
      </c>
      <c r="B196" t="s">
        <v>1638</v>
      </c>
      <c r="C196" t="s">
        <v>1638</v>
      </c>
      <c r="D196" t="s">
        <v>4265</v>
      </c>
      <c r="E196" t="s">
        <v>4109</v>
      </c>
      <c r="F196" t="s">
        <v>162</v>
      </c>
      <c r="G196" t="s">
        <v>4105</v>
      </c>
      <c r="H196"/>
      <c r="I196" t="s">
        <v>4170</v>
      </c>
      <c r="J196" t="b">
        <v>0</v>
      </c>
      <c r="K196" t="b">
        <v>0</v>
      </c>
      <c r="L196" t="b">
        <v>1</v>
      </c>
      <c r="M196" t="b">
        <v>1</v>
      </c>
      <c r="N196" t="b">
        <v>0</v>
      </c>
      <c r="O196" t="s">
        <v>4099</v>
      </c>
      <c r="P196">
        <v>18.53</v>
      </c>
      <c r="Q196">
        <v>9.17</v>
      </c>
      <c r="R196">
        <v>27.7</v>
      </c>
      <c r="S196">
        <v>69</v>
      </c>
      <c r="T196">
        <v>36</v>
      </c>
      <c r="U196">
        <v>34</v>
      </c>
      <c r="V196">
        <v>795</v>
      </c>
      <c r="W196" s="281">
        <v>41890</v>
      </c>
      <c r="X196" s="282"/>
      <c r="Z196" s="9" t="b">
        <f t="shared" si="29"/>
        <v>0</v>
      </c>
      <c r="AA196" s="9" t="str">
        <f t="shared" si="42"/>
        <v>5A</v>
      </c>
      <c r="AB196" s="196">
        <f t="shared" si="30"/>
        <v>34.669200000000004</v>
      </c>
      <c r="AC196" s="9">
        <f>VLOOKUP(AA196,'Federal Standards'!$N$9:$P$50,2,FALSE)</f>
        <v>9.25</v>
      </c>
      <c r="AD196" s="44">
        <f>VLOOKUP(AA196,'Federal Standards'!$N$9:$P$50,3,FALSE)</f>
        <v>475.4</v>
      </c>
      <c r="AE196" s="44">
        <f t="shared" si="31"/>
        <v>796.09010000000001</v>
      </c>
      <c r="AF196" s="283">
        <f t="shared" si="32"/>
        <v>1.0901000000000067</v>
      </c>
      <c r="AG196" s="291">
        <f t="shared" si="41"/>
        <v>1.3693173674688415E-3</v>
      </c>
      <c r="AH196" s="184" t="str">
        <f t="shared" si="33"/>
        <v>YES</v>
      </c>
      <c r="AJ196" s="9" t="str">
        <f t="shared" si="34"/>
        <v>NO</v>
      </c>
      <c r="AK196" s="9" t="str">
        <f t="shared" si="35"/>
        <v>NO</v>
      </c>
      <c r="AL196" s="9" t="str">
        <f t="shared" si="36"/>
        <v>NO</v>
      </c>
      <c r="AM196" s="9" t="str">
        <f t="shared" si="37"/>
        <v>NO</v>
      </c>
      <c r="AN196" s="9" t="str">
        <f t="shared" si="38"/>
        <v>Less than 10% better than Standard</v>
      </c>
      <c r="AO196" s="9" t="str">
        <f t="shared" si="39"/>
        <v>5A_Less than 10% better than Standard</v>
      </c>
      <c r="AP196" s="9" t="str">
        <f t="shared" si="40"/>
        <v>5A_NO</v>
      </c>
    </row>
    <row r="197" spans="1:42">
      <c r="A197">
        <v>85677</v>
      </c>
      <c r="B197" t="s">
        <v>1638</v>
      </c>
      <c r="C197" t="s">
        <v>1638</v>
      </c>
      <c r="D197" t="s">
        <v>4266</v>
      </c>
      <c r="E197" t="s">
        <v>190</v>
      </c>
      <c r="F197" t="s">
        <v>188</v>
      </c>
      <c r="G197" t="s">
        <v>189</v>
      </c>
      <c r="H197"/>
      <c r="I197" t="s">
        <v>4098</v>
      </c>
      <c r="J197" t="b">
        <v>0</v>
      </c>
      <c r="K197" t="b">
        <v>0</v>
      </c>
      <c r="L197"/>
      <c r="M197"/>
      <c r="N197" t="b">
        <v>0</v>
      </c>
      <c r="O197" t="s">
        <v>4099</v>
      </c>
      <c r="P197"/>
      <c r="Q197">
        <v>10.6</v>
      </c>
      <c r="R197">
        <v>10.6</v>
      </c>
      <c r="S197">
        <v>34</v>
      </c>
      <c r="T197">
        <v>51</v>
      </c>
      <c r="U197">
        <v>28</v>
      </c>
      <c r="V197">
        <v>218</v>
      </c>
      <c r="W197" s="281">
        <v>41848</v>
      </c>
      <c r="X197" s="282"/>
      <c r="Z197" s="9" t="b">
        <f t="shared" si="29"/>
        <v>0</v>
      </c>
      <c r="AA197" s="9" t="str">
        <f t="shared" si="42"/>
        <v>10</v>
      </c>
      <c r="AB197" s="196">
        <f t="shared" si="30"/>
        <v>18.655999999999999</v>
      </c>
      <c r="AC197" s="9">
        <f>VLOOKUP(AA197,'Federal Standards'!$N$9:$P$50,2,FALSE)</f>
        <v>7.29</v>
      </c>
      <c r="AD197" s="44">
        <f>VLOOKUP(AA197,'Federal Standards'!$N$9:$P$50,3,FALSE)</f>
        <v>107.8</v>
      </c>
      <c r="AE197" s="44">
        <f t="shared" si="31"/>
        <v>243.80223999999998</v>
      </c>
      <c r="AF197" s="283">
        <f t="shared" si="32"/>
        <v>25.802239999999983</v>
      </c>
      <c r="AG197" s="291">
        <f t="shared" si="41"/>
        <v>0.10583266175076975</v>
      </c>
      <c r="AH197" s="184" t="str">
        <f t="shared" si="33"/>
        <v>YES</v>
      </c>
      <c r="AJ197" s="9" t="str">
        <f t="shared" si="34"/>
        <v>YES</v>
      </c>
      <c r="AK197" s="9" t="str">
        <f t="shared" si="35"/>
        <v>YES</v>
      </c>
      <c r="AL197" s="9" t="str">
        <f t="shared" si="36"/>
        <v>NO</v>
      </c>
      <c r="AM197" s="9" t="str">
        <f t="shared" si="37"/>
        <v>NO</v>
      </c>
      <c r="AN197" s="9" t="str">
        <f t="shared" si="38"/>
        <v>Tier 1 - 10% to 15% better than Standard</v>
      </c>
      <c r="AO197" s="9" t="str">
        <f t="shared" si="39"/>
        <v>10_Tier 1 - 10% to 15% better than Standard</v>
      </c>
      <c r="AP197" s="9" t="str">
        <f t="shared" si="40"/>
        <v>10_YES</v>
      </c>
    </row>
    <row r="198" spans="1:42">
      <c r="A198">
        <v>85678</v>
      </c>
      <c r="B198" t="s">
        <v>1638</v>
      </c>
      <c r="C198" t="s">
        <v>1638</v>
      </c>
      <c r="D198" t="s">
        <v>4267</v>
      </c>
      <c r="E198" t="s">
        <v>190</v>
      </c>
      <c r="F198" t="s">
        <v>188</v>
      </c>
      <c r="G198" t="s">
        <v>189</v>
      </c>
      <c r="H198"/>
      <c r="I198" t="s">
        <v>4098</v>
      </c>
      <c r="J198" t="b">
        <v>0</v>
      </c>
      <c r="K198" t="b">
        <v>1</v>
      </c>
      <c r="L198"/>
      <c r="M198"/>
      <c r="N198" t="b">
        <v>0</v>
      </c>
      <c r="O198" t="s">
        <v>4099</v>
      </c>
      <c r="P198"/>
      <c r="Q198">
        <v>5.03</v>
      </c>
      <c r="R198">
        <v>5</v>
      </c>
      <c r="S198">
        <v>34</v>
      </c>
      <c r="T198">
        <v>29</v>
      </c>
      <c r="U198">
        <v>22</v>
      </c>
      <c r="V198">
        <v>218</v>
      </c>
      <c r="W198" s="281">
        <v>41848</v>
      </c>
      <c r="X198" s="282"/>
      <c r="Z198" s="9" t="b">
        <f t="shared" si="29"/>
        <v>1</v>
      </c>
      <c r="AA198" s="9" t="str">
        <f t="shared" si="42"/>
        <v>18</v>
      </c>
      <c r="AB198" s="196">
        <f t="shared" si="30"/>
        <v>8.8528000000000002</v>
      </c>
      <c r="AC198" s="9">
        <f>VLOOKUP(AA198,'Federal Standards'!$N$9:$P$50,2,FALSE)</f>
        <v>9.25</v>
      </c>
      <c r="AD198" s="44">
        <f>VLOOKUP(AA198,'Federal Standards'!$N$9:$P$50,3,FALSE)</f>
        <v>136.80000000000001</v>
      </c>
      <c r="AE198" s="44">
        <f t="shared" si="31"/>
        <v>218.6884</v>
      </c>
      <c r="AF198" s="283">
        <f t="shared" si="32"/>
        <v>0.68840000000000146</v>
      </c>
      <c r="AG198" s="291">
        <f t="shared" si="41"/>
        <v>3.1478578653463167E-3</v>
      </c>
      <c r="AH198" s="184" t="str">
        <f t="shared" si="33"/>
        <v>YES</v>
      </c>
      <c r="AJ198" s="9" t="str">
        <f t="shared" si="34"/>
        <v>NO</v>
      </c>
      <c r="AK198" s="9" t="str">
        <f t="shared" si="35"/>
        <v>NO</v>
      </c>
      <c r="AL198" s="9" t="str">
        <f t="shared" si="36"/>
        <v>NO</v>
      </c>
      <c r="AM198" s="9" t="str">
        <f t="shared" si="37"/>
        <v>NO</v>
      </c>
      <c r="AN198" s="9" t="str">
        <f t="shared" si="38"/>
        <v>Less than 10% better than Standard</v>
      </c>
      <c r="AO198" s="9" t="str">
        <f t="shared" si="39"/>
        <v>18_Less than 10% better than Standard</v>
      </c>
      <c r="AP198" s="9" t="str">
        <f t="shared" si="40"/>
        <v>18_NO</v>
      </c>
    </row>
    <row r="199" spans="1:42">
      <c r="A199">
        <v>85679</v>
      </c>
      <c r="B199" t="s">
        <v>1638</v>
      </c>
      <c r="C199" t="s">
        <v>1638</v>
      </c>
      <c r="D199" t="s">
        <v>4268</v>
      </c>
      <c r="E199" t="s">
        <v>190</v>
      </c>
      <c r="F199" t="s">
        <v>188</v>
      </c>
      <c r="G199" t="s">
        <v>189</v>
      </c>
      <c r="H199"/>
      <c r="I199" t="s">
        <v>4098</v>
      </c>
      <c r="J199" t="b">
        <v>0</v>
      </c>
      <c r="K199" t="b">
        <v>1</v>
      </c>
      <c r="L199"/>
      <c r="M199"/>
      <c r="N199" t="b">
        <v>0</v>
      </c>
      <c r="O199" t="s">
        <v>4099</v>
      </c>
      <c r="P199"/>
      <c r="Q199">
        <v>7.02</v>
      </c>
      <c r="R199">
        <v>7</v>
      </c>
      <c r="S199">
        <v>34</v>
      </c>
      <c r="T199">
        <v>38</v>
      </c>
      <c r="U199">
        <v>22</v>
      </c>
      <c r="V199">
        <v>250</v>
      </c>
      <c r="W199" s="281">
        <v>41848</v>
      </c>
      <c r="X199" s="282"/>
      <c r="Z199" s="9" t="b">
        <f t="shared" si="29"/>
        <v>1</v>
      </c>
      <c r="AA199" s="9" t="str">
        <f t="shared" si="42"/>
        <v>18</v>
      </c>
      <c r="AB199" s="196">
        <f t="shared" si="30"/>
        <v>12.3552</v>
      </c>
      <c r="AC199" s="9">
        <f>VLOOKUP(AA199,'Federal Standards'!$N$9:$P$50,2,FALSE)</f>
        <v>9.25</v>
      </c>
      <c r="AD199" s="44">
        <f>VLOOKUP(AA199,'Federal Standards'!$N$9:$P$50,3,FALSE)</f>
        <v>136.80000000000001</v>
      </c>
      <c r="AE199" s="44">
        <f t="shared" si="31"/>
        <v>251.0856</v>
      </c>
      <c r="AF199" s="283">
        <f t="shared" si="32"/>
        <v>1.0855999999999995</v>
      </c>
      <c r="AG199" s="291">
        <f t="shared" si="41"/>
        <v>4.3236250904074127E-3</v>
      </c>
      <c r="AH199" s="184" t="str">
        <f t="shared" si="33"/>
        <v>YES</v>
      </c>
      <c r="AJ199" s="9" t="str">
        <f t="shared" si="34"/>
        <v>NO</v>
      </c>
      <c r="AK199" s="9" t="str">
        <f t="shared" si="35"/>
        <v>NO</v>
      </c>
      <c r="AL199" s="9" t="str">
        <f t="shared" si="36"/>
        <v>NO</v>
      </c>
      <c r="AM199" s="9" t="str">
        <f t="shared" si="37"/>
        <v>NO</v>
      </c>
      <c r="AN199" s="9" t="str">
        <f t="shared" si="38"/>
        <v>Less than 10% better than Standard</v>
      </c>
      <c r="AO199" s="9" t="str">
        <f t="shared" si="39"/>
        <v>18_Less than 10% better than Standard</v>
      </c>
      <c r="AP199" s="9" t="str">
        <f t="shared" si="40"/>
        <v>18_NO</v>
      </c>
    </row>
    <row r="200" spans="1:42">
      <c r="A200">
        <v>86841</v>
      </c>
      <c r="B200" t="s">
        <v>1638</v>
      </c>
      <c r="C200" t="s">
        <v>1638</v>
      </c>
      <c r="D200" t="s">
        <v>4269</v>
      </c>
      <c r="E200" t="s">
        <v>187</v>
      </c>
      <c r="F200" t="s">
        <v>162</v>
      </c>
      <c r="G200" t="s">
        <v>189</v>
      </c>
      <c r="H200"/>
      <c r="I200" t="s">
        <v>4098</v>
      </c>
      <c r="J200" t="b">
        <v>0</v>
      </c>
      <c r="K200" t="b">
        <v>0</v>
      </c>
      <c r="L200" t="b">
        <v>0</v>
      </c>
      <c r="M200"/>
      <c r="N200" t="b">
        <v>0</v>
      </c>
      <c r="O200" t="s">
        <v>4099</v>
      </c>
      <c r="P200"/>
      <c r="Q200">
        <v>13.82</v>
      </c>
      <c r="R200">
        <v>13.8</v>
      </c>
      <c r="S200">
        <v>61</v>
      </c>
      <c r="T200">
        <v>30</v>
      </c>
      <c r="U200">
        <v>31</v>
      </c>
      <c r="V200">
        <v>436</v>
      </c>
      <c r="W200" s="281">
        <v>41890</v>
      </c>
      <c r="X200" s="282"/>
      <c r="Z200" s="9" t="b">
        <f t="shared" si="29"/>
        <v>0</v>
      </c>
      <c r="AA200" s="9" t="str">
        <f t="shared" si="42"/>
        <v>9</v>
      </c>
      <c r="AB200" s="196">
        <f t="shared" si="30"/>
        <v>24.3232</v>
      </c>
      <c r="AC200" s="9">
        <f>VLOOKUP(AA200,'Federal Standards'!$N$9:$P$50,2,FALSE)</f>
        <v>8.6199999999999992</v>
      </c>
      <c r="AD200" s="44">
        <f>VLOOKUP(AA200,'Federal Standards'!$N$9:$P$50,3,FALSE)</f>
        <v>228.3</v>
      </c>
      <c r="AE200" s="44">
        <f t="shared" si="31"/>
        <v>437.96598399999999</v>
      </c>
      <c r="AF200" s="283">
        <f t="shared" si="32"/>
        <v>1.9659839999999917</v>
      </c>
      <c r="AG200" s="291">
        <f t="shared" si="41"/>
        <v>4.4888965623412248E-3</v>
      </c>
      <c r="AH200" s="184" t="str">
        <f t="shared" si="33"/>
        <v>YES</v>
      </c>
      <c r="AJ200" s="9" t="str">
        <f t="shared" si="34"/>
        <v>NO</v>
      </c>
      <c r="AK200" s="9" t="str">
        <f t="shared" si="35"/>
        <v>NO</v>
      </c>
      <c r="AL200" s="9" t="str">
        <f t="shared" si="36"/>
        <v>NO</v>
      </c>
      <c r="AM200" s="9" t="str">
        <f t="shared" si="37"/>
        <v>NO</v>
      </c>
      <c r="AN200" s="9" t="str">
        <f t="shared" si="38"/>
        <v>Less than 10% better than Standard</v>
      </c>
      <c r="AO200" s="9" t="str">
        <f t="shared" si="39"/>
        <v>9_Less than 10% better than Standard</v>
      </c>
      <c r="AP200" s="9" t="str">
        <f t="shared" si="40"/>
        <v>9_NO</v>
      </c>
    </row>
    <row r="201" spans="1:42">
      <c r="A201">
        <v>86842</v>
      </c>
      <c r="B201" t="s">
        <v>1638</v>
      </c>
      <c r="C201" t="s">
        <v>1638</v>
      </c>
      <c r="D201" t="s">
        <v>4270</v>
      </c>
      <c r="E201" t="s">
        <v>187</v>
      </c>
      <c r="F201" t="s">
        <v>162</v>
      </c>
      <c r="G201" t="s">
        <v>189</v>
      </c>
      <c r="H201"/>
      <c r="I201" t="s">
        <v>4098</v>
      </c>
      <c r="J201" t="b">
        <v>0</v>
      </c>
      <c r="K201" t="b">
        <v>0</v>
      </c>
      <c r="L201" t="b">
        <v>0</v>
      </c>
      <c r="M201"/>
      <c r="N201" t="b">
        <v>0</v>
      </c>
      <c r="O201" t="s">
        <v>4099</v>
      </c>
      <c r="P201"/>
      <c r="Q201">
        <v>16.63</v>
      </c>
      <c r="R201">
        <v>16.600000000000001</v>
      </c>
      <c r="S201">
        <v>67</v>
      </c>
      <c r="T201">
        <v>34</v>
      </c>
      <c r="U201">
        <v>29</v>
      </c>
      <c r="V201">
        <v>479</v>
      </c>
      <c r="W201" s="281">
        <v>41890</v>
      </c>
      <c r="X201" s="282"/>
      <c r="Z201" s="9" t="b">
        <f t="shared" si="29"/>
        <v>0</v>
      </c>
      <c r="AA201" s="9" t="str">
        <f t="shared" si="42"/>
        <v>9</v>
      </c>
      <c r="AB201" s="196">
        <f t="shared" si="30"/>
        <v>29.268799999999999</v>
      </c>
      <c r="AC201" s="9">
        <f>VLOOKUP(AA201,'Federal Standards'!$N$9:$P$50,2,FALSE)</f>
        <v>8.6199999999999992</v>
      </c>
      <c r="AD201" s="44">
        <f>VLOOKUP(AA201,'Federal Standards'!$N$9:$P$50,3,FALSE)</f>
        <v>228.3</v>
      </c>
      <c r="AE201" s="44">
        <f t="shared" si="31"/>
        <v>480.59705599999995</v>
      </c>
      <c r="AF201" s="283">
        <f t="shared" si="32"/>
        <v>1.5970559999999523</v>
      </c>
      <c r="AG201" s="291">
        <f t="shared" si="41"/>
        <v>3.3230665482893687E-3</v>
      </c>
      <c r="AH201" s="184" t="str">
        <f t="shared" si="33"/>
        <v>YES</v>
      </c>
      <c r="AJ201" s="9" t="str">
        <f t="shared" si="34"/>
        <v>NO</v>
      </c>
      <c r="AK201" s="9" t="str">
        <f t="shared" si="35"/>
        <v>NO</v>
      </c>
      <c r="AL201" s="9" t="str">
        <f t="shared" si="36"/>
        <v>NO</v>
      </c>
      <c r="AM201" s="9" t="str">
        <f t="shared" si="37"/>
        <v>NO</v>
      </c>
      <c r="AN201" s="9" t="str">
        <f t="shared" si="38"/>
        <v>Less than 10% better than Standard</v>
      </c>
      <c r="AO201" s="9" t="str">
        <f t="shared" si="39"/>
        <v>9_Less than 10% better than Standard</v>
      </c>
      <c r="AP201" s="9" t="str">
        <f t="shared" si="40"/>
        <v>9_NO</v>
      </c>
    </row>
    <row r="202" spans="1:42">
      <c r="A202">
        <v>86843</v>
      </c>
      <c r="B202" t="s">
        <v>1638</v>
      </c>
      <c r="C202" t="s">
        <v>1638</v>
      </c>
      <c r="D202" t="s">
        <v>4271</v>
      </c>
      <c r="E202" t="s">
        <v>187</v>
      </c>
      <c r="F202" t="s">
        <v>162</v>
      </c>
      <c r="G202" t="s">
        <v>189</v>
      </c>
      <c r="H202"/>
      <c r="I202" t="s">
        <v>4098</v>
      </c>
      <c r="J202" t="b">
        <v>0</v>
      </c>
      <c r="K202" t="b">
        <v>0</v>
      </c>
      <c r="L202" t="b">
        <v>0</v>
      </c>
      <c r="M202"/>
      <c r="N202" t="b">
        <v>0</v>
      </c>
      <c r="O202" t="s">
        <v>4099</v>
      </c>
      <c r="P202"/>
      <c r="Q202">
        <v>20.22</v>
      </c>
      <c r="R202">
        <v>20.2</v>
      </c>
      <c r="S202">
        <v>72</v>
      </c>
      <c r="T202">
        <v>34</v>
      </c>
      <c r="U202">
        <v>31</v>
      </c>
      <c r="V202">
        <v>534</v>
      </c>
      <c r="W202" s="281">
        <v>41890</v>
      </c>
      <c r="X202" s="282"/>
      <c r="Z202" s="9" t="b">
        <f t="shared" ref="Z202:Z265" si="43">IF(R202&lt;7.75,TRUE, FALSE)</f>
        <v>0</v>
      </c>
      <c r="AA202" s="9" t="str">
        <f t="shared" si="42"/>
        <v>9</v>
      </c>
      <c r="AB202" s="196">
        <f t="shared" ref="AB202:AB265" si="44">IF(OR(E202="Internal Freezer",E202 = "Single Door"),P202 + Q202*1.47,P202 + Q202*1.76)</f>
        <v>35.587199999999996</v>
      </c>
      <c r="AC202" s="9">
        <f>VLOOKUP(AA202,'Federal Standards'!$N$9:$P$50,2,FALSE)</f>
        <v>8.6199999999999992</v>
      </c>
      <c r="AD202" s="44">
        <f>VLOOKUP(AA202,'Federal Standards'!$N$9:$P$50,3,FALSE)</f>
        <v>228.3</v>
      </c>
      <c r="AE202" s="44">
        <f t="shared" ref="AE202:AE265" si="45">AB202*AC202+AD202</f>
        <v>535.06166399999995</v>
      </c>
      <c r="AF202" s="283">
        <f t="shared" ref="AF202:AF265" si="46">IF($AF$2,AE202-V202,MAX(0,AE202-V202))</f>
        <v>1.0616639999999506</v>
      </c>
      <c r="AG202" s="291">
        <f t="shared" si="41"/>
        <v>1.9841899942208358E-3</v>
      </c>
      <c r="AH202" s="184" t="str">
        <f t="shared" ref="AH202:AH265" si="47">IF(AF202&gt;=0,"YES","NO")</f>
        <v>YES</v>
      </c>
      <c r="AJ202" s="9" t="str">
        <f t="shared" ref="AJ202:AJ265" si="48">IF(AG202&gt;=0.1,"YES","NO")</f>
        <v>NO</v>
      </c>
      <c r="AK202" s="9" t="str">
        <f t="shared" ref="AK202:AK265" si="49">IF(AND($AG202&gt;=0.1,$AG202&lt;0.15),"YES","NO")</f>
        <v>NO</v>
      </c>
      <c r="AL202" s="9" t="str">
        <f t="shared" ref="AL202:AL265" si="50">IF(AND($AG202&gt;=0.15,$AG202&lt;0.2),"YES","NO")</f>
        <v>NO</v>
      </c>
      <c r="AM202" s="9" t="str">
        <f t="shared" ref="AM202:AM265" si="51">IF($AG202&gt;=0.2,"YES","NO")</f>
        <v>NO</v>
      </c>
      <c r="AN202" s="9" t="str">
        <f t="shared" ref="AN202:AN265" si="52">VLOOKUP(AG202,$AO$2:$AP$6,2,TRUE)</f>
        <v>Less than 10% better than Standard</v>
      </c>
      <c r="AO202" s="9" t="str">
        <f t="shared" ref="AO202:AO265" si="53">AA202&amp;"_"&amp;AN202</f>
        <v>9_Less than 10% better than Standard</v>
      </c>
      <c r="AP202" s="9" t="str">
        <f t="shared" ref="AP202:AP265" si="54">CONCATENATE(AA202,"_",AJ202)</f>
        <v>9_NO</v>
      </c>
    </row>
    <row r="203" spans="1:42">
      <c r="A203">
        <v>86840</v>
      </c>
      <c r="B203" t="s">
        <v>1638</v>
      </c>
      <c r="C203" t="s">
        <v>1638</v>
      </c>
      <c r="D203" t="s">
        <v>4272</v>
      </c>
      <c r="E203" t="s">
        <v>187</v>
      </c>
      <c r="F203" t="s">
        <v>188</v>
      </c>
      <c r="G203" t="s">
        <v>189</v>
      </c>
      <c r="H203"/>
      <c r="I203" t="s">
        <v>4098</v>
      </c>
      <c r="J203" t="b">
        <v>0</v>
      </c>
      <c r="K203" t="b">
        <v>0</v>
      </c>
      <c r="L203" t="b">
        <v>0</v>
      </c>
      <c r="M203"/>
      <c r="N203" t="b">
        <v>0</v>
      </c>
      <c r="O203" t="s">
        <v>4099</v>
      </c>
      <c r="P203"/>
      <c r="Q203">
        <v>20.94</v>
      </c>
      <c r="R203">
        <v>20.9</v>
      </c>
      <c r="S203">
        <v>72</v>
      </c>
      <c r="T203">
        <v>34</v>
      </c>
      <c r="U203">
        <v>31</v>
      </c>
      <c r="V203">
        <v>397</v>
      </c>
      <c r="W203" s="281">
        <v>41890</v>
      </c>
      <c r="X203" s="282"/>
      <c r="Z203" s="9" t="b">
        <f t="shared" si="43"/>
        <v>0</v>
      </c>
      <c r="AA203" s="9" t="str">
        <f t="shared" si="42"/>
        <v>8</v>
      </c>
      <c r="AB203" s="196">
        <f t="shared" si="44"/>
        <v>36.854400000000005</v>
      </c>
      <c r="AC203" s="9">
        <f>VLOOKUP(AA203,'Federal Standards'!$N$9:$P$50,2,FALSE)</f>
        <v>5.57</v>
      </c>
      <c r="AD203" s="44">
        <f>VLOOKUP(AA203,'Federal Standards'!$N$9:$P$50,3,FALSE)</f>
        <v>193.7</v>
      </c>
      <c r="AE203" s="44">
        <f t="shared" si="45"/>
        <v>398.97900800000002</v>
      </c>
      <c r="AF203" s="283">
        <f t="shared" si="46"/>
        <v>1.9790080000000216</v>
      </c>
      <c r="AG203" s="291">
        <f t="shared" si="41"/>
        <v>4.9601807621919335E-3</v>
      </c>
      <c r="AH203" s="184" t="str">
        <f t="shared" si="47"/>
        <v>YES</v>
      </c>
      <c r="AJ203" s="9" t="str">
        <f t="shared" si="48"/>
        <v>NO</v>
      </c>
      <c r="AK203" s="9" t="str">
        <f t="shared" si="49"/>
        <v>NO</v>
      </c>
      <c r="AL203" s="9" t="str">
        <f t="shared" si="50"/>
        <v>NO</v>
      </c>
      <c r="AM203" s="9" t="str">
        <f t="shared" si="51"/>
        <v>NO</v>
      </c>
      <c r="AN203" s="9" t="str">
        <f t="shared" si="52"/>
        <v>Less than 10% better than Standard</v>
      </c>
      <c r="AO203" s="9" t="str">
        <f t="shared" si="53"/>
        <v>8_Less than 10% better than Standard</v>
      </c>
      <c r="AP203" s="9" t="str">
        <f t="shared" si="54"/>
        <v>8_NO</v>
      </c>
    </row>
    <row r="204" spans="1:42">
      <c r="A204">
        <v>85687</v>
      </c>
      <c r="B204" t="s">
        <v>1638</v>
      </c>
      <c r="C204" t="s">
        <v>1638</v>
      </c>
      <c r="D204" t="s">
        <v>1228</v>
      </c>
      <c r="E204" t="s">
        <v>4097</v>
      </c>
      <c r="F204" t="s">
        <v>188</v>
      </c>
      <c r="G204" t="s">
        <v>184</v>
      </c>
      <c r="H204"/>
      <c r="I204" t="s">
        <v>4098</v>
      </c>
      <c r="J204" t="b">
        <v>0</v>
      </c>
      <c r="K204" t="b">
        <v>1</v>
      </c>
      <c r="L204"/>
      <c r="M204"/>
      <c r="N204" t="b">
        <v>0</v>
      </c>
      <c r="O204" t="s">
        <v>4099</v>
      </c>
      <c r="P204">
        <v>5.63</v>
      </c>
      <c r="Q204"/>
      <c r="R204">
        <v>5.6</v>
      </c>
      <c r="S204">
        <v>34</v>
      </c>
      <c r="T204">
        <v>24</v>
      </c>
      <c r="U204">
        <v>25</v>
      </c>
      <c r="V204">
        <v>236</v>
      </c>
      <c r="W204" s="281">
        <v>41848</v>
      </c>
      <c r="X204" s="282"/>
      <c r="Z204" s="9" t="b">
        <f t="shared" si="43"/>
        <v>1</v>
      </c>
      <c r="AA204" s="9" t="str">
        <f t="shared" si="42"/>
        <v>11A</v>
      </c>
      <c r="AB204" s="196">
        <f t="shared" si="44"/>
        <v>5.63</v>
      </c>
      <c r="AC204" s="9">
        <f>VLOOKUP(AA204,'Federal Standards'!$N$9:$P$50,2,FALSE)</f>
        <v>7.84</v>
      </c>
      <c r="AD204" s="44">
        <f>VLOOKUP(AA204,'Federal Standards'!$N$9:$P$50,3,FALSE)</f>
        <v>219.1</v>
      </c>
      <c r="AE204" s="44">
        <f t="shared" si="45"/>
        <v>263.23919999999998</v>
      </c>
      <c r="AF204" s="283">
        <f t="shared" si="46"/>
        <v>27.239199999999983</v>
      </c>
      <c r="AG204" s="291">
        <f t="shared" ref="AG204:AG267" si="55">AF204/AE204</f>
        <v>0.10347698974924702</v>
      </c>
      <c r="AH204" s="184" t="str">
        <f t="shared" si="47"/>
        <v>YES</v>
      </c>
      <c r="AJ204" s="9" t="str">
        <f t="shared" si="48"/>
        <v>YES</v>
      </c>
      <c r="AK204" s="9" t="str">
        <f t="shared" si="49"/>
        <v>YES</v>
      </c>
      <c r="AL204" s="9" t="str">
        <f t="shared" si="50"/>
        <v>NO</v>
      </c>
      <c r="AM204" s="9" t="str">
        <f t="shared" si="51"/>
        <v>NO</v>
      </c>
      <c r="AN204" s="9" t="str">
        <f t="shared" si="52"/>
        <v>Tier 1 - 10% to 15% better than Standard</v>
      </c>
      <c r="AO204" s="9" t="str">
        <f t="shared" si="53"/>
        <v>11A_Tier 1 - 10% to 15% better than Standard</v>
      </c>
      <c r="AP204" s="9" t="str">
        <f t="shared" si="54"/>
        <v>11A_YES</v>
      </c>
    </row>
    <row r="205" spans="1:42">
      <c r="A205">
        <v>85681</v>
      </c>
      <c r="B205" t="s">
        <v>1638</v>
      </c>
      <c r="C205" t="s">
        <v>1638</v>
      </c>
      <c r="D205" t="s">
        <v>1232</v>
      </c>
      <c r="E205" t="s">
        <v>4108</v>
      </c>
      <c r="F205" t="s">
        <v>4111</v>
      </c>
      <c r="G205" t="s">
        <v>4105</v>
      </c>
      <c r="H205"/>
      <c r="I205" t="s">
        <v>4098</v>
      </c>
      <c r="J205" t="b">
        <v>0</v>
      </c>
      <c r="K205" t="b">
        <v>1</v>
      </c>
      <c r="L205" t="b">
        <v>0</v>
      </c>
      <c r="M205"/>
      <c r="N205" t="b">
        <v>0</v>
      </c>
      <c r="O205" t="s">
        <v>4099</v>
      </c>
      <c r="P205">
        <v>2.12</v>
      </c>
      <c r="Q205">
        <v>0.93</v>
      </c>
      <c r="R205">
        <v>3.1</v>
      </c>
      <c r="S205">
        <v>33</v>
      </c>
      <c r="T205">
        <v>19</v>
      </c>
      <c r="U205">
        <v>20</v>
      </c>
      <c r="V205">
        <v>321</v>
      </c>
      <c r="W205" s="281">
        <v>41848</v>
      </c>
      <c r="X205" s="282"/>
      <c r="Z205" s="9" t="b">
        <f t="shared" si="43"/>
        <v>1</v>
      </c>
      <c r="AA205" s="9" t="str">
        <f t="shared" si="42"/>
        <v>12</v>
      </c>
      <c r="AB205" s="196">
        <f t="shared" si="44"/>
        <v>3.7568000000000001</v>
      </c>
      <c r="AC205" s="9">
        <f>VLOOKUP(AA205,'Federal Standards'!$N$9:$P$50,2,FALSE)</f>
        <v>5.91</v>
      </c>
      <c r="AD205" s="44">
        <f>VLOOKUP(AA205,'Federal Standards'!$N$9:$P$50,3,FALSE)</f>
        <v>335.8</v>
      </c>
      <c r="AE205" s="44">
        <f t="shared" si="45"/>
        <v>358.00268800000003</v>
      </c>
      <c r="AF205" s="283">
        <f t="shared" si="46"/>
        <v>37.002688000000035</v>
      </c>
      <c r="AG205" s="291">
        <f t="shared" si="55"/>
        <v>0.10335868763085944</v>
      </c>
      <c r="AH205" s="184" t="str">
        <f t="shared" si="47"/>
        <v>YES</v>
      </c>
      <c r="AJ205" s="9" t="str">
        <f t="shared" si="48"/>
        <v>YES</v>
      </c>
      <c r="AK205" s="9" t="str">
        <f t="shared" si="49"/>
        <v>YES</v>
      </c>
      <c r="AL205" s="9" t="str">
        <f t="shared" si="50"/>
        <v>NO</v>
      </c>
      <c r="AM205" s="9" t="str">
        <f t="shared" si="51"/>
        <v>NO</v>
      </c>
      <c r="AN205" s="9" t="str">
        <f t="shared" si="52"/>
        <v>Tier 1 - 10% to 15% better than Standard</v>
      </c>
      <c r="AO205" s="9" t="str">
        <f t="shared" si="53"/>
        <v>12_Tier 1 - 10% to 15% better than Standard</v>
      </c>
      <c r="AP205" s="9" t="str">
        <f t="shared" si="54"/>
        <v>12_YES</v>
      </c>
    </row>
    <row r="206" spans="1:42">
      <c r="A206">
        <v>86743</v>
      </c>
      <c r="B206" t="s">
        <v>1638</v>
      </c>
      <c r="C206" t="s">
        <v>1638</v>
      </c>
      <c r="D206" t="s">
        <v>1236</v>
      </c>
      <c r="E206" t="s">
        <v>4109</v>
      </c>
      <c r="F206" t="s">
        <v>162</v>
      </c>
      <c r="G206" t="s">
        <v>4105</v>
      </c>
      <c r="H206"/>
      <c r="I206" t="s">
        <v>4098</v>
      </c>
      <c r="J206" t="b">
        <v>0</v>
      </c>
      <c r="K206" t="b">
        <v>0</v>
      </c>
      <c r="L206" t="b">
        <v>1</v>
      </c>
      <c r="M206" t="b">
        <v>0</v>
      </c>
      <c r="N206" t="b">
        <v>0</v>
      </c>
      <c r="O206" t="s">
        <v>4099</v>
      </c>
      <c r="P206">
        <v>14.07</v>
      </c>
      <c r="Q206">
        <v>6.31</v>
      </c>
      <c r="R206">
        <v>20.399999999999999</v>
      </c>
      <c r="S206">
        <v>66</v>
      </c>
      <c r="T206">
        <v>30</v>
      </c>
      <c r="U206">
        <v>33</v>
      </c>
      <c r="V206">
        <v>569</v>
      </c>
      <c r="W206" s="281">
        <v>41884</v>
      </c>
      <c r="X206" s="282"/>
      <c r="Z206" s="9" t="b">
        <f t="shared" si="43"/>
        <v>0</v>
      </c>
      <c r="AA206" s="9" t="str">
        <f t="shared" si="42"/>
        <v>5I</v>
      </c>
      <c r="AB206" s="196">
        <f t="shared" si="44"/>
        <v>25.175599999999999</v>
      </c>
      <c r="AC206" s="9">
        <f>VLOOKUP(AA206,'Federal Standards'!$N$9:$P$50,2,FALSE)</f>
        <v>8.85</v>
      </c>
      <c r="AD206" s="44">
        <f>VLOOKUP(AA206,'Federal Standards'!$N$9:$P$50,3,FALSE)</f>
        <v>401</v>
      </c>
      <c r="AE206" s="44">
        <f t="shared" si="45"/>
        <v>623.80405999999994</v>
      </c>
      <c r="AF206" s="283">
        <f t="shared" si="46"/>
        <v>54.804059999999936</v>
      </c>
      <c r="AG206" s="291">
        <f t="shared" si="55"/>
        <v>8.785460614026773E-2</v>
      </c>
      <c r="AH206" s="184" t="str">
        <f t="shared" si="47"/>
        <v>YES</v>
      </c>
      <c r="AJ206" s="9" t="str">
        <f t="shared" si="48"/>
        <v>NO</v>
      </c>
      <c r="AK206" s="9" t="str">
        <f t="shared" si="49"/>
        <v>NO</v>
      </c>
      <c r="AL206" s="9" t="str">
        <f t="shared" si="50"/>
        <v>NO</v>
      </c>
      <c r="AM206" s="9" t="str">
        <f t="shared" si="51"/>
        <v>NO</v>
      </c>
      <c r="AN206" s="9" t="str">
        <f t="shared" si="52"/>
        <v>Less than 10% better than Standard</v>
      </c>
      <c r="AO206" s="9" t="str">
        <f t="shared" si="53"/>
        <v>5I_Less than 10% better than Standard</v>
      </c>
      <c r="AP206" s="9" t="str">
        <f t="shared" si="54"/>
        <v>5I_NO</v>
      </c>
    </row>
    <row r="207" spans="1:42">
      <c r="A207">
        <v>86746</v>
      </c>
      <c r="B207" t="s">
        <v>1638</v>
      </c>
      <c r="C207" t="s">
        <v>1638</v>
      </c>
      <c r="D207" t="s">
        <v>1238</v>
      </c>
      <c r="E207" t="s">
        <v>4109</v>
      </c>
      <c r="F207" t="s">
        <v>162</v>
      </c>
      <c r="G207" t="s">
        <v>4105</v>
      </c>
      <c r="H207"/>
      <c r="I207" t="s">
        <v>4098</v>
      </c>
      <c r="J207" t="b">
        <v>0</v>
      </c>
      <c r="K207" t="b">
        <v>0</v>
      </c>
      <c r="L207" t="b">
        <v>1</v>
      </c>
      <c r="M207" t="b">
        <v>0</v>
      </c>
      <c r="N207" t="b">
        <v>0</v>
      </c>
      <c r="O207" t="s">
        <v>4099</v>
      </c>
      <c r="P207">
        <v>16.34</v>
      </c>
      <c r="Q207">
        <v>6.85</v>
      </c>
      <c r="R207">
        <v>23.2</v>
      </c>
      <c r="S207">
        <v>68</v>
      </c>
      <c r="T207">
        <v>33</v>
      </c>
      <c r="U207">
        <v>33</v>
      </c>
      <c r="V207">
        <v>594</v>
      </c>
      <c r="W207" s="281">
        <v>41884</v>
      </c>
      <c r="X207" s="282"/>
      <c r="Z207" s="9" t="b">
        <f t="shared" si="43"/>
        <v>0</v>
      </c>
      <c r="AA207" s="9" t="str">
        <f t="shared" si="42"/>
        <v>5I</v>
      </c>
      <c r="AB207" s="196">
        <f t="shared" si="44"/>
        <v>28.396000000000001</v>
      </c>
      <c r="AC207" s="9">
        <f>VLOOKUP(AA207,'Federal Standards'!$N$9:$P$50,2,FALSE)</f>
        <v>8.85</v>
      </c>
      <c r="AD207" s="44">
        <f>VLOOKUP(AA207,'Federal Standards'!$N$9:$P$50,3,FALSE)</f>
        <v>401</v>
      </c>
      <c r="AE207" s="44">
        <f t="shared" si="45"/>
        <v>652.30459999999994</v>
      </c>
      <c r="AF207" s="283">
        <f t="shared" si="46"/>
        <v>58.304599999999937</v>
      </c>
      <c r="AG207" s="291">
        <f t="shared" si="55"/>
        <v>8.9382475610320616E-2</v>
      </c>
      <c r="AH207" s="184" t="str">
        <f t="shared" si="47"/>
        <v>YES</v>
      </c>
      <c r="AJ207" s="9" t="str">
        <f t="shared" si="48"/>
        <v>NO</v>
      </c>
      <c r="AK207" s="9" t="str">
        <f t="shared" si="49"/>
        <v>NO</v>
      </c>
      <c r="AL207" s="9" t="str">
        <f t="shared" si="50"/>
        <v>NO</v>
      </c>
      <c r="AM207" s="9" t="str">
        <f t="shared" si="51"/>
        <v>NO</v>
      </c>
      <c r="AN207" s="9" t="str">
        <f t="shared" si="52"/>
        <v>Less than 10% better than Standard</v>
      </c>
      <c r="AO207" s="9" t="str">
        <f t="shared" si="53"/>
        <v>5I_Less than 10% better than Standard</v>
      </c>
      <c r="AP207" s="9" t="str">
        <f t="shared" si="54"/>
        <v>5I_NO</v>
      </c>
    </row>
    <row r="208" spans="1:42">
      <c r="A208">
        <v>88332</v>
      </c>
      <c r="B208" t="s">
        <v>1638</v>
      </c>
      <c r="C208" t="s">
        <v>1638</v>
      </c>
      <c r="D208" t="s">
        <v>4273</v>
      </c>
      <c r="E208" t="s">
        <v>4109</v>
      </c>
      <c r="F208" t="s">
        <v>162</v>
      </c>
      <c r="G208" t="s">
        <v>4105</v>
      </c>
      <c r="H208"/>
      <c r="I208" t="s">
        <v>4170</v>
      </c>
      <c r="J208" t="b">
        <v>0</v>
      </c>
      <c r="K208" t="b">
        <v>0</v>
      </c>
      <c r="L208" t="b">
        <v>1</v>
      </c>
      <c r="M208" t="b">
        <v>1</v>
      </c>
      <c r="N208" t="b">
        <v>0</v>
      </c>
      <c r="O208" t="s">
        <v>4099</v>
      </c>
      <c r="P208">
        <v>17.07</v>
      </c>
      <c r="Q208">
        <v>8.59</v>
      </c>
      <c r="R208">
        <v>25.7</v>
      </c>
      <c r="S208">
        <v>69</v>
      </c>
      <c r="T208">
        <v>36</v>
      </c>
      <c r="U208">
        <v>34</v>
      </c>
      <c r="V208">
        <v>703</v>
      </c>
      <c r="W208" s="281">
        <v>41907</v>
      </c>
      <c r="X208" s="282"/>
      <c r="Z208" s="9" t="b">
        <f t="shared" si="43"/>
        <v>0</v>
      </c>
      <c r="AA208" s="9" t="str">
        <f t="shared" si="42"/>
        <v>5A</v>
      </c>
      <c r="AB208" s="196">
        <f t="shared" si="44"/>
        <v>32.188400000000001</v>
      </c>
      <c r="AC208" s="9">
        <f>VLOOKUP(AA208,'Federal Standards'!$N$9:$P$50,2,FALSE)</f>
        <v>9.25</v>
      </c>
      <c r="AD208" s="44">
        <f>VLOOKUP(AA208,'Federal Standards'!$N$9:$P$50,3,FALSE)</f>
        <v>475.4</v>
      </c>
      <c r="AE208" s="44">
        <f t="shared" si="45"/>
        <v>773.14269999999999</v>
      </c>
      <c r="AF208" s="283">
        <f t="shared" si="46"/>
        <v>70.142699999999991</v>
      </c>
      <c r="AG208" s="291">
        <f t="shared" si="55"/>
        <v>9.0724131521904033E-2</v>
      </c>
      <c r="AH208" s="184" t="str">
        <f t="shared" si="47"/>
        <v>YES</v>
      </c>
      <c r="AJ208" s="9" t="str">
        <f t="shared" si="48"/>
        <v>NO</v>
      </c>
      <c r="AK208" s="9" t="str">
        <f t="shared" si="49"/>
        <v>NO</v>
      </c>
      <c r="AL208" s="9" t="str">
        <f t="shared" si="50"/>
        <v>NO</v>
      </c>
      <c r="AM208" s="9" t="str">
        <f t="shared" si="51"/>
        <v>NO</v>
      </c>
      <c r="AN208" s="9" t="str">
        <f t="shared" si="52"/>
        <v>Less than 10% better than Standard</v>
      </c>
      <c r="AO208" s="9" t="str">
        <f t="shared" si="53"/>
        <v>5A_Less than 10% better than Standard</v>
      </c>
      <c r="AP208" s="9" t="str">
        <f t="shared" si="54"/>
        <v>5A_NO</v>
      </c>
    </row>
    <row r="209" spans="1:42">
      <c r="A209">
        <v>85150</v>
      </c>
      <c r="B209" t="s">
        <v>1638</v>
      </c>
      <c r="C209" t="s">
        <v>1638</v>
      </c>
      <c r="D209" t="s">
        <v>1242</v>
      </c>
      <c r="E209" t="s">
        <v>4108</v>
      </c>
      <c r="F209" t="s">
        <v>162</v>
      </c>
      <c r="G209" t="s">
        <v>4105</v>
      </c>
      <c r="H209"/>
      <c r="I209" t="s">
        <v>4098</v>
      </c>
      <c r="J209" t="b">
        <v>0</v>
      </c>
      <c r="K209" t="b">
        <v>0</v>
      </c>
      <c r="L209" t="b">
        <v>1</v>
      </c>
      <c r="M209" t="b">
        <v>0</v>
      </c>
      <c r="N209" t="b">
        <v>0</v>
      </c>
      <c r="O209" t="s">
        <v>4099</v>
      </c>
      <c r="P209">
        <v>11.55</v>
      </c>
      <c r="Q209">
        <v>3.98</v>
      </c>
      <c r="R209">
        <v>15.5</v>
      </c>
      <c r="S209">
        <v>65</v>
      </c>
      <c r="T209">
        <v>28</v>
      </c>
      <c r="U209">
        <v>30</v>
      </c>
      <c r="V209">
        <v>428</v>
      </c>
      <c r="W209" s="281">
        <v>41827</v>
      </c>
      <c r="X209" s="282"/>
      <c r="Z209" s="9" t="b">
        <f t="shared" si="43"/>
        <v>0</v>
      </c>
      <c r="AA209" s="9" t="str">
        <f t="shared" si="42"/>
        <v>3I</v>
      </c>
      <c r="AB209" s="196">
        <f t="shared" si="44"/>
        <v>18.5548</v>
      </c>
      <c r="AC209" s="9">
        <f>VLOOKUP(AA209,'Federal Standards'!$N$9:$P$50,2,FALSE)</f>
        <v>8.07</v>
      </c>
      <c r="AD209" s="44">
        <f>VLOOKUP(AA209,'Federal Standards'!$N$9:$P$50,3,FALSE)</f>
        <v>317.7</v>
      </c>
      <c r="AE209" s="44">
        <f t="shared" si="45"/>
        <v>467.43723599999998</v>
      </c>
      <c r="AF209" s="283">
        <f t="shared" si="46"/>
        <v>39.437235999999984</v>
      </c>
      <c r="AG209" s="291">
        <f t="shared" si="55"/>
        <v>8.4369050992762554E-2</v>
      </c>
      <c r="AH209" s="184" t="str">
        <f t="shared" si="47"/>
        <v>YES</v>
      </c>
      <c r="AJ209" s="9" t="str">
        <f t="shared" si="48"/>
        <v>NO</v>
      </c>
      <c r="AK209" s="9" t="str">
        <f t="shared" si="49"/>
        <v>NO</v>
      </c>
      <c r="AL209" s="9" t="str">
        <f t="shared" si="50"/>
        <v>NO</v>
      </c>
      <c r="AM209" s="9" t="str">
        <f t="shared" si="51"/>
        <v>NO</v>
      </c>
      <c r="AN209" s="9" t="str">
        <f t="shared" si="52"/>
        <v>Less than 10% better than Standard</v>
      </c>
      <c r="AO209" s="9" t="str">
        <f t="shared" si="53"/>
        <v>3I_Less than 10% better than Standard</v>
      </c>
      <c r="AP209" s="9" t="str">
        <f t="shared" si="54"/>
        <v>3I_NO</v>
      </c>
    </row>
    <row r="210" spans="1:42">
      <c r="A210">
        <v>86790</v>
      </c>
      <c r="B210" t="s">
        <v>1638</v>
      </c>
      <c r="C210" t="s">
        <v>1638</v>
      </c>
      <c r="D210" t="s">
        <v>4274</v>
      </c>
      <c r="E210" t="s">
        <v>4108</v>
      </c>
      <c r="F210" t="s">
        <v>162</v>
      </c>
      <c r="G210" t="s">
        <v>4105</v>
      </c>
      <c r="H210"/>
      <c r="I210" t="s">
        <v>4098</v>
      </c>
      <c r="J210" t="b">
        <v>0</v>
      </c>
      <c r="K210" t="b">
        <v>0</v>
      </c>
      <c r="L210" t="b">
        <v>1</v>
      </c>
      <c r="M210" t="b">
        <v>0</v>
      </c>
      <c r="N210" t="b">
        <v>0</v>
      </c>
      <c r="O210" t="s">
        <v>4099</v>
      </c>
      <c r="P210">
        <v>13.51</v>
      </c>
      <c r="Q210">
        <v>4.0199999999999996</v>
      </c>
      <c r="R210">
        <v>17.5</v>
      </c>
      <c r="S210">
        <v>67</v>
      </c>
      <c r="T210">
        <v>28</v>
      </c>
      <c r="U210">
        <v>31</v>
      </c>
      <c r="V210">
        <v>442</v>
      </c>
      <c r="W210" s="281">
        <v>41884</v>
      </c>
      <c r="X210" s="282"/>
      <c r="Z210" s="9" t="b">
        <f t="shared" si="43"/>
        <v>0</v>
      </c>
      <c r="AA210" s="9" t="str">
        <f t="shared" si="42"/>
        <v>3I</v>
      </c>
      <c r="AB210" s="196">
        <f t="shared" si="44"/>
        <v>20.5852</v>
      </c>
      <c r="AC210" s="9">
        <f>VLOOKUP(AA210,'Federal Standards'!$N$9:$P$50,2,FALSE)</f>
        <v>8.07</v>
      </c>
      <c r="AD210" s="44">
        <f>VLOOKUP(AA210,'Federal Standards'!$N$9:$P$50,3,FALSE)</f>
        <v>317.7</v>
      </c>
      <c r="AE210" s="44">
        <f t="shared" si="45"/>
        <v>483.822564</v>
      </c>
      <c r="AF210" s="283">
        <f t="shared" si="46"/>
        <v>41.822564</v>
      </c>
      <c r="AG210" s="291">
        <f t="shared" si="55"/>
        <v>8.644194610154643E-2</v>
      </c>
      <c r="AH210" s="184" t="str">
        <f t="shared" si="47"/>
        <v>YES</v>
      </c>
      <c r="AJ210" s="9" t="str">
        <f t="shared" si="48"/>
        <v>NO</v>
      </c>
      <c r="AK210" s="9" t="str">
        <f t="shared" si="49"/>
        <v>NO</v>
      </c>
      <c r="AL210" s="9" t="str">
        <f t="shared" si="50"/>
        <v>NO</v>
      </c>
      <c r="AM210" s="9" t="str">
        <f t="shared" si="51"/>
        <v>NO</v>
      </c>
      <c r="AN210" s="9" t="str">
        <f t="shared" si="52"/>
        <v>Less than 10% better than Standard</v>
      </c>
      <c r="AO210" s="9" t="str">
        <f t="shared" si="53"/>
        <v>3I_Less than 10% better than Standard</v>
      </c>
      <c r="AP210" s="9" t="str">
        <f t="shared" si="54"/>
        <v>3I_NO</v>
      </c>
    </row>
    <row r="211" spans="1:42">
      <c r="A211">
        <v>86804</v>
      </c>
      <c r="B211" t="s">
        <v>1638</v>
      </c>
      <c r="C211" t="s">
        <v>1638</v>
      </c>
      <c r="D211" t="s">
        <v>4275</v>
      </c>
      <c r="E211" t="s">
        <v>4108</v>
      </c>
      <c r="F211" t="s">
        <v>162</v>
      </c>
      <c r="G211" t="s">
        <v>4105</v>
      </c>
      <c r="H211"/>
      <c r="I211" t="s">
        <v>4098</v>
      </c>
      <c r="J211" t="b">
        <v>0</v>
      </c>
      <c r="K211" t="b">
        <v>0</v>
      </c>
      <c r="L211" t="b">
        <v>1</v>
      </c>
      <c r="M211" t="b">
        <v>0</v>
      </c>
      <c r="N211" t="b">
        <v>0</v>
      </c>
      <c r="O211" t="s">
        <v>4099</v>
      </c>
      <c r="P211">
        <v>13.05</v>
      </c>
      <c r="Q211">
        <v>5.13</v>
      </c>
      <c r="R211">
        <v>18.2</v>
      </c>
      <c r="S211">
        <v>67</v>
      </c>
      <c r="T211">
        <v>30</v>
      </c>
      <c r="U211">
        <v>33</v>
      </c>
      <c r="V211">
        <v>453</v>
      </c>
      <c r="W211" s="281">
        <v>41884</v>
      </c>
      <c r="X211" s="282"/>
      <c r="Z211" s="9" t="b">
        <f t="shared" si="43"/>
        <v>0</v>
      </c>
      <c r="AA211" s="9" t="str">
        <f t="shared" si="42"/>
        <v>3I</v>
      </c>
      <c r="AB211" s="196">
        <f t="shared" si="44"/>
        <v>22.078800000000001</v>
      </c>
      <c r="AC211" s="9">
        <f>VLOOKUP(AA211,'Federal Standards'!$N$9:$P$50,2,FALSE)</f>
        <v>8.07</v>
      </c>
      <c r="AD211" s="44">
        <f>VLOOKUP(AA211,'Federal Standards'!$N$9:$P$50,3,FALSE)</f>
        <v>317.7</v>
      </c>
      <c r="AE211" s="44">
        <f t="shared" si="45"/>
        <v>495.87591600000002</v>
      </c>
      <c r="AF211" s="283">
        <f t="shared" si="46"/>
        <v>42.875916000000018</v>
      </c>
      <c r="AG211" s="291">
        <f t="shared" si="55"/>
        <v>8.6465009928007916E-2</v>
      </c>
      <c r="AH211" s="184" t="str">
        <f t="shared" si="47"/>
        <v>YES</v>
      </c>
      <c r="AJ211" s="9" t="str">
        <f t="shared" si="48"/>
        <v>NO</v>
      </c>
      <c r="AK211" s="9" t="str">
        <f t="shared" si="49"/>
        <v>NO</v>
      </c>
      <c r="AL211" s="9" t="str">
        <f t="shared" si="50"/>
        <v>NO</v>
      </c>
      <c r="AM211" s="9" t="str">
        <f t="shared" si="51"/>
        <v>NO</v>
      </c>
      <c r="AN211" s="9" t="str">
        <f t="shared" si="52"/>
        <v>Less than 10% better than Standard</v>
      </c>
      <c r="AO211" s="9" t="str">
        <f t="shared" si="53"/>
        <v>3I_Less than 10% better than Standard</v>
      </c>
      <c r="AP211" s="9" t="str">
        <f t="shared" si="54"/>
        <v>3I_NO</v>
      </c>
    </row>
    <row r="212" spans="1:42">
      <c r="A212">
        <v>86795</v>
      </c>
      <c r="B212" t="s">
        <v>1638</v>
      </c>
      <c r="C212" t="s">
        <v>1638</v>
      </c>
      <c r="D212" t="s">
        <v>4276</v>
      </c>
      <c r="E212" t="s">
        <v>4108</v>
      </c>
      <c r="F212" t="s">
        <v>162</v>
      </c>
      <c r="G212" t="s">
        <v>4105</v>
      </c>
      <c r="H212"/>
      <c r="I212" t="s">
        <v>4098</v>
      </c>
      <c r="J212" t="b">
        <v>0</v>
      </c>
      <c r="K212" t="b">
        <v>0</v>
      </c>
      <c r="L212" t="b">
        <v>1</v>
      </c>
      <c r="M212" t="b">
        <v>0</v>
      </c>
      <c r="N212" t="b">
        <v>0</v>
      </c>
      <c r="O212" t="s">
        <v>4099</v>
      </c>
      <c r="P212">
        <v>13.57</v>
      </c>
      <c r="Q212">
        <v>4.0199999999999996</v>
      </c>
      <c r="R212">
        <v>17.600000000000001</v>
      </c>
      <c r="S212">
        <v>67</v>
      </c>
      <c r="T212">
        <v>28</v>
      </c>
      <c r="U212">
        <v>31</v>
      </c>
      <c r="V212">
        <v>443</v>
      </c>
      <c r="W212" s="281">
        <v>41884</v>
      </c>
      <c r="X212" s="282"/>
      <c r="Z212" s="9" t="b">
        <f t="shared" si="43"/>
        <v>0</v>
      </c>
      <c r="AA212" s="9" t="str">
        <f t="shared" si="42"/>
        <v>3I</v>
      </c>
      <c r="AB212" s="196">
        <f t="shared" si="44"/>
        <v>20.645199999999999</v>
      </c>
      <c r="AC212" s="9">
        <f>VLOOKUP(AA212,'Federal Standards'!$N$9:$P$50,2,FALSE)</f>
        <v>8.07</v>
      </c>
      <c r="AD212" s="44">
        <f>VLOOKUP(AA212,'Federal Standards'!$N$9:$P$50,3,FALSE)</f>
        <v>317.7</v>
      </c>
      <c r="AE212" s="44">
        <f t="shared" si="45"/>
        <v>484.30676399999999</v>
      </c>
      <c r="AF212" s="283">
        <f t="shared" si="46"/>
        <v>41.306763999999987</v>
      </c>
      <c r="AG212" s="291">
        <f t="shared" si="55"/>
        <v>8.5290495756941337E-2</v>
      </c>
      <c r="AH212" s="184" t="str">
        <f t="shared" si="47"/>
        <v>YES</v>
      </c>
      <c r="AJ212" s="9" t="str">
        <f t="shared" si="48"/>
        <v>NO</v>
      </c>
      <c r="AK212" s="9" t="str">
        <f t="shared" si="49"/>
        <v>NO</v>
      </c>
      <c r="AL212" s="9" t="str">
        <f t="shared" si="50"/>
        <v>NO</v>
      </c>
      <c r="AM212" s="9" t="str">
        <f t="shared" si="51"/>
        <v>NO</v>
      </c>
      <c r="AN212" s="9" t="str">
        <f t="shared" si="52"/>
        <v>Less than 10% better than Standard</v>
      </c>
      <c r="AO212" s="9" t="str">
        <f t="shared" si="53"/>
        <v>3I_Less than 10% better than Standard</v>
      </c>
      <c r="AP212" s="9" t="str">
        <f t="shared" si="54"/>
        <v>3I_NO</v>
      </c>
    </row>
    <row r="213" spans="1:42">
      <c r="A213">
        <v>84835</v>
      </c>
      <c r="B213" t="s">
        <v>1638</v>
      </c>
      <c r="C213" t="s">
        <v>1638</v>
      </c>
      <c r="D213" t="s">
        <v>4277</v>
      </c>
      <c r="E213" t="s">
        <v>4108</v>
      </c>
      <c r="F213" t="s">
        <v>162</v>
      </c>
      <c r="G213" t="s">
        <v>4105</v>
      </c>
      <c r="H213"/>
      <c r="I213" t="s">
        <v>4098</v>
      </c>
      <c r="J213" t="b">
        <v>0</v>
      </c>
      <c r="K213" t="b">
        <v>0</v>
      </c>
      <c r="L213" t="b">
        <v>0</v>
      </c>
      <c r="M213"/>
      <c r="N213" t="b">
        <v>0</v>
      </c>
      <c r="O213" t="s">
        <v>4099</v>
      </c>
      <c r="P213">
        <v>15.12</v>
      </c>
      <c r="Q213">
        <v>6.06</v>
      </c>
      <c r="R213">
        <v>21.2</v>
      </c>
      <c r="S213">
        <v>67</v>
      </c>
      <c r="T213">
        <v>33</v>
      </c>
      <c r="U213">
        <v>33</v>
      </c>
      <c r="V213">
        <v>396</v>
      </c>
      <c r="W213" s="281">
        <v>41807</v>
      </c>
      <c r="X213" s="282"/>
      <c r="Z213" s="9" t="b">
        <f t="shared" si="43"/>
        <v>0</v>
      </c>
      <c r="AA213" s="9" t="str">
        <f t="shared" si="42"/>
        <v>3</v>
      </c>
      <c r="AB213" s="196">
        <f t="shared" si="44"/>
        <v>25.785599999999999</v>
      </c>
      <c r="AC213" s="9">
        <f>VLOOKUP(AA213,'Federal Standards'!$N$9:$P$50,2,FALSE)</f>
        <v>8.07</v>
      </c>
      <c r="AD213" s="44">
        <f>VLOOKUP(AA213,'Federal Standards'!$N$9:$P$50,3,FALSE)</f>
        <v>233.7</v>
      </c>
      <c r="AE213" s="44">
        <f t="shared" si="45"/>
        <v>441.78979199999998</v>
      </c>
      <c r="AF213" s="283">
        <f t="shared" si="46"/>
        <v>45.789791999999977</v>
      </c>
      <c r="AG213" s="291">
        <f t="shared" si="55"/>
        <v>0.10364610687971708</v>
      </c>
      <c r="AH213" s="184" t="str">
        <f t="shared" si="47"/>
        <v>YES</v>
      </c>
      <c r="AJ213" s="9" t="str">
        <f t="shared" si="48"/>
        <v>YES</v>
      </c>
      <c r="AK213" s="9" t="str">
        <f t="shared" si="49"/>
        <v>YES</v>
      </c>
      <c r="AL213" s="9" t="str">
        <f t="shared" si="50"/>
        <v>NO</v>
      </c>
      <c r="AM213" s="9" t="str">
        <f t="shared" si="51"/>
        <v>NO</v>
      </c>
      <c r="AN213" s="9" t="str">
        <f t="shared" si="52"/>
        <v>Tier 1 - 10% to 15% better than Standard</v>
      </c>
      <c r="AO213" s="9" t="str">
        <f t="shared" si="53"/>
        <v>3_Tier 1 - 10% to 15% better than Standard</v>
      </c>
      <c r="AP213" s="9" t="str">
        <f t="shared" si="54"/>
        <v>3_YES</v>
      </c>
    </row>
    <row r="214" spans="1:42">
      <c r="A214">
        <v>85689</v>
      </c>
      <c r="B214" t="s">
        <v>1638</v>
      </c>
      <c r="C214" t="s">
        <v>1638</v>
      </c>
      <c r="D214" t="s">
        <v>1246</v>
      </c>
      <c r="E214" t="s">
        <v>4097</v>
      </c>
      <c r="F214" t="s">
        <v>188</v>
      </c>
      <c r="G214" t="s">
        <v>184</v>
      </c>
      <c r="H214"/>
      <c r="I214" t="s">
        <v>4098</v>
      </c>
      <c r="J214" t="b">
        <v>0</v>
      </c>
      <c r="K214" t="b">
        <v>1</v>
      </c>
      <c r="L214"/>
      <c r="M214"/>
      <c r="N214" t="b">
        <v>0</v>
      </c>
      <c r="O214" t="s">
        <v>4099</v>
      </c>
      <c r="P214">
        <v>4.4000000000000004</v>
      </c>
      <c r="Q214"/>
      <c r="R214">
        <v>4.4000000000000004</v>
      </c>
      <c r="S214">
        <v>33</v>
      </c>
      <c r="T214">
        <v>20</v>
      </c>
      <c r="U214">
        <v>22</v>
      </c>
      <c r="V214">
        <v>227</v>
      </c>
      <c r="W214" s="281">
        <v>41848</v>
      </c>
      <c r="X214" s="282"/>
      <c r="Z214" s="9" t="b">
        <f t="shared" si="43"/>
        <v>1</v>
      </c>
      <c r="AA214" s="9" t="str">
        <f t="shared" si="42"/>
        <v>11A</v>
      </c>
      <c r="AB214" s="196">
        <f t="shared" si="44"/>
        <v>4.4000000000000004</v>
      </c>
      <c r="AC214" s="9">
        <f>VLOOKUP(AA214,'Federal Standards'!$N$9:$P$50,2,FALSE)</f>
        <v>7.84</v>
      </c>
      <c r="AD214" s="44">
        <f>VLOOKUP(AA214,'Federal Standards'!$N$9:$P$50,3,FALSE)</f>
        <v>219.1</v>
      </c>
      <c r="AE214" s="44">
        <f t="shared" si="45"/>
        <v>253.596</v>
      </c>
      <c r="AF214" s="283">
        <f t="shared" si="46"/>
        <v>26.596000000000004</v>
      </c>
      <c r="AG214" s="291">
        <f t="shared" si="55"/>
        <v>0.10487547122194357</v>
      </c>
      <c r="AH214" s="184" t="str">
        <f t="shared" si="47"/>
        <v>YES</v>
      </c>
      <c r="AJ214" s="9" t="str">
        <f t="shared" si="48"/>
        <v>YES</v>
      </c>
      <c r="AK214" s="9" t="str">
        <f t="shared" si="49"/>
        <v>YES</v>
      </c>
      <c r="AL214" s="9" t="str">
        <f t="shared" si="50"/>
        <v>NO</v>
      </c>
      <c r="AM214" s="9" t="str">
        <f t="shared" si="51"/>
        <v>NO</v>
      </c>
      <c r="AN214" s="9" t="str">
        <f t="shared" si="52"/>
        <v>Tier 1 - 10% to 15% better than Standard</v>
      </c>
      <c r="AO214" s="9" t="str">
        <f t="shared" si="53"/>
        <v>11A_Tier 1 - 10% to 15% better than Standard</v>
      </c>
      <c r="AP214" s="9" t="str">
        <f t="shared" si="54"/>
        <v>11A_YES</v>
      </c>
    </row>
    <row r="215" spans="1:42">
      <c r="A215">
        <v>82990</v>
      </c>
      <c r="B215" t="s">
        <v>1638</v>
      </c>
      <c r="C215" t="s">
        <v>1638</v>
      </c>
      <c r="D215" t="s">
        <v>4278</v>
      </c>
      <c r="E215" t="s">
        <v>4104</v>
      </c>
      <c r="F215" t="s">
        <v>4111</v>
      </c>
      <c r="G215" t="s">
        <v>4105</v>
      </c>
      <c r="H215"/>
      <c r="I215" t="s">
        <v>4106</v>
      </c>
      <c r="J215"/>
      <c r="K215"/>
      <c r="L215"/>
      <c r="M215"/>
      <c r="N215" t="b">
        <v>0</v>
      </c>
      <c r="O215" t="s">
        <v>4099</v>
      </c>
      <c r="P215">
        <v>2.1800000000000002</v>
      </c>
      <c r="Q215">
        <v>0.93</v>
      </c>
      <c r="R215">
        <v>3.11</v>
      </c>
      <c r="S215">
        <v>33</v>
      </c>
      <c r="T215">
        <v>19</v>
      </c>
      <c r="U215">
        <v>20</v>
      </c>
      <c r="V215">
        <v>421</v>
      </c>
      <c r="W215" s="281">
        <v>41600</v>
      </c>
      <c r="X215" s="282"/>
      <c r="Z215" s="9" t="b">
        <f t="shared" si="43"/>
        <v>1</v>
      </c>
      <c r="AA215" s="9" t="str">
        <f t="shared" si="42"/>
        <v>12</v>
      </c>
      <c r="AB215" s="196">
        <f t="shared" si="44"/>
        <v>3.8168000000000002</v>
      </c>
      <c r="AC215" s="9">
        <f>VLOOKUP(AA215,'Federal Standards'!$N$9:$P$50,2,FALSE)</f>
        <v>5.91</v>
      </c>
      <c r="AD215" s="44">
        <f>VLOOKUP(AA215,'Federal Standards'!$N$9:$P$50,3,FALSE)</f>
        <v>335.8</v>
      </c>
      <c r="AE215" s="44">
        <f t="shared" si="45"/>
        <v>358.35728800000004</v>
      </c>
      <c r="AF215" s="283">
        <f t="shared" si="46"/>
        <v>-62.64271199999996</v>
      </c>
      <c r="AG215" s="291">
        <f t="shared" si="55"/>
        <v>-0.17480518493040934</v>
      </c>
      <c r="AH215" s="184" t="str">
        <f t="shared" si="47"/>
        <v>NO</v>
      </c>
      <c r="AJ215" s="9" t="str">
        <f t="shared" si="48"/>
        <v>NO</v>
      </c>
      <c r="AK215" s="9" t="str">
        <f t="shared" si="49"/>
        <v>NO</v>
      </c>
      <c r="AL215" s="9" t="str">
        <f t="shared" si="50"/>
        <v>NO</v>
      </c>
      <c r="AM215" s="9" t="str">
        <f t="shared" si="51"/>
        <v>NO</v>
      </c>
      <c r="AN215" s="9" t="str">
        <f t="shared" si="52"/>
        <v>Doesn't meet Standard</v>
      </c>
      <c r="AO215" s="9" t="str">
        <f t="shared" si="53"/>
        <v>12_Doesn't meet Standard</v>
      </c>
      <c r="AP215" s="9" t="str">
        <f t="shared" si="54"/>
        <v>12_NO</v>
      </c>
    </row>
    <row r="216" spans="1:42">
      <c r="A216">
        <v>82980</v>
      </c>
      <c r="B216" t="s">
        <v>1638</v>
      </c>
      <c r="C216" t="s">
        <v>1638</v>
      </c>
      <c r="D216" t="s">
        <v>4279</v>
      </c>
      <c r="E216" t="s">
        <v>4115</v>
      </c>
      <c r="F216" t="s">
        <v>188</v>
      </c>
      <c r="G216" t="s">
        <v>184</v>
      </c>
      <c r="H216"/>
      <c r="I216" t="s">
        <v>4106</v>
      </c>
      <c r="J216"/>
      <c r="K216"/>
      <c r="L216"/>
      <c r="M216"/>
      <c r="N216" t="b">
        <v>0</v>
      </c>
      <c r="O216" t="s">
        <v>4099</v>
      </c>
      <c r="P216">
        <v>4.3899999999999997</v>
      </c>
      <c r="Q216"/>
      <c r="R216">
        <v>4.3899999999999997</v>
      </c>
      <c r="S216">
        <v>33</v>
      </c>
      <c r="T216">
        <v>20</v>
      </c>
      <c r="U216">
        <v>22</v>
      </c>
      <c r="V216">
        <v>345</v>
      </c>
      <c r="W216" s="281">
        <v>41597</v>
      </c>
      <c r="X216" s="282"/>
      <c r="Z216" s="9" t="b">
        <f t="shared" si="43"/>
        <v>1</v>
      </c>
      <c r="AA216" s="9" t="str">
        <f t="shared" si="42"/>
        <v>11A</v>
      </c>
      <c r="AB216" s="196">
        <f t="shared" si="44"/>
        <v>4.3899999999999997</v>
      </c>
      <c r="AC216" s="9">
        <f>VLOOKUP(AA216,'Federal Standards'!$N$9:$P$50,2,FALSE)</f>
        <v>7.84</v>
      </c>
      <c r="AD216" s="44">
        <f>VLOOKUP(AA216,'Federal Standards'!$N$9:$P$50,3,FALSE)</f>
        <v>219.1</v>
      </c>
      <c r="AE216" s="44">
        <f t="shared" si="45"/>
        <v>253.51759999999999</v>
      </c>
      <c r="AF216" s="283">
        <f t="shared" si="46"/>
        <v>-91.482400000000013</v>
      </c>
      <c r="AG216" s="291">
        <f t="shared" si="55"/>
        <v>-0.36085226430038791</v>
      </c>
      <c r="AH216" s="184" t="str">
        <f t="shared" si="47"/>
        <v>NO</v>
      </c>
      <c r="AJ216" s="9" t="str">
        <f t="shared" si="48"/>
        <v>NO</v>
      </c>
      <c r="AK216" s="9" t="str">
        <f t="shared" si="49"/>
        <v>NO</v>
      </c>
      <c r="AL216" s="9" t="str">
        <f t="shared" si="50"/>
        <v>NO</v>
      </c>
      <c r="AM216" s="9" t="str">
        <f t="shared" si="51"/>
        <v>NO</v>
      </c>
      <c r="AN216" s="9" t="str">
        <f t="shared" si="52"/>
        <v>Doesn't meet Standard</v>
      </c>
      <c r="AO216" s="9" t="str">
        <f t="shared" si="53"/>
        <v>11A_Doesn't meet Standard</v>
      </c>
      <c r="AP216" s="9" t="str">
        <f t="shared" si="54"/>
        <v>11A_NO</v>
      </c>
    </row>
    <row r="217" spans="1:42">
      <c r="A217">
        <v>87080</v>
      </c>
      <c r="B217" t="s">
        <v>1638</v>
      </c>
      <c r="C217" t="s">
        <v>1638</v>
      </c>
      <c r="D217" t="s">
        <v>1250</v>
      </c>
      <c r="E217" t="s">
        <v>4109</v>
      </c>
      <c r="F217" t="s">
        <v>162</v>
      </c>
      <c r="G217" t="s">
        <v>4105</v>
      </c>
      <c r="H217"/>
      <c r="I217" t="s">
        <v>4170</v>
      </c>
      <c r="J217" t="b">
        <v>0</v>
      </c>
      <c r="K217" t="b">
        <v>0</v>
      </c>
      <c r="L217" t="b">
        <v>1</v>
      </c>
      <c r="M217" t="b">
        <v>0</v>
      </c>
      <c r="N217" t="b">
        <v>0</v>
      </c>
      <c r="O217" t="s">
        <v>4099</v>
      </c>
      <c r="P217">
        <v>19.54</v>
      </c>
      <c r="Q217">
        <v>9.17</v>
      </c>
      <c r="R217">
        <v>28.7</v>
      </c>
      <c r="S217">
        <v>69</v>
      </c>
      <c r="T217">
        <v>36</v>
      </c>
      <c r="U217">
        <v>34</v>
      </c>
      <c r="V217">
        <v>652</v>
      </c>
      <c r="W217" s="281">
        <v>41890</v>
      </c>
      <c r="X217" s="282"/>
      <c r="Z217" s="9" t="b">
        <f t="shared" si="43"/>
        <v>0</v>
      </c>
      <c r="AA217" s="9" t="str">
        <f t="shared" si="42"/>
        <v>5I</v>
      </c>
      <c r="AB217" s="196">
        <f t="shared" si="44"/>
        <v>35.679199999999994</v>
      </c>
      <c r="AC217" s="9">
        <f>VLOOKUP(AA217,'Federal Standards'!$N$9:$P$50,2,FALSE)</f>
        <v>8.85</v>
      </c>
      <c r="AD217" s="44">
        <f>VLOOKUP(AA217,'Federal Standards'!$N$9:$P$50,3,FALSE)</f>
        <v>401</v>
      </c>
      <c r="AE217" s="44">
        <f t="shared" si="45"/>
        <v>716.76091999999994</v>
      </c>
      <c r="AF217" s="283">
        <f t="shared" si="46"/>
        <v>64.760919999999942</v>
      </c>
      <c r="AG217" s="291">
        <f t="shared" si="55"/>
        <v>9.0352191634555004E-2</v>
      </c>
      <c r="AH217" s="184" t="str">
        <f t="shared" si="47"/>
        <v>YES</v>
      </c>
      <c r="AJ217" s="9" t="str">
        <f t="shared" si="48"/>
        <v>NO</v>
      </c>
      <c r="AK217" s="9" t="str">
        <f t="shared" si="49"/>
        <v>NO</v>
      </c>
      <c r="AL217" s="9" t="str">
        <f t="shared" si="50"/>
        <v>NO</v>
      </c>
      <c r="AM217" s="9" t="str">
        <f t="shared" si="51"/>
        <v>NO</v>
      </c>
      <c r="AN217" s="9" t="str">
        <f t="shared" si="52"/>
        <v>Less than 10% better than Standard</v>
      </c>
      <c r="AO217" s="9" t="str">
        <f t="shared" si="53"/>
        <v>5I_Less than 10% better than Standard</v>
      </c>
      <c r="AP217" s="9" t="str">
        <f t="shared" si="54"/>
        <v>5I_NO</v>
      </c>
    </row>
    <row r="218" spans="1:42">
      <c r="A218">
        <v>84836</v>
      </c>
      <c r="B218" t="s">
        <v>1638</v>
      </c>
      <c r="C218" t="s">
        <v>1638</v>
      </c>
      <c r="D218" t="s">
        <v>1256</v>
      </c>
      <c r="E218" t="s">
        <v>4108</v>
      </c>
      <c r="F218" t="s">
        <v>162</v>
      </c>
      <c r="G218" t="s">
        <v>4105</v>
      </c>
      <c r="H218"/>
      <c r="I218" t="s">
        <v>4098</v>
      </c>
      <c r="J218" t="b">
        <v>0</v>
      </c>
      <c r="K218" t="b">
        <v>0</v>
      </c>
      <c r="L218" t="b">
        <v>0</v>
      </c>
      <c r="M218"/>
      <c r="N218" t="b">
        <v>0</v>
      </c>
      <c r="O218" t="s">
        <v>4099</v>
      </c>
      <c r="P218">
        <v>11.55</v>
      </c>
      <c r="Q218">
        <v>3.98</v>
      </c>
      <c r="R218">
        <v>15.5</v>
      </c>
      <c r="S218">
        <v>65</v>
      </c>
      <c r="T218">
        <v>28</v>
      </c>
      <c r="U218">
        <v>30</v>
      </c>
      <c r="V218">
        <v>344</v>
      </c>
      <c r="W218" s="281">
        <v>41807</v>
      </c>
      <c r="X218" s="282"/>
      <c r="Z218" s="9" t="b">
        <f t="shared" si="43"/>
        <v>0</v>
      </c>
      <c r="AA218" s="9" t="str">
        <f t="shared" si="42"/>
        <v>3</v>
      </c>
      <c r="AB218" s="196">
        <f t="shared" si="44"/>
        <v>18.5548</v>
      </c>
      <c r="AC218" s="9">
        <f>VLOOKUP(AA218,'Federal Standards'!$N$9:$P$50,2,FALSE)</f>
        <v>8.07</v>
      </c>
      <c r="AD218" s="44">
        <f>VLOOKUP(AA218,'Federal Standards'!$N$9:$P$50,3,FALSE)</f>
        <v>233.7</v>
      </c>
      <c r="AE218" s="44">
        <f t="shared" si="45"/>
        <v>383.43723599999998</v>
      </c>
      <c r="AF218" s="283">
        <f t="shared" si="46"/>
        <v>39.437235999999984</v>
      </c>
      <c r="AG218" s="291">
        <f t="shared" si="55"/>
        <v>0.10285186804340511</v>
      </c>
      <c r="AH218" s="184" t="str">
        <f t="shared" si="47"/>
        <v>YES</v>
      </c>
      <c r="AJ218" s="9" t="str">
        <f t="shared" si="48"/>
        <v>YES</v>
      </c>
      <c r="AK218" s="9" t="str">
        <f t="shared" si="49"/>
        <v>YES</v>
      </c>
      <c r="AL218" s="9" t="str">
        <f t="shared" si="50"/>
        <v>NO</v>
      </c>
      <c r="AM218" s="9" t="str">
        <f t="shared" si="51"/>
        <v>NO</v>
      </c>
      <c r="AN218" s="9" t="str">
        <f t="shared" si="52"/>
        <v>Tier 1 - 10% to 15% better than Standard</v>
      </c>
      <c r="AO218" s="9" t="str">
        <f t="shared" si="53"/>
        <v>3_Tier 1 - 10% to 15% better than Standard</v>
      </c>
      <c r="AP218" s="9" t="str">
        <f t="shared" si="54"/>
        <v>3_YES</v>
      </c>
    </row>
    <row r="219" spans="1:42">
      <c r="A219">
        <v>84837</v>
      </c>
      <c r="B219" t="s">
        <v>1638</v>
      </c>
      <c r="C219" t="s">
        <v>1638</v>
      </c>
      <c r="D219" t="s">
        <v>4280</v>
      </c>
      <c r="E219" t="s">
        <v>4108</v>
      </c>
      <c r="F219" t="s">
        <v>162</v>
      </c>
      <c r="G219" t="s">
        <v>4105</v>
      </c>
      <c r="H219"/>
      <c r="I219" t="s">
        <v>4098</v>
      </c>
      <c r="J219" t="b">
        <v>0</v>
      </c>
      <c r="K219" t="b">
        <v>0</v>
      </c>
      <c r="L219" t="b">
        <v>0</v>
      </c>
      <c r="M219"/>
      <c r="N219" t="b">
        <v>0</v>
      </c>
      <c r="O219" t="s">
        <v>4099</v>
      </c>
      <c r="P219">
        <v>8.44</v>
      </c>
      <c r="Q219">
        <v>3.11</v>
      </c>
      <c r="R219">
        <v>11.6</v>
      </c>
      <c r="S219">
        <v>59</v>
      </c>
      <c r="T219">
        <v>24</v>
      </c>
      <c r="U219">
        <v>26</v>
      </c>
      <c r="V219">
        <v>345</v>
      </c>
      <c r="W219" s="281">
        <v>41807</v>
      </c>
      <c r="X219" s="282"/>
      <c r="Z219" s="9" t="b">
        <f t="shared" si="43"/>
        <v>0</v>
      </c>
      <c r="AA219" s="9" t="str">
        <f t="shared" si="42"/>
        <v>3</v>
      </c>
      <c r="AB219" s="196">
        <f t="shared" si="44"/>
        <v>13.913599999999999</v>
      </c>
      <c r="AC219" s="9">
        <f>VLOOKUP(AA219,'Federal Standards'!$N$9:$P$50,2,FALSE)</f>
        <v>8.07</v>
      </c>
      <c r="AD219" s="44">
        <f>VLOOKUP(AA219,'Federal Standards'!$N$9:$P$50,3,FALSE)</f>
        <v>233.7</v>
      </c>
      <c r="AE219" s="44">
        <f t="shared" si="45"/>
        <v>345.982752</v>
      </c>
      <c r="AF219" s="283">
        <f t="shared" si="46"/>
        <v>0.98275200000000495</v>
      </c>
      <c r="AG219" s="291">
        <f t="shared" si="55"/>
        <v>2.8404652957960312E-3</v>
      </c>
      <c r="AH219" s="184" t="str">
        <f t="shared" si="47"/>
        <v>YES</v>
      </c>
      <c r="AJ219" s="9" t="str">
        <f t="shared" si="48"/>
        <v>NO</v>
      </c>
      <c r="AK219" s="9" t="str">
        <f t="shared" si="49"/>
        <v>NO</v>
      </c>
      <c r="AL219" s="9" t="str">
        <f t="shared" si="50"/>
        <v>NO</v>
      </c>
      <c r="AM219" s="9" t="str">
        <f t="shared" si="51"/>
        <v>NO</v>
      </c>
      <c r="AN219" s="9" t="str">
        <f t="shared" si="52"/>
        <v>Less than 10% better than Standard</v>
      </c>
      <c r="AO219" s="9" t="str">
        <f t="shared" si="53"/>
        <v>3_Less than 10% better than Standard</v>
      </c>
      <c r="AP219" s="9" t="str">
        <f t="shared" si="54"/>
        <v>3_NO</v>
      </c>
    </row>
    <row r="220" spans="1:42">
      <c r="A220">
        <v>86812</v>
      </c>
      <c r="B220" t="s">
        <v>1638</v>
      </c>
      <c r="C220" t="s">
        <v>1638</v>
      </c>
      <c r="D220" t="s">
        <v>1259</v>
      </c>
      <c r="E220" t="s">
        <v>4179</v>
      </c>
      <c r="F220" t="s">
        <v>162</v>
      </c>
      <c r="G220" t="s">
        <v>4105</v>
      </c>
      <c r="H220"/>
      <c r="I220" t="s">
        <v>4098</v>
      </c>
      <c r="J220" t="b">
        <v>0</v>
      </c>
      <c r="K220" t="b">
        <v>0</v>
      </c>
      <c r="L220" t="b">
        <v>1</v>
      </c>
      <c r="M220" t="b">
        <v>1</v>
      </c>
      <c r="N220" t="b">
        <v>0</v>
      </c>
      <c r="O220" t="s">
        <v>4099</v>
      </c>
      <c r="P220">
        <v>14.99</v>
      </c>
      <c r="Q220">
        <v>6.85</v>
      </c>
      <c r="R220">
        <v>21.8</v>
      </c>
      <c r="S220">
        <v>68</v>
      </c>
      <c r="T220">
        <v>34</v>
      </c>
      <c r="U220">
        <v>32</v>
      </c>
      <c r="V220">
        <v>604</v>
      </c>
      <c r="W220" s="281">
        <v>41884</v>
      </c>
      <c r="X220" s="282"/>
      <c r="Z220" s="9" t="b">
        <f t="shared" si="43"/>
        <v>0</v>
      </c>
      <c r="AA220" s="9" t="str">
        <f t="shared" si="42"/>
        <v>7</v>
      </c>
      <c r="AB220" s="196">
        <f t="shared" si="44"/>
        <v>27.045999999999999</v>
      </c>
      <c r="AC220" s="9">
        <f>VLOOKUP(AA220,'Federal Standards'!$N$9:$P$50,2,FALSE)</f>
        <v>8.5399999999999991</v>
      </c>
      <c r="AD220" s="44">
        <f>VLOOKUP(AA220,'Federal Standards'!$N$9:$P$50,3,FALSE)</f>
        <v>432.8</v>
      </c>
      <c r="AE220" s="44">
        <f t="shared" si="45"/>
        <v>663.77283999999997</v>
      </c>
      <c r="AF220" s="283">
        <f t="shared" si="46"/>
        <v>59.772839999999974</v>
      </c>
      <c r="AG220" s="291">
        <f t="shared" si="55"/>
        <v>9.005014426320905E-2</v>
      </c>
      <c r="AH220" s="184" t="str">
        <f t="shared" si="47"/>
        <v>YES</v>
      </c>
      <c r="AJ220" s="9" t="str">
        <f t="shared" si="48"/>
        <v>NO</v>
      </c>
      <c r="AK220" s="9" t="str">
        <f t="shared" si="49"/>
        <v>NO</v>
      </c>
      <c r="AL220" s="9" t="str">
        <f t="shared" si="50"/>
        <v>NO</v>
      </c>
      <c r="AM220" s="9" t="str">
        <f t="shared" si="51"/>
        <v>NO</v>
      </c>
      <c r="AN220" s="9" t="str">
        <f t="shared" si="52"/>
        <v>Less than 10% better than Standard</v>
      </c>
      <c r="AO220" s="9" t="str">
        <f t="shared" si="53"/>
        <v>7_Less than 10% better than Standard</v>
      </c>
      <c r="AP220" s="9" t="str">
        <f t="shared" si="54"/>
        <v>7_NO</v>
      </c>
    </row>
    <row r="221" spans="1:42">
      <c r="A221">
        <v>86814</v>
      </c>
      <c r="B221" t="s">
        <v>1638</v>
      </c>
      <c r="C221" t="s">
        <v>1638</v>
      </c>
      <c r="D221" t="s">
        <v>1261</v>
      </c>
      <c r="E221" t="s">
        <v>4179</v>
      </c>
      <c r="F221" t="s">
        <v>162</v>
      </c>
      <c r="G221" t="s">
        <v>4105</v>
      </c>
      <c r="H221"/>
      <c r="I221" t="s">
        <v>4098</v>
      </c>
      <c r="J221" t="b">
        <v>0</v>
      </c>
      <c r="K221" t="b">
        <v>0</v>
      </c>
      <c r="L221" t="b">
        <v>1</v>
      </c>
      <c r="M221" t="b">
        <v>1</v>
      </c>
      <c r="N221" t="b">
        <v>0</v>
      </c>
      <c r="O221" t="s">
        <v>4099</v>
      </c>
      <c r="P221">
        <v>15.63</v>
      </c>
      <c r="Q221">
        <v>9.11</v>
      </c>
      <c r="R221">
        <v>24.7</v>
      </c>
      <c r="S221">
        <v>69</v>
      </c>
      <c r="T221">
        <v>36</v>
      </c>
      <c r="U221">
        <v>32</v>
      </c>
      <c r="V221">
        <v>640</v>
      </c>
      <c r="W221" s="281">
        <v>41884</v>
      </c>
      <c r="X221" s="282"/>
      <c r="Z221" s="9" t="b">
        <f t="shared" si="43"/>
        <v>0</v>
      </c>
      <c r="AA221" s="9" t="str">
        <f t="shared" si="42"/>
        <v>7</v>
      </c>
      <c r="AB221" s="196">
        <f t="shared" si="44"/>
        <v>31.663600000000002</v>
      </c>
      <c r="AC221" s="9">
        <f>VLOOKUP(AA221,'Federal Standards'!$N$9:$P$50,2,FALSE)</f>
        <v>8.5399999999999991</v>
      </c>
      <c r="AD221" s="44">
        <f>VLOOKUP(AA221,'Federal Standards'!$N$9:$P$50,3,FALSE)</f>
        <v>432.8</v>
      </c>
      <c r="AE221" s="44">
        <f t="shared" si="45"/>
        <v>703.20714399999997</v>
      </c>
      <c r="AF221" s="283">
        <f t="shared" si="46"/>
        <v>63.207143999999971</v>
      </c>
      <c r="AG221" s="291">
        <f t="shared" si="55"/>
        <v>8.9884103907795304E-2</v>
      </c>
      <c r="AH221" s="184" t="str">
        <f t="shared" si="47"/>
        <v>YES</v>
      </c>
      <c r="AJ221" s="9" t="str">
        <f t="shared" si="48"/>
        <v>NO</v>
      </c>
      <c r="AK221" s="9" t="str">
        <f t="shared" si="49"/>
        <v>NO</v>
      </c>
      <c r="AL221" s="9" t="str">
        <f t="shared" si="50"/>
        <v>NO</v>
      </c>
      <c r="AM221" s="9" t="str">
        <f t="shared" si="51"/>
        <v>NO</v>
      </c>
      <c r="AN221" s="9" t="str">
        <f t="shared" si="52"/>
        <v>Less than 10% better than Standard</v>
      </c>
      <c r="AO221" s="9" t="str">
        <f t="shared" si="53"/>
        <v>7_Less than 10% better than Standard</v>
      </c>
      <c r="AP221" s="9" t="str">
        <f t="shared" si="54"/>
        <v>7_NO</v>
      </c>
    </row>
    <row r="222" spans="1:42">
      <c r="A222">
        <v>86748</v>
      </c>
      <c r="B222" t="s">
        <v>1638</v>
      </c>
      <c r="C222" t="s">
        <v>1638</v>
      </c>
      <c r="D222" t="s">
        <v>1263</v>
      </c>
      <c r="E222" t="s">
        <v>4179</v>
      </c>
      <c r="F222" t="s">
        <v>162</v>
      </c>
      <c r="G222" t="s">
        <v>4105</v>
      </c>
      <c r="H222"/>
      <c r="I222" t="s">
        <v>4098</v>
      </c>
      <c r="J222" t="b">
        <v>0</v>
      </c>
      <c r="K222" t="b">
        <v>0</v>
      </c>
      <c r="L222" t="b">
        <v>1</v>
      </c>
      <c r="M222" t="b">
        <v>1</v>
      </c>
      <c r="N222" t="b">
        <v>0</v>
      </c>
      <c r="O222" t="s">
        <v>4099</v>
      </c>
      <c r="P222">
        <v>16.07</v>
      </c>
      <c r="Q222">
        <v>9.25</v>
      </c>
      <c r="R222">
        <v>25.3</v>
      </c>
      <c r="S222">
        <v>70</v>
      </c>
      <c r="T222">
        <v>36</v>
      </c>
      <c r="U222">
        <v>32</v>
      </c>
      <c r="V222">
        <v>645</v>
      </c>
      <c r="W222" s="281">
        <v>41884</v>
      </c>
      <c r="X222" s="282"/>
      <c r="Z222" s="9" t="b">
        <f t="shared" si="43"/>
        <v>0</v>
      </c>
      <c r="AA222" s="9" t="str">
        <f t="shared" si="42"/>
        <v>7</v>
      </c>
      <c r="AB222" s="196">
        <f t="shared" si="44"/>
        <v>32.35</v>
      </c>
      <c r="AC222" s="9">
        <f>VLOOKUP(AA222,'Federal Standards'!$N$9:$P$50,2,FALSE)</f>
        <v>8.5399999999999991</v>
      </c>
      <c r="AD222" s="44">
        <f>VLOOKUP(AA222,'Federal Standards'!$N$9:$P$50,3,FALSE)</f>
        <v>432.8</v>
      </c>
      <c r="AE222" s="44">
        <f t="shared" si="45"/>
        <v>709.06899999999996</v>
      </c>
      <c r="AF222" s="283">
        <f t="shared" si="46"/>
        <v>64.06899999999996</v>
      </c>
      <c r="AG222" s="291">
        <f t="shared" si="55"/>
        <v>9.0356509733185292E-2</v>
      </c>
      <c r="AH222" s="184" t="str">
        <f t="shared" si="47"/>
        <v>YES</v>
      </c>
      <c r="AJ222" s="9" t="str">
        <f t="shared" si="48"/>
        <v>NO</v>
      </c>
      <c r="AK222" s="9" t="str">
        <f t="shared" si="49"/>
        <v>NO</v>
      </c>
      <c r="AL222" s="9" t="str">
        <f t="shared" si="50"/>
        <v>NO</v>
      </c>
      <c r="AM222" s="9" t="str">
        <f t="shared" si="51"/>
        <v>NO</v>
      </c>
      <c r="AN222" s="9" t="str">
        <f t="shared" si="52"/>
        <v>Less than 10% better than Standard</v>
      </c>
      <c r="AO222" s="9" t="str">
        <f t="shared" si="53"/>
        <v>7_Less than 10% better than Standard</v>
      </c>
      <c r="AP222" s="9" t="str">
        <f t="shared" si="54"/>
        <v>7_NO</v>
      </c>
    </row>
    <row r="223" spans="1:42">
      <c r="A223">
        <v>86810</v>
      </c>
      <c r="B223" t="s">
        <v>1638</v>
      </c>
      <c r="C223" t="s">
        <v>1638</v>
      </c>
      <c r="D223" t="s">
        <v>4281</v>
      </c>
      <c r="E223" t="s">
        <v>4179</v>
      </c>
      <c r="F223" t="s">
        <v>162</v>
      </c>
      <c r="G223" t="s">
        <v>4105</v>
      </c>
      <c r="H223"/>
      <c r="I223" t="s">
        <v>4098</v>
      </c>
      <c r="J223" t="b">
        <v>0</v>
      </c>
      <c r="K223" t="b">
        <v>0</v>
      </c>
      <c r="L223" t="b">
        <v>1</v>
      </c>
      <c r="M223" t="b">
        <v>1</v>
      </c>
      <c r="N223" t="b">
        <v>0</v>
      </c>
      <c r="O223" t="s">
        <v>4099</v>
      </c>
      <c r="P223">
        <v>13</v>
      </c>
      <c r="Q223">
        <v>6.85</v>
      </c>
      <c r="R223">
        <v>19.899999999999999</v>
      </c>
      <c r="S223">
        <v>68</v>
      </c>
      <c r="T223">
        <v>34</v>
      </c>
      <c r="U223">
        <v>34</v>
      </c>
      <c r="V223">
        <v>646</v>
      </c>
      <c r="W223" s="281">
        <v>41884</v>
      </c>
      <c r="X223" s="282"/>
      <c r="Z223" s="9" t="b">
        <f t="shared" si="43"/>
        <v>0</v>
      </c>
      <c r="AA223" s="9" t="str">
        <f t="shared" si="42"/>
        <v>7</v>
      </c>
      <c r="AB223" s="196">
        <f t="shared" si="44"/>
        <v>25.055999999999997</v>
      </c>
      <c r="AC223" s="9">
        <f>VLOOKUP(AA223,'Federal Standards'!$N$9:$P$50,2,FALSE)</f>
        <v>8.5399999999999991</v>
      </c>
      <c r="AD223" s="44">
        <f>VLOOKUP(AA223,'Federal Standards'!$N$9:$P$50,3,FALSE)</f>
        <v>432.8</v>
      </c>
      <c r="AE223" s="44">
        <f t="shared" si="45"/>
        <v>646.77823999999998</v>
      </c>
      <c r="AF223" s="283">
        <f t="shared" si="46"/>
        <v>0.7782399999999825</v>
      </c>
      <c r="AG223" s="291">
        <f t="shared" si="55"/>
        <v>1.2032563123953932E-3</v>
      </c>
      <c r="AH223" s="184" t="str">
        <f t="shared" si="47"/>
        <v>YES</v>
      </c>
      <c r="AJ223" s="9" t="str">
        <f t="shared" si="48"/>
        <v>NO</v>
      </c>
      <c r="AK223" s="9" t="str">
        <f t="shared" si="49"/>
        <v>NO</v>
      </c>
      <c r="AL223" s="9" t="str">
        <f t="shared" si="50"/>
        <v>NO</v>
      </c>
      <c r="AM223" s="9" t="str">
        <f t="shared" si="51"/>
        <v>NO</v>
      </c>
      <c r="AN223" s="9" t="str">
        <f t="shared" si="52"/>
        <v>Less than 10% better than Standard</v>
      </c>
      <c r="AO223" s="9" t="str">
        <f t="shared" si="53"/>
        <v>7_Less than 10% better than Standard</v>
      </c>
      <c r="AP223" s="9" t="str">
        <f t="shared" si="54"/>
        <v>7_NO</v>
      </c>
    </row>
    <row r="224" spans="1:42">
      <c r="A224">
        <v>86753</v>
      </c>
      <c r="B224" t="s">
        <v>1638</v>
      </c>
      <c r="C224" t="s">
        <v>1638</v>
      </c>
      <c r="D224" t="s">
        <v>4282</v>
      </c>
      <c r="E224" t="s">
        <v>4179</v>
      </c>
      <c r="F224" t="s">
        <v>162</v>
      </c>
      <c r="G224" t="s">
        <v>4105</v>
      </c>
      <c r="H224"/>
      <c r="I224" t="s">
        <v>4098</v>
      </c>
      <c r="J224" t="b">
        <v>0</v>
      </c>
      <c r="K224" t="b">
        <v>0</v>
      </c>
      <c r="L224" t="b">
        <v>1</v>
      </c>
      <c r="M224" t="b">
        <v>1</v>
      </c>
      <c r="N224" t="b">
        <v>0</v>
      </c>
      <c r="O224" t="s">
        <v>4099</v>
      </c>
      <c r="P224">
        <v>16.23</v>
      </c>
      <c r="Q224">
        <v>6.94</v>
      </c>
      <c r="R224">
        <v>23.2</v>
      </c>
      <c r="S224">
        <v>70</v>
      </c>
      <c r="T224">
        <v>33</v>
      </c>
      <c r="U224">
        <v>32</v>
      </c>
      <c r="V224">
        <v>675</v>
      </c>
      <c r="W224" s="281">
        <v>41884</v>
      </c>
      <c r="X224" s="282"/>
      <c r="Z224" s="9" t="b">
        <f t="shared" si="43"/>
        <v>0</v>
      </c>
      <c r="AA224" s="9" t="str">
        <f t="shared" si="42"/>
        <v>7</v>
      </c>
      <c r="AB224" s="196">
        <f t="shared" si="44"/>
        <v>28.444400000000002</v>
      </c>
      <c r="AC224" s="9">
        <f>VLOOKUP(AA224,'Federal Standards'!$N$9:$P$50,2,FALSE)</f>
        <v>8.5399999999999991</v>
      </c>
      <c r="AD224" s="44">
        <f>VLOOKUP(AA224,'Federal Standards'!$N$9:$P$50,3,FALSE)</f>
        <v>432.8</v>
      </c>
      <c r="AE224" s="44">
        <f t="shared" si="45"/>
        <v>675.71517600000004</v>
      </c>
      <c r="AF224" s="283">
        <f t="shared" si="46"/>
        <v>0.71517600000004222</v>
      </c>
      <c r="AG224" s="291">
        <f t="shared" si="55"/>
        <v>1.058398605509553E-3</v>
      </c>
      <c r="AH224" s="184" t="str">
        <f t="shared" si="47"/>
        <v>YES</v>
      </c>
      <c r="AJ224" s="9" t="str">
        <f t="shared" si="48"/>
        <v>NO</v>
      </c>
      <c r="AK224" s="9" t="str">
        <f t="shared" si="49"/>
        <v>NO</v>
      </c>
      <c r="AL224" s="9" t="str">
        <f t="shared" si="50"/>
        <v>NO</v>
      </c>
      <c r="AM224" s="9" t="str">
        <f t="shared" si="51"/>
        <v>NO</v>
      </c>
      <c r="AN224" s="9" t="str">
        <f t="shared" si="52"/>
        <v>Less than 10% better than Standard</v>
      </c>
      <c r="AO224" s="9" t="str">
        <f t="shared" si="53"/>
        <v>7_Less than 10% better than Standard</v>
      </c>
      <c r="AP224" s="9" t="str">
        <f t="shared" si="54"/>
        <v>7_NO</v>
      </c>
    </row>
    <row r="225" spans="1:42">
      <c r="A225">
        <v>86816</v>
      </c>
      <c r="B225" t="s">
        <v>1638</v>
      </c>
      <c r="C225" t="s">
        <v>1638</v>
      </c>
      <c r="D225" t="s">
        <v>4283</v>
      </c>
      <c r="E225" t="s">
        <v>4179</v>
      </c>
      <c r="F225" t="s">
        <v>162</v>
      </c>
      <c r="G225" t="s">
        <v>4105</v>
      </c>
      <c r="H225"/>
      <c r="I225" t="s">
        <v>4098</v>
      </c>
      <c r="J225" t="b">
        <v>0</v>
      </c>
      <c r="K225" t="b">
        <v>0</v>
      </c>
      <c r="L225" t="b">
        <v>1</v>
      </c>
      <c r="M225" t="b">
        <v>1</v>
      </c>
      <c r="N225" t="b">
        <v>0</v>
      </c>
      <c r="O225" t="s">
        <v>4099</v>
      </c>
      <c r="P225">
        <v>15.63</v>
      </c>
      <c r="Q225">
        <v>9.11</v>
      </c>
      <c r="R225">
        <v>24.7</v>
      </c>
      <c r="S225">
        <v>69</v>
      </c>
      <c r="T225">
        <v>36</v>
      </c>
      <c r="U225">
        <v>32</v>
      </c>
      <c r="V225">
        <v>702</v>
      </c>
      <c r="W225" s="281">
        <v>41884</v>
      </c>
      <c r="X225" s="282"/>
      <c r="Z225" s="9" t="b">
        <f t="shared" si="43"/>
        <v>0</v>
      </c>
      <c r="AA225" s="9" t="str">
        <f t="shared" si="42"/>
        <v>7</v>
      </c>
      <c r="AB225" s="196">
        <f t="shared" si="44"/>
        <v>31.663600000000002</v>
      </c>
      <c r="AC225" s="9">
        <f>VLOOKUP(AA225,'Federal Standards'!$N$9:$P$50,2,FALSE)</f>
        <v>8.5399999999999991</v>
      </c>
      <c r="AD225" s="44">
        <f>VLOOKUP(AA225,'Federal Standards'!$N$9:$P$50,3,FALSE)</f>
        <v>432.8</v>
      </c>
      <c r="AE225" s="44">
        <f t="shared" si="45"/>
        <v>703.20714399999997</v>
      </c>
      <c r="AF225" s="283">
        <f t="shared" si="46"/>
        <v>1.2071439999999711</v>
      </c>
      <c r="AG225" s="291">
        <f t="shared" si="55"/>
        <v>1.716626473862972E-3</v>
      </c>
      <c r="AH225" s="184" t="str">
        <f t="shared" si="47"/>
        <v>YES</v>
      </c>
      <c r="AJ225" s="9" t="str">
        <f t="shared" si="48"/>
        <v>NO</v>
      </c>
      <c r="AK225" s="9" t="str">
        <f t="shared" si="49"/>
        <v>NO</v>
      </c>
      <c r="AL225" s="9" t="str">
        <f t="shared" si="50"/>
        <v>NO</v>
      </c>
      <c r="AM225" s="9" t="str">
        <f t="shared" si="51"/>
        <v>NO</v>
      </c>
      <c r="AN225" s="9" t="str">
        <f t="shared" si="52"/>
        <v>Less than 10% better than Standard</v>
      </c>
      <c r="AO225" s="9" t="str">
        <f t="shared" si="53"/>
        <v>7_Less than 10% better than Standard</v>
      </c>
      <c r="AP225" s="9" t="str">
        <f t="shared" si="54"/>
        <v>7_NO</v>
      </c>
    </row>
    <row r="226" spans="1:42">
      <c r="A226">
        <v>86756</v>
      </c>
      <c r="B226" t="s">
        <v>1638</v>
      </c>
      <c r="C226" t="s">
        <v>1638</v>
      </c>
      <c r="D226" t="s">
        <v>4284</v>
      </c>
      <c r="E226" t="s">
        <v>4179</v>
      </c>
      <c r="F226" t="s">
        <v>162</v>
      </c>
      <c r="G226" t="s">
        <v>4105</v>
      </c>
      <c r="H226"/>
      <c r="I226" t="s">
        <v>4098</v>
      </c>
      <c r="J226" t="b">
        <v>0</v>
      </c>
      <c r="K226" t="b">
        <v>0</v>
      </c>
      <c r="L226" t="b">
        <v>1</v>
      </c>
      <c r="M226" t="b">
        <v>1</v>
      </c>
      <c r="N226" t="b">
        <v>0</v>
      </c>
      <c r="O226" t="s">
        <v>4099</v>
      </c>
      <c r="P226">
        <v>16.07</v>
      </c>
      <c r="Q226">
        <v>9.25</v>
      </c>
      <c r="R226">
        <v>25.3</v>
      </c>
      <c r="S226">
        <v>70</v>
      </c>
      <c r="T226">
        <v>36</v>
      </c>
      <c r="U226">
        <v>32</v>
      </c>
      <c r="V226">
        <v>708</v>
      </c>
      <c r="W226" s="281">
        <v>41884</v>
      </c>
      <c r="X226" s="282"/>
      <c r="Z226" s="9" t="b">
        <f t="shared" si="43"/>
        <v>0</v>
      </c>
      <c r="AA226" s="9" t="str">
        <f t="shared" si="42"/>
        <v>7</v>
      </c>
      <c r="AB226" s="196">
        <f t="shared" si="44"/>
        <v>32.35</v>
      </c>
      <c r="AC226" s="9">
        <f>VLOOKUP(AA226,'Federal Standards'!$N$9:$P$50,2,FALSE)</f>
        <v>8.5399999999999991</v>
      </c>
      <c r="AD226" s="44">
        <f>VLOOKUP(AA226,'Federal Standards'!$N$9:$P$50,3,FALSE)</f>
        <v>432.8</v>
      </c>
      <c r="AE226" s="44">
        <f t="shared" si="45"/>
        <v>709.06899999999996</v>
      </c>
      <c r="AF226" s="283">
        <f t="shared" si="46"/>
        <v>1.06899999999996</v>
      </c>
      <c r="AG226" s="291">
        <f t="shared" si="55"/>
        <v>1.5076106838685093E-3</v>
      </c>
      <c r="AH226" s="184" t="str">
        <f t="shared" si="47"/>
        <v>YES</v>
      </c>
      <c r="AJ226" s="9" t="str">
        <f t="shared" si="48"/>
        <v>NO</v>
      </c>
      <c r="AK226" s="9" t="str">
        <f t="shared" si="49"/>
        <v>NO</v>
      </c>
      <c r="AL226" s="9" t="str">
        <f t="shared" si="50"/>
        <v>NO</v>
      </c>
      <c r="AM226" s="9" t="str">
        <f t="shared" si="51"/>
        <v>NO</v>
      </c>
      <c r="AN226" s="9" t="str">
        <f t="shared" si="52"/>
        <v>Less than 10% better than Standard</v>
      </c>
      <c r="AO226" s="9" t="str">
        <f t="shared" si="53"/>
        <v>7_Less than 10% better than Standard</v>
      </c>
      <c r="AP226" s="9" t="str">
        <f t="shared" si="54"/>
        <v>7_NO</v>
      </c>
    </row>
    <row r="227" spans="1:42">
      <c r="A227">
        <v>84839</v>
      </c>
      <c r="B227" t="s">
        <v>1638</v>
      </c>
      <c r="C227" t="s">
        <v>1638</v>
      </c>
      <c r="D227" t="s">
        <v>1273</v>
      </c>
      <c r="E227" t="s">
        <v>4108</v>
      </c>
      <c r="F227" t="s">
        <v>162</v>
      </c>
      <c r="G227" t="s">
        <v>4105</v>
      </c>
      <c r="H227"/>
      <c r="I227" t="s">
        <v>4098</v>
      </c>
      <c r="J227" t="b">
        <v>0</v>
      </c>
      <c r="K227" t="b">
        <v>0</v>
      </c>
      <c r="L227" t="b">
        <v>0</v>
      </c>
      <c r="M227"/>
      <c r="N227" t="b">
        <v>0</v>
      </c>
      <c r="O227" t="s">
        <v>4099</v>
      </c>
      <c r="P227">
        <v>10.6</v>
      </c>
      <c r="Q227">
        <v>3.98</v>
      </c>
      <c r="R227">
        <v>14.6</v>
      </c>
      <c r="S227">
        <v>62</v>
      </c>
      <c r="T227">
        <v>28</v>
      </c>
      <c r="U227">
        <v>30</v>
      </c>
      <c r="V227">
        <v>337</v>
      </c>
      <c r="W227" s="281">
        <v>41807</v>
      </c>
      <c r="X227" s="282"/>
      <c r="Z227" s="9" t="b">
        <f t="shared" si="43"/>
        <v>0</v>
      </c>
      <c r="AA227" s="9" t="str">
        <f t="shared" si="42"/>
        <v>3</v>
      </c>
      <c r="AB227" s="196">
        <f t="shared" si="44"/>
        <v>17.604800000000001</v>
      </c>
      <c r="AC227" s="9">
        <f>VLOOKUP(AA227,'Federal Standards'!$N$9:$P$50,2,FALSE)</f>
        <v>8.07</v>
      </c>
      <c r="AD227" s="44">
        <f>VLOOKUP(AA227,'Federal Standards'!$N$9:$P$50,3,FALSE)</f>
        <v>233.7</v>
      </c>
      <c r="AE227" s="44">
        <f t="shared" si="45"/>
        <v>375.770736</v>
      </c>
      <c r="AF227" s="283">
        <f t="shared" si="46"/>
        <v>38.770735999999999</v>
      </c>
      <c r="AG227" s="291">
        <f t="shared" si="55"/>
        <v>0.10317657093978708</v>
      </c>
      <c r="AH227" s="184" t="str">
        <f t="shared" si="47"/>
        <v>YES</v>
      </c>
      <c r="AJ227" s="9" t="str">
        <f t="shared" si="48"/>
        <v>YES</v>
      </c>
      <c r="AK227" s="9" t="str">
        <f t="shared" si="49"/>
        <v>YES</v>
      </c>
      <c r="AL227" s="9" t="str">
        <f t="shared" si="50"/>
        <v>NO</v>
      </c>
      <c r="AM227" s="9" t="str">
        <f t="shared" si="51"/>
        <v>NO</v>
      </c>
      <c r="AN227" s="9" t="str">
        <f t="shared" si="52"/>
        <v>Tier 1 - 10% to 15% better than Standard</v>
      </c>
      <c r="AO227" s="9" t="str">
        <f t="shared" si="53"/>
        <v>3_Tier 1 - 10% to 15% better than Standard</v>
      </c>
      <c r="AP227" s="9" t="str">
        <f t="shared" si="54"/>
        <v>3_YES</v>
      </c>
    </row>
    <row r="228" spans="1:42">
      <c r="A228">
        <v>86799</v>
      </c>
      <c r="B228" t="s">
        <v>1638</v>
      </c>
      <c r="C228" t="s">
        <v>1638</v>
      </c>
      <c r="D228" t="s">
        <v>4285</v>
      </c>
      <c r="E228" t="s">
        <v>4108</v>
      </c>
      <c r="F228" t="s">
        <v>162</v>
      </c>
      <c r="G228" t="s">
        <v>4105</v>
      </c>
      <c r="H228"/>
      <c r="I228" t="s">
        <v>4098</v>
      </c>
      <c r="J228" t="b">
        <v>0</v>
      </c>
      <c r="K228" t="b">
        <v>0</v>
      </c>
      <c r="L228" t="b">
        <v>0</v>
      </c>
      <c r="M228"/>
      <c r="N228" t="b">
        <v>0</v>
      </c>
      <c r="O228" t="s">
        <v>4099</v>
      </c>
      <c r="P228">
        <v>13.51</v>
      </c>
      <c r="Q228">
        <v>4.0199999999999996</v>
      </c>
      <c r="R228">
        <v>17.5</v>
      </c>
      <c r="S228">
        <v>67</v>
      </c>
      <c r="T228">
        <v>28</v>
      </c>
      <c r="U228">
        <v>31</v>
      </c>
      <c r="V228">
        <v>358</v>
      </c>
      <c r="W228" s="281">
        <v>41884</v>
      </c>
      <c r="X228" s="282"/>
      <c r="Z228" s="9" t="b">
        <f t="shared" si="43"/>
        <v>0</v>
      </c>
      <c r="AA228" s="9" t="str">
        <f t="shared" si="42"/>
        <v>3</v>
      </c>
      <c r="AB228" s="196">
        <f t="shared" si="44"/>
        <v>20.5852</v>
      </c>
      <c r="AC228" s="9">
        <f>VLOOKUP(AA228,'Federal Standards'!$N$9:$P$50,2,FALSE)</f>
        <v>8.07</v>
      </c>
      <c r="AD228" s="44">
        <f>VLOOKUP(AA228,'Federal Standards'!$N$9:$P$50,3,FALSE)</f>
        <v>233.7</v>
      </c>
      <c r="AE228" s="44">
        <f t="shared" si="45"/>
        <v>399.822564</v>
      </c>
      <c r="AF228" s="283">
        <f t="shared" si="46"/>
        <v>41.822564</v>
      </c>
      <c r="AG228" s="291">
        <f t="shared" si="55"/>
        <v>0.10460281076082539</v>
      </c>
      <c r="AH228" s="184" t="str">
        <f t="shared" si="47"/>
        <v>YES</v>
      </c>
      <c r="AJ228" s="9" t="str">
        <f t="shared" si="48"/>
        <v>YES</v>
      </c>
      <c r="AK228" s="9" t="str">
        <f t="shared" si="49"/>
        <v>YES</v>
      </c>
      <c r="AL228" s="9" t="str">
        <f t="shared" si="50"/>
        <v>NO</v>
      </c>
      <c r="AM228" s="9" t="str">
        <f t="shared" si="51"/>
        <v>NO</v>
      </c>
      <c r="AN228" s="9" t="str">
        <f t="shared" si="52"/>
        <v>Tier 1 - 10% to 15% better than Standard</v>
      </c>
      <c r="AO228" s="9" t="str">
        <f t="shared" si="53"/>
        <v>3_Tier 1 - 10% to 15% better than Standard</v>
      </c>
      <c r="AP228" s="9" t="str">
        <f t="shared" si="54"/>
        <v>3_YES</v>
      </c>
    </row>
    <row r="229" spans="1:42">
      <c r="A229">
        <v>86806</v>
      </c>
      <c r="B229" t="s">
        <v>1638</v>
      </c>
      <c r="C229" t="s">
        <v>1638</v>
      </c>
      <c r="D229" t="s">
        <v>4286</v>
      </c>
      <c r="E229" t="s">
        <v>4108</v>
      </c>
      <c r="F229" t="s">
        <v>162</v>
      </c>
      <c r="G229" t="s">
        <v>4105</v>
      </c>
      <c r="H229"/>
      <c r="I229" t="s">
        <v>4098</v>
      </c>
      <c r="J229" t="b">
        <v>0</v>
      </c>
      <c r="K229" t="b">
        <v>0</v>
      </c>
      <c r="L229" t="b">
        <v>0</v>
      </c>
      <c r="M229"/>
      <c r="N229" t="b">
        <v>0</v>
      </c>
      <c r="O229" t="s">
        <v>4099</v>
      </c>
      <c r="P229">
        <v>13.05</v>
      </c>
      <c r="Q229">
        <v>5.13</v>
      </c>
      <c r="R229">
        <v>18.2</v>
      </c>
      <c r="S229">
        <v>67</v>
      </c>
      <c r="T229">
        <v>30</v>
      </c>
      <c r="U229">
        <v>33</v>
      </c>
      <c r="V229">
        <v>369</v>
      </c>
      <c r="W229" s="281">
        <v>41884</v>
      </c>
      <c r="X229" s="282"/>
      <c r="Z229" s="9" t="b">
        <f t="shared" si="43"/>
        <v>0</v>
      </c>
      <c r="AA229" s="9" t="str">
        <f t="shared" ref="AA229:AA292" si="56">GetFridgeClass(E229,F229,G229,J229,Z229,L229,M229)</f>
        <v>3</v>
      </c>
      <c r="AB229" s="196">
        <f t="shared" si="44"/>
        <v>22.078800000000001</v>
      </c>
      <c r="AC229" s="9">
        <f>VLOOKUP(AA229,'Federal Standards'!$N$9:$P$50,2,FALSE)</f>
        <v>8.07</v>
      </c>
      <c r="AD229" s="44">
        <f>VLOOKUP(AA229,'Federal Standards'!$N$9:$P$50,3,FALSE)</f>
        <v>233.7</v>
      </c>
      <c r="AE229" s="44">
        <f t="shared" si="45"/>
        <v>411.87591600000002</v>
      </c>
      <c r="AF229" s="283">
        <f t="shared" si="46"/>
        <v>42.875916000000018</v>
      </c>
      <c r="AG229" s="291">
        <f t="shared" si="55"/>
        <v>0.10409910930553176</v>
      </c>
      <c r="AH229" s="184" t="str">
        <f t="shared" si="47"/>
        <v>YES</v>
      </c>
      <c r="AJ229" s="9" t="str">
        <f t="shared" si="48"/>
        <v>YES</v>
      </c>
      <c r="AK229" s="9" t="str">
        <f t="shared" si="49"/>
        <v>YES</v>
      </c>
      <c r="AL229" s="9" t="str">
        <f t="shared" si="50"/>
        <v>NO</v>
      </c>
      <c r="AM229" s="9" t="str">
        <f t="shared" si="51"/>
        <v>NO</v>
      </c>
      <c r="AN229" s="9" t="str">
        <f t="shared" si="52"/>
        <v>Tier 1 - 10% to 15% better than Standard</v>
      </c>
      <c r="AO229" s="9" t="str">
        <f t="shared" si="53"/>
        <v>3_Tier 1 - 10% to 15% better than Standard</v>
      </c>
      <c r="AP229" s="9" t="str">
        <f t="shared" si="54"/>
        <v>3_YES</v>
      </c>
    </row>
    <row r="230" spans="1:42">
      <c r="A230">
        <v>84842</v>
      </c>
      <c r="B230" t="s">
        <v>1638</v>
      </c>
      <c r="C230" t="s">
        <v>1638</v>
      </c>
      <c r="D230" t="s">
        <v>4287</v>
      </c>
      <c r="E230" t="s">
        <v>4108</v>
      </c>
      <c r="F230" t="s">
        <v>162</v>
      </c>
      <c r="G230" t="s">
        <v>4105</v>
      </c>
      <c r="H230"/>
      <c r="I230" t="s">
        <v>4098</v>
      </c>
      <c r="J230" t="b">
        <v>0</v>
      </c>
      <c r="K230" t="b">
        <v>0</v>
      </c>
      <c r="L230" t="b">
        <v>0</v>
      </c>
      <c r="M230"/>
      <c r="N230" t="b">
        <v>0</v>
      </c>
      <c r="O230" t="s">
        <v>4099</v>
      </c>
      <c r="P230">
        <v>10.6</v>
      </c>
      <c r="Q230">
        <v>3.98</v>
      </c>
      <c r="R230">
        <v>14.6</v>
      </c>
      <c r="S230">
        <v>62</v>
      </c>
      <c r="T230">
        <v>28</v>
      </c>
      <c r="U230">
        <v>30</v>
      </c>
      <c r="V230">
        <v>375</v>
      </c>
      <c r="W230" s="281">
        <v>41807</v>
      </c>
      <c r="X230" s="282"/>
      <c r="Z230" s="9" t="b">
        <f t="shared" si="43"/>
        <v>0</v>
      </c>
      <c r="AA230" s="9" t="str">
        <f t="shared" si="56"/>
        <v>3</v>
      </c>
      <c r="AB230" s="196">
        <f t="shared" si="44"/>
        <v>17.604800000000001</v>
      </c>
      <c r="AC230" s="9">
        <f>VLOOKUP(AA230,'Federal Standards'!$N$9:$P$50,2,FALSE)</f>
        <v>8.07</v>
      </c>
      <c r="AD230" s="44">
        <f>VLOOKUP(AA230,'Federal Standards'!$N$9:$P$50,3,FALSE)</f>
        <v>233.7</v>
      </c>
      <c r="AE230" s="44">
        <f t="shared" si="45"/>
        <v>375.770736</v>
      </c>
      <c r="AF230" s="283">
        <f t="shared" si="46"/>
        <v>0.77073599999999942</v>
      </c>
      <c r="AG230" s="291">
        <f t="shared" si="55"/>
        <v>2.0510804226117263E-3</v>
      </c>
      <c r="AH230" s="184" t="str">
        <f t="shared" si="47"/>
        <v>YES</v>
      </c>
      <c r="AJ230" s="9" t="str">
        <f t="shared" si="48"/>
        <v>NO</v>
      </c>
      <c r="AK230" s="9" t="str">
        <f t="shared" si="49"/>
        <v>NO</v>
      </c>
      <c r="AL230" s="9" t="str">
        <f t="shared" si="50"/>
        <v>NO</v>
      </c>
      <c r="AM230" s="9" t="str">
        <f t="shared" si="51"/>
        <v>NO</v>
      </c>
      <c r="AN230" s="9" t="str">
        <f t="shared" si="52"/>
        <v>Less than 10% better than Standard</v>
      </c>
      <c r="AO230" s="9" t="str">
        <f t="shared" si="53"/>
        <v>3_Less than 10% better than Standard</v>
      </c>
      <c r="AP230" s="9" t="str">
        <f t="shared" si="54"/>
        <v>3_NO</v>
      </c>
    </row>
    <row r="231" spans="1:42">
      <c r="A231">
        <v>84843</v>
      </c>
      <c r="B231" t="s">
        <v>1638</v>
      </c>
      <c r="C231" t="s">
        <v>1638</v>
      </c>
      <c r="D231" t="s">
        <v>4288</v>
      </c>
      <c r="E231" t="s">
        <v>4108</v>
      </c>
      <c r="F231" t="s">
        <v>162</v>
      </c>
      <c r="G231" t="s">
        <v>4105</v>
      </c>
      <c r="H231"/>
      <c r="I231" t="s">
        <v>4098</v>
      </c>
      <c r="J231" t="b">
        <v>0</v>
      </c>
      <c r="K231" t="b">
        <v>0</v>
      </c>
      <c r="L231" t="b">
        <v>0</v>
      </c>
      <c r="M231"/>
      <c r="N231" t="b">
        <v>0</v>
      </c>
      <c r="O231" t="s">
        <v>4099</v>
      </c>
      <c r="P231">
        <v>11.55</v>
      </c>
      <c r="Q231">
        <v>3.98</v>
      </c>
      <c r="R231">
        <v>15.5</v>
      </c>
      <c r="S231">
        <v>65</v>
      </c>
      <c r="T231">
        <v>28</v>
      </c>
      <c r="U231">
        <v>30</v>
      </c>
      <c r="V231">
        <v>382</v>
      </c>
      <c r="W231" s="281">
        <v>41807</v>
      </c>
      <c r="X231" s="282"/>
      <c r="Z231" s="9" t="b">
        <f t="shared" si="43"/>
        <v>0</v>
      </c>
      <c r="AA231" s="9" t="str">
        <f t="shared" si="56"/>
        <v>3</v>
      </c>
      <c r="AB231" s="196">
        <f t="shared" si="44"/>
        <v>18.5548</v>
      </c>
      <c r="AC231" s="9">
        <f>VLOOKUP(AA231,'Federal Standards'!$N$9:$P$50,2,FALSE)</f>
        <v>8.07</v>
      </c>
      <c r="AD231" s="44">
        <f>VLOOKUP(AA231,'Federal Standards'!$N$9:$P$50,3,FALSE)</f>
        <v>233.7</v>
      </c>
      <c r="AE231" s="44">
        <f t="shared" si="45"/>
        <v>383.43723599999998</v>
      </c>
      <c r="AF231" s="283">
        <f t="shared" si="46"/>
        <v>1.4372359999999844</v>
      </c>
      <c r="AG231" s="291">
        <f t="shared" si="55"/>
        <v>3.7482953272696354E-3</v>
      </c>
      <c r="AH231" s="184" t="str">
        <f t="shared" si="47"/>
        <v>YES</v>
      </c>
      <c r="AJ231" s="9" t="str">
        <f t="shared" si="48"/>
        <v>NO</v>
      </c>
      <c r="AK231" s="9" t="str">
        <f t="shared" si="49"/>
        <v>NO</v>
      </c>
      <c r="AL231" s="9" t="str">
        <f t="shared" si="50"/>
        <v>NO</v>
      </c>
      <c r="AM231" s="9" t="str">
        <f t="shared" si="51"/>
        <v>NO</v>
      </c>
      <c r="AN231" s="9" t="str">
        <f t="shared" si="52"/>
        <v>Less than 10% better than Standard</v>
      </c>
      <c r="AO231" s="9" t="str">
        <f t="shared" si="53"/>
        <v>3_Less than 10% better than Standard</v>
      </c>
      <c r="AP231" s="9" t="str">
        <f t="shared" si="54"/>
        <v>3_NO</v>
      </c>
    </row>
    <row r="232" spans="1:42">
      <c r="A232">
        <v>86787</v>
      </c>
      <c r="B232" t="s">
        <v>1638</v>
      </c>
      <c r="C232" t="s">
        <v>1638</v>
      </c>
      <c r="D232" t="s">
        <v>4289</v>
      </c>
      <c r="E232" t="s">
        <v>4108</v>
      </c>
      <c r="F232" t="s">
        <v>162</v>
      </c>
      <c r="G232" t="s">
        <v>4105</v>
      </c>
      <c r="H232"/>
      <c r="I232" t="s">
        <v>4098</v>
      </c>
      <c r="J232" t="b">
        <v>0</v>
      </c>
      <c r="K232" t="b">
        <v>0</v>
      </c>
      <c r="L232" t="b">
        <v>0</v>
      </c>
      <c r="M232"/>
      <c r="N232" t="b">
        <v>0</v>
      </c>
      <c r="O232" t="s">
        <v>4099</v>
      </c>
      <c r="P232">
        <v>13.51</v>
      </c>
      <c r="Q232">
        <v>4.0199999999999996</v>
      </c>
      <c r="R232">
        <v>17.5</v>
      </c>
      <c r="S232">
        <v>67</v>
      </c>
      <c r="T232">
        <v>28</v>
      </c>
      <c r="U232">
        <v>31</v>
      </c>
      <c r="V232">
        <v>399</v>
      </c>
      <c r="W232" s="281">
        <v>41884</v>
      </c>
      <c r="X232" s="282"/>
      <c r="Z232" s="9" t="b">
        <f t="shared" si="43"/>
        <v>0</v>
      </c>
      <c r="AA232" s="9" t="str">
        <f t="shared" si="56"/>
        <v>3</v>
      </c>
      <c r="AB232" s="196">
        <f t="shared" si="44"/>
        <v>20.5852</v>
      </c>
      <c r="AC232" s="9">
        <f>VLOOKUP(AA232,'Federal Standards'!$N$9:$P$50,2,FALSE)</f>
        <v>8.07</v>
      </c>
      <c r="AD232" s="44">
        <f>VLOOKUP(AA232,'Federal Standards'!$N$9:$P$50,3,FALSE)</f>
        <v>233.7</v>
      </c>
      <c r="AE232" s="44">
        <f t="shared" si="45"/>
        <v>399.822564</v>
      </c>
      <c r="AF232" s="283">
        <f t="shared" si="46"/>
        <v>0.82256399999999985</v>
      </c>
      <c r="AG232" s="291">
        <f t="shared" si="55"/>
        <v>2.0573226077355649E-3</v>
      </c>
      <c r="AH232" s="184" t="str">
        <f t="shared" si="47"/>
        <v>YES</v>
      </c>
      <c r="AJ232" s="9" t="str">
        <f t="shared" si="48"/>
        <v>NO</v>
      </c>
      <c r="AK232" s="9" t="str">
        <f t="shared" si="49"/>
        <v>NO</v>
      </c>
      <c r="AL232" s="9" t="str">
        <f t="shared" si="50"/>
        <v>NO</v>
      </c>
      <c r="AM232" s="9" t="str">
        <f t="shared" si="51"/>
        <v>NO</v>
      </c>
      <c r="AN232" s="9" t="str">
        <f t="shared" si="52"/>
        <v>Less than 10% better than Standard</v>
      </c>
      <c r="AO232" s="9" t="str">
        <f t="shared" si="53"/>
        <v>3_Less than 10% better than Standard</v>
      </c>
      <c r="AP232" s="9" t="str">
        <f t="shared" si="54"/>
        <v>3_NO</v>
      </c>
    </row>
    <row r="233" spans="1:42">
      <c r="A233">
        <v>82968</v>
      </c>
      <c r="B233" t="s">
        <v>4290</v>
      </c>
      <c r="C233" t="s">
        <v>4291</v>
      </c>
      <c r="D233" t="s">
        <v>4292</v>
      </c>
      <c r="E233" t="s">
        <v>4119</v>
      </c>
      <c r="F233" t="s">
        <v>162</v>
      </c>
      <c r="G233" t="s">
        <v>184</v>
      </c>
      <c r="H233"/>
      <c r="I233" t="s">
        <v>4106</v>
      </c>
      <c r="J233"/>
      <c r="K233"/>
      <c r="L233"/>
      <c r="M233"/>
      <c r="N233" t="b">
        <v>0</v>
      </c>
      <c r="O233"/>
      <c r="P233">
        <v>0.64</v>
      </c>
      <c r="Q233"/>
      <c r="R233">
        <v>0.64</v>
      </c>
      <c r="S233">
        <v>15</v>
      </c>
      <c r="T233">
        <v>11</v>
      </c>
      <c r="U233">
        <v>12</v>
      </c>
      <c r="V233">
        <v>191.63</v>
      </c>
      <c r="W233" s="281">
        <v>41572</v>
      </c>
      <c r="X233" s="282"/>
      <c r="Z233" s="9" t="b">
        <f t="shared" si="43"/>
        <v>1</v>
      </c>
      <c r="AA233" s="9" t="str">
        <f t="shared" si="56"/>
        <v>[Wine Chiller - exempt]</v>
      </c>
      <c r="AB233" s="196">
        <f t="shared" si="44"/>
        <v>0.64</v>
      </c>
      <c r="AC233" s="9" t="e">
        <f>VLOOKUP(AA233,'Federal Standards'!$N$9:$P$50,2,FALSE)</f>
        <v>#N/A</v>
      </c>
      <c r="AD233" s="44" t="e">
        <f>VLOOKUP(AA233,'Federal Standards'!$N$9:$P$50,3,FALSE)</f>
        <v>#N/A</v>
      </c>
      <c r="AE233" s="44" t="e">
        <f t="shared" si="45"/>
        <v>#N/A</v>
      </c>
      <c r="AF233" s="283" t="e">
        <f t="shared" si="46"/>
        <v>#N/A</v>
      </c>
      <c r="AG233" s="291" t="e">
        <f t="shared" si="55"/>
        <v>#N/A</v>
      </c>
      <c r="AH233" s="184" t="e">
        <f t="shared" si="47"/>
        <v>#N/A</v>
      </c>
      <c r="AJ233" s="9" t="e">
        <f t="shared" si="48"/>
        <v>#N/A</v>
      </c>
      <c r="AK233" s="9" t="e">
        <f t="shared" si="49"/>
        <v>#N/A</v>
      </c>
      <c r="AL233" s="9" t="e">
        <f t="shared" si="50"/>
        <v>#N/A</v>
      </c>
      <c r="AM233" s="9" t="e">
        <f t="shared" si="51"/>
        <v>#N/A</v>
      </c>
      <c r="AN233" s="9" t="e">
        <f t="shared" si="52"/>
        <v>#N/A</v>
      </c>
      <c r="AO233" s="9" t="e">
        <f t="shared" si="53"/>
        <v>#N/A</v>
      </c>
      <c r="AP233" s="9" t="e">
        <f t="shared" si="54"/>
        <v>#N/A</v>
      </c>
    </row>
    <row r="234" spans="1:42">
      <c r="A234">
        <v>82951</v>
      </c>
      <c r="B234" t="s">
        <v>4290</v>
      </c>
      <c r="C234" t="s">
        <v>4291</v>
      </c>
      <c r="D234" t="s">
        <v>4293</v>
      </c>
      <c r="E234" t="s">
        <v>4119</v>
      </c>
      <c r="F234" t="s">
        <v>162</v>
      </c>
      <c r="G234" t="s">
        <v>184</v>
      </c>
      <c r="H234"/>
      <c r="I234" t="s">
        <v>4106</v>
      </c>
      <c r="J234"/>
      <c r="K234"/>
      <c r="L234"/>
      <c r="M234"/>
      <c r="N234" t="b">
        <v>0</v>
      </c>
      <c r="O234"/>
      <c r="P234">
        <v>0.83</v>
      </c>
      <c r="Q234"/>
      <c r="R234">
        <v>0.83</v>
      </c>
      <c r="S234">
        <v>18</v>
      </c>
      <c r="T234">
        <v>11</v>
      </c>
      <c r="U234">
        <v>21</v>
      </c>
      <c r="V234">
        <v>264.63</v>
      </c>
      <c r="W234" s="281">
        <v>41572</v>
      </c>
      <c r="X234" s="282"/>
      <c r="Z234" s="9" t="b">
        <f t="shared" si="43"/>
        <v>1</v>
      </c>
      <c r="AA234" s="9" t="str">
        <f t="shared" si="56"/>
        <v>[Wine Chiller - exempt]</v>
      </c>
      <c r="AB234" s="196">
        <f t="shared" si="44"/>
        <v>0.83</v>
      </c>
      <c r="AC234" s="9" t="e">
        <f>VLOOKUP(AA234,'Federal Standards'!$N$9:$P$50,2,FALSE)</f>
        <v>#N/A</v>
      </c>
      <c r="AD234" s="44" t="e">
        <f>VLOOKUP(AA234,'Federal Standards'!$N$9:$P$50,3,FALSE)</f>
        <v>#N/A</v>
      </c>
      <c r="AE234" s="44" t="e">
        <f t="shared" si="45"/>
        <v>#N/A</v>
      </c>
      <c r="AF234" s="283" t="e">
        <f t="shared" si="46"/>
        <v>#N/A</v>
      </c>
      <c r="AG234" s="291" t="e">
        <f t="shared" si="55"/>
        <v>#N/A</v>
      </c>
      <c r="AH234" s="184" t="e">
        <f t="shared" si="47"/>
        <v>#N/A</v>
      </c>
      <c r="AJ234" s="9" t="e">
        <f t="shared" si="48"/>
        <v>#N/A</v>
      </c>
      <c r="AK234" s="9" t="e">
        <f t="shared" si="49"/>
        <v>#N/A</v>
      </c>
      <c r="AL234" s="9" t="e">
        <f t="shared" si="50"/>
        <v>#N/A</v>
      </c>
      <c r="AM234" s="9" t="e">
        <f t="shared" si="51"/>
        <v>#N/A</v>
      </c>
      <c r="AN234" s="9" t="e">
        <f t="shared" si="52"/>
        <v>#N/A</v>
      </c>
      <c r="AO234" s="9" t="e">
        <f t="shared" si="53"/>
        <v>#N/A</v>
      </c>
      <c r="AP234" s="9" t="e">
        <f t="shared" si="54"/>
        <v>#N/A</v>
      </c>
    </row>
    <row r="235" spans="1:42">
      <c r="A235">
        <v>85833</v>
      </c>
      <c r="B235" t="s">
        <v>4290</v>
      </c>
      <c r="C235" t="s">
        <v>4291</v>
      </c>
      <c r="D235" t="s">
        <v>4294</v>
      </c>
      <c r="E235" t="s">
        <v>4119</v>
      </c>
      <c r="F235" t="s">
        <v>162</v>
      </c>
      <c r="G235" t="s">
        <v>184</v>
      </c>
      <c r="H235"/>
      <c r="I235" t="s">
        <v>4106</v>
      </c>
      <c r="J235"/>
      <c r="K235"/>
      <c r="L235"/>
      <c r="M235"/>
      <c r="N235" t="b">
        <v>0</v>
      </c>
      <c r="O235" t="s">
        <v>4099</v>
      </c>
      <c r="P235">
        <v>0.8</v>
      </c>
      <c r="Q235"/>
      <c r="R235">
        <v>0.8</v>
      </c>
      <c r="S235">
        <v>18</v>
      </c>
      <c r="T235">
        <v>10</v>
      </c>
      <c r="U235">
        <v>21</v>
      </c>
      <c r="V235">
        <v>339</v>
      </c>
      <c r="W235" s="281">
        <v>41864</v>
      </c>
      <c r="X235" s="282"/>
      <c r="Z235" s="9" t="b">
        <f t="shared" si="43"/>
        <v>1</v>
      </c>
      <c r="AA235" s="9" t="str">
        <f t="shared" si="56"/>
        <v>[Wine Chiller - exempt]</v>
      </c>
      <c r="AB235" s="196">
        <f t="shared" si="44"/>
        <v>0.8</v>
      </c>
      <c r="AC235" s="9" t="e">
        <f>VLOOKUP(AA235,'Federal Standards'!$N$9:$P$50,2,FALSE)</f>
        <v>#N/A</v>
      </c>
      <c r="AD235" s="44" t="e">
        <f>VLOOKUP(AA235,'Federal Standards'!$N$9:$P$50,3,FALSE)</f>
        <v>#N/A</v>
      </c>
      <c r="AE235" s="44" t="e">
        <f t="shared" si="45"/>
        <v>#N/A</v>
      </c>
      <c r="AF235" s="283" t="e">
        <f t="shared" si="46"/>
        <v>#N/A</v>
      </c>
      <c r="AG235" s="291" t="e">
        <f t="shared" si="55"/>
        <v>#N/A</v>
      </c>
      <c r="AH235" s="184" t="e">
        <f t="shared" si="47"/>
        <v>#N/A</v>
      </c>
      <c r="AJ235" s="9" t="e">
        <f t="shared" si="48"/>
        <v>#N/A</v>
      </c>
      <c r="AK235" s="9" t="e">
        <f t="shared" si="49"/>
        <v>#N/A</v>
      </c>
      <c r="AL235" s="9" t="e">
        <f t="shared" si="50"/>
        <v>#N/A</v>
      </c>
      <c r="AM235" s="9" t="e">
        <f t="shared" si="51"/>
        <v>#N/A</v>
      </c>
      <c r="AN235" s="9" t="e">
        <f t="shared" si="52"/>
        <v>#N/A</v>
      </c>
      <c r="AO235" s="9" t="e">
        <f t="shared" si="53"/>
        <v>#N/A</v>
      </c>
      <c r="AP235" s="9" t="e">
        <f t="shared" si="54"/>
        <v>#N/A</v>
      </c>
    </row>
    <row r="236" spans="1:42">
      <c r="A236">
        <v>82961</v>
      </c>
      <c r="B236" t="s">
        <v>4290</v>
      </c>
      <c r="C236" t="s">
        <v>4291</v>
      </c>
      <c r="D236" t="s">
        <v>4295</v>
      </c>
      <c r="E236" t="s">
        <v>4119</v>
      </c>
      <c r="F236" t="s">
        <v>162</v>
      </c>
      <c r="G236" t="s">
        <v>184</v>
      </c>
      <c r="H236"/>
      <c r="I236" t="s">
        <v>4106</v>
      </c>
      <c r="J236"/>
      <c r="K236"/>
      <c r="L236"/>
      <c r="M236"/>
      <c r="N236" t="b">
        <v>0</v>
      </c>
      <c r="O236"/>
      <c r="P236">
        <v>1.21</v>
      </c>
      <c r="Q236"/>
      <c r="R236">
        <v>1.21</v>
      </c>
      <c r="S236">
        <v>24</v>
      </c>
      <c r="T236">
        <v>11</v>
      </c>
      <c r="U236">
        <v>21</v>
      </c>
      <c r="V236">
        <v>275.12</v>
      </c>
      <c r="W236" s="281">
        <v>41572</v>
      </c>
      <c r="X236" s="282"/>
      <c r="Z236" s="9" t="b">
        <f t="shared" si="43"/>
        <v>1</v>
      </c>
      <c r="AA236" s="9" t="str">
        <f t="shared" si="56"/>
        <v>[Wine Chiller - exempt]</v>
      </c>
      <c r="AB236" s="196">
        <f t="shared" si="44"/>
        <v>1.21</v>
      </c>
      <c r="AC236" s="9" t="e">
        <f>VLOOKUP(AA236,'Federal Standards'!$N$9:$P$50,2,FALSE)</f>
        <v>#N/A</v>
      </c>
      <c r="AD236" s="44" t="e">
        <f>VLOOKUP(AA236,'Federal Standards'!$N$9:$P$50,3,FALSE)</f>
        <v>#N/A</v>
      </c>
      <c r="AE236" s="44" t="e">
        <f t="shared" si="45"/>
        <v>#N/A</v>
      </c>
      <c r="AF236" s="283" t="e">
        <f t="shared" si="46"/>
        <v>#N/A</v>
      </c>
      <c r="AG236" s="291" t="e">
        <f t="shared" si="55"/>
        <v>#N/A</v>
      </c>
      <c r="AH236" s="184" t="e">
        <f t="shared" si="47"/>
        <v>#N/A</v>
      </c>
      <c r="AJ236" s="9" t="e">
        <f t="shared" si="48"/>
        <v>#N/A</v>
      </c>
      <c r="AK236" s="9" t="e">
        <f t="shared" si="49"/>
        <v>#N/A</v>
      </c>
      <c r="AL236" s="9" t="e">
        <f t="shared" si="50"/>
        <v>#N/A</v>
      </c>
      <c r="AM236" s="9" t="e">
        <f t="shared" si="51"/>
        <v>#N/A</v>
      </c>
      <c r="AN236" s="9" t="e">
        <f t="shared" si="52"/>
        <v>#N/A</v>
      </c>
      <c r="AO236" s="9" t="e">
        <f t="shared" si="53"/>
        <v>#N/A</v>
      </c>
      <c r="AP236" s="9" t="e">
        <f t="shared" si="54"/>
        <v>#N/A</v>
      </c>
    </row>
    <row r="237" spans="1:42">
      <c r="A237">
        <v>83724</v>
      </c>
      <c r="B237" t="s">
        <v>4296</v>
      </c>
      <c r="C237" t="s">
        <v>531</v>
      </c>
      <c r="D237" t="s">
        <v>4297</v>
      </c>
      <c r="E237" t="s">
        <v>4104</v>
      </c>
      <c r="F237" t="s">
        <v>162</v>
      </c>
      <c r="G237" t="s">
        <v>4105</v>
      </c>
      <c r="H237"/>
      <c r="I237" t="s">
        <v>4106</v>
      </c>
      <c r="J237"/>
      <c r="K237"/>
      <c r="L237"/>
      <c r="M237"/>
      <c r="N237" t="b">
        <v>0</v>
      </c>
      <c r="O237"/>
      <c r="P237">
        <v>7.33</v>
      </c>
      <c r="Q237">
        <v>2.62</v>
      </c>
      <c r="R237">
        <v>10</v>
      </c>
      <c r="S237">
        <v>60</v>
      </c>
      <c r="T237">
        <v>24</v>
      </c>
      <c r="U237">
        <v>26</v>
      </c>
      <c r="V237">
        <v>312</v>
      </c>
      <c r="W237" s="281">
        <v>41759</v>
      </c>
      <c r="X237" s="282"/>
      <c r="Z237" s="9" t="b">
        <f t="shared" si="43"/>
        <v>0</v>
      </c>
      <c r="AA237" s="9" t="str">
        <f t="shared" si="56"/>
        <v>3</v>
      </c>
      <c r="AB237" s="196">
        <f t="shared" si="44"/>
        <v>11.9412</v>
      </c>
      <c r="AC237" s="9">
        <f>VLOOKUP(AA237,'Federal Standards'!$N$9:$P$50,2,FALSE)</f>
        <v>8.07</v>
      </c>
      <c r="AD237" s="44">
        <f>VLOOKUP(AA237,'Federal Standards'!$N$9:$P$50,3,FALSE)</f>
        <v>233.7</v>
      </c>
      <c r="AE237" s="44">
        <f t="shared" si="45"/>
        <v>330.06548399999997</v>
      </c>
      <c r="AF237" s="283">
        <f t="shared" si="46"/>
        <v>18.065483999999969</v>
      </c>
      <c r="AG237" s="291">
        <f t="shared" si="55"/>
        <v>5.4733029885669505E-2</v>
      </c>
      <c r="AH237" s="184" t="str">
        <f t="shared" si="47"/>
        <v>YES</v>
      </c>
      <c r="AJ237" s="9" t="str">
        <f t="shared" si="48"/>
        <v>NO</v>
      </c>
      <c r="AK237" s="9" t="str">
        <f t="shared" si="49"/>
        <v>NO</v>
      </c>
      <c r="AL237" s="9" t="str">
        <f t="shared" si="50"/>
        <v>NO</v>
      </c>
      <c r="AM237" s="9" t="str">
        <f t="shared" si="51"/>
        <v>NO</v>
      </c>
      <c r="AN237" s="9" t="str">
        <f t="shared" si="52"/>
        <v>Less than 10% better than Standard</v>
      </c>
      <c r="AO237" s="9" t="str">
        <f t="shared" si="53"/>
        <v>3_Less than 10% better than Standard</v>
      </c>
      <c r="AP237" s="9" t="str">
        <f t="shared" si="54"/>
        <v>3_NO</v>
      </c>
    </row>
    <row r="238" spans="1:42">
      <c r="A238">
        <v>83725</v>
      </c>
      <c r="B238" t="s">
        <v>4296</v>
      </c>
      <c r="C238" t="s">
        <v>531</v>
      </c>
      <c r="D238" t="s">
        <v>4298</v>
      </c>
      <c r="E238" t="s">
        <v>4104</v>
      </c>
      <c r="F238" t="s">
        <v>162</v>
      </c>
      <c r="G238" t="s">
        <v>4105</v>
      </c>
      <c r="H238"/>
      <c r="I238" t="s">
        <v>4106</v>
      </c>
      <c r="J238"/>
      <c r="K238"/>
      <c r="L238"/>
      <c r="M238"/>
      <c r="N238" t="b">
        <v>0</v>
      </c>
      <c r="O238"/>
      <c r="P238">
        <v>8.41</v>
      </c>
      <c r="Q238">
        <v>3.18</v>
      </c>
      <c r="R238">
        <v>11.59</v>
      </c>
      <c r="S238">
        <v>60</v>
      </c>
      <c r="T238">
        <v>24</v>
      </c>
      <c r="U238">
        <v>29</v>
      </c>
      <c r="V238">
        <v>327</v>
      </c>
      <c r="W238" s="281">
        <v>41759</v>
      </c>
      <c r="X238" s="282"/>
      <c r="Z238" s="9" t="b">
        <f t="shared" si="43"/>
        <v>0</v>
      </c>
      <c r="AA238" s="9" t="str">
        <f t="shared" si="56"/>
        <v>3</v>
      </c>
      <c r="AB238" s="196">
        <f t="shared" si="44"/>
        <v>14.0068</v>
      </c>
      <c r="AC238" s="9">
        <f>VLOOKUP(AA238,'Federal Standards'!$N$9:$P$50,2,FALSE)</f>
        <v>8.07</v>
      </c>
      <c r="AD238" s="44">
        <f>VLOOKUP(AA238,'Federal Standards'!$N$9:$P$50,3,FALSE)</f>
        <v>233.7</v>
      </c>
      <c r="AE238" s="44">
        <f t="shared" si="45"/>
        <v>346.73487599999999</v>
      </c>
      <c r="AF238" s="283">
        <f t="shared" si="46"/>
        <v>19.734875999999986</v>
      </c>
      <c r="AG238" s="291">
        <f t="shared" si="55"/>
        <v>5.6916328197686078E-2</v>
      </c>
      <c r="AH238" s="184" t="str">
        <f t="shared" si="47"/>
        <v>YES</v>
      </c>
      <c r="AJ238" s="9" t="str">
        <f t="shared" si="48"/>
        <v>NO</v>
      </c>
      <c r="AK238" s="9" t="str">
        <f t="shared" si="49"/>
        <v>NO</v>
      </c>
      <c r="AL238" s="9" t="str">
        <f t="shared" si="50"/>
        <v>NO</v>
      </c>
      <c r="AM238" s="9" t="str">
        <f t="shared" si="51"/>
        <v>NO</v>
      </c>
      <c r="AN238" s="9" t="str">
        <f t="shared" si="52"/>
        <v>Less than 10% better than Standard</v>
      </c>
      <c r="AO238" s="9" t="str">
        <f t="shared" si="53"/>
        <v>3_Less than 10% better than Standard</v>
      </c>
      <c r="AP238" s="9" t="str">
        <f t="shared" si="54"/>
        <v>3_NO</v>
      </c>
    </row>
    <row r="239" spans="1:42">
      <c r="A239">
        <v>85055</v>
      </c>
      <c r="B239" t="s">
        <v>4296</v>
      </c>
      <c r="C239" t="s">
        <v>531</v>
      </c>
      <c r="D239" t="s">
        <v>4299</v>
      </c>
      <c r="E239" t="s">
        <v>4108</v>
      </c>
      <c r="F239" t="s">
        <v>162</v>
      </c>
      <c r="G239" t="s">
        <v>4105</v>
      </c>
      <c r="H239"/>
      <c r="I239" t="s">
        <v>4098</v>
      </c>
      <c r="J239" t="b">
        <v>0</v>
      </c>
      <c r="K239" t="b">
        <v>0</v>
      </c>
      <c r="L239" t="b">
        <v>0</v>
      </c>
      <c r="M239"/>
      <c r="N239" t="b">
        <v>0</v>
      </c>
      <c r="O239"/>
      <c r="P239">
        <v>14</v>
      </c>
      <c r="Q239">
        <v>4</v>
      </c>
      <c r="R239">
        <v>18</v>
      </c>
      <c r="S239">
        <v>67</v>
      </c>
      <c r="T239">
        <v>33</v>
      </c>
      <c r="U239">
        <v>33</v>
      </c>
      <c r="V239">
        <v>362</v>
      </c>
      <c r="W239" s="281">
        <v>41820</v>
      </c>
      <c r="X239" s="282"/>
      <c r="Z239" s="9" t="b">
        <f t="shared" si="43"/>
        <v>0</v>
      </c>
      <c r="AA239" s="9" t="str">
        <f t="shared" si="56"/>
        <v>3</v>
      </c>
      <c r="AB239" s="196">
        <f t="shared" si="44"/>
        <v>21.04</v>
      </c>
      <c r="AC239" s="9">
        <f>VLOOKUP(AA239,'Federal Standards'!$N$9:$P$50,2,FALSE)</f>
        <v>8.07</v>
      </c>
      <c r="AD239" s="44">
        <f>VLOOKUP(AA239,'Federal Standards'!$N$9:$P$50,3,FALSE)</f>
        <v>233.7</v>
      </c>
      <c r="AE239" s="44">
        <f t="shared" si="45"/>
        <v>403.49279999999999</v>
      </c>
      <c r="AF239" s="283">
        <f t="shared" si="46"/>
        <v>41.492799999999988</v>
      </c>
      <c r="AG239" s="291">
        <f t="shared" si="55"/>
        <v>0.10283405304877805</v>
      </c>
      <c r="AH239" s="184" t="str">
        <f t="shared" si="47"/>
        <v>YES</v>
      </c>
      <c r="AJ239" s="9" t="str">
        <f t="shared" si="48"/>
        <v>YES</v>
      </c>
      <c r="AK239" s="9" t="str">
        <f t="shared" si="49"/>
        <v>YES</v>
      </c>
      <c r="AL239" s="9" t="str">
        <f t="shared" si="50"/>
        <v>NO</v>
      </c>
      <c r="AM239" s="9" t="str">
        <f t="shared" si="51"/>
        <v>NO</v>
      </c>
      <c r="AN239" s="9" t="str">
        <f t="shared" si="52"/>
        <v>Tier 1 - 10% to 15% better than Standard</v>
      </c>
      <c r="AO239" s="9" t="str">
        <f t="shared" si="53"/>
        <v>3_Tier 1 - 10% to 15% better than Standard</v>
      </c>
      <c r="AP239" s="9" t="str">
        <f t="shared" si="54"/>
        <v>3_YES</v>
      </c>
    </row>
    <row r="240" spans="1:42">
      <c r="A240">
        <v>85050</v>
      </c>
      <c r="B240" t="s">
        <v>4296</v>
      </c>
      <c r="C240" t="s">
        <v>531</v>
      </c>
      <c r="D240" t="s">
        <v>536</v>
      </c>
      <c r="E240" t="s">
        <v>4108</v>
      </c>
      <c r="F240" t="s">
        <v>162</v>
      </c>
      <c r="G240" t="s">
        <v>4105</v>
      </c>
      <c r="H240"/>
      <c r="I240" t="s">
        <v>4098</v>
      </c>
      <c r="J240" t="b">
        <v>0</v>
      </c>
      <c r="K240" t="b">
        <v>0</v>
      </c>
      <c r="L240" t="b">
        <v>0</v>
      </c>
      <c r="M240"/>
      <c r="N240" t="b">
        <v>0</v>
      </c>
      <c r="O240"/>
      <c r="P240">
        <v>7.24</v>
      </c>
      <c r="Q240">
        <v>2.65</v>
      </c>
      <c r="R240">
        <v>9.9</v>
      </c>
      <c r="S240">
        <v>60</v>
      </c>
      <c r="T240">
        <v>24</v>
      </c>
      <c r="U240">
        <v>26</v>
      </c>
      <c r="V240">
        <v>296</v>
      </c>
      <c r="W240" s="281">
        <v>41820</v>
      </c>
      <c r="X240" s="282"/>
      <c r="Z240" s="9" t="b">
        <f t="shared" si="43"/>
        <v>0</v>
      </c>
      <c r="AA240" s="9" t="str">
        <f t="shared" si="56"/>
        <v>3</v>
      </c>
      <c r="AB240" s="196">
        <f t="shared" si="44"/>
        <v>11.904</v>
      </c>
      <c r="AC240" s="9">
        <f>VLOOKUP(AA240,'Federal Standards'!$N$9:$P$50,2,FALSE)</f>
        <v>8.07</v>
      </c>
      <c r="AD240" s="44">
        <f>VLOOKUP(AA240,'Federal Standards'!$N$9:$P$50,3,FALSE)</f>
        <v>233.7</v>
      </c>
      <c r="AE240" s="44">
        <f t="shared" si="45"/>
        <v>329.76527999999996</v>
      </c>
      <c r="AF240" s="283">
        <f t="shared" si="46"/>
        <v>33.765279999999962</v>
      </c>
      <c r="AG240" s="291">
        <f t="shared" si="55"/>
        <v>0.10239185883971764</v>
      </c>
      <c r="AH240" s="184" t="str">
        <f t="shared" si="47"/>
        <v>YES</v>
      </c>
      <c r="AJ240" s="9" t="str">
        <f t="shared" si="48"/>
        <v>YES</v>
      </c>
      <c r="AK240" s="9" t="str">
        <f t="shared" si="49"/>
        <v>YES</v>
      </c>
      <c r="AL240" s="9" t="str">
        <f t="shared" si="50"/>
        <v>NO</v>
      </c>
      <c r="AM240" s="9" t="str">
        <f t="shared" si="51"/>
        <v>NO</v>
      </c>
      <c r="AN240" s="9" t="str">
        <f t="shared" si="52"/>
        <v>Tier 1 - 10% to 15% better than Standard</v>
      </c>
      <c r="AO240" s="9" t="str">
        <f t="shared" si="53"/>
        <v>3_Tier 1 - 10% to 15% better than Standard</v>
      </c>
      <c r="AP240" s="9" t="str">
        <f t="shared" si="54"/>
        <v>3_YES</v>
      </c>
    </row>
    <row r="241" spans="1:42">
      <c r="A241">
        <v>85053</v>
      </c>
      <c r="B241" t="s">
        <v>4296</v>
      </c>
      <c r="C241" t="s">
        <v>531</v>
      </c>
      <c r="D241" t="s">
        <v>542</v>
      </c>
      <c r="E241" t="s">
        <v>4108</v>
      </c>
      <c r="F241" t="s">
        <v>162</v>
      </c>
      <c r="G241" t="s">
        <v>4105</v>
      </c>
      <c r="H241"/>
      <c r="I241" t="s">
        <v>4098</v>
      </c>
      <c r="J241" t="b">
        <v>0</v>
      </c>
      <c r="K241" t="b">
        <v>0</v>
      </c>
      <c r="L241" t="b">
        <v>0</v>
      </c>
      <c r="M241"/>
      <c r="N241" t="b">
        <v>0</v>
      </c>
      <c r="O241"/>
      <c r="P241">
        <v>8.3699999999999992</v>
      </c>
      <c r="Q241">
        <v>3.14</v>
      </c>
      <c r="R241">
        <v>11.5</v>
      </c>
      <c r="S241">
        <v>60</v>
      </c>
      <c r="T241">
        <v>24</v>
      </c>
      <c r="U241">
        <v>29</v>
      </c>
      <c r="V241">
        <v>311</v>
      </c>
      <c r="W241" s="281">
        <v>41820</v>
      </c>
      <c r="X241" s="282"/>
      <c r="Z241" s="9" t="b">
        <f t="shared" si="43"/>
        <v>0</v>
      </c>
      <c r="AA241" s="9" t="str">
        <f t="shared" si="56"/>
        <v>3</v>
      </c>
      <c r="AB241" s="196">
        <f t="shared" si="44"/>
        <v>13.8964</v>
      </c>
      <c r="AC241" s="9">
        <f>VLOOKUP(AA241,'Federal Standards'!$N$9:$P$50,2,FALSE)</f>
        <v>8.07</v>
      </c>
      <c r="AD241" s="44">
        <f>VLOOKUP(AA241,'Federal Standards'!$N$9:$P$50,3,FALSE)</f>
        <v>233.7</v>
      </c>
      <c r="AE241" s="44">
        <f t="shared" si="45"/>
        <v>345.84394800000001</v>
      </c>
      <c r="AF241" s="283">
        <f t="shared" si="46"/>
        <v>34.843948000000012</v>
      </c>
      <c r="AG241" s="291">
        <f t="shared" si="55"/>
        <v>0.10075049224224103</v>
      </c>
      <c r="AH241" s="184" t="str">
        <f t="shared" si="47"/>
        <v>YES</v>
      </c>
      <c r="AJ241" s="9" t="str">
        <f t="shared" si="48"/>
        <v>YES</v>
      </c>
      <c r="AK241" s="9" t="str">
        <f t="shared" si="49"/>
        <v>YES</v>
      </c>
      <c r="AL241" s="9" t="str">
        <f t="shared" si="50"/>
        <v>NO</v>
      </c>
      <c r="AM241" s="9" t="str">
        <f t="shared" si="51"/>
        <v>NO</v>
      </c>
      <c r="AN241" s="9" t="str">
        <f t="shared" si="52"/>
        <v>Tier 1 - 10% to 15% better than Standard</v>
      </c>
      <c r="AO241" s="9" t="str">
        <f t="shared" si="53"/>
        <v>3_Tier 1 - 10% to 15% better than Standard</v>
      </c>
      <c r="AP241" s="9" t="str">
        <f t="shared" si="54"/>
        <v>3_YES</v>
      </c>
    </row>
    <row r="242" spans="1:42">
      <c r="A242">
        <v>85056</v>
      </c>
      <c r="B242" t="s">
        <v>4296</v>
      </c>
      <c r="C242" t="s">
        <v>164</v>
      </c>
      <c r="D242" t="s">
        <v>4107</v>
      </c>
      <c r="E242" t="s">
        <v>4108</v>
      </c>
      <c r="F242" t="s">
        <v>162</v>
      </c>
      <c r="G242" t="s">
        <v>4105</v>
      </c>
      <c r="H242"/>
      <c r="I242" t="s">
        <v>4098</v>
      </c>
      <c r="J242" t="b">
        <v>0</v>
      </c>
      <c r="K242" t="b">
        <v>0</v>
      </c>
      <c r="L242" t="b">
        <v>0</v>
      </c>
      <c r="M242"/>
      <c r="N242" t="b">
        <v>0</v>
      </c>
      <c r="O242"/>
      <c r="P242">
        <v>7.24</v>
      </c>
      <c r="Q242">
        <v>2.65</v>
      </c>
      <c r="R242">
        <v>9.9</v>
      </c>
      <c r="S242">
        <v>60</v>
      </c>
      <c r="T242">
        <v>24</v>
      </c>
      <c r="U242">
        <v>26</v>
      </c>
      <c r="V242">
        <v>329</v>
      </c>
      <c r="W242" s="281">
        <v>41820</v>
      </c>
      <c r="X242" s="282"/>
      <c r="Z242" s="9" t="b">
        <f t="shared" si="43"/>
        <v>0</v>
      </c>
      <c r="AA242" s="9" t="str">
        <f t="shared" si="56"/>
        <v>3</v>
      </c>
      <c r="AB242" s="196">
        <f t="shared" si="44"/>
        <v>11.904</v>
      </c>
      <c r="AC242" s="9">
        <f>VLOOKUP(AA242,'Federal Standards'!$N$9:$P$50,2,FALSE)</f>
        <v>8.07</v>
      </c>
      <c r="AD242" s="44">
        <f>VLOOKUP(AA242,'Federal Standards'!$N$9:$P$50,3,FALSE)</f>
        <v>233.7</v>
      </c>
      <c r="AE242" s="44">
        <f t="shared" si="45"/>
        <v>329.76527999999996</v>
      </c>
      <c r="AF242" s="283">
        <f t="shared" si="46"/>
        <v>0.76527999999996155</v>
      </c>
      <c r="AG242" s="291">
        <f t="shared" si="55"/>
        <v>2.3206809400915756E-3</v>
      </c>
      <c r="AH242" s="184" t="str">
        <f t="shared" si="47"/>
        <v>YES</v>
      </c>
      <c r="AJ242" s="9" t="str">
        <f t="shared" si="48"/>
        <v>NO</v>
      </c>
      <c r="AK242" s="9" t="str">
        <f t="shared" si="49"/>
        <v>NO</v>
      </c>
      <c r="AL242" s="9" t="str">
        <f t="shared" si="50"/>
        <v>NO</v>
      </c>
      <c r="AM242" s="9" t="str">
        <f t="shared" si="51"/>
        <v>NO</v>
      </c>
      <c r="AN242" s="9" t="str">
        <f t="shared" si="52"/>
        <v>Less than 10% better than Standard</v>
      </c>
      <c r="AO242" s="9" t="str">
        <f t="shared" si="53"/>
        <v>3_Less than 10% better than Standard</v>
      </c>
      <c r="AP242" s="9" t="str">
        <f t="shared" si="54"/>
        <v>3_NO</v>
      </c>
    </row>
    <row r="243" spans="1:42">
      <c r="A243">
        <v>83734</v>
      </c>
      <c r="B243" t="s">
        <v>4296</v>
      </c>
      <c r="C243" t="s">
        <v>168</v>
      </c>
      <c r="D243" t="s">
        <v>4300</v>
      </c>
      <c r="E243" t="s">
        <v>4104</v>
      </c>
      <c r="F243" t="s">
        <v>162</v>
      </c>
      <c r="G243" t="s">
        <v>4105</v>
      </c>
      <c r="H243"/>
      <c r="I243" t="s">
        <v>4106</v>
      </c>
      <c r="J243"/>
      <c r="K243"/>
      <c r="L243"/>
      <c r="M243"/>
      <c r="N243" t="b">
        <v>0</v>
      </c>
      <c r="O243"/>
      <c r="P243">
        <v>7.33</v>
      </c>
      <c r="Q243">
        <v>2.62</v>
      </c>
      <c r="R243">
        <v>10</v>
      </c>
      <c r="S243">
        <v>60</v>
      </c>
      <c r="T243">
        <v>24</v>
      </c>
      <c r="U243">
        <v>26</v>
      </c>
      <c r="V243">
        <v>387</v>
      </c>
      <c r="W243" s="281">
        <v>41759</v>
      </c>
      <c r="X243" s="282"/>
      <c r="Z243" s="9" t="b">
        <f t="shared" si="43"/>
        <v>0</v>
      </c>
      <c r="AA243" s="9" t="str">
        <f t="shared" si="56"/>
        <v>3</v>
      </c>
      <c r="AB243" s="196">
        <f t="shared" si="44"/>
        <v>11.9412</v>
      </c>
      <c r="AC243" s="9">
        <f>VLOOKUP(AA243,'Federal Standards'!$N$9:$P$50,2,FALSE)</f>
        <v>8.07</v>
      </c>
      <c r="AD243" s="44">
        <f>VLOOKUP(AA243,'Federal Standards'!$N$9:$P$50,3,FALSE)</f>
        <v>233.7</v>
      </c>
      <c r="AE243" s="44">
        <f t="shared" si="45"/>
        <v>330.06548399999997</v>
      </c>
      <c r="AF243" s="283">
        <f t="shared" si="46"/>
        <v>-56.934516000000031</v>
      </c>
      <c r="AG243" s="291">
        <f t="shared" si="55"/>
        <v>-0.17249460716104456</v>
      </c>
      <c r="AH243" s="184" t="str">
        <f t="shared" si="47"/>
        <v>NO</v>
      </c>
      <c r="AJ243" s="9" t="str">
        <f t="shared" si="48"/>
        <v>NO</v>
      </c>
      <c r="AK243" s="9" t="str">
        <f t="shared" si="49"/>
        <v>NO</v>
      </c>
      <c r="AL243" s="9" t="str">
        <f t="shared" si="50"/>
        <v>NO</v>
      </c>
      <c r="AM243" s="9" t="str">
        <f t="shared" si="51"/>
        <v>NO</v>
      </c>
      <c r="AN243" s="9" t="str">
        <f t="shared" si="52"/>
        <v>Doesn't meet Standard</v>
      </c>
      <c r="AO243" s="9" t="str">
        <f t="shared" si="53"/>
        <v>3_Doesn't meet Standard</v>
      </c>
      <c r="AP243" s="9" t="str">
        <f t="shared" si="54"/>
        <v>3_NO</v>
      </c>
    </row>
    <row r="244" spans="1:42">
      <c r="A244">
        <v>83733</v>
      </c>
      <c r="B244" t="s">
        <v>4296</v>
      </c>
      <c r="C244" t="s">
        <v>168</v>
      </c>
      <c r="D244" t="s">
        <v>4957</v>
      </c>
      <c r="E244" t="s">
        <v>4104</v>
      </c>
      <c r="F244" t="s">
        <v>162</v>
      </c>
      <c r="G244" t="s">
        <v>4105</v>
      </c>
      <c r="H244"/>
      <c r="I244" t="s">
        <v>4106</v>
      </c>
      <c r="J244"/>
      <c r="K244"/>
      <c r="L244"/>
      <c r="M244"/>
      <c r="N244" t="b">
        <v>0</v>
      </c>
      <c r="O244"/>
      <c r="P244">
        <v>8.41</v>
      </c>
      <c r="Q244">
        <v>3.18</v>
      </c>
      <c r="R244">
        <v>11.59</v>
      </c>
      <c r="S244">
        <v>60</v>
      </c>
      <c r="T244">
        <v>24</v>
      </c>
      <c r="U244">
        <v>29</v>
      </c>
      <c r="V244">
        <v>409</v>
      </c>
      <c r="W244" s="281">
        <v>41759</v>
      </c>
      <c r="X244" s="282"/>
      <c r="Z244" s="9" t="b">
        <f t="shared" si="43"/>
        <v>0</v>
      </c>
      <c r="AA244" s="9" t="str">
        <f t="shared" si="56"/>
        <v>3</v>
      </c>
      <c r="AB244" s="196">
        <f t="shared" si="44"/>
        <v>14.0068</v>
      </c>
      <c r="AC244" s="9">
        <f>VLOOKUP(AA244,'Federal Standards'!$N$9:$P$50,2,FALSE)</f>
        <v>8.07</v>
      </c>
      <c r="AD244" s="44">
        <f>VLOOKUP(AA244,'Federal Standards'!$N$9:$P$50,3,FALSE)</f>
        <v>233.7</v>
      </c>
      <c r="AE244" s="44">
        <f t="shared" si="45"/>
        <v>346.73487599999999</v>
      </c>
      <c r="AF244" s="283">
        <f t="shared" si="46"/>
        <v>-62.265124000000014</v>
      </c>
      <c r="AG244" s="291">
        <f t="shared" si="55"/>
        <v>-0.17957560173439263</v>
      </c>
      <c r="AH244" s="184" t="str">
        <f t="shared" si="47"/>
        <v>NO</v>
      </c>
      <c r="AJ244" s="9" t="str">
        <f t="shared" si="48"/>
        <v>NO</v>
      </c>
      <c r="AK244" s="9" t="str">
        <f t="shared" si="49"/>
        <v>NO</v>
      </c>
      <c r="AL244" s="9" t="str">
        <f t="shared" si="50"/>
        <v>NO</v>
      </c>
      <c r="AM244" s="9" t="str">
        <f t="shared" si="51"/>
        <v>NO</v>
      </c>
      <c r="AN244" s="9" t="str">
        <f t="shared" si="52"/>
        <v>Doesn't meet Standard</v>
      </c>
      <c r="AO244" s="9" t="str">
        <f t="shared" si="53"/>
        <v>3_Doesn't meet Standard</v>
      </c>
      <c r="AP244" s="9" t="str">
        <f t="shared" si="54"/>
        <v>3_NO</v>
      </c>
    </row>
    <row r="245" spans="1:42">
      <c r="A245">
        <v>83781</v>
      </c>
      <c r="B245" t="s">
        <v>4296</v>
      </c>
      <c r="C245" t="s">
        <v>4123</v>
      </c>
      <c r="D245" t="s">
        <v>4301</v>
      </c>
      <c r="E245" t="s">
        <v>187</v>
      </c>
      <c r="F245" t="s">
        <v>188</v>
      </c>
      <c r="G245" t="s">
        <v>189</v>
      </c>
      <c r="H245"/>
      <c r="I245" t="s">
        <v>4106</v>
      </c>
      <c r="J245"/>
      <c r="K245"/>
      <c r="L245"/>
      <c r="M245"/>
      <c r="N245" t="b">
        <v>0</v>
      </c>
      <c r="O245"/>
      <c r="P245"/>
      <c r="Q245">
        <v>8</v>
      </c>
      <c r="R245">
        <v>8</v>
      </c>
      <c r="S245">
        <v>49</v>
      </c>
      <c r="T245">
        <v>23</v>
      </c>
      <c r="U245">
        <v>28</v>
      </c>
      <c r="V245">
        <v>309</v>
      </c>
      <c r="W245" s="281">
        <v>41760</v>
      </c>
      <c r="X245" s="282"/>
      <c r="Z245" s="9" t="b">
        <f t="shared" si="43"/>
        <v>0</v>
      </c>
      <c r="AA245" s="9" t="str">
        <f t="shared" si="56"/>
        <v>8</v>
      </c>
      <c r="AB245" s="196">
        <f t="shared" si="44"/>
        <v>14.08</v>
      </c>
      <c r="AC245" s="9">
        <f>VLOOKUP(AA245,'Federal Standards'!$N$9:$P$50,2,FALSE)</f>
        <v>5.57</v>
      </c>
      <c r="AD245" s="44">
        <f>VLOOKUP(AA245,'Federal Standards'!$N$9:$P$50,3,FALSE)</f>
        <v>193.7</v>
      </c>
      <c r="AE245" s="44">
        <f t="shared" si="45"/>
        <v>272.12559999999996</v>
      </c>
      <c r="AF245" s="283">
        <f t="shared" si="46"/>
        <v>-36.874400000000037</v>
      </c>
      <c r="AG245" s="291">
        <f t="shared" si="55"/>
        <v>-0.13550507559744487</v>
      </c>
      <c r="AH245" s="184" t="str">
        <f t="shared" si="47"/>
        <v>NO</v>
      </c>
      <c r="AJ245" s="9" t="str">
        <f t="shared" si="48"/>
        <v>NO</v>
      </c>
      <c r="AK245" s="9" t="str">
        <f t="shared" si="49"/>
        <v>NO</v>
      </c>
      <c r="AL245" s="9" t="str">
        <f t="shared" si="50"/>
        <v>NO</v>
      </c>
      <c r="AM245" s="9" t="str">
        <f t="shared" si="51"/>
        <v>NO</v>
      </c>
      <c r="AN245" s="9" t="str">
        <f t="shared" si="52"/>
        <v>Doesn't meet Standard</v>
      </c>
      <c r="AO245" s="9" t="str">
        <f t="shared" si="53"/>
        <v>8_Doesn't meet Standard</v>
      </c>
      <c r="AP245" s="9" t="str">
        <f t="shared" si="54"/>
        <v>8_NO</v>
      </c>
    </row>
    <row r="246" spans="1:42">
      <c r="A246">
        <v>87171</v>
      </c>
      <c r="B246" t="s">
        <v>4296</v>
      </c>
      <c r="C246" t="s">
        <v>4302</v>
      </c>
      <c r="D246" t="s">
        <v>4303</v>
      </c>
      <c r="E246" t="s">
        <v>187</v>
      </c>
      <c r="F246" t="s">
        <v>162</v>
      </c>
      <c r="G246" t="s">
        <v>189</v>
      </c>
      <c r="H246"/>
      <c r="I246" t="s">
        <v>4098</v>
      </c>
      <c r="J246" t="b">
        <v>0</v>
      </c>
      <c r="K246" t="b">
        <v>0</v>
      </c>
      <c r="L246" t="b">
        <v>0</v>
      </c>
      <c r="M246"/>
      <c r="N246" t="b">
        <v>0</v>
      </c>
      <c r="O246"/>
      <c r="P246"/>
      <c r="Q246">
        <v>13.8</v>
      </c>
      <c r="R246">
        <v>13.8</v>
      </c>
      <c r="S246">
        <v>61</v>
      </c>
      <c r="T246">
        <v>28</v>
      </c>
      <c r="U246">
        <v>30</v>
      </c>
      <c r="V246">
        <v>391</v>
      </c>
      <c r="W246" s="281">
        <v>41891</v>
      </c>
      <c r="X246" s="282"/>
      <c r="Z246" s="9" t="b">
        <f t="shared" si="43"/>
        <v>0</v>
      </c>
      <c r="AA246" s="9" t="str">
        <f t="shared" si="56"/>
        <v>9</v>
      </c>
      <c r="AB246" s="196">
        <f t="shared" si="44"/>
        <v>24.288</v>
      </c>
      <c r="AC246" s="9">
        <f>VLOOKUP(AA246,'Federal Standards'!$N$9:$P$50,2,FALSE)</f>
        <v>8.6199999999999992</v>
      </c>
      <c r="AD246" s="44">
        <f>VLOOKUP(AA246,'Federal Standards'!$N$9:$P$50,3,FALSE)</f>
        <v>228.3</v>
      </c>
      <c r="AE246" s="44">
        <f t="shared" si="45"/>
        <v>437.66255999999998</v>
      </c>
      <c r="AF246" s="283">
        <f t="shared" si="46"/>
        <v>46.662559999999985</v>
      </c>
      <c r="AG246" s="291">
        <f t="shared" si="55"/>
        <v>0.10661766453132292</v>
      </c>
      <c r="AH246" s="184" t="str">
        <f t="shared" si="47"/>
        <v>YES</v>
      </c>
      <c r="AJ246" s="9" t="str">
        <f t="shared" si="48"/>
        <v>YES</v>
      </c>
      <c r="AK246" s="9" t="str">
        <f t="shared" si="49"/>
        <v>YES</v>
      </c>
      <c r="AL246" s="9" t="str">
        <f t="shared" si="50"/>
        <v>NO</v>
      </c>
      <c r="AM246" s="9" t="str">
        <f t="shared" si="51"/>
        <v>NO</v>
      </c>
      <c r="AN246" s="9" t="str">
        <f t="shared" si="52"/>
        <v>Tier 1 - 10% to 15% better than Standard</v>
      </c>
      <c r="AO246" s="9" t="str">
        <f t="shared" si="53"/>
        <v>9_Tier 1 - 10% to 15% better than Standard</v>
      </c>
      <c r="AP246" s="9" t="str">
        <f t="shared" si="54"/>
        <v>9_YES</v>
      </c>
    </row>
    <row r="247" spans="1:42">
      <c r="A247">
        <v>87170</v>
      </c>
      <c r="B247" t="s">
        <v>4296</v>
      </c>
      <c r="C247" t="s">
        <v>4302</v>
      </c>
      <c r="D247" t="s">
        <v>4304</v>
      </c>
      <c r="E247" t="s">
        <v>4109</v>
      </c>
      <c r="F247" t="s">
        <v>162</v>
      </c>
      <c r="G247" t="s">
        <v>4105</v>
      </c>
      <c r="H247"/>
      <c r="I247" t="s">
        <v>4098</v>
      </c>
      <c r="J247" t="b">
        <v>0</v>
      </c>
      <c r="K247" t="b">
        <v>0</v>
      </c>
      <c r="L247" t="b">
        <v>0</v>
      </c>
      <c r="M247"/>
      <c r="N247" t="b">
        <v>0</v>
      </c>
      <c r="O247"/>
      <c r="P247">
        <v>7.1</v>
      </c>
      <c r="Q247">
        <v>3.1</v>
      </c>
      <c r="R247">
        <v>10.199999999999999</v>
      </c>
      <c r="S247">
        <v>60</v>
      </c>
      <c r="T247">
        <v>24</v>
      </c>
      <c r="U247">
        <v>28</v>
      </c>
      <c r="V247">
        <v>423</v>
      </c>
      <c r="W247" s="281">
        <v>41891</v>
      </c>
      <c r="X247" s="282"/>
      <c r="Z247" s="9" t="b">
        <f t="shared" si="43"/>
        <v>0</v>
      </c>
      <c r="AA247" s="9" t="str">
        <f t="shared" si="56"/>
        <v>5</v>
      </c>
      <c r="AB247" s="196">
        <f t="shared" si="44"/>
        <v>12.556000000000001</v>
      </c>
      <c r="AC247" s="9">
        <f>VLOOKUP(AA247,'Federal Standards'!$N$9:$P$50,2,FALSE)</f>
        <v>8.85</v>
      </c>
      <c r="AD247" s="44">
        <f>VLOOKUP(AA247,'Federal Standards'!$N$9:$P$50,3,FALSE)</f>
        <v>317</v>
      </c>
      <c r="AE247" s="44">
        <f t="shared" si="45"/>
        <v>428.12060000000002</v>
      </c>
      <c r="AF247" s="283">
        <f t="shared" si="46"/>
        <v>5.1206000000000245</v>
      </c>
      <c r="AG247" s="291">
        <f t="shared" si="55"/>
        <v>1.1960648471482158E-2</v>
      </c>
      <c r="AH247" s="184" t="str">
        <f t="shared" si="47"/>
        <v>YES</v>
      </c>
      <c r="AJ247" s="9" t="str">
        <f t="shared" si="48"/>
        <v>NO</v>
      </c>
      <c r="AK247" s="9" t="str">
        <f t="shared" si="49"/>
        <v>NO</v>
      </c>
      <c r="AL247" s="9" t="str">
        <f t="shared" si="50"/>
        <v>NO</v>
      </c>
      <c r="AM247" s="9" t="str">
        <f t="shared" si="51"/>
        <v>NO</v>
      </c>
      <c r="AN247" s="9" t="str">
        <f t="shared" si="52"/>
        <v>Less than 10% better than Standard</v>
      </c>
      <c r="AO247" s="9" t="str">
        <f t="shared" si="53"/>
        <v>5_Less than 10% better than Standard</v>
      </c>
      <c r="AP247" s="9" t="str">
        <f t="shared" si="54"/>
        <v>5_NO</v>
      </c>
    </row>
    <row r="248" spans="1:42">
      <c r="A248">
        <v>83784</v>
      </c>
      <c r="B248" t="s">
        <v>4296</v>
      </c>
      <c r="C248" t="s">
        <v>169</v>
      </c>
      <c r="D248" t="s">
        <v>4305</v>
      </c>
      <c r="E248" t="s">
        <v>4104</v>
      </c>
      <c r="F248" t="s">
        <v>162</v>
      </c>
      <c r="G248" t="s">
        <v>4105</v>
      </c>
      <c r="H248"/>
      <c r="I248" t="s">
        <v>4106</v>
      </c>
      <c r="J248"/>
      <c r="K248"/>
      <c r="L248"/>
      <c r="M248"/>
      <c r="N248" t="b">
        <v>0</v>
      </c>
      <c r="O248"/>
      <c r="P248">
        <v>3.25</v>
      </c>
      <c r="Q248">
        <v>1.24</v>
      </c>
      <c r="R248">
        <v>4.5</v>
      </c>
      <c r="S248">
        <v>43</v>
      </c>
      <c r="T248">
        <v>22</v>
      </c>
      <c r="U248">
        <v>24</v>
      </c>
      <c r="V248">
        <v>259</v>
      </c>
      <c r="W248" s="281">
        <v>41760</v>
      </c>
      <c r="X248" s="282"/>
      <c r="Z248" s="9" t="b">
        <f t="shared" si="43"/>
        <v>1</v>
      </c>
      <c r="AA248" s="9" t="str">
        <f t="shared" si="56"/>
        <v>13</v>
      </c>
      <c r="AB248" s="196">
        <f t="shared" si="44"/>
        <v>5.4323999999999995</v>
      </c>
      <c r="AC248" s="9">
        <f>VLOOKUP(AA248,'Federal Standards'!$N$9:$P$50,2,FALSE)</f>
        <v>11.8</v>
      </c>
      <c r="AD248" s="44">
        <f>VLOOKUP(AA248,'Federal Standards'!$N$9:$P$50,3,FALSE)</f>
        <v>339.2</v>
      </c>
      <c r="AE248" s="44">
        <f t="shared" si="45"/>
        <v>403.30232000000001</v>
      </c>
      <c r="AF248" s="283">
        <f t="shared" si="46"/>
        <v>144.30232000000001</v>
      </c>
      <c r="AG248" s="291">
        <f t="shared" si="55"/>
        <v>0.35780185940909043</v>
      </c>
      <c r="AH248" s="184" t="str">
        <f t="shared" si="47"/>
        <v>YES</v>
      </c>
      <c r="AJ248" s="9" t="str">
        <f t="shared" si="48"/>
        <v>YES</v>
      </c>
      <c r="AK248" s="9" t="str">
        <f t="shared" si="49"/>
        <v>NO</v>
      </c>
      <c r="AL248" s="9" t="str">
        <f t="shared" si="50"/>
        <v>NO</v>
      </c>
      <c r="AM248" s="9" t="str">
        <f t="shared" si="51"/>
        <v>YES</v>
      </c>
      <c r="AN248" s="9" t="str">
        <f t="shared" si="52"/>
        <v>Tier 3 - 20%  or better than Standard</v>
      </c>
      <c r="AO248" s="9" t="str">
        <f t="shared" si="53"/>
        <v>13_Tier 3 - 20%  or better than Standard</v>
      </c>
      <c r="AP248" s="9" t="str">
        <f t="shared" si="54"/>
        <v>13_YES</v>
      </c>
    </row>
    <row r="249" spans="1:42">
      <c r="A249">
        <v>83276</v>
      </c>
      <c r="B249" t="s">
        <v>4296</v>
      </c>
      <c r="C249" t="s">
        <v>169</v>
      </c>
      <c r="D249" t="s">
        <v>4306</v>
      </c>
      <c r="E249" t="s">
        <v>4104</v>
      </c>
      <c r="F249" t="s">
        <v>162</v>
      </c>
      <c r="G249" t="s">
        <v>4105</v>
      </c>
      <c r="H249"/>
      <c r="I249"/>
      <c r="J249"/>
      <c r="K249"/>
      <c r="L249"/>
      <c r="M249"/>
      <c r="N249" t="b">
        <v>0</v>
      </c>
      <c r="O249"/>
      <c r="P249">
        <v>8.3699999999999992</v>
      </c>
      <c r="Q249">
        <v>3.14</v>
      </c>
      <c r="R249">
        <v>11.51</v>
      </c>
      <c r="S249">
        <v>60</v>
      </c>
      <c r="T249">
        <v>24</v>
      </c>
      <c r="U249">
        <v>29</v>
      </c>
      <c r="V249">
        <v>311</v>
      </c>
      <c r="W249" s="281">
        <v>41730</v>
      </c>
      <c r="X249" s="282"/>
      <c r="Z249" s="9" t="b">
        <f t="shared" si="43"/>
        <v>0</v>
      </c>
      <c r="AA249" s="9" t="str">
        <f t="shared" si="56"/>
        <v>3</v>
      </c>
      <c r="AB249" s="196">
        <f t="shared" si="44"/>
        <v>13.8964</v>
      </c>
      <c r="AC249" s="9">
        <f>VLOOKUP(AA249,'Federal Standards'!$N$9:$P$50,2,FALSE)</f>
        <v>8.07</v>
      </c>
      <c r="AD249" s="44">
        <f>VLOOKUP(AA249,'Federal Standards'!$N$9:$P$50,3,FALSE)</f>
        <v>233.7</v>
      </c>
      <c r="AE249" s="44">
        <f t="shared" si="45"/>
        <v>345.84394800000001</v>
      </c>
      <c r="AF249" s="283">
        <f t="shared" si="46"/>
        <v>34.843948000000012</v>
      </c>
      <c r="AG249" s="291">
        <f t="shared" si="55"/>
        <v>0.10075049224224103</v>
      </c>
      <c r="AH249" s="184" t="str">
        <f t="shared" si="47"/>
        <v>YES</v>
      </c>
      <c r="AJ249" s="9" t="str">
        <f t="shared" si="48"/>
        <v>YES</v>
      </c>
      <c r="AK249" s="9" t="str">
        <f t="shared" si="49"/>
        <v>YES</v>
      </c>
      <c r="AL249" s="9" t="str">
        <f t="shared" si="50"/>
        <v>NO</v>
      </c>
      <c r="AM249" s="9" t="str">
        <f t="shared" si="51"/>
        <v>NO</v>
      </c>
      <c r="AN249" s="9" t="str">
        <f t="shared" si="52"/>
        <v>Tier 1 - 10% to 15% better than Standard</v>
      </c>
      <c r="AO249" s="9" t="str">
        <f t="shared" si="53"/>
        <v>3_Tier 1 - 10% to 15% better than Standard</v>
      </c>
      <c r="AP249" s="9" t="str">
        <f t="shared" si="54"/>
        <v>3_YES</v>
      </c>
    </row>
    <row r="250" spans="1:42">
      <c r="A250">
        <v>83875</v>
      </c>
      <c r="B250" t="s">
        <v>4296</v>
      </c>
      <c r="C250" t="s">
        <v>169</v>
      </c>
      <c r="D250" t="s">
        <v>465</v>
      </c>
      <c r="E250" t="s">
        <v>4108</v>
      </c>
      <c r="F250" t="s">
        <v>162</v>
      </c>
      <c r="G250" t="s">
        <v>4105</v>
      </c>
      <c r="H250"/>
      <c r="I250" t="s">
        <v>4098</v>
      </c>
      <c r="J250" t="b">
        <v>0</v>
      </c>
      <c r="K250" t="b">
        <v>1</v>
      </c>
      <c r="L250" t="b">
        <v>0</v>
      </c>
      <c r="M250"/>
      <c r="N250" t="b">
        <v>0</v>
      </c>
      <c r="O250"/>
      <c r="P250">
        <v>3.25</v>
      </c>
      <c r="Q250">
        <v>1.24</v>
      </c>
      <c r="R250">
        <v>4.5</v>
      </c>
      <c r="S250">
        <v>43</v>
      </c>
      <c r="T250">
        <v>22</v>
      </c>
      <c r="U250">
        <v>28</v>
      </c>
      <c r="V250">
        <v>347</v>
      </c>
      <c r="W250" s="281">
        <v>41766</v>
      </c>
      <c r="X250" s="282"/>
      <c r="Z250" s="9" t="b">
        <f t="shared" si="43"/>
        <v>1</v>
      </c>
      <c r="AA250" s="9" t="str">
        <f t="shared" si="56"/>
        <v>13</v>
      </c>
      <c r="AB250" s="196">
        <f t="shared" si="44"/>
        <v>5.4323999999999995</v>
      </c>
      <c r="AC250" s="9">
        <f>VLOOKUP(AA250,'Federal Standards'!$N$9:$P$50,2,FALSE)</f>
        <v>11.8</v>
      </c>
      <c r="AD250" s="44">
        <f>VLOOKUP(AA250,'Federal Standards'!$N$9:$P$50,3,FALSE)</f>
        <v>339.2</v>
      </c>
      <c r="AE250" s="44">
        <f t="shared" si="45"/>
        <v>403.30232000000001</v>
      </c>
      <c r="AF250" s="283">
        <f t="shared" si="46"/>
        <v>56.302320000000009</v>
      </c>
      <c r="AG250" s="291">
        <f t="shared" si="55"/>
        <v>0.13960326337820225</v>
      </c>
      <c r="AH250" s="184" t="str">
        <f t="shared" si="47"/>
        <v>YES</v>
      </c>
      <c r="AJ250" s="9" t="str">
        <f t="shared" si="48"/>
        <v>YES</v>
      </c>
      <c r="AK250" s="9" t="str">
        <f t="shared" si="49"/>
        <v>YES</v>
      </c>
      <c r="AL250" s="9" t="str">
        <f t="shared" si="50"/>
        <v>NO</v>
      </c>
      <c r="AM250" s="9" t="str">
        <f t="shared" si="51"/>
        <v>NO</v>
      </c>
      <c r="AN250" s="9" t="str">
        <f t="shared" si="52"/>
        <v>Tier 1 - 10% to 15% better than Standard</v>
      </c>
      <c r="AO250" s="9" t="str">
        <f t="shared" si="53"/>
        <v>13_Tier 1 - 10% to 15% better than Standard</v>
      </c>
      <c r="AP250" s="9" t="str">
        <f t="shared" si="54"/>
        <v>13_YES</v>
      </c>
    </row>
    <row r="251" spans="1:42">
      <c r="A251">
        <v>83278</v>
      </c>
      <c r="B251" t="s">
        <v>4296</v>
      </c>
      <c r="C251" t="s">
        <v>169</v>
      </c>
      <c r="D251" t="s">
        <v>4307</v>
      </c>
      <c r="E251" t="s">
        <v>4104</v>
      </c>
      <c r="F251" t="s">
        <v>162</v>
      </c>
      <c r="G251" t="s">
        <v>4105</v>
      </c>
      <c r="H251"/>
      <c r="I251"/>
      <c r="J251"/>
      <c r="K251"/>
      <c r="L251"/>
      <c r="M251"/>
      <c r="N251" t="b">
        <v>0</v>
      </c>
      <c r="O251"/>
      <c r="P251">
        <v>8.3699999999999992</v>
      </c>
      <c r="Q251">
        <v>3.14</v>
      </c>
      <c r="R251">
        <v>11.51</v>
      </c>
      <c r="S251">
        <v>60</v>
      </c>
      <c r="T251">
        <v>24</v>
      </c>
      <c r="U251">
        <v>29</v>
      </c>
      <c r="V251">
        <v>345</v>
      </c>
      <c r="W251" s="281">
        <v>41730</v>
      </c>
      <c r="X251" s="282"/>
      <c r="Z251" s="9" t="b">
        <f t="shared" si="43"/>
        <v>0</v>
      </c>
      <c r="AA251" s="9" t="str">
        <f t="shared" si="56"/>
        <v>3</v>
      </c>
      <c r="AB251" s="196">
        <f t="shared" si="44"/>
        <v>13.8964</v>
      </c>
      <c r="AC251" s="9">
        <f>VLOOKUP(AA251,'Federal Standards'!$N$9:$P$50,2,FALSE)</f>
        <v>8.07</v>
      </c>
      <c r="AD251" s="44">
        <f>VLOOKUP(AA251,'Federal Standards'!$N$9:$P$50,3,FALSE)</f>
        <v>233.7</v>
      </c>
      <c r="AE251" s="44">
        <f t="shared" si="45"/>
        <v>345.84394800000001</v>
      </c>
      <c r="AF251" s="283">
        <f t="shared" si="46"/>
        <v>0.84394800000001169</v>
      </c>
      <c r="AG251" s="291">
        <f t="shared" si="55"/>
        <v>2.4402566674377995E-3</v>
      </c>
      <c r="AH251" s="184" t="str">
        <f t="shared" si="47"/>
        <v>YES</v>
      </c>
      <c r="AJ251" s="9" t="str">
        <f t="shared" si="48"/>
        <v>NO</v>
      </c>
      <c r="AK251" s="9" t="str">
        <f t="shared" si="49"/>
        <v>NO</v>
      </c>
      <c r="AL251" s="9" t="str">
        <f t="shared" si="50"/>
        <v>NO</v>
      </c>
      <c r="AM251" s="9" t="str">
        <f t="shared" si="51"/>
        <v>NO</v>
      </c>
      <c r="AN251" s="9" t="str">
        <f t="shared" si="52"/>
        <v>Less than 10% better than Standard</v>
      </c>
      <c r="AO251" s="9" t="str">
        <f t="shared" si="53"/>
        <v>3_Less than 10% better than Standard</v>
      </c>
      <c r="AP251" s="9" t="str">
        <f t="shared" si="54"/>
        <v>3_NO</v>
      </c>
    </row>
    <row r="252" spans="1:42">
      <c r="A252">
        <v>87179</v>
      </c>
      <c r="B252" t="s">
        <v>4296</v>
      </c>
      <c r="C252" t="s">
        <v>4308</v>
      </c>
      <c r="D252" t="s">
        <v>4309</v>
      </c>
      <c r="E252" t="s">
        <v>4108</v>
      </c>
      <c r="F252" t="s">
        <v>162</v>
      </c>
      <c r="G252" t="s">
        <v>4105</v>
      </c>
      <c r="H252"/>
      <c r="I252" t="s">
        <v>4098</v>
      </c>
      <c r="J252" t="b">
        <v>0</v>
      </c>
      <c r="K252" t="b">
        <v>0</v>
      </c>
      <c r="L252" t="b">
        <v>0</v>
      </c>
      <c r="M252"/>
      <c r="N252" t="b">
        <v>0</v>
      </c>
      <c r="O252"/>
      <c r="P252">
        <v>8.3699999999999992</v>
      </c>
      <c r="Q252">
        <v>3.14</v>
      </c>
      <c r="R252">
        <v>11.5</v>
      </c>
      <c r="S252">
        <v>60</v>
      </c>
      <c r="T252">
        <v>24</v>
      </c>
      <c r="U252">
        <v>29</v>
      </c>
      <c r="V252">
        <v>345</v>
      </c>
      <c r="W252" s="281">
        <v>41891</v>
      </c>
      <c r="X252" s="282"/>
      <c r="Z252" s="9" t="b">
        <f t="shared" si="43"/>
        <v>0</v>
      </c>
      <c r="AA252" s="9" t="str">
        <f t="shared" si="56"/>
        <v>3</v>
      </c>
      <c r="AB252" s="196">
        <f t="shared" si="44"/>
        <v>13.8964</v>
      </c>
      <c r="AC252" s="9">
        <f>VLOOKUP(AA252,'Federal Standards'!$N$9:$P$50,2,FALSE)</f>
        <v>8.07</v>
      </c>
      <c r="AD252" s="44">
        <f>VLOOKUP(AA252,'Federal Standards'!$N$9:$P$50,3,FALSE)</f>
        <v>233.7</v>
      </c>
      <c r="AE252" s="44">
        <f t="shared" si="45"/>
        <v>345.84394800000001</v>
      </c>
      <c r="AF252" s="283">
        <f t="shared" si="46"/>
        <v>0.84394800000001169</v>
      </c>
      <c r="AG252" s="291">
        <f t="shared" si="55"/>
        <v>2.4402566674377995E-3</v>
      </c>
      <c r="AH252" s="184" t="str">
        <f t="shared" si="47"/>
        <v>YES</v>
      </c>
      <c r="AJ252" s="9" t="str">
        <f t="shared" si="48"/>
        <v>NO</v>
      </c>
      <c r="AK252" s="9" t="str">
        <f t="shared" si="49"/>
        <v>NO</v>
      </c>
      <c r="AL252" s="9" t="str">
        <f t="shared" si="50"/>
        <v>NO</v>
      </c>
      <c r="AM252" s="9" t="str">
        <f t="shared" si="51"/>
        <v>NO</v>
      </c>
      <c r="AN252" s="9" t="str">
        <f t="shared" si="52"/>
        <v>Less than 10% better than Standard</v>
      </c>
      <c r="AO252" s="9" t="str">
        <f t="shared" si="53"/>
        <v>3_Less than 10% better than Standard</v>
      </c>
      <c r="AP252" s="9" t="str">
        <f t="shared" si="54"/>
        <v>3_NO</v>
      </c>
    </row>
    <row r="253" spans="1:42">
      <c r="A253">
        <v>83786</v>
      </c>
      <c r="B253" t="s">
        <v>4296</v>
      </c>
      <c r="C253" t="s">
        <v>1325</v>
      </c>
      <c r="D253" t="s">
        <v>4310</v>
      </c>
      <c r="E253" t="s">
        <v>187</v>
      </c>
      <c r="F253" t="s">
        <v>188</v>
      </c>
      <c r="G253" t="s">
        <v>189</v>
      </c>
      <c r="H253"/>
      <c r="I253" t="s">
        <v>4106</v>
      </c>
      <c r="J253"/>
      <c r="K253"/>
      <c r="L253"/>
      <c r="M253"/>
      <c r="N253" t="b">
        <v>0</v>
      </c>
      <c r="O253"/>
      <c r="P253"/>
      <c r="Q253">
        <v>11.3</v>
      </c>
      <c r="R253">
        <v>11.3</v>
      </c>
      <c r="S253">
        <v>60</v>
      </c>
      <c r="T253">
        <v>24</v>
      </c>
      <c r="U253">
        <v>29</v>
      </c>
      <c r="V253">
        <v>355</v>
      </c>
      <c r="W253" s="281">
        <v>41760</v>
      </c>
      <c r="X253" s="282"/>
      <c r="Z253" s="9" t="b">
        <f t="shared" si="43"/>
        <v>0</v>
      </c>
      <c r="AA253" s="9" t="str">
        <f t="shared" si="56"/>
        <v>8</v>
      </c>
      <c r="AB253" s="196">
        <f t="shared" si="44"/>
        <v>19.888000000000002</v>
      </c>
      <c r="AC253" s="9">
        <f>VLOOKUP(AA253,'Federal Standards'!$N$9:$P$50,2,FALSE)</f>
        <v>5.57</v>
      </c>
      <c r="AD253" s="44">
        <f>VLOOKUP(AA253,'Federal Standards'!$N$9:$P$50,3,FALSE)</f>
        <v>193.7</v>
      </c>
      <c r="AE253" s="44">
        <f t="shared" si="45"/>
        <v>304.47615999999999</v>
      </c>
      <c r="AF253" s="283">
        <f t="shared" si="46"/>
        <v>-50.523840000000007</v>
      </c>
      <c r="AG253" s="291">
        <f t="shared" si="55"/>
        <v>-0.16593693246788191</v>
      </c>
      <c r="AH253" s="184" t="str">
        <f t="shared" si="47"/>
        <v>NO</v>
      </c>
      <c r="AJ253" s="9" t="str">
        <f t="shared" si="48"/>
        <v>NO</v>
      </c>
      <c r="AK253" s="9" t="str">
        <f t="shared" si="49"/>
        <v>NO</v>
      </c>
      <c r="AL253" s="9" t="str">
        <f t="shared" si="50"/>
        <v>NO</v>
      </c>
      <c r="AM253" s="9" t="str">
        <f t="shared" si="51"/>
        <v>NO</v>
      </c>
      <c r="AN253" s="9" t="str">
        <f t="shared" si="52"/>
        <v>Doesn't meet Standard</v>
      </c>
      <c r="AO253" s="9" t="str">
        <f t="shared" si="53"/>
        <v>8_Doesn't meet Standard</v>
      </c>
      <c r="AP253" s="9" t="str">
        <f t="shared" si="54"/>
        <v>8_NO</v>
      </c>
    </row>
    <row r="254" spans="1:42">
      <c r="A254">
        <v>83785</v>
      </c>
      <c r="B254" t="s">
        <v>4296</v>
      </c>
      <c r="C254" t="s">
        <v>1325</v>
      </c>
      <c r="D254" t="s">
        <v>4311</v>
      </c>
      <c r="E254" t="s">
        <v>187</v>
      </c>
      <c r="F254" t="s">
        <v>162</v>
      </c>
      <c r="G254" t="s">
        <v>189</v>
      </c>
      <c r="H254"/>
      <c r="I254" t="s">
        <v>4106</v>
      </c>
      <c r="J254"/>
      <c r="K254"/>
      <c r="L254"/>
      <c r="M254"/>
      <c r="N254" t="b">
        <v>0</v>
      </c>
      <c r="O254"/>
      <c r="P254"/>
      <c r="Q254">
        <v>13.8</v>
      </c>
      <c r="R254">
        <v>13.8</v>
      </c>
      <c r="S254">
        <v>61</v>
      </c>
      <c r="T254">
        <v>28</v>
      </c>
      <c r="U254">
        <v>29</v>
      </c>
      <c r="V254">
        <v>511</v>
      </c>
      <c r="W254" s="281">
        <v>41760</v>
      </c>
      <c r="X254" s="282"/>
      <c r="Z254" s="9" t="b">
        <f t="shared" si="43"/>
        <v>0</v>
      </c>
      <c r="AA254" s="9" t="str">
        <f t="shared" si="56"/>
        <v>9</v>
      </c>
      <c r="AB254" s="196">
        <f t="shared" si="44"/>
        <v>24.288</v>
      </c>
      <c r="AC254" s="9">
        <f>VLOOKUP(AA254,'Federal Standards'!$N$9:$P$50,2,FALSE)</f>
        <v>8.6199999999999992</v>
      </c>
      <c r="AD254" s="44">
        <f>VLOOKUP(AA254,'Federal Standards'!$N$9:$P$50,3,FALSE)</f>
        <v>228.3</v>
      </c>
      <c r="AE254" s="44">
        <f t="shared" si="45"/>
        <v>437.66255999999998</v>
      </c>
      <c r="AF254" s="283">
        <f t="shared" si="46"/>
        <v>-73.337440000000015</v>
      </c>
      <c r="AG254" s="291">
        <f t="shared" si="55"/>
        <v>-0.16756617244116109</v>
      </c>
      <c r="AH254" s="184" t="str">
        <f t="shared" si="47"/>
        <v>NO</v>
      </c>
      <c r="AJ254" s="9" t="str">
        <f t="shared" si="48"/>
        <v>NO</v>
      </c>
      <c r="AK254" s="9" t="str">
        <f t="shared" si="49"/>
        <v>NO</v>
      </c>
      <c r="AL254" s="9" t="str">
        <f t="shared" si="50"/>
        <v>NO</v>
      </c>
      <c r="AM254" s="9" t="str">
        <f t="shared" si="51"/>
        <v>NO</v>
      </c>
      <c r="AN254" s="9" t="str">
        <f t="shared" si="52"/>
        <v>Doesn't meet Standard</v>
      </c>
      <c r="AO254" s="9" t="str">
        <f t="shared" si="53"/>
        <v>9_Doesn't meet Standard</v>
      </c>
      <c r="AP254" s="9" t="str">
        <f t="shared" si="54"/>
        <v>9_NO</v>
      </c>
    </row>
    <row r="255" spans="1:42">
      <c r="A255">
        <v>83017</v>
      </c>
      <c r="B255" t="s">
        <v>4296</v>
      </c>
      <c r="C255" t="s">
        <v>1114</v>
      </c>
      <c r="D255" t="s">
        <v>2254</v>
      </c>
      <c r="E255" t="s">
        <v>187</v>
      </c>
      <c r="F255" t="s">
        <v>188</v>
      </c>
      <c r="G255" t="s">
        <v>189</v>
      </c>
      <c r="H255"/>
      <c r="I255"/>
      <c r="J255"/>
      <c r="K255"/>
      <c r="L255"/>
      <c r="M255"/>
      <c r="N255" t="b">
        <v>0</v>
      </c>
      <c r="O255"/>
      <c r="P255"/>
      <c r="Q255">
        <v>8.8000000000000007</v>
      </c>
      <c r="R255">
        <v>8.8000000000000007</v>
      </c>
      <c r="S255">
        <v>49</v>
      </c>
      <c r="T255">
        <v>23</v>
      </c>
      <c r="U255">
        <v>28</v>
      </c>
      <c r="V255">
        <v>325</v>
      </c>
      <c r="W255" s="281">
        <v>41618</v>
      </c>
      <c r="X255" s="282"/>
      <c r="Z255" s="9" t="b">
        <f t="shared" si="43"/>
        <v>0</v>
      </c>
      <c r="AA255" s="9" t="str">
        <f t="shared" si="56"/>
        <v>8</v>
      </c>
      <c r="AB255" s="196">
        <f t="shared" si="44"/>
        <v>15.488000000000001</v>
      </c>
      <c r="AC255" s="9">
        <f>VLOOKUP(AA255,'Federal Standards'!$N$9:$P$50,2,FALSE)</f>
        <v>5.57</v>
      </c>
      <c r="AD255" s="44">
        <f>VLOOKUP(AA255,'Federal Standards'!$N$9:$P$50,3,FALSE)</f>
        <v>193.7</v>
      </c>
      <c r="AE255" s="44">
        <f t="shared" si="45"/>
        <v>279.96816000000001</v>
      </c>
      <c r="AF255" s="283">
        <f t="shared" si="46"/>
        <v>-45.031839999999988</v>
      </c>
      <c r="AG255" s="291">
        <f t="shared" si="55"/>
        <v>-0.16084629052103636</v>
      </c>
      <c r="AH255" s="184" t="str">
        <f t="shared" si="47"/>
        <v>NO</v>
      </c>
      <c r="AJ255" s="9" t="str">
        <f t="shared" si="48"/>
        <v>NO</v>
      </c>
      <c r="AK255" s="9" t="str">
        <f t="shared" si="49"/>
        <v>NO</v>
      </c>
      <c r="AL255" s="9" t="str">
        <f t="shared" si="50"/>
        <v>NO</v>
      </c>
      <c r="AM255" s="9" t="str">
        <f t="shared" si="51"/>
        <v>NO</v>
      </c>
      <c r="AN255" s="9" t="str">
        <f t="shared" si="52"/>
        <v>Doesn't meet Standard</v>
      </c>
      <c r="AO255" s="9" t="str">
        <f t="shared" si="53"/>
        <v>8_Doesn't meet Standard</v>
      </c>
      <c r="AP255" s="9" t="str">
        <f t="shared" si="54"/>
        <v>8_NO</v>
      </c>
    </row>
    <row r="256" spans="1:42">
      <c r="A256">
        <v>83791</v>
      </c>
      <c r="B256" t="s">
        <v>4296</v>
      </c>
      <c r="C256" t="s">
        <v>855</v>
      </c>
      <c r="D256" t="s">
        <v>4312</v>
      </c>
      <c r="E256" t="s">
        <v>187</v>
      </c>
      <c r="F256" t="s">
        <v>188</v>
      </c>
      <c r="G256" t="s">
        <v>189</v>
      </c>
      <c r="H256"/>
      <c r="I256" t="s">
        <v>4106</v>
      </c>
      <c r="J256"/>
      <c r="K256"/>
      <c r="L256"/>
      <c r="M256"/>
      <c r="N256" t="b">
        <v>0</v>
      </c>
      <c r="O256"/>
      <c r="P256"/>
      <c r="Q256">
        <v>8.8000000000000007</v>
      </c>
      <c r="R256">
        <v>8.8000000000000007</v>
      </c>
      <c r="S256">
        <v>50</v>
      </c>
      <c r="T256">
        <v>24</v>
      </c>
      <c r="U256">
        <v>29</v>
      </c>
      <c r="V256">
        <v>325</v>
      </c>
      <c r="W256" s="281">
        <v>41760</v>
      </c>
      <c r="X256" s="282"/>
      <c r="Z256" s="9" t="b">
        <f t="shared" si="43"/>
        <v>0</v>
      </c>
      <c r="AA256" s="9" t="str">
        <f t="shared" si="56"/>
        <v>8</v>
      </c>
      <c r="AB256" s="196">
        <f t="shared" si="44"/>
        <v>15.488000000000001</v>
      </c>
      <c r="AC256" s="9">
        <f>VLOOKUP(AA256,'Federal Standards'!$N$9:$P$50,2,FALSE)</f>
        <v>5.57</v>
      </c>
      <c r="AD256" s="44">
        <f>VLOOKUP(AA256,'Federal Standards'!$N$9:$P$50,3,FALSE)</f>
        <v>193.7</v>
      </c>
      <c r="AE256" s="44">
        <f t="shared" si="45"/>
        <v>279.96816000000001</v>
      </c>
      <c r="AF256" s="283">
        <f t="shared" si="46"/>
        <v>-45.031839999999988</v>
      </c>
      <c r="AG256" s="291">
        <f t="shared" si="55"/>
        <v>-0.16084629052103636</v>
      </c>
      <c r="AH256" s="184" t="str">
        <f t="shared" si="47"/>
        <v>NO</v>
      </c>
      <c r="AJ256" s="9" t="str">
        <f t="shared" si="48"/>
        <v>NO</v>
      </c>
      <c r="AK256" s="9" t="str">
        <f t="shared" si="49"/>
        <v>NO</v>
      </c>
      <c r="AL256" s="9" t="str">
        <f t="shared" si="50"/>
        <v>NO</v>
      </c>
      <c r="AM256" s="9" t="str">
        <f t="shared" si="51"/>
        <v>NO</v>
      </c>
      <c r="AN256" s="9" t="str">
        <f t="shared" si="52"/>
        <v>Doesn't meet Standard</v>
      </c>
      <c r="AO256" s="9" t="str">
        <f t="shared" si="53"/>
        <v>8_Doesn't meet Standard</v>
      </c>
      <c r="AP256" s="9" t="str">
        <f t="shared" si="54"/>
        <v>8_NO</v>
      </c>
    </row>
    <row r="257" spans="1:42">
      <c r="A257">
        <v>83788</v>
      </c>
      <c r="B257" t="s">
        <v>4296</v>
      </c>
      <c r="C257" t="s">
        <v>855</v>
      </c>
      <c r="D257" t="s">
        <v>4313</v>
      </c>
      <c r="E257" t="s">
        <v>187</v>
      </c>
      <c r="F257" t="s">
        <v>162</v>
      </c>
      <c r="G257" t="s">
        <v>189</v>
      </c>
      <c r="H257"/>
      <c r="I257" t="s">
        <v>4106</v>
      </c>
      <c r="J257"/>
      <c r="K257"/>
      <c r="L257"/>
      <c r="M257"/>
      <c r="N257" t="b">
        <v>0</v>
      </c>
      <c r="O257"/>
      <c r="P257"/>
      <c r="Q257">
        <v>13.8</v>
      </c>
      <c r="R257">
        <v>13.8</v>
      </c>
      <c r="S257">
        <v>61</v>
      </c>
      <c r="T257">
        <v>28</v>
      </c>
      <c r="U257">
        <v>30</v>
      </c>
      <c r="V257">
        <v>511</v>
      </c>
      <c r="W257" s="281">
        <v>41760</v>
      </c>
      <c r="X257" s="282"/>
      <c r="Z257" s="9" t="b">
        <f t="shared" si="43"/>
        <v>0</v>
      </c>
      <c r="AA257" s="9" t="str">
        <f t="shared" si="56"/>
        <v>9</v>
      </c>
      <c r="AB257" s="196">
        <f t="shared" si="44"/>
        <v>24.288</v>
      </c>
      <c r="AC257" s="9">
        <f>VLOOKUP(AA257,'Federal Standards'!$N$9:$P$50,2,FALSE)</f>
        <v>8.6199999999999992</v>
      </c>
      <c r="AD257" s="44">
        <f>VLOOKUP(AA257,'Federal Standards'!$N$9:$P$50,3,FALSE)</f>
        <v>228.3</v>
      </c>
      <c r="AE257" s="44">
        <f t="shared" si="45"/>
        <v>437.66255999999998</v>
      </c>
      <c r="AF257" s="283">
        <f t="shared" si="46"/>
        <v>-73.337440000000015</v>
      </c>
      <c r="AG257" s="291">
        <f t="shared" si="55"/>
        <v>-0.16756617244116109</v>
      </c>
      <c r="AH257" s="184" t="str">
        <f t="shared" si="47"/>
        <v>NO</v>
      </c>
      <c r="AJ257" s="9" t="str">
        <f t="shared" si="48"/>
        <v>NO</v>
      </c>
      <c r="AK257" s="9" t="str">
        <f t="shared" si="49"/>
        <v>NO</v>
      </c>
      <c r="AL257" s="9" t="str">
        <f t="shared" si="50"/>
        <v>NO</v>
      </c>
      <c r="AM257" s="9" t="str">
        <f t="shared" si="51"/>
        <v>NO</v>
      </c>
      <c r="AN257" s="9" t="str">
        <f t="shared" si="52"/>
        <v>Doesn't meet Standard</v>
      </c>
      <c r="AO257" s="9" t="str">
        <f t="shared" si="53"/>
        <v>9_Doesn't meet Standard</v>
      </c>
      <c r="AP257" s="9" t="str">
        <f t="shared" si="54"/>
        <v>9_NO</v>
      </c>
    </row>
    <row r="258" spans="1:42">
      <c r="A258">
        <v>85078</v>
      </c>
      <c r="B258" t="s">
        <v>4296</v>
      </c>
      <c r="C258" t="s">
        <v>855</v>
      </c>
      <c r="D258" t="s">
        <v>4314</v>
      </c>
      <c r="E258" t="s">
        <v>187</v>
      </c>
      <c r="F258" t="s">
        <v>162</v>
      </c>
      <c r="G258" t="s">
        <v>189</v>
      </c>
      <c r="H258"/>
      <c r="I258" t="s">
        <v>4098</v>
      </c>
      <c r="J258" t="b">
        <v>0</v>
      </c>
      <c r="K258" t="b">
        <v>0</v>
      </c>
      <c r="L258" t="b">
        <v>0</v>
      </c>
      <c r="M258"/>
      <c r="N258" t="b">
        <v>0</v>
      </c>
      <c r="O258"/>
      <c r="P258"/>
      <c r="Q258">
        <v>13.8</v>
      </c>
      <c r="R258">
        <v>13.8</v>
      </c>
      <c r="S258">
        <v>61</v>
      </c>
      <c r="T258">
        <v>28</v>
      </c>
      <c r="U258">
        <v>30</v>
      </c>
      <c r="V258">
        <v>430</v>
      </c>
      <c r="W258" s="281">
        <v>41820</v>
      </c>
      <c r="X258" s="282"/>
      <c r="Z258" s="9" t="b">
        <f t="shared" si="43"/>
        <v>0</v>
      </c>
      <c r="AA258" s="9" t="str">
        <f t="shared" si="56"/>
        <v>9</v>
      </c>
      <c r="AB258" s="196">
        <f t="shared" si="44"/>
        <v>24.288</v>
      </c>
      <c r="AC258" s="9">
        <f>VLOOKUP(AA258,'Federal Standards'!$N$9:$P$50,2,FALSE)</f>
        <v>8.6199999999999992</v>
      </c>
      <c r="AD258" s="44">
        <f>VLOOKUP(AA258,'Federal Standards'!$N$9:$P$50,3,FALSE)</f>
        <v>228.3</v>
      </c>
      <c r="AE258" s="44">
        <f t="shared" si="45"/>
        <v>437.66255999999998</v>
      </c>
      <c r="AF258" s="283">
        <f t="shared" si="46"/>
        <v>7.6625599999999849</v>
      </c>
      <c r="AG258" s="291">
        <f t="shared" si="55"/>
        <v>1.7507917515265609E-2</v>
      </c>
      <c r="AH258" s="184" t="str">
        <f t="shared" si="47"/>
        <v>YES</v>
      </c>
      <c r="AJ258" s="9" t="str">
        <f t="shared" si="48"/>
        <v>NO</v>
      </c>
      <c r="AK258" s="9" t="str">
        <f t="shared" si="49"/>
        <v>NO</v>
      </c>
      <c r="AL258" s="9" t="str">
        <f t="shared" si="50"/>
        <v>NO</v>
      </c>
      <c r="AM258" s="9" t="str">
        <f t="shared" si="51"/>
        <v>NO</v>
      </c>
      <c r="AN258" s="9" t="str">
        <f t="shared" si="52"/>
        <v>Less than 10% better than Standard</v>
      </c>
      <c r="AO258" s="9" t="str">
        <f t="shared" si="53"/>
        <v>9_Less than 10% better than Standard</v>
      </c>
      <c r="AP258" s="9" t="str">
        <f t="shared" si="54"/>
        <v>9_NO</v>
      </c>
    </row>
    <row r="259" spans="1:42">
      <c r="A259">
        <v>85096</v>
      </c>
      <c r="B259" t="s">
        <v>4296</v>
      </c>
      <c r="C259" t="s">
        <v>4315</v>
      </c>
      <c r="D259" t="s">
        <v>4316</v>
      </c>
      <c r="E259" t="s">
        <v>4104</v>
      </c>
      <c r="F259" t="s">
        <v>162</v>
      </c>
      <c r="G259" t="s">
        <v>4105</v>
      </c>
      <c r="H259"/>
      <c r="I259" t="s">
        <v>4106</v>
      </c>
      <c r="J259"/>
      <c r="K259"/>
      <c r="L259"/>
      <c r="M259"/>
      <c r="N259" t="b">
        <v>0</v>
      </c>
      <c r="O259"/>
      <c r="P259">
        <v>3.25</v>
      </c>
      <c r="Q259">
        <v>1.24</v>
      </c>
      <c r="R259">
        <v>4.5</v>
      </c>
      <c r="S259">
        <v>49</v>
      </c>
      <c r="T259">
        <v>20</v>
      </c>
      <c r="U259">
        <v>22</v>
      </c>
      <c r="V259">
        <v>327</v>
      </c>
      <c r="W259" s="281">
        <v>41820</v>
      </c>
      <c r="X259" s="282"/>
      <c r="Z259" s="9" t="b">
        <f t="shared" si="43"/>
        <v>1</v>
      </c>
      <c r="AA259" s="9" t="str">
        <f t="shared" si="56"/>
        <v>13</v>
      </c>
      <c r="AB259" s="196">
        <f t="shared" si="44"/>
        <v>5.4323999999999995</v>
      </c>
      <c r="AC259" s="9">
        <f>VLOOKUP(AA259,'Federal Standards'!$N$9:$P$50,2,FALSE)</f>
        <v>11.8</v>
      </c>
      <c r="AD259" s="44">
        <f>VLOOKUP(AA259,'Federal Standards'!$N$9:$P$50,3,FALSE)</f>
        <v>339.2</v>
      </c>
      <c r="AE259" s="44">
        <f t="shared" si="45"/>
        <v>403.30232000000001</v>
      </c>
      <c r="AF259" s="283">
        <f t="shared" si="46"/>
        <v>76.302320000000009</v>
      </c>
      <c r="AG259" s="291">
        <f t="shared" si="55"/>
        <v>0.18919385338522229</v>
      </c>
      <c r="AH259" s="184" t="str">
        <f t="shared" si="47"/>
        <v>YES</v>
      </c>
      <c r="AJ259" s="9" t="str">
        <f t="shared" si="48"/>
        <v>YES</v>
      </c>
      <c r="AK259" s="9" t="str">
        <f t="shared" si="49"/>
        <v>NO</v>
      </c>
      <c r="AL259" s="9" t="str">
        <f t="shared" si="50"/>
        <v>YES</v>
      </c>
      <c r="AM259" s="9" t="str">
        <f t="shared" si="51"/>
        <v>NO</v>
      </c>
      <c r="AN259" s="9" t="str">
        <f t="shared" si="52"/>
        <v>Tier 2 - 15% to 20% better than Standard</v>
      </c>
      <c r="AO259" s="9" t="str">
        <f t="shared" si="53"/>
        <v>13_Tier 2 - 15% to 20% better than Standard</v>
      </c>
      <c r="AP259" s="9" t="str">
        <f t="shared" si="54"/>
        <v>13_YES</v>
      </c>
    </row>
    <row r="260" spans="1:42">
      <c r="A260">
        <v>85626</v>
      </c>
      <c r="B260" t="s">
        <v>4317</v>
      </c>
      <c r="C260" t="s">
        <v>1114</v>
      </c>
      <c r="D260" t="s">
        <v>4318</v>
      </c>
      <c r="E260" t="s">
        <v>4108</v>
      </c>
      <c r="F260" t="s">
        <v>4111</v>
      </c>
      <c r="G260" t="s">
        <v>4105</v>
      </c>
      <c r="H260"/>
      <c r="I260" t="s">
        <v>4098</v>
      </c>
      <c r="J260" t="b">
        <v>0</v>
      </c>
      <c r="K260" t="b">
        <v>1</v>
      </c>
      <c r="L260" t="b">
        <v>0</v>
      </c>
      <c r="M260"/>
      <c r="N260" t="b">
        <v>0</v>
      </c>
      <c r="O260" t="s">
        <v>4099</v>
      </c>
      <c r="P260">
        <v>3.02</v>
      </c>
      <c r="Q260">
        <v>1.26</v>
      </c>
      <c r="R260">
        <v>4.3</v>
      </c>
      <c r="S260">
        <v>44</v>
      </c>
      <c r="T260">
        <v>20</v>
      </c>
      <c r="U260">
        <v>21</v>
      </c>
      <c r="V260">
        <v>329</v>
      </c>
      <c r="W260" s="281">
        <v>41843</v>
      </c>
      <c r="X260" s="282"/>
      <c r="Z260" s="9" t="b">
        <f t="shared" si="43"/>
        <v>1</v>
      </c>
      <c r="AA260" s="9" t="str">
        <f t="shared" si="56"/>
        <v>12</v>
      </c>
      <c r="AB260" s="196">
        <f t="shared" si="44"/>
        <v>5.2376000000000005</v>
      </c>
      <c r="AC260" s="9">
        <f>VLOOKUP(AA260,'Federal Standards'!$N$9:$P$50,2,FALSE)</f>
        <v>5.91</v>
      </c>
      <c r="AD260" s="44">
        <f>VLOOKUP(AA260,'Federal Standards'!$N$9:$P$50,3,FALSE)</f>
        <v>335.8</v>
      </c>
      <c r="AE260" s="44">
        <f t="shared" si="45"/>
        <v>366.75421600000004</v>
      </c>
      <c r="AF260" s="283">
        <f t="shared" si="46"/>
        <v>37.754216000000042</v>
      </c>
      <c r="AG260" s="291">
        <f t="shared" si="55"/>
        <v>0.10294146420937132</v>
      </c>
      <c r="AH260" s="184" t="str">
        <f t="shared" si="47"/>
        <v>YES</v>
      </c>
      <c r="AJ260" s="9" t="str">
        <f t="shared" si="48"/>
        <v>YES</v>
      </c>
      <c r="AK260" s="9" t="str">
        <f t="shared" si="49"/>
        <v>YES</v>
      </c>
      <c r="AL260" s="9" t="str">
        <f t="shared" si="50"/>
        <v>NO</v>
      </c>
      <c r="AM260" s="9" t="str">
        <f t="shared" si="51"/>
        <v>NO</v>
      </c>
      <c r="AN260" s="9" t="str">
        <f t="shared" si="52"/>
        <v>Tier 1 - 10% to 15% better than Standard</v>
      </c>
      <c r="AO260" s="9" t="str">
        <f t="shared" si="53"/>
        <v>12_Tier 1 - 10% to 15% better than Standard</v>
      </c>
      <c r="AP260" s="9" t="str">
        <f t="shared" si="54"/>
        <v>12_YES</v>
      </c>
    </row>
    <row r="261" spans="1:42">
      <c r="A261">
        <v>82830</v>
      </c>
      <c r="B261" t="s">
        <v>4319</v>
      </c>
      <c r="C261" t="s">
        <v>181</v>
      </c>
      <c r="D261" t="s">
        <v>4958</v>
      </c>
      <c r="E261" t="s">
        <v>4104</v>
      </c>
      <c r="F261" t="s">
        <v>162</v>
      </c>
      <c r="G261" t="s">
        <v>4105</v>
      </c>
      <c r="H261"/>
      <c r="I261" t="s">
        <v>4106</v>
      </c>
      <c r="J261"/>
      <c r="K261"/>
      <c r="L261"/>
      <c r="M261"/>
      <c r="N261" t="b">
        <v>0</v>
      </c>
      <c r="O261" t="s">
        <v>4099</v>
      </c>
      <c r="P261">
        <v>7.8</v>
      </c>
      <c r="Q261">
        <v>2.5</v>
      </c>
      <c r="R261">
        <v>10.3</v>
      </c>
      <c r="S261">
        <v>60</v>
      </c>
      <c r="T261">
        <v>24</v>
      </c>
      <c r="U261">
        <v>27</v>
      </c>
      <c r="V261">
        <v>391</v>
      </c>
      <c r="W261" s="281">
        <v>41533</v>
      </c>
      <c r="X261" s="282"/>
      <c r="Z261" s="9" t="b">
        <f t="shared" si="43"/>
        <v>0</v>
      </c>
      <c r="AA261" s="9" t="str">
        <f t="shared" si="56"/>
        <v>3</v>
      </c>
      <c r="AB261" s="196">
        <f t="shared" si="44"/>
        <v>12.2</v>
      </c>
      <c r="AC261" s="9">
        <f>VLOOKUP(AA261,'Federal Standards'!$N$9:$P$50,2,FALSE)</f>
        <v>8.07</v>
      </c>
      <c r="AD261" s="44">
        <f>VLOOKUP(AA261,'Federal Standards'!$N$9:$P$50,3,FALSE)</f>
        <v>233.7</v>
      </c>
      <c r="AE261" s="44">
        <f t="shared" si="45"/>
        <v>332.154</v>
      </c>
      <c r="AF261" s="283">
        <f t="shared" si="46"/>
        <v>-58.846000000000004</v>
      </c>
      <c r="AG261" s="291">
        <f t="shared" si="55"/>
        <v>-0.17716480909457663</v>
      </c>
      <c r="AH261" s="184" t="str">
        <f t="shared" si="47"/>
        <v>NO</v>
      </c>
      <c r="AJ261" s="9" t="str">
        <f t="shared" si="48"/>
        <v>NO</v>
      </c>
      <c r="AK261" s="9" t="str">
        <f t="shared" si="49"/>
        <v>NO</v>
      </c>
      <c r="AL261" s="9" t="str">
        <f t="shared" si="50"/>
        <v>NO</v>
      </c>
      <c r="AM261" s="9" t="str">
        <f t="shared" si="51"/>
        <v>NO</v>
      </c>
      <c r="AN261" s="9" t="str">
        <f t="shared" si="52"/>
        <v>Doesn't meet Standard</v>
      </c>
      <c r="AO261" s="9" t="str">
        <f t="shared" si="53"/>
        <v>3_Doesn't meet Standard</v>
      </c>
      <c r="AP261" s="9" t="str">
        <f t="shared" si="54"/>
        <v>3_NO</v>
      </c>
    </row>
    <row r="262" spans="1:42">
      <c r="A262">
        <v>87144</v>
      </c>
      <c r="B262" t="s">
        <v>4319</v>
      </c>
      <c r="C262" t="s">
        <v>181</v>
      </c>
      <c r="D262" t="s">
        <v>4320</v>
      </c>
      <c r="E262" t="s">
        <v>4108</v>
      </c>
      <c r="F262" t="s">
        <v>162</v>
      </c>
      <c r="G262" t="s">
        <v>4105</v>
      </c>
      <c r="H262"/>
      <c r="I262" t="s">
        <v>4098</v>
      </c>
      <c r="J262" t="b">
        <v>0</v>
      </c>
      <c r="K262" t="b">
        <v>0</v>
      </c>
      <c r="L262" t="b">
        <v>0</v>
      </c>
      <c r="M262"/>
      <c r="N262" t="b">
        <v>0</v>
      </c>
      <c r="O262" t="s">
        <v>4099</v>
      </c>
      <c r="P262">
        <v>7.6</v>
      </c>
      <c r="Q262">
        <v>2.52</v>
      </c>
      <c r="R262">
        <v>10.1</v>
      </c>
      <c r="S262">
        <v>60</v>
      </c>
      <c r="T262">
        <v>24</v>
      </c>
      <c r="U262">
        <v>26</v>
      </c>
      <c r="V262">
        <v>330</v>
      </c>
      <c r="W262" s="281">
        <v>41890</v>
      </c>
      <c r="X262" s="282"/>
      <c r="Z262" s="9" t="b">
        <f t="shared" si="43"/>
        <v>0</v>
      </c>
      <c r="AA262" s="9" t="str">
        <f t="shared" si="56"/>
        <v>3</v>
      </c>
      <c r="AB262" s="196">
        <f t="shared" si="44"/>
        <v>12.0352</v>
      </c>
      <c r="AC262" s="9">
        <f>VLOOKUP(AA262,'Federal Standards'!$N$9:$P$50,2,FALSE)</f>
        <v>8.07</v>
      </c>
      <c r="AD262" s="44">
        <f>VLOOKUP(AA262,'Federal Standards'!$N$9:$P$50,3,FALSE)</f>
        <v>233.7</v>
      </c>
      <c r="AE262" s="44">
        <f t="shared" si="45"/>
        <v>330.82406400000002</v>
      </c>
      <c r="AF262" s="283">
        <f t="shared" si="46"/>
        <v>0.82406400000002122</v>
      </c>
      <c r="AG262" s="291">
        <f t="shared" si="55"/>
        <v>2.4909433432267528E-3</v>
      </c>
      <c r="AH262" s="184" t="str">
        <f t="shared" si="47"/>
        <v>YES</v>
      </c>
      <c r="AJ262" s="9" t="str">
        <f t="shared" si="48"/>
        <v>NO</v>
      </c>
      <c r="AK262" s="9" t="str">
        <f t="shared" si="49"/>
        <v>NO</v>
      </c>
      <c r="AL262" s="9" t="str">
        <f t="shared" si="50"/>
        <v>NO</v>
      </c>
      <c r="AM262" s="9" t="str">
        <f t="shared" si="51"/>
        <v>NO</v>
      </c>
      <c r="AN262" s="9" t="str">
        <f t="shared" si="52"/>
        <v>Less than 10% better than Standard</v>
      </c>
      <c r="AO262" s="9" t="str">
        <f t="shared" si="53"/>
        <v>3_Less than 10% better than Standard</v>
      </c>
      <c r="AP262" s="9" t="str">
        <f t="shared" si="54"/>
        <v>3_NO</v>
      </c>
    </row>
    <row r="263" spans="1:42">
      <c r="A263">
        <v>83084</v>
      </c>
      <c r="B263" t="s">
        <v>4319</v>
      </c>
      <c r="C263" t="s">
        <v>181</v>
      </c>
      <c r="D263" t="s">
        <v>4321</v>
      </c>
      <c r="E263" t="s">
        <v>4130</v>
      </c>
      <c r="F263" t="s">
        <v>188</v>
      </c>
      <c r="G263" t="s">
        <v>4105</v>
      </c>
      <c r="H263"/>
      <c r="I263" t="s">
        <v>4106</v>
      </c>
      <c r="J263"/>
      <c r="K263"/>
      <c r="L263"/>
      <c r="M263"/>
      <c r="N263" t="b">
        <v>0</v>
      </c>
      <c r="O263" t="s">
        <v>4099</v>
      </c>
      <c r="P263">
        <v>1.5</v>
      </c>
      <c r="Q263">
        <v>0.24</v>
      </c>
      <c r="R263">
        <v>1.74</v>
      </c>
      <c r="S263">
        <v>20</v>
      </c>
      <c r="T263">
        <v>19</v>
      </c>
      <c r="U263">
        <v>18</v>
      </c>
      <c r="V263">
        <v>210</v>
      </c>
      <c r="W263" s="281">
        <v>41660</v>
      </c>
      <c r="X263" s="282"/>
      <c r="Z263" s="9" t="b">
        <f t="shared" si="43"/>
        <v>1</v>
      </c>
      <c r="AA263" s="9" t="str">
        <f t="shared" si="56"/>
        <v>11</v>
      </c>
      <c r="AB263" s="196">
        <f t="shared" si="44"/>
        <v>1.8528</v>
      </c>
      <c r="AC263" s="9">
        <f>VLOOKUP(AA263,'Federal Standards'!$N$9:$P$50,2,FALSE)</f>
        <v>9.0299999999999994</v>
      </c>
      <c r="AD263" s="44">
        <f>VLOOKUP(AA263,'Federal Standards'!$N$9:$P$50,3,FALSE)</f>
        <v>252.3</v>
      </c>
      <c r="AE263" s="44">
        <f t="shared" si="45"/>
        <v>269.03078400000004</v>
      </c>
      <c r="AF263" s="283">
        <f t="shared" si="46"/>
        <v>59.03078400000004</v>
      </c>
      <c r="AG263" s="291">
        <f t="shared" si="55"/>
        <v>0.21942018352814238</v>
      </c>
      <c r="AH263" s="184" t="str">
        <f t="shared" si="47"/>
        <v>YES</v>
      </c>
      <c r="AJ263" s="9" t="str">
        <f t="shared" si="48"/>
        <v>YES</v>
      </c>
      <c r="AK263" s="9" t="str">
        <f t="shared" si="49"/>
        <v>NO</v>
      </c>
      <c r="AL263" s="9" t="str">
        <f t="shared" si="50"/>
        <v>NO</v>
      </c>
      <c r="AM263" s="9" t="str">
        <f t="shared" si="51"/>
        <v>YES</v>
      </c>
      <c r="AN263" s="9" t="str">
        <f t="shared" si="52"/>
        <v>Tier 3 - 20%  or better than Standard</v>
      </c>
      <c r="AO263" s="9" t="str">
        <f t="shared" si="53"/>
        <v>11_Tier 3 - 20%  or better than Standard</v>
      </c>
      <c r="AP263" s="9" t="str">
        <f t="shared" si="54"/>
        <v>11_YES</v>
      </c>
    </row>
    <row r="264" spans="1:42">
      <c r="A264">
        <v>83209</v>
      </c>
      <c r="B264" t="s">
        <v>4319</v>
      </c>
      <c r="C264" t="s">
        <v>181</v>
      </c>
      <c r="D264" t="s">
        <v>4322</v>
      </c>
      <c r="E264" t="s">
        <v>4130</v>
      </c>
      <c r="F264" t="s">
        <v>188</v>
      </c>
      <c r="G264" t="s">
        <v>4105</v>
      </c>
      <c r="H264"/>
      <c r="I264" t="s">
        <v>4106</v>
      </c>
      <c r="J264"/>
      <c r="K264"/>
      <c r="L264"/>
      <c r="M264"/>
      <c r="N264" t="b">
        <v>0</v>
      </c>
      <c r="O264" t="s">
        <v>4099</v>
      </c>
      <c r="P264">
        <v>1.5</v>
      </c>
      <c r="Q264">
        <v>0.24</v>
      </c>
      <c r="R264">
        <v>1.74</v>
      </c>
      <c r="S264">
        <v>20</v>
      </c>
      <c r="T264">
        <v>19</v>
      </c>
      <c r="U264">
        <v>18</v>
      </c>
      <c r="V264">
        <v>200</v>
      </c>
      <c r="W264" s="281">
        <v>41709</v>
      </c>
      <c r="X264" s="282"/>
      <c r="Z264" s="9" t="b">
        <f t="shared" si="43"/>
        <v>1</v>
      </c>
      <c r="AA264" s="9" t="str">
        <f t="shared" si="56"/>
        <v>11</v>
      </c>
      <c r="AB264" s="196">
        <f t="shared" si="44"/>
        <v>1.8528</v>
      </c>
      <c r="AC264" s="9">
        <f>VLOOKUP(AA264,'Federal Standards'!$N$9:$P$50,2,FALSE)</f>
        <v>9.0299999999999994</v>
      </c>
      <c r="AD264" s="44">
        <f>VLOOKUP(AA264,'Federal Standards'!$N$9:$P$50,3,FALSE)</f>
        <v>252.3</v>
      </c>
      <c r="AE264" s="44">
        <f t="shared" si="45"/>
        <v>269.03078400000004</v>
      </c>
      <c r="AF264" s="283">
        <f t="shared" si="46"/>
        <v>69.03078400000004</v>
      </c>
      <c r="AG264" s="291">
        <f t="shared" si="55"/>
        <v>0.25659065097918321</v>
      </c>
      <c r="AH264" s="184" t="str">
        <f t="shared" si="47"/>
        <v>YES</v>
      </c>
      <c r="AJ264" s="9" t="str">
        <f t="shared" si="48"/>
        <v>YES</v>
      </c>
      <c r="AK264" s="9" t="str">
        <f t="shared" si="49"/>
        <v>NO</v>
      </c>
      <c r="AL264" s="9" t="str">
        <f t="shared" si="50"/>
        <v>NO</v>
      </c>
      <c r="AM264" s="9" t="str">
        <f t="shared" si="51"/>
        <v>YES</v>
      </c>
      <c r="AN264" s="9" t="str">
        <f t="shared" si="52"/>
        <v>Tier 3 - 20%  or better than Standard</v>
      </c>
      <c r="AO264" s="9" t="str">
        <f t="shared" si="53"/>
        <v>11_Tier 3 - 20%  or better than Standard</v>
      </c>
      <c r="AP264" s="9" t="str">
        <f t="shared" si="54"/>
        <v>11_YES</v>
      </c>
    </row>
    <row r="265" spans="1:42">
      <c r="A265">
        <v>83085</v>
      </c>
      <c r="B265" t="s">
        <v>4319</v>
      </c>
      <c r="C265" t="s">
        <v>181</v>
      </c>
      <c r="D265" t="s">
        <v>4323</v>
      </c>
      <c r="E265" t="s">
        <v>4130</v>
      </c>
      <c r="F265" t="s">
        <v>188</v>
      </c>
      <c r="G265" t="s">
        <v>4105</v>
      </c>
      <c r="H265"/>
      <c r="I265" t="s">
        <v>4106</v>
      </c>
      <c r="J265"/>
      <c r="K265"/>
      <c r="L265"/>
      <c r="M265"/>
      <c r="N265" t="b">
        <v>0</v>
      </c>
      <c r="O265" t="s">
        <v>4099</v>
      </c>
      <c r="P265">
        <v>2.4</v>
      </c>
      <c r="Q265">
        <v>0.28000000000000003</v>
      </c>
      <c r="R265">
        <v>2.7</v>
      </c>
      <c r="S265">
        <v>27</v>
      </c>
      <c r="T265">
        <v>19</v>
      </c>
      <c r="U265">
        <v>18</v>
      </c>
      <c r="V265">
        <v>238</v>
      </c>
      <c r="W265" s="281">
        <v>41660</v>
      </c>
      <c r="X265" s="282"/>
      <c r="Z265" s="9" t="b">
        <f t="shared" si="43"/>
        <v>1</v>
      </c>
      <c r="AA265" s="9" t="str">
        <f t="shared" si="56"/>
        <v>11</v>
      </c>
      <c r="AB265" s="196">
        <f t="shared" si="44"/>
        <v>2.8115999999999999</v>
      </c>
      <c r="AC265" s="9">
        <f>VLOOKUP(AA265,'Federal Standards'!$N$9:$P$50,2,FALSE)</f>
        <v>9.0299999999999994</v>
      </c>
      <c r="AD265" s="44">
        <f>VLOOKUP(AA265,'Federal Standards'!$N$9:$P$50,3,FALSE)</f>
        <v>252.3</v>
      </c>
      <c r="AE265" s="44">
        <f t="shared" si="45"/>
        <v>277.68874800000003</v>
      </c>
      <c r="AF265" s="283">
        <f t="shared" si="46"/>
        <v>39.688748000000032</v>
      </c>
      <c r="AG265" s="291">
        <f t="shared" si="55"/>
        <v>0.14292530138815718</v>
      </c>
      <c r="AH265" s="184" t="str">
        <f t="shared" si="47"/>
        <v>YES</v>
      </c>
      <c r="AJ265" s="9" t="str">
        <f t="shared" si="48"/>
        <v>YES</v>
      </c>
      <c r="AK265" s="9" t="str">
        <f t="shared" si="49"/>
        <v>YES</v>
      </c>
      <c r="AL265" s="9" t="str">
        <f t="shared" si="50"/>
        <v>NO</v>
      </c>
      <c r="AM265" s="9" t="str">
        <f t="shared" si="51"/>
        <v>NO</v>
      </c>
      <c r="AN265" s="9" t="str">
        <f t="shared" si="52"/>
        <v>Tier 1 - 10% to 15% better than Standard</v>
      </c>
      <c r="AO265" s="9" t="str">
        <f t="shared" si="53"/>
        <v>11_Tier 1 - 10% to 15% better than Standard</v>
      </c>
      <c r="AP265" s="9" t="str">
        <f t="shared" si="54"/>
        <v>11_YES</v>
      </c>
    </row>
    <row r="266" spans="1:42">
      <c r="A266">
        <v>87383</v>
      </c>
      <c r="B266" t="s">
        <v>4319</v>
      </c>
      <c r="C266" t="s">
        <v>181</v>
      </c>
      <c r="D266" t="s">
        <v>4324</v>
      </c>
      <c r="E266" t="s">
        <v>4108</v>
      </c>
      <c r="F266" t="s">
        <v>4111</v>
      </c>
      <c r="G266" t="s">
        <v>4105</v>
      </c>
      <c r="H266"/>
      <c r="I266" t="s">
        <v>4098</v>
      </c>
      <c r="J266" t="b">
        <v>0</v>
      </c>
      <c r="K266" t="b">
        <v>1</v>
      </c>
      <c r="L266" t="b">
        <v>0</v>
      </c>
      <c r="M266"/>
      <c r="N266" t="b">
        <v>0</v>
      </c>
      <c r="O266" t="s">
        <v>4099</v>
      </c>
      <c r="P266">
        <v>2.2400000000000002</v>
      </c>
      <c r="Q266">
        <v>0.93</v>
      </c>
      <c r="R266">
        <v>3.2</v>
      </c>
      <c r="S266">
        <v>34</v>
      </c>
      <c r="T266">
        <v>20</v>
      </c>
      <c r="U266">
        <v>21</v>
      </c>
      <c r="V266">
        <v>358</v>
      </c>
      <c r="W266" s="281">
        <v>41892</v>
      </c>
      <c r="X266" s="282"/>
      <c r="Z266" s="9" t="b">
        <f t="shared" ref="Z266:Z329" si="57">IF(R266&lt;7.75,TRUE, FALSE)</f>
        <v>1</v>
      </c>
      <c r="AA266" s="9" t="str">
        <f t="shared" si="56"/>
        <v>12</v>
      </c>
      <c r="AB266" s="196">
        <f t="shared" ref="AB266:AB329" si="58">IF(OR(E266="Internal Freezer",E266 = "Single Door"),P266 + Q266*1.47,P266 + Q266*1.76)</f>
        <v>3.8768000000000002</v>
      </c>
      <c r="AC266" s="9">
        <f>VLOOKUP(AA266,'Federal Standards'!$N$9:$P$50,2,FALSE)</f>
        <v>5.91</v>
      </c>
      <c r="AD266" s="44">
        <f>VLOOKUP(AA266,'Federal Standards'!$N$9:$P$50,3,FALSE)</f>
        <v>335.8</v>
      </c>
      <c r="AE266" s="44">
        <f t="shared" ref="AE266:AE329" si="59">AB266*AC266+AD266</f>
        <v>358.71188799999999</v>
      </c>
      <c r="AF266" s="283">
        <f t="shared" ref="AF266:AF329" si="60">IF($AF$2,AE266-V266,MAX(0,AE266-V266))</f>
        <v>0.71188799999998764</v>
      </c>
      <c r="AG266" s="291">
        <f t="shared" si="55"/>
        <v>1.9845676260386099E-3</v>
      </c>
      <c r="AH266" s="184" t="str">
        <f t="shared" ref="AH266:AH329" si="61">IF(AF266&gt;=0,"YES","NO")</f>
        <v>YES</v>
      </c>
      <c r="AJ266" s="9" t="str">
        <f t="shared" ref="AJ266:AJ329" si="62">IF(AG266&gt;=0.1,"YES","NO")</f>
        <v>NO</v>
      </c>
      <c r="AK266" s="9" t="str">
        <f t="shared" ref="AK266:AK329" si="63">IF(AND($AG266&gt;=0.1,$AG266&lt;0.15),"YES","NO")</f>
        <v>NO</v>
      </c>
      <c r="AL266" s="9" t="str">
        <f t="shared" ref="AL266:AL329" si="64">IF(AND($AG266&gt;=0.15,$AG266&lt;0.2),"YES","NO")</f>
        <v>NO</v>
      </c>
      <c r="AM266" s="9" t="str">
        <f t="shared" ref="AM266:AM329" si="65">IF($AG266&gt;=0.2,"YES","NO")</f>
        <v>NO</v>
      </c>
      <c r="AN266" s="9" t="str">
        <f t="shared" ref="AN266:AN329" si="66">VLOOKUP(AG266,$AO$2:$AP$6,2,TRUE)</f>
        <v>Less than 10% better than Standard</v>
      </c>
      <c r="AO266" s="9" t="str">
        <f t="shared" ref="AO266:AO329" si="67">AA266&amp;"_"&amp;AN266</f>
        <v>12_Less than 10% better than Standard</v>
      </c>
      <c r="AP266" s="9" t="str">
        <f t="shared" ref="AP266:AP329" si="68">CONCATENATE(AA266,"_",AJ266)</f>
        <v>12_NO</v>
      </c>
    </row>
    <row r="267" spans="1:42">
      <c r="A267">
        <v>83220</v>
      </c>
      <c r="B267" t="s">
        <v>4319</v>
      </c>
      <c r="C267" t="s">
        <v>181</v>
      </c>
      <c r="D267" t="s">
        <v>4325</v>
      </c>
      <c r="E267" t="s">
        <v>4115</v>
      </c>
      <c r="F267" t="s">
        <v>188</v>
      </c>
      <c r="G267" t="s">
        <v>184</v>
      </c>
      <c r="H267"/>
      <c r="I267" t="s">
        <v>4106</v>
      </c>
      <c r="J267"/>
      <c r="K267"/>
      <c r="L267"/>
      <c r="M267"/>
      <c r="N267" t="b">
        <v>0</v>
      </c>
      <c r="O267" t="s">
        <v>4099</v>
      </c>
      <c r="P267">
        <v>3.2</v>
      </c>
      <c r="Q267"/>
      <c r="R267">
        <v>3.2</v>
      </c>
      <c r="S267">
        <v>32</v>
      </c>
      <c r="T267">
        <v>18</v>
      </c>
      <c r="U267">
        <v>20</v>
      </c>
      <c r="V267">
        <v>243</v>
      </c>
      <c r="W267" s="281">
        <v>41715</v>
      </c>
      <c r="X267" s="282"/>
      <c r="Z267" s="9" t="b">
        <f t="shared" si="57"/>
        <v>1</v>
      </c>
      <c r="AA267" s="9" t="str">
        <f t="shared" si="56"/>
        <v>11A</v>
      </c>
      <c r="AB267" s="196">
        <f t="shared" si="58"/>
        <v>3.2</v>
      </c>
      <c r="AC267" s="9">
        <f>VLOOKUP(AA267,'Federal Standards'!$N$9:$P$50,2,FALSE)</f>
        <v>7.84</v>
      </c>
      <c r="AD267" s="44">
        <f>VLOOKUP(AA267,'Federal Standards'!$N$9:$P$50,3,FALSE)</f>
        <v>219.1</v>
      </c>
      <c r="AE267" s="44">
        <f t="shared" si="59"/>
        <v>244.18799999999999</v>
      </c>
      <c r="AF267" s="283">
        <f t="shared" si="60"/>
        <v>1.1879999999999882</v>
      </c>
      <c r="AG267" s="291">
        <f t="shared" si="55"/>
        <v>4.8651039363113184E-3</v>
      </c>
      <c r="AH267" s="184" t="str">
        <f t="shared" si="61"/>
        <v>YES</v>
      </c>
      <c r="AJ267" s="9" t="str">
        <f t="shared" si="62"/>
        <v>NO</v>
      </c>
      <c r="AK267" s="9" t="str">
        <f t="shared" si="63"/>
        <v>NO</v>
      </c>
      <c r="AL267" s="9" t="str">
        <f t="shared" si="64"/>
        <v>NO</v>
      </c>
      <c r="AM267" s="9" t="str">
        <f t="shared" si="65"/>
        <v>NO</v>
      </c>
      <c r="AN267" s="9" t="str">
        <f t="shared" si="66"/>
        <v>Less than 10% better than Standard</v>
      </c>
      <c r="AO267" s="9" t="str">
        <f t="shared" si="67"/>
        <v>11A_Less than 10% better than Standard</v>
      </c>
      <c r="AP267" s="9" t="str">
        <f t="shared" si="68"/>
        <v>11A_NO</v>
      </c>
    </row>
    <row r="268" spans="1:42">
      <c r="A268">
        <v>83244</v>
      </c>
      <c r="B268" t="s">
        <v>4319</v>
      </c>
      <c r="C268" t="s">
        <v>181</v>
      </c>
      <c r="D268" t="s">
        <v>4326</v>
      </c>
      <c r="E268" t="s">
        <v>4130</v>
      </c>
      <c r="F268" t="s">
        <v>188</v>
      </c>
      <c r="G268" t="s">
        <v>4105</v>
      </c>
      <c r="H268"/>
      <c r="I268" t="s">
        <v>4106</v>
      </c>
      <c r="J268"/>
      <c r="K268"/>
      <c r="L268"/>
      <c r="M268"/>
      <c r="N268" t="b">
        <v>0</v>
      </c>
      <c r="O268" t="s">
        <v>4099</v>
      </c>
      <c r="P268">
        <v>2.9</v>
      </c>
      <c r="Q268">
        <v>0.3</v>
      </c>
      <c r="R268">
        <v>3.2</v>
      </c>
      <c r="S268">
        <v>32</v>
      </c>
      <c r="T268">
        <v>18</v>
      </c>
      <c r="U268">
        <v>20</v>
      </c>
      <c r="V268">
        <v>243</v>
      </c>
      <c r="W268" s="281">
        <v>41726</v>
      </c>
      <c r="X268" s="282"/>
      <c r="Z268" s="9" t="b">
        <f t="shared" si="57"/>
        <v>1</v>
      </c>
      <c r="AA268" s="9" t="str">
        <f t="shared" si="56"/>
        <v>11</v>
      </c>
      <c r="AB268" s="196">
        <f t="shared" si="58"/>
        <v>3.3409999999999997</v>
      </c>
      <c r="AC268" s="9">
        <f>VLOOKUP(AA268,'Federal Standards'!$N$9:$P$50,2,FALSE)</f>
        <v>9.0299999999999994</v>
      </c>
      <c r="AD268" s="44">
        <f>VLOOKUP(AA268,'Federal Standards'!$N$9:$P$50,3,FALSE)</f>
        <v>252.3</v>
      </c>
      <c r="AE268" s="44">
        <f t="shared" si="59"/>
        <v>282.46922999999998</v>
      </c>
      <c r="AF268" s="283">
        <f t="shared" si="60"/>
        <v>39.469229999999982</v>
      </c>
      <c r="AG268" s="291">
        <f t="shared" ref="AG268:AG331" si="69">AF268/AE268</f>
        <v>0.13972930786124912</v>
      </c>
      <c r="AH268" s="184" t="str">
        <f t="shared" si="61"/>
        <v>YES</v>
      </c>
      <c r="AJ268" s="9" t="str">
        <f t="shared" si="62"/>
        <v>YES</v>
      </c>
      <c r="AK268" s="9" t="str">
        <f t="shared" si="63"/>
        <v>YES</v>
      </c>
      <c r="AL268" s="9" t="str">
        <f t="shared" si="64"/>
        <v>NO</v>
      </c>
      <c r="AM268" s="9" t="str">
        <f t="shared" si="65"/>
        <v>NO</v>
      </c>
      <c r="AN268" s="9" t="str">
        <f t="shared" si="66"/>
        <v>Tier 1 - 10% to 15% better than Standard</v>
      </c>
      <c r="AO268" s="9" t="str">
        <f t="shared" si="67"/>
        <v>11_Tier 1 - 10% to 15% better than Standard</v>
      </c>
      <c r="AP268" s="9" t="str">
        <f t="shared" si="68"/>
        <v>11_YES</v>
      </c>
    </row>
    <row r="269" spans="1:42">
      <c r="A269">
        <v>83031</v>
      </c>
      <c r="B269" t="s">
        <v>4319</v>
      </c>
      <c r="C269" t="s">
        <v>181</v>
      </c>
      <c r="D269" t="s">
        <v>4959</v>
      </c>
      <c r="E269" t="s">
        <v>4104</v>
      </c>
      <c r="F269" t="s">
        <v>4111</v>
      </c>
      <c r="G269" t="s">
        <v>4105</v>
      </c>
      <c r="H269"/>
      <c r="I269" t="s">
        <v>4106</v>
      </c>
      <c r="J269"/>
      <c r="K269"/>
      <c r="L269"/>
      <c r="M269"/>
      <c r="N269" t="b">
        <v>0</v>
      </c>
      <c r="O269" t="s">
        <v>4099</v>
      </c>
      <c r="P269">
        <v>2.2999999999999998</v>
      </c>
      <c r="Q269">
        <v>1</v>
      </c>
      <c r="R269">
        <v>3.3</v>
      </c>
      <c r="S269">
        <v>34</v>
      </c>
      <c r="T269">
        <v>20</v>
      </c>
      <c r="U269">
        <v>20</v>
      </c>
      <c r="V269">
        <v>420</v>
      </c>
      <c r="W269" s="281">
        <v>41638</v>
      </c>
      <c r="X269" s="282"/>
      <c r="Z269" s="9" t="b">
        <f t="shared" si="57"/>
        <v>1</v>
      </c>
      <c r="AA269" s="9" t="str">
        <f t="shared" si="56"/>
        <v>12</v>
      </c>
      <c r="AB269" s="196">
        <f t="shared" si="58"/>
        <v>4.0599999999999996</v>
      </c>
      <c r="AC269" s="9">
        <f>VLOOKUP(AA269,'Federal Standards'!$N$9:$P$50,2,FALSE)</f>
        <v>5.91</v>
      </c>
      <c r="AD269" s="44">
        <f>VLOOKUP(AA269,'Federal Standards'!$N$9:$P$50,3,FALSE)</f>
        <v>335.8</v>
      </c>
      <c r="AE269" s="44">
        <f t="shared" si="59"/>
        <v>359.7946</v>
      </c>
      <c r="AF269" s="283">
        <f t="shared" si="60"/>
        <v>-60.205399999999997</v>
      </c>
      <c r="AG269" s="291">
        <f t="shared" si="69"/>
        <v>-0.16733269482087834</v>
      </c>
      <c r="AH269" s="184" t="str">
        <f t="shared" si="61"/>
        <v>NO</v>
      </c>
      <c r="AJ269" s="9" t="str">
        <f t="shared" si="62"/>
        <v>NO</v>
      </c>
      <c r="AK269" s="9" t="str">
        <f t="shared" si="63"/>
        <v>NO</v>
      </c>
      <c r="AL269" s="9" t="str">
        <f t="shared" si="64"/>
        <v>NO</v>
      </c>
      <c r="AM269" s="9" t="str">
        <f t="shared" si="65"/>
        <v>NO</v>
      </c>
      <c r="AN269" s="9" t="str">
        <f t="shared" si="66"/>
        <v>Doesn't meet Standard</v>
      </c>
      <c r="AO269" s="9" t="str">
        <f t="shared" si="67"/>
        <v>12_Doesn't meet Standard</v>
      </c>
      <c r="AP269" s="9" t="str">
        <f t="shared" si="68"/>
        <v>12_NO</v>
      </c>
    </row>
    <row r="270" spans="1:42">
      <c r="A270">
        <v>83245</v>
      </c>
      <c r="B270" t="s">
        <v>4319</v>
      </c>
      <c r="C270" t="s">
        <v>181</v>
      </c>
      <c r="D270" t="s">
        <v>4327</v>
      </c>
      <c r="E270" t="s">
        <v>4130</v>
      </c>
      <c r="F270" t="s">
        <v>188</v>
      </c>
      <c r="G270" t="s">
        <v>4105</v>
      </c>
      <c r="H270"/>
      <c r="I270" t="s">
        <v>4106</v>
      </c>
      <c r="J270"/>
      <c r="K270"/>
      <c r="L270"/>
      <c r="M270"/>
      <c r="N270" t="b">
        <v>0</v>
      </c>
      <c r="O270" t="s">
        <v>4099</v>
      </c>
      <c r="P270">
        <v>3.78</v>
      </c>
      <c r="Q270">
        <v>0.26</v>
      </c>
      <c r="R270">
        <v>4.04</v>
      </c>
      <c r="S270">
        <v>34</v>
      </c>
      <c r="T270">
        <v>19</v>
      </c>
      <c r="U270">
        <v>21</v>
      </c>
      <c r="V270">
        <v>249</v>
      </c>
      <c r="W270" s="281">
        <v>41726</v>
      </c>
      <c r="X270" s="282"/>
      <c r="Z270" s="9" t="b">
        <f t="shared" si="57"/>
        <v>1</v>
      </c>
      <c r="AA270" s="9" t="str">
        <f t="shared" si="56"/>
        <v>11</v>
      </c>
      <c r="AB270" s="196">
        <f t="shared" si="58"/>
        <v>4.1621999999999995</v>
      </c>
      <c r="AC270" s="9">
        <f>VLOOKUP(AA270,'Federal Standards'!$N$9:$P$50,2,FALSE)</f>
        <v>9.0299999999999994</v>
      </c>
      <c r="AD270" s="44">
        <f>VLOOKUP(AA270,'Federal Standards'!$N$9:$P$50,3,FALSE)</f>
        <v>252.3</v>
      </c>
      <c r="AE270" s="44">
        <f t="shared" si="59"/>
        <v>289.88466599999998</v>
      </c>
      <c r="AF270" s="283">
        <f t="shared" si="60"/>
        <v>40.884665999999982</v>
      </c>
      <c r="AG270" s="291">
        <f t="shared" si="69"/>
        <v>0.14103769807541316</v>
      </c>
      <c r="AH270" s="184" t="str">
        <f t="shared" si="61"/>
        <v>YES</v>
      </c>
      <c r="AJ270" s="9" t="str">
        <f t="shared" si="62"/>
        <v>YES</v>
      </c>
      <c r="AK270" s="9" t="str">
        <f t="shared" si="63"/>
        <v>YES</v>
      </c>
      <c r="AL270" s="9" t="str">
        <f t="shared" si="64"/>
        <v>NO</v>
      </c>
      <c r="AM270" s="9" t="str">
        <f t="shared" si="65"/>
        <v>NO</v>
      </c>
      <c r="AN270" s="9" t="str">
        <f t="shared" si="66"/>
        <v>Tier 1 - 10% to 15% better than Standard</v>
      </c>
      <c r="AO270" s="9" t="str">
        <f t="shared" si="67"/>
        <v>11_Tier 1 - 10% to 15% better than Standard</v>
      </c>
      <c r="AP270" s="9" t="str">
        <f t="shared" si="68"/>
        <v>11_YES</v>
      </c>
    </row>
    <row r="271" spans="1:42">
      <c r="A271">
        <v>83221</v>
      </c>
      <c r="B271" t="s">
        <v>4319</v>
      </c>
      <c r="C271" t="s">
        <v>181</v>
      </c>
      <c r="D271" t="s">
        <v>4328</v>
      </c>
      <c r="E271" t="s">
        <v>4130</v>
      </c>
      <c r="F271" t="s">
        <v>188</v>
      </c>
      <c r="G271" t="s">
        <v>4105</v>
      </c>
      <c r="H271"/>
      <c r="I271" t="s">
        <v>4106</v>
      </c>
      <c r="J271"/>
      <c r="K271"/>
      <c r="L271"/>
      <c r="M271"/>
      <c r="N271" t="b">
        <v>0</v>
      </c>
      <c r="O271" t="s">
        <v>4099</v>
      </c>
      <c r="P271">
        <v>4.24</v>
      </c>
      <c r="Q271">
        <v>0.25</v>
      </c>
      <c r="R271">
        <v>4.5</v>
      </c>
      <c r="S271">
        <v>33</v>
      </c>
      <c r="T271">
        <v>21</v>
      </c>
      <c r="U271">
        <v>23</v>
      </c>
      <c r="V271">
        <v>253</v>
      </c>
      <c r="W271" s="281">
        <v>41715</v>
      </c>
      <c r="X271" s="282"/>
      <c r="Z271" s="9" t="b">
        <f t="shared" si="57"/>
        <v>1</v>
      </c>
      <c r="AA271" s="9" t="str">
        <f t="shared" si="56"/>
        <v>11</v>
      </c>
      <c r="AB271" s="196">
        <f t="shared" si="58"/>
        <v>4.6074999999999999</v>
      </c>
      <c r="AC271" s="9">
        <f>VLOOKUP(AA271,'Federal Standards'!$N$9:$P$50,2,FALSE)</f>
        <v>9.0299999999999994</v>
      </c>
      <c r="AD271" s="44">
        <f>VLOOKUP(AA271,'Federal Standards'!$N$9:$P$50,3,FALSE)</f>
        <v>252.3</v>
      </c>
      <c r="AE271" s="44">
        <f t="shared" si="59"/>
        <v>293.90572500000002</v>
      </c>
      <c r="AF271" s="283">
        <f t="shared" si="60"/>
        <v>40.905725000000018</v>
      </c>
      <c r="AG271" s="291">
        <f t="shared" si="69"/>
        <v>0.13917974888035956</v>
      </c>
      <c r="AH271" s="184" t="str">
        <f t="shared" si="61"/>
        <v>YES</v>
      </c>
      <c r="AJ271" s="9" t="str">
        <f t="shared" si="62"/>
        <v>YES</v>
      </c>
      <c r="AK271" s="9" t="str">
        <f t="shared" si="63"/>
        <v>YES</v>
      </c>
      <c r="AL271" s="9" t="str">
        <f t="shared" si="64"/>
        <v>NO</v>
      </c>
      <c r="AM271" s="9" t="str">
        <f t="shared" si="65"/>
        <v>NO</v>
      </c>
      <c r="AN271" s="9" t="str">
        <f t="shared" si="66"/>
        <v>Tier 1 - 10% to 15% better than Standard</v>
      </c>
      <c r="AO271" s="9" t="str">
        <f t="shared" si="67"/>
        <v>11_Tier 1 - 10% to 15% better than Standard</v>
      </c>
      <c r="AP271" s="9" t="str">
        <f t="shared" si="68"/>
        <v>11_YES</v>
      </c>
    </row>
    <row r="272" spans="1:42">
      <c r="A272">
        <v>85640</v>
      </c>
      <c r="B272" t="s">
        <v>4319</v>
      </c>
      <c r="C272" t="s">
        <v>181</v>
      </c>
      <c r="D272" t="s">
        <v>4329</v>
      </c>
      <c r="E272" t="s">
        <v>190</v>
      </c>
      <c r="F272" t="s">
        <v>188</v>
      </c>
      <c r="G272" t="s">
        <v>189</v>
      </c>
      <c r="H272"/>
      <c r="I272" t="s">
        <v>4098</v>
      </c>
      <c r="J272" t="b">
        <v>0</v>
      </c>
      <c r="K272" t="b">
        <v>1</v>
      </c>
      <c r="L272"/>
      <c r="M272"/>
      <c r="N272" t="b">
        <v>0</v>
      </c>
      <c r="O272" t="s">
        <v>4099</v>
      </c>
      <c r="P272"/>
      <c r="Q272">
        <v>5</v>
      </c>
      <c r="R272">
        <v>5</v>
      </c>
      <c r="S272">
        <v>34</v>
      </c>
      <c r="T272">
        <v>29</v>
      </c>
      <c r="U272">
        <v>22</v>
      </c>
      <c r="V272">
        <v>216</v>
      </c>
      <c r="W272" s="281">
        <v>41843</v>
      </c>
      <c r="X272" s="282"/>
      <c r="Z272" s="9" t="b">
        <f t="shared" si="57"/>
        <v>1</v>
      </c>
      <c r="AA272" s="9" t="str">
        <f t="shared" si="56"/>
        <v>18</v>
      </c>
      <c r="AB272" s="196">
        <f t="shared" si="58"/>
        <v>8.8000000000000007</v>
      </c>
      <c r="AC272" s="9">
        <f>VLOOKUP(AA272,'Federal Standards'!$N$9:$P$50,2,FALSE)</f>
        <v>9.25</v>
      </c>
      <c r="AD272" s="44">
        <f>VLOOKUP(AA272,'Federal Standards'!$N$9:$P$50,3,FALSE)</f>
        <v>136.80000000000001</v>
      </c>
      <c r="AE272" s="44">
        <f t="shared" si="59"/>
        <v>218.20000000000002</v>
      </c>
      <c r="AF272" s="283">
        <f t="shared" si="60"/>
        <v>2.2000000000000171</v>
      </c>
      <c r="AG272" s="291">
        <f t="shared" si="69"/>
        <v>1.0082493125572946E-2</v>
      </c>
      <c r="AH272" s="184" t="str">
        <f t="shared" si="61"/>
        <v>YES</v>
      </c>
      <c r="AJ272" s="9" t="str">
        <f t="shared" si="62"/>
        <v>NO</v>
      </c>
      <c r="AK272" s="9" t="str">
        <f t="shared" si="63"/>
        <v>NO</v>
      </c>
      <c r="AL272" s="9" t="str">
        <f t="shared" si="64"/>
        <v>NO</v>
      </c>
      <c r="AM272" s="9" t="str">
        <f t="shared" si="65"/>
        <v>NO</v>
      </c>
      <c r="AN272" s="9" t="str">
        <f t="shared" si="66"/>
        <v>Less than 10% better than Standard</v>
      </c>
      <c r="AO272" s="9" t="str">
        <f t="shared" si="67"/>
        <v>18_Less than 10% better than Standard</v>
      </c>
      <c r="AP272" s="9" t="str">
        <f t="shared" si="68"/>
        <v>18_NO</v>
      </c>
    </row>
    <row r="273" spans="1:42">
      <c r="A273">
        <v>83030</v>
      </c>
      <c r="B273" t="s">
        <v>4319</v>
      </c>
      <c r="C273" t="s">
        <v>181</v>
      </c>
      <c r="D273" t="s">
        <v>4960</v>
      </c>
      <c r="E273" t="s">
        <v>190</v>
      </c>
      <c r="F273" t="s">
        <v>188</v>
      </c>
      <c r="G273" t="s">
        <v>189</v>
      </c>
      <c r="H273"/>
      <c r="I273" t="s">
        <v>4106</v>
      </c>
      <c r="J273"/>
      <c r="K273"/>
      <c r="L273"/>
      <c r="M273"/>
      <c r="N273" t="b">
        <v>0</v>
      </c>
      <c r="O273" t="s">
        <v>4099</v>
      </c>
      <c r="P273"/>
      <c r="Q273">
        <v>5</v>
      </c>
      <c r="R273">
        <v>5</v>
      </c>
      <c r="S273">
        <v>34</v>
      </c>
      <c r="T273">
        <v>29</v>
      </c>
      <c r="U273">
        <v>23</v>
      </c>
      <c r="V273">
        <v>240</v>
      </c>
      <c r="W273" s="281">
        <v>41638</v>
      </c>
      <c r="X273" s="282"/>
      <c r="Z273" s="9" t="b">
        <f t="shared" si="57"/>
        <v>1</v>
      </c>
      <c r="AA273" s="9" t="str">
        <f t="shared" si="56"/>
        <v>18</v>
      </c>
      <c r="AB273" s="196">
        <f t="shared" si="58"/>
        <v>8.8000000000000007</v>
      </c>
      <c r="AC273" s="9">
        <f>VLOOKUP(AA273,'Federal Standards'!$N$9:$P$50,2,FALSE)</f>
        <v>9.25</v>
      </c>
      <c r="AD273" s="44">
        <f>VLOOKUP(AA273,'Federal Standards'!$N$9:$P$50,3,FALSE)</f>
        <v>136.80000000000001</v>
      </c>
      <c r="AE273" s="44">
        <f t="shared" si="59"/>
        <v>218.20000000000002</v>
      </c>
      <c r="AF273" s="283">
        <f t="shared" si="60"/>
        <v>-21.799999999999983</v>
      </c>
      <c r="AG273" s="291">
        <f t="shared" si="69"/>
        <v>-9.9908340971585616E-2</v>
      </c>
      <c r="AH273" s="184" t="str">
        <f t="shared" si="61"/>
        <v>NO</v>
      </c>
      <c r="AJ273" s="9" t="str">
        <f t="shared" si="62"/>
        <v>NO</v>
      </c>
      <c r="AK273" s="9" t="str">
        <f t="shared" si="63"/>
        <v>NO</v>
      </c>
      <c r="AL273" s="9" t="str">
        <f t="shared" si="64"/>
        <v>NO</v>
      </c>
      <c r="AM273" s="9" t="str">
        <f t="shared" si="65"/>
        <v>NO</v>
      </c>
      <c r="AN273" s="9" t="str">
        <f t="shared" si="66"/>
        <v>Doesn't meet Standard</v>
      </c>
      <c r="AO273" s="9" t="str">
        <f t="shared" si="67"/>
        <v>18_Doesn't meet Standard</v>
      </c>
      <c r="AP273" s="9" t="str">
        <f t="shared" si="68"/>
        <v>18_NO</v>
      </c>
    </row>
    <row r="274" spans="1:42">
      <c r="A274">
        <v>85641</v>
      </c>
      <c r="B274" t="s">
        <v>4319</v>
      </c>
      <c r="C274" t="s">
        <v>181</v>
      </c>
      <c r="D274" t="s">
        <v>4330</v>
      </c>
      <c r="E274" t="s">
        <v>190</v>
      </c>
      <c r="F274" t="s">
        <v>188</v>
      </c>
      <c r="G274" t="s">
        <v>189</v>
      </c>
      <c r="H274"/>
      <c r="I274" t="s">
        <v>4098</v>
      </c>
      <c r="J274" t="b">
        <v>0</v>
      </c>
      <c r="K274" t="b">
        <v>1</v>
      </c>
      <c r="L274"/>
      <c r="M274"/>
      <c r="N274" t="b">
        <v>0</v>
      </c>
      <c r="O274" t="s">
        <v>4099</v>
      </c>
      <c r="P274"/>
      <c r="Q274">
        <v>7.1</v>
      </c>
      <c r="R274">
        <v>7.1</v>
      </c>
      <c r="S274">
        <v>34</v>
      </c>
      <c r="T274">
        <v>37</v>
      </c>
      <c r="U274">
        <v>22</v>
      </c>
      <c r="V274">
        <v>248</v>
      </c>
      <c r="W274" s="281">
        <v>41843</v>
      </c>
      <c r="X274" s="282"/>
      <c r="Z274" s="9" t="b">
        <f t="shared" si="57"/>
        <v>1</v>
      </c>
      <c r="AA274" s="9" t="str">
        <f t="shared" si="56"/>
        <v>18</v>
      </c>
      <c r="AB274" s="196">
        <f t="shared" si="58"/>
        <v>12.495999999999999</v>
      </c>
      <c r="AC274" s="9">
        <f>VLOOKUP(AA274,'Federal Standards'!$N$9:$P$50,2,FALSE)</f>
        <v>9.25</v>
      </c>
      <c r="AD274" s="44">
        <f>VLOOKUP(AA274,'Federal Standards'!$N$9:$P$50,3,FALSE)</f>
        <v>136.80000000000001</v>
      </c>
      <c r="AE274" s="44">
        <f t="shared" si="59"/>
        <v>252.38800000000001</v>
      </c>
      <c r="AF274" s="283">
        <f t="shared" si="60"/>
        <v>4.3880000000000052</v>
      </c>
      <c r="AG274" s="291">
        <f t="shared" si="69"/>
        <v>1.738592960045646E-2</v>
      </c>
      <c r="AH274" s="184" t="str">
        <f t="shared" si="61"/>
        <v>YES</v>
      </c>
      <c r="AJ274" s="9" t="str">
        <f t="shared" si="62"/>
        <v>NO</v>
      </c>
      <c r="AK274" s="9" t="str">
        <f t="shared" si="63"/>
        <v>NO</v>
      </c>
      <c r="AL274" s="9" t="str">
        <f t="shared" si="64"/>
        <v>NO</v>
      </c>
      <c r="AM274" s="9" t="str">
        <f t="shared" si="65"/>
        <v>NO</v>
      </c>
      <c r="AN274" s="9" t="str">
        <f t="shared" si="66"/>
        <v>Less than 10% better than Standard</v>
      </c>
      <c r="AO274" s="9" t="str">
        <f t="shared" si="67"/>
        <v>18_Less than 10% better than Standard</v>
      </c>
      <c r="AP274" s="9" t="str">
        <f t="shared" si="68"/>
        <v>18_NO</v>
      </c>
    </row>
    <row r="275" spans="1:42">
      <c r="A275">
        <v>87146</v>
      </c>
      <c r="B275" t="s">
        <v>4319</v>
      </c>
      <c r="C275" t="s">
        <v>181</v>
      </c>
      <c r="D275" t="s">
        <v>4331</v>
      </c>
      <c r="E275" t="s">
        <v>4108</v>
      </c>
      <c r="F275" t="s">
        <v>162</v>
      </c>
      <c r="G275" t="s">
        <v>4105</v>
      </c>
      <c r="H275"/>
      <c r="I275" t="s">
        <v>4098</v>
      </c>
      <c r="J275" t="b">
        <v>0</v>
      </c>
      <c r="K275" t="b">
        <v>0</v>
      </c>
      <c r="L275" t="b">
        <v>0</v>
      </c>
      <c r="M275"/>
      <c r="N275" t="b">
        <v>0</v>
      </c>
      <c r="O275" t="s">
        <v>4099</v>
      </c>
      <c r="P275">
        <v>13.34</v>
      </c>
      <c r="Q275">
        <v>4.74</v>
      </c>
      <c r="R275">
        <v>18.100000000000001</v>
      </c>
      <c r="S275">
        <v>66</v>
      </c>
      <c r="T275">
        <v>30</v>
      </c>
      <c r="U275">
        <v>31</v>
      </c>
      <c r="V275">
        <v>409</v>
      </c>
      <c r="W275" s="281">
        <v>41890</v>
      </c>
      <c r="X275" s="282"/>
      <c r="Z275" s="9" t="b">
        <f t="shared" si="57"/>
        <v>0</v>
      </c>
      <c r="AA275" s="9" t="str">
        <f t="shared" si="56"/>
        <v>3</v>
      </c>
      <c r="AB275" s="196">
        <f t="shared" si="58"/>
        <v>21.682400000000001</v>
      </c>
      <c r="AC275" s="9">
        <f>VLOOKUP(AA275,'Federal Standards'!$N$9:$P$50,2,FALSE)</f>
        <v>8.07</v>
      </c>
      <c r="AD275" s="44">
        <f>VLOOKUP(AA275,'Federal Standards'!$N$9:$P$50,3,FALSE)</f>
        <v>233.7</v>
      </c>
      <c r="AE275" s="44">
        <f t="shared" si="59"/>
        <v>408.67696799999999</v>
      </c>
      <c r="AF275" s="283">
        <f t="shared" si="60"/>
        <v>-0.32303200000001198</v>
      </c>
      <c r="AG275" s="291">
        <f t="shared" si="69"/>
        <v>-7.9043358274110515E-4</v>
      </c>
      <c r="AH275" s="184" t="str">
        <f t="shared" si="61"/>
        <v>NO</v>
      </c>
      <c r="AJ275" s="9" t="str">
        <f t="shared" si="62"/>
        <v>NO</v>
      </c>
      <c r="AK275" s="9" t="str">
        <f t="shared" si="63"/>
        <v>NO</v>
      </c>
      <c r="AL275" s="9" t="str">
        <f t="shared" si="64"/>
        <v>NO</v>
      </c>
      <c r="AM275" s="9" t="str">
        <f t="shared" si="65"/>
        <v>NO</v>
      </c>
      <c r="AN275" s="9" t="str">
        <f t="shared" si="66"/>
        <v>Doesn't meet Standard</v>
      </c>
      <c r="AO275" s="9" t="str">
        <f t="shared" si="67"/>
        <v>3_Doesn't meet Standard</v>
      </c>
      <c r="AP275" s="9" t="str">
        <f t="shared" si="68"/>
        <v>3_NO</v>
      </c>
    </row>
    <row r="276" spans="1:42">
      <c r="A276">
        <v>87148</v>
      </c>
      <c r="B276" t="s">
        <v>4319</v>
      </c>
      <c r="C276" t="s">
        <v>181</v>
      </c>
      <c r="D276" t="s">
        <v>1320</v>
      </c>
      <c r="E276" t="s">
        <v>4108</v>
      </c>
      <c r="F276" t="s">
        <v>162</v>
      </c>
      <c r="G276" t="s">
        <v>4105</v>
      </c>
      <c r="H276"/>
      <c r="I276" t="s">
        <v>4098</v>
      </c>
      <c r="J276" t="b">
        <v>0</v>
      </c>
      <c r="K276" t="b">
        <v>0</v>
      </c>
      <c r="L276" t="b">
        <v>0</v>
      </c>
      <c r="M276"/>
      <c r="N276" t="b">
        <v>0</v>
      </c>
      <c r="O276" t="s">
        <v>4099</v>
      </c>
      <c r="P276">
        <v>13.34</v>
      </c>
      <c r="Q276">
        <v>4.74</v>
      </c>
      <c r="R276">
        <v>18.100000000000001</v>
      </c>
      <c r="S276">
        <v>66</v>
      </c>
      <c r="T276">
        <v>30</v>
      </c>
      <c r="U276">
        <v>31</v>
      </c>
      <c r="V276">
        <v>368</v>
      </c>
      <c r="W276" s="281">
        <v>41890</v>
      </c>
      <c r="X276" s="282"/>
      <c r="Z276" s="9" t="b">
        <f t="shared" si="57"/>
        <v>0</v>
      </c>
      <c r="AA276" s="9" t="str">
        <f t="shared" si="56"/>
        <v>3</v>
      </c>
      <c r="AB276" s="196">
        <f t="shared" si="58"/>
        <v>21.682400000000001</v>
      </c>
      <c r="AC276" s="9">
        <f>VLOOKUP(AA276,'Federal Standards'!$N$9:$P$50,2,FALSE)</f>
        <v>8.07</v>
      </c>
      <c r="AD276" s="44">
        <f>VLOOKUP(AA276,'Federal Standards'!$N$9:$P$50,3,FALSE)</f>
        <v>233.7</v>
      </c>
      <c r="AE276" s="44">
        <f t="shared" si="59"/>
        <v>408.67696799999999</v>
      </c>
      <c r="AF276" s="283">
        <f t="shared" si="60"/>
        <v>40.676967999999988</v>
      </c>
      <c r="AG276" s="291">
        <f t="shared" si="69"/>
        <v>9.9533301813083799E-2</v>
      </c>
      <c r="AH276" s="184" t="str">
        <f t="shared" si="61"/>
        <v>YES</v>
      </c>
      <c r="AJ276" s="9" t="str">
        <f t="shared" si="62"/>
        <v>NO</v>
      </c>
      <c r="AK276" s="9" t="str">
        <f t="shared" si="63"/>
        <v>NO</v>
      </c>
      <c r="AL276" s="9" t="str">
        <f t="shared" si="64"/>
        <v>NO</v>
      </c>
      <c r="AM276" s="9" t="str">
        <f t="shared" si="65"/>
        <v>NO</v>
      </c>
      <c r="AN276" s="9" t="str">
        <f t="shared" si="66"/>
        <v>Less than 10% better than Standard</v>
      </c>
      <c r="AO276" s="9" t="str">
        <f t="shared" si="67"/>
        <v>3_Less than 10% better than Standard</v>
      </c>
      <c r="AP276" s="9" t="str">
        <f t="shared" si="68"/>
        <v>3_NO</v>
      </c>
    </row>
    <row r="277" spans="1:42">
      <c r="A277">
        <v>87149</v>
      </c>
      <c r="B277" t="s">
        <v>4319</v>
      </c>
      <c r="C277" t="s">
        <v>181</v>
      </c>
      <c r="D277" t="s">
        <v>4332</v>
      </c>
      <c r="E277" t="s">
        <v>4108</v>
      </c>
      <c r="F277" t="s">
        <v>162</v>
      </c>
      <c r="G277" t="s">
        <v>4105</v>
      </c>
      <c r="H277"/>
      <c r="I277" t="s">
        <v>4098</v>
      </c>
      <c r="J277" t="b">
        <v>0</v>
      </c>
      <c r="K277" t="b">
        <v>0</v>
      </c>
      <c r="L277" t="b">
        <v>0</v>
      </c>
      <c r="M277"/>
      <c r="N277" t="b">
        <v>0</v>
      </c>
      <c r="O277" t="s">
        <v>4099</v>
      </c>
      <c r="P277">
        <v>15.36</v>
      </c>
      <c r="Q277">
        <v>5.22</v>
      </c>
      <c r="R277">
        <v>20.6</v>
      </c>
      <c r="S277">
        <v>67</v>
      </c>
      <c r="T277">
        <v>32</v>
      </c>
      <c r="U277">
        <v>32</v>
      </c>
      <c r="V277">
        <v>432</v>
      </c>
      <c r="W277" s="281">
        <v>41890</v>
      </c>
      <c r="X277" s="282"/>
      <c r="Z277" s="9" t="b">
        <f t="shared" si="57"/>
        <v>0</v>
      </c>
      <c r="AA277" s="9" t="str">
        <f t="shared" si="56"/>
        <v>3</v>
      </c>
      <c r="AB277" s="196">
        <f t="shared" si="58"/>
        <v>24.547199999999997</v>
      </c>
      <c r="AC277" s="9">
        <f>VLOOKUP(AA277,'Federal Standards'!$N$9:$P$50,2,FALSE)</f>
        <v>8.07</v>
      </c>
      <c r="AD277" s="44">
        <f>VLOOKUP(AA277,'Federal Standards'!$N$9:$P$50,3,FALSE)</f>
        <v>233.7</v>
      </c>
      <c r="AE277" s="44">
        <f t="shared" si="59"/>
        <v>431.79590399999995</v>
      </c>
      <c r="AF277" s="283">
        <f t="shared" si="60"/>
        <v>-0.20409600000004957</v>
      </c>
      <c r="AG277" s="291">
        <f t="shared" si="69"/>
        <v>-4.7266775369886229E-4</v>
      </c>
      <c r="AH277" s="184" t="str">
        <f t="shared" si="61"/>
        <v>NO</v>
      </c>
      <c r="AJ277" s="9" t="str">
        <f t="shared" si="62"/>
        <v>NO</v>
      </c>
      <c r="AK277" s="9" t="str">
        <f t="shared" si="63"/>
        <v>NO</v>
      </c>
      <c r="AL277" s="9" t="str">
        <f t="shared" si="64"/>
        <v>NO</v>
      </c>
      <c r="AM277" s="9" t="str">
        <f t="shared" si="65"/>
        <v>NO</v>
      </c>
      <c r="AN277" s="9" t="str">
        <f t="shared" si="66"/>
        <v>Doesn't meet Standard</v>
      </c>
      <c r="AO277" s="9" t="str">
        <f t="shared" si="67"/>
        <v>3_Doesn't meet Standard</v>
      </c>
      <c r="AP277" s="9" t="str">
        <f t="shared" si="68"/>
        <v>3_NO</v>
      </c>
    </row>
    <row r="278" spans="1:42">
      <c r="A278">
        <v>87150</v>
      </c>
      <c r="B278" t="s">
        <v>4319</v>
      </c>
      <c r="C278" t="s">
        <v>181</v>
      </c>
      <c r="D278" t="s">
        <v>1322</v>
      </c>
      <c r="E278" t="s">
        <v>4108</v>
      </c>
      <c r="F278" t="s">
        <v>162</v>
      </c>
      <c r="G278" t="s">
        <v>4105</v>
      </c>
      <c r="H278"/>
      <c r="I278" t="s">
        <v>4098</v>
      </c>
      <c r="J278" t="b">
        <v>0</v>
      </c>
      <c r="K278" t="b">
        <v>0</v>
      </c>
      <c r="L278" t="b">
        <v>0</v>
      </c>
      <c r="M278"/>
      <c r="N278" t="b">
        <v>0</v>
      </c>
      <c r="O278" t="s">
        <v>4099</v>
      </c>
      <c r="P278">
        <v>15.36</v>
      </c>
      <c r="Q278">
        <v>5.22</v>
      </c>
      <c r="R278">
        <v>20.6</v>
      </c>
      <c r="S278">
        <v>67</v>
      </c>
      <c r="T278">
        <v>32</v>
      </c>
      <c r="U278">
        <v>32</v>
      </c>
      <c r="V278">
        <v>389</v>
      </c>
      <c r="W278" s="281">
        <v>41890</v>
      </c>
      <c r="X278" s="282"/>
      <c r="Z278" s="9" t="b">
        <f t="shared" si="57"/>
        <v>0</v>
      </c>
      <c r="AA278" s="9" t="str">
        <f t="shared" si="56"/>
        <v>3</v>
      </c>
      <c r="AB278" s="196">
        <f t="shared" si="58"/>
        <v>24.547199999999997</v>
      </c>
      <c r="AC278" s="9">
        <f>VLOOKUP(AA278,'Federal Standards'!$N$9:$P$50,2,FALSE)</f>
        <v>8.07</v>
      </c>
      <c r="AD278" s="44">
        <f>VLOOKUP(AA278,'Federal Standards'!$N$9:$P$50,3,FALSE)</f>
        <v>233.7</v>
      </c>
      <c r="AE278" s="44">
        <f t="shared" si="59"/>
        <v>431.79590399999995</v>
      </c>
      <c r="AF278" s="283">
        <f t="shared" si="60"/>
        <v>42.79590399999995</v>
      </c>
      <c r="AG278" s="291">
        <f t="shared" si="69"/>
        <v>9.9111417231044316E-2</v>
      </c>
      <c r="AH278" s="184" t="str">
        <f t="shared" si="61"/>
        <v>YES</v>
      </c>
      <c r="AJ278" s="9" t="str">
        <f t="shared" si="62"/>
        <v>NO</v>
      </c>
      <c r="AK278" s="9" t="str">
        <f t="shared" si="63"/>
        <v>NO</v>
      </c>
      <c r="AL278" s="9" t="str">
        <f t="shared" si="64"/>
        <v>NO</v>
      </c>
      <c r="AM278" s="9" t="str">
        <f t="shared" si="65"/>
        <v>NO</v>
      </c>
      <c r="AN278" s="9" t="str">
        <f t="shared" si="66"/>
        <v>Less than 10% better than Standard</v>
      </c>
      <c r="AO278" s="9" t="str">
        <f t="shared" si="67"/>
        <v>3_Less than 10% better than Standard</v>
      </c>
      <c r="AP278" s="9" t="str">
        <f t="shared" si="68"/>
        <v>3_NO</v>
      </c>
    </row>
    <row r="279" spans="1:42">
      <c r="A279">
        <v>83613</v>
      </c>
      <c r="B279" t="s">
        <v>4333</v>
      </c>
      <c r="C279" t="s">
        <v>531</v>
      </c>
      <c r="D279" t="s">
        <v>532</v>
      </c>
      <c r="E279" t="s">
        <v>4115</v>
      </c>
      <c r="F279" t="s">
        <v>188</v>
      </c>
      <c r="G279" t="s">
        <v>184</v>
      </c>
      <c r="H279"/>
      <c r="I279" t="s">
        <v>4106</v>
      </c>
      <c r="J279"/>
      <c r="K279"/>
      <c r="L279"/>
      <c r="M279"/>
      <c r="N279" t="b">
        <v>0</v>
      </c>
      <c r="O279" t="s">
        <v>4099</v>
      </c>
      <c r="P279">
        <v>2.4</v>
      </c>
      <c r="Q279"/>
      <c r="R279">
        <v>2.4</v>
      </c>
      <c r="S279">
        <v>25</v>
      </c>
      <c r="T279">
        <v>18</v>
      </c>
      <c r="U279">
        <v>20</v>
      </c>
      <c r="V279">
        <v>213</v>
      </c>
      <c r="W279" s="281">
        <v>41757</v>
      </c>
      <c r="X279" s="282"/>
      <c r="Z279" s="9" t="b">
        <f t="shared" si="57"/>
        <v>1</v>
      </c>
      <c r="AA279" s="9" t="str">
        <f t="shared" si="56"/>
        <v>11A</v>
      </c>
      <c r="AB279" s="196">
        <f t="shared" si="58"/>
        <v>2.4</v>
      </c>
      <c r="AC279" s="9">
        <f>VLOOKUP(AA279,'Federal Standards'!$N$9:$P$50,2,FALSE)</f>
        <v>7.84</v>
      </c>
      <c r="AD279" s="44">
        <f>VLOOKUP(AA279,'Federal Standards'!$N$9:$P$50,3,FALSE)</f>
        <v>219.1</v>
      </c>
      <c r="AE279" s="44">
        <f t="shared" si="59"/>
        <v>237.916</v>
      </c>
      <c r="AF279" s="283">
        <f t="shared" si="60"/>
        <v>24.915999999999997</v>
      </c>
      <c r="AG279" s="291">
        <f t="shared" si="69"/>
        <v>0.10472603776122665</v>
      </c>
      <c r="AH279" s="184" t="str">
        <f t="shared" si="61"/>
        <v>YES</v>
      </c>
      <c r="AJ279" s="9" t="str">
        <f t="shared" si="62"/>
        <v>YES</v>
      </c>
      <c r="AK279" s="9" t="str">
        <f t="shared" si="63"/>
        <v>YES</v>
      </c>
      <c r="AL279" s="9" t="str">
        <f t="shared" si="64"/>
        <v>NO</v>
      </c>
      <c r="AM279" s="9" t="str">
        <f t="shared" si="65"/>
        <v>NO</v>
      </c>
      <c r="AN279" s="9" t="str">
        <f t="shared" si="66"/>
        <v>Tier 1 - 10% to 15% better than Standard</v>
      </c>
      <c r="AO279" s="9" t="str">
        <f t="shared" si="67"/>
        <v>11A_Tier 1 - 10% to 15% better than Standard</v>
      </c>
      <c r="AP279" s="9" t="str">
        <f t="shared" si="68"/>
        <v>11A_YES</v>
      </c>
    </row>
    <row r="280" spans="1:42">
      <c r="A280">
        <v>83368</v>
      </c>
      <c r="B280" t="s">
        <v>4333</v>
      </c>
      <c r="C280" t="s">
        <v>531</v>
      </c>
      <c r="D280" t="s">
        <v>4334</v>
      </c>
      <c r="E280" t="s">
        <v>190</v>
      </c>
      <c r="F280" t="s">
        <v>188</v>
      </c>
      <c r="G280" t="s">
        <v>189</v>
      </c>
      <c r="H280"/>
      <c r="I280"/>
      <c r="J280"/>
      <c r="K280"/>
      <c r="L280"/>
      <c r="M280"/>
      <c r="N280" t="b">
        <v>0</v>
      </c>
      <c r="O280" t="s">
        <v>4099</v>
      </c>
      <c r="P280"/>
      <c r="Q280">
        <v>5</v>
      </c>
      <c r="R280">
        <v>5</v>
      </c>
      <c r="S280">
        <v>33</v>
      </c>
      <c r="T280">
        <v>29</v>
      </c>
      <c r="U280">
        <v>21</v>
      </c>
      <c r="V280">
        <v>240</v>
      </c>
      <c r="W280" s="281">
        <v>41731</v>
      </c>
      <c r="X280" s="282"/>
      <c r="Z280" s="9" t="b">
        <f t="shared" si="57"/>
        <v>1</v>
      </c>
      <c r="AA280" s="9" t="str">
        <f t="shared" si="56"/>
        <v>18</v>
      </c>
      <c r="AB280" s="196">
        <f t="shared" si="58"/>
        <v>8.8000000000000007</v>
      </c>
      <c r="AC280" s="9">
        <f>VLOOKUP(AA280,'Federal Standards'!$N$9:$P$50,2,FALSE)</f>
        <v>9.25</v>
      </c>
      <c r="AD280" s="44">
        <f>VLOOKUP(AA280,'Federal Standards'!$N$9:$P$50,3,FALSE)</f>
        <v>136.80000000000001</v>
      </c>
      <c r="AE280" s="44">
        <f t="shared" si="59"/>
        <v>218.20000000000002</v>
      </c>
      <c r="AF280" s="283">
        <f t="shared" si="60"/>
        <v>-21.799999999999983</v>
      </c>
      <c r="AG280" s="291">
        <f t="shared" si="69"/>
        <v>-9.9908340971585616E-2</v>
      </c>
      <c r="AH280" s="184" t="str">
        <f t="shared" si="61"/>
        <v>NO</v>
      </c>
      <c r="AJ280" s="9" t="str">
        <f t="shared" si="62"/>
        <v>NO</v>
      </c>
      <c r="AK280" s="9" t="str">
        <f t="shared" si="63"/>
        <v>NO</v>
      </c>
      <c r="AL280" s="9" t="str">
        <f t="shared" si="64"/>
        <v>NO</v>
      </c>
      <c r="AM280" s="9" t="str">
        <f t="shared" si="65"/>
        <v>NO</v>
      </c>
      <c r="AN280" s="9" t="str">
        <f t="shared" si="66"/>
        <v>Doesn't meet Standard</v>
      </c>
      <c r="AO280" s="9" t="str">
        <f t="shared" si="67"/>
        <v>18_Doesn't meet Standard</v>
      </c>
      <c r="AP280" s="9" t="str">
        <f t="shared" si="68"/>
        <v>18_NO</v>
      </c>
    </row>
    <row r="281" spans="1:42">
      <c r="A281">
        <v>83598</v>
      </c>
      <c r="B281" t="s">
        <v>4333</v>
      </c>
      <c r="C281" t="s">
        <v>531</v>
      </c>
      <c r="D281" t="s">
        <v>4335</v>
      </c>
      <c r="E281" t="s">
        <v>190</v>
      </c>
      <c r="F281" t="s">
        <v>188</v>
      </c>
      <c r="G281" t="s">
        <v>189</v>
      </c>
      <c r="H281"/>
      <c r="I281" t="s">
        <v>4106</v>
      </c>
      <c r="J281"/>
      <c r="K281"/>
      <c r="L281"/>
      <c r="M281"/>
      <c r="N281" t="b">
        <v>0</v>
      </c>
      <c r="O281" t="s">
        <v>4099</v>
      </c>
      <c r="P281"/>
      <c r="Q281">
        <v>5</v>
      </c>
      <c r="R281">
        <v>5</v>
      </c>
      <c r="S281">
        <v>33</v>
      </c>
      <c r="T281">
        <v>29</v>
      </c>
      <c r="U281">
        <v>21</v>
      </c>
      <c r="V281">
        <v>218</v>
      </c>
      <c r="W281" s="281">
        <v>41757</v>
      </c>
      <c r="X281" s="282"/>
      <c r="Z281" s="9" t="b">
        <f t="shared" si="57"/>
        <v>1</v>
      </c>
      <c r="AA281" s="9" t="str">
        <f t="shared" si="56"/>
        <v>18</v>
      </c>
      <c r="AB281" s="196">
        <f t="shared" si="58"/>
        <v>8.8000000000000007</v>
      </c>
      <c r="AC281" s="9">
        <f>VLOOKUP(AA281,'Federal Standards'!$N$9:$P$50,2,FALSE)</f>
        <v>9.25</v>
      </c>
      <c r="AD281" s="44">
        <f>VLOOKUP(AA281,'Federal Standards'!$N$9:$P$50,3,FALSE)</f>
        <v>136.80000000000001</v>
      </c>
      <c r="AE281" s="44">
        <f t="shared" si="59"/>
        <v>218.20000000000002</v>
      </c>
      <c r="AF281" s="283">
        <f t="shared" si="60"/>
        <v>0.20000000000001705</v>
      </c>
      <c r="AG281" s="291">
        <f t="shared" si="69"/>
        <v>9.1659028414306618E-4</v>
      </c>
      <c r="AH281" s="184" t="str">
        <f t="shared" si="61"/>
        <v>YES</v>
      </c>
      <c r="AJ281" s="9" t="str">
        <f t="shared" si="62"/>
        <v>NO</v>
      </c>
      <c r="AK281" s="9" t="str">
        <f t="shared" si="63"/>
        <v>NO</v>
      </c>
      <c r="AL281" s="9" t="str">
        <f t="shared" si="64"/>
        <v>NO</v>
      </c>
      <c r="AM281" s="9" t="str">
        <f t="shared" si="65"/>
        <v>NO</v>
      </c>
      <c r="AN281" s="9" t="str">
        <f t="shared" si="66"/>
        <v>Less than 10% better than Standard</v>
      </c>
      <c r="AO281" s="9" t="str">
        <f t="shared" si="67"/>
        <v>18_Less than 10% better than Standard</v>
      </c>
      <c r="AP281" s="9" t="str">
        <f t="shared" si="68"/>
        <v>18_NO</v>
      </c>
    </row>
    <row r="282" spans="1:42">
      <c r="A282">
        <v>83599</v>
      </c>
      <c r="B282" t="s">
        <v>4333</v>
      </c>
      <c r="C282" t="s">
        <v>531</v>
      </c>
      <c r="D282" t="s">
        <v>4336</v>
      </c>
      <c r="E282" t="s">
        <v>190</v>
      </c>
      <c r="F282" t="s">
        <v>188</v>
      </c>
      <c r="G282" t="s">
        <v>189</v>
      </c>
      <c r="H282"/>
      <c r="I282" t="s">
        <v>4106</v>
      </c>
      <c r="J282"/>
      <c r="K282"/>
      <c r="L282"/>
      <c r="M282"/>
      <c r="N282" t="b">
        <v>0</v>
      </c>
      <c r="O282" t="s">
        <v>4099</v>
      </c>
      <c r="P282"/>
      <c r="Q282">
        <v>7</v>
      </c>
      <c r="R282">
        <v>7</v>
      </c>
      <c r="S282">
        <v>33</v>
      </c>
      <c r="T282">
        <v>37</v>
      </c>
      <c r="U282">
        <v>22</v>
      </c>
      <c r="V282">
        <v>250</v>
      </c>
      <c r="W282" s="281">
        <v>41757</v>
      </c>
      <c r="X282" s="282"/>
      <c r="Z282" s="9" t="b">
        <f t="shared" si="57"/>
        <v>1</v>
      </c>
      <c r="AA282" s="9" t="str">
        <f t="shared" si="56"/>
        <v>18</v>
      </c>
      <c r="AB282" s="196">
        <f t="shared" si="58"/>
        <v>12.32</v>
      </c>
      <c r="AC282" s="9">
        <f>VLOOKUP(AA282,'Federal Standards'!$N$9:$P$50,2,FALSE)</f>
        <v>9.25</v>
      </c>
      <c r="AD282" s="44">
        <f>VLOOKUP(AA282,'Federal Standards'!$N$9:$P$50,3,FALSE)</f>
        <v>136.80000000000001</v>
      </c>
      <c r="AE282" s="44">
        <f t="shared" si="59"/>
        <v>250.76000000000002</v>
      </c>
      <c r="AF282" s="283">
        <f t="shared" si="60"/>
        <v>0.76000000000001933</v>
      </c>
      <c r="AG282" s="291">
        <f t="shared" si="69"/>
        <v>3.0307864093157572E-3</v>
      </c>
      <c r="AH282" s="184" t="str">
        <f t="shared" si="61"/>
        <v>YES</v>
      </c>
      <c r="AJ282" s="9" t="str">
        <f t="shared" si="62"/>
        <v>NO</v>
      </c>
      <c r="AK282" s="9" t="str">
        <f t="shared" si="63"/>
        <v>NO</v>
      </c>
      <c r="AL282" s="9" t="str">
        <f t="shared" si="64"/>
        <v>NO</v>
      </c>
      <c r="AM282" s="9" t="str">
        <f t="shared" si="65"/>
        <v>NO</v>
      </c>
      <c r="AN282" s="9" t="str">
        <f t="shared" si="66"/>
        <v>Less than 10% better than Standard</v>
      </c>
      <c r="AO282" s="9" t="str">
        <f t="shared" si="67"/>
        <v>18_Less than 10% better than Standard</v>
      </c>
      <c r="AP282" s="9" t="str">
        <f t="shared" si="68"/>
        <v>18_NO</v>
      </c>
    </row>
    <row r="283" spans="1:42">
      <c r="A283">
        <v>83369</v>
      </c>
      <c r="B283" t="s">
        <v>4333</v>
      </c>
      <c r="C283" t="s">
        <v>531</v>
      </c>
      <c r="D283" t="s">
        <v>4337</v>
      </c>
      <c r="E283" t="s">
        <v>4104</v>
      </c>
      <c r="F283" t="s">
        <v>4111</v>
      </c>
      <c r="G283" t="s">
        <v>4105</v>
      </c>
      <c r="H283"/>
      <c r="I283"/>
      <c r="J283"/>
      <c r="K283"/>
      <c r="L283"/>
      <c r="M283"/>
      <c r="N283" t="b">
        <v>0</v>
      </c>
      <c r="O283" t="s">
        <v>4099</v>
      </c>
      <c r="P283">
        <v>2.2000000000000002</v>
      </c>
      <c r="Q283">
        <v>0.9</v>
      </c>
      <c r="R283">
        <v>3.1</v>
      </c>
      <c r="S283">
        <v>33</v>
      </c>
      <c r="T283">
        <v>19</v>
      </c>
      <c r="U283">
        <v>19</v>
      </c>
      <c r="V283">
        <v>270</v>
      </c>
      <c r="W283" s="281">
        <v>41731</v>
      </c>
      <c r="X283" s="282"/>
      <c r="Z283" s="9" t="b">
        <f t="shared" si="57"/>
        <v>1</v>
      </c>
      <c r="AA283" s="9" t="str">
        <f t="shared" si="56"/>
        <v>12</v>
      </c>
      <c r="AB283" s="196">
        <f t="shared" si="58"/>
        <v>3.7840000000000003</v>
      </c>
      <c r="AC283" s="9">
        <f>VLOOKUP(AA283,'Federal Standards'!$N$9:$P$50,2,FALSE)</f>
        <v>5.91</v>
      </c>
      <c r="AD283" s="44">
        <f>VLOOKUP(AA283,'Federal Standards'!$N$9:$P$50,3,FALSE)</f>
        <v>335.8</v>
      </c>
      <c r="AE283" s="44">
        <f t="shared" si="59"/>
        <v>358.16344000000004</v>
      </c>
      <c r="AF283" s="283">
        <f t="shared" si="60"/>
        <v>88.163440000000037</v>
      </c>
      <c r="AG283" s="291">
        <f t="shared" si="69"/>
        <v>0.2461542138415915</v>
      </c>
      <c r="AH283" s="184" t="str">
        <f t="shared" si="61"/>
        <v>YES</v>
      </c>
      <c r="AJ283" s="9" t="str">
        <f t="shared" si="62"/>
        <v>YES</v>
      </c>
      <c r="AK283" s="9" t="str">
        <f t="shared" si="63"/>
        <v>NO</v>
      </c>
      <c r="AL283" s="9" t="str">
        <f t="shared" si="64"/>
        <v>NO</v>
      </c>
      <c r="AM283" s="9" t="str">
        <f t="shared" si="65"/>
        <v>YES</v>
      </c>
      <c r="AN283" s="9" t="str">
        <f t="shared" si="66"/>
        <v>Tier 3 - 20%  or better than Standard</v>
      </c>
      <c r="AO283" s="9" t="str">
        <f t="shared" si="67"/>
        <v>12_Tier 3 - 20%  or better than Standard</v>
      </c>
      <c r="AP283" s="9" t="str">
        <f t="shared" si="68"/>
        <v>12_YES</v>
      </c>
    </row>
    <row r="284" spans="1:42">
      <c r="A284">
        <v>83370</v>
      </c>
      <c r="B284" t="s">
        <v>4333</v>
      </c>
      <c r="C284" t="s">
        <v>531</v>
      </c>
      <c r="D284" t="s">
        <v>4338</v>
      </c>
      <c r="E284" t="s">
        <v>4115</v>
      </c>
      <c r="F284" t="s">
        <v>188</v>
      </c>
      <c r="G284" t="s">
        <v>184</v>
      </c>
      <c r="H284"/>
      <c r="I284"/>
      <c r="J284"/>
      <c r="K284"/>
      <c r="L284"/>
      <c r="M284"/>
      <c r="N284" t="b">
        <v>0</v>
      </c>
      <c r="O284" t="s">
        <v>4099</v>
      </c>
      <c r="P284">
        <v>4.4000000000000004</v>
      </c>
      <c r="Q284"/>
      <c r="R284">
        <v>4.4000000000000004</v>
      </c>
      <c r="S284">
        <v>34</v>
      </c>
      <c r="T284">
        <v>20</v>
      </c>
      <c r="U284">
        <v>21</v>
      </c>
      <c r="V284">
        <v>276</v>
      </c>
      <c r="W284" s="281">
        <v>41731</v>
      </c>
      <c r="X284" s="282"/>
      <c r="Z284" s="9" t="b">
        <f t="shared" si="57"/>
        <v>1</v>
      </c>
      <c r="AA284" s="9" t="str">
        <f t="shared" si="56"/>
        <v>11A</v>
      </c>
      <c r="AB284" s="196">
        <f t="shared" si="58"/>
        <v>4.4000000000000004</v>
      </c>
      <c r="AC284" s="9">
        <f>VLOOKUP(AA284,'Federal Standards'!$N$9:$P$50,2,FALSE)</f>
        <v>7.84</v>
      </c>
      <c r="AD284" s="44">
        <f>VLOOKUP(AA284,'Federal Standards'!$N$9:$P$50,3,FALSE)</f>
        <v>219.1</v>
      </c>
      <c r="AE284" s="44">
        <f t="shared" si="59"/>
        <v>253.596</v>
      </c>
      <c r="AF284" s="283">
        <f t="shared" si="60"/>
        <v>-22.403999999999996</v>
      </c>
      <c r="AG284" s="291">
        <f t="shared" si="69"/>
        <v>-8.8345242038517943E-2</v>
      </c>
      <c r="AH284" s="184" t="str">
        <f t="shared" si="61"/>
        <v>NO</v>
      </c>
      <c r="AJ284" s="9" t="str">
        <f t="shared" si="62"/>
        <v>NO</v>
      </c>
      <c r="AK284" s="9" t="str">
        <f t="shared" si="63"/>
        <v>NO</v>
      </c>
      <c r="AL284" s="9" t="str">
        <f t="shared" si="64"/>
        <v>NO</v>
      </c>
      <c r="AM284" s="9" t="str">
        <f t="shared" si="65"/>
        <v>NO</v>
      </c>
      <c r="AN284" s="9" t="str">
        <f t="shared" si="66"/>
        <v>Doesn't meet Standard</v>
      </c>
      <c r="AO284" s="9" t="str">
        <f t="shared" si="67"/>
        <v>11A_Doesn't meet Standard</v>
      </c>
      <c r="AP284" s="9" t="str">
        <f t="shared" si="68"/>
        <v>11A_NO</v>
      </c>
    </row>
    <row r="285" spans="1:42">
      <c r="A285">
        <v>83597</v>
      </c>
      <c r="B285" t="s">
        <v>4333</v>
      </c>
      <c r="C285" t="s">
        <v>531</v>
      </c>
      <c r="D285" t="s">
        <v>534</v>
      </c>
      <c r="E285" t="s">
        <v>4115</v>
      </c>
      <c r="F285" t="s">
        <v>188</v>
      </c>
      <c r="G285" t="s">
        <v>184</v>
      </c>
      <c r="H285"/>
      <c r="I285" t="s">
        <v>4106</v>
      </c>
      <c r="J285"/>
      <c r="K285"/>
      <c r="L285"/>
      <c r="M285"/>
      <c r="N285" t="b">
        <v>0</v>
      </c>
      <c r="O285" t="s">
        <v>4099</v>
      </c>
      <c r="P285">
        <v>4.4000000000000004</v>
      </c>
      <c r="Q285"/>
      <c r="R285">
        <v>4.4000000000000004</v>
      </c>
      <c r="S285">
        <v>34</v>
      </c>
      <c r="T285">
        <v>20</v>
      </c>
      <c r="U285">
        <v>21</v>
      </c>
      <c r="V285">
        <v>226</v>
      </c>
      <c r="W285" s="281">
        <v>41757</v>
      </c>
      <c r="X285" s="282"/>
      <c r="Z285" s="9" t="b">
        <f t="shared" si="57"/>
        <v>1</v>
      </c>
      <c r="AA285" s="9" t="str">
        <f t="shared" si="56"/>
        <v>11A</v>
      </c>
      <c r="AB285" s="196">
        <f t="shared" si="58"/>
        <v>4.4000000000000004</v>
      </c>
      <c r="AC285" s="9">
        <f>VLOOKUP(AA285,'Federal Standards'!$N$9:$P$50,2,FALSE)</f>
        <v>7.84</v>
      </c>
      <c r="AD285" s="44">
        <f>VLOOKUP(AA285,'Federal Standards'!$N$9:$P$50,3,FALSE)</f>
        <v>219.1</v>
      </c>
      <c r="AE285" s="44">
        <f t="shared" si="59"/>
        <v>253.596</v>
      </c>
      <c r="AF285" s="283">
        <f t="shared" si="60"/>
        <v>27.596000000000004</v>
      </c>
      <c r="AG285" s="291">
        <f t="shared" si="69"/>
        <v>0.10881875108440198</v>
      </c>
      <c r="AH285" s="184" t="str">
        <f t="shared" si="61"/>
        <v>YES</v>
      </c>
      <c r="AJ285" s="9" t="str">
        <f t="shared" si="62"/>
        <v>YES</v>
      </c>
      <c r="AK285" s="9" t="str">
        <f t="shared" si="63"/>
        <v>YES</v>
      </c>
      <c r="AL285" s="9" t="str">
        <f t="shared" si="64"/>
        <v>NO</v>
      </c>
      <c r="AM285" s="9" t="str">
        <f t="shared" si="65"/>
        <v>NO</v>
      </c>
      <c r="AN285" s="9" t="str">
        <f t="shared" si="66"/>
        <v>Tier 1 - 10% to 15% better than Standard</v>
      </c>
      <c r="AO285" s="9" t="str">
        <f t="shared" si="67"/>
        <v>11A_Tier 1 - 10% to 15% better than Standard</v>
      </c>
      <c r="AP285" s="9" t="str">
        <f t="shared" si="68"/>
        <v>11A_YES</v>
      </c>
    </row>
    <row r="286" spans="1:42">
      <c r="A286">
        <v>83617</v>
      </c>
      <c r="B286" t="s">
        <v>4333</v>
      </c>
      <c r="C286" t="s">
        <v>531</v>
      </c>
      <c r="D286" t="s">
        <v>4339</v>
      </c>
      <c r="E286" t="s">
        <v>187</v>
      </c>
      <c r="F286" t="s">
        <v>188</v>
      </c>
      <c r="G286" t="s">
        <v>189</v>
      </c>
      <c r="H286"/>
      <c r="I286" t="s">
        <v>4106</v>
      </c>
      <c r="J286"/>
      <c r="K286"/>
      <c r="L286"/>
      <c r="M286"/>
      <c r="N286" t="b">
        <v>0</v>
      </c>
      <c r="O286" t="s">
        <v>4099</v>
      </c>
      <c r="P286"/>
      <c r="Q286">
        <v>2.1</v>
      </c>
      <c r="R286">
        <v>2.1</v>
      </c>
      <c r="S286">
        <v>26</v>
      </c>
      <c r="T286">
        <v>18</v>
      </c>
      <c r="U286">
        <v>20</v>
      </c>
      <c r="V286">
        <v>219</v>
      </c>
      <c r="W286" s="281">
        <v>41757</v>
      </c>
      <c r="X286" s="282"/>
      <c r="Z286" s="9" t="b">
        <f t="shared" si="57"/>
        <v>1</v>
      </c>
      <c r="AA286" s="9" t="str">
        <f t="shared" si="56"/>
        <v>16</v>
      </c>
      <c r="AB286" s="196">
        <f t="shared" si="58"/>
        <v>3.6960000000000002</v>
      </c>
      <c r="AC286" s="9">
        <f>VLOOKUP(AA286,'Federal Standards'!$N$9:$P$50,2,FALSE)</f>
        <v>8.65</v>
      </c>
      <c r="AD286" s="44">
        <f>VLOOKUP(AA286,'Federal Standards'!$N$9:$P$50,3,FALSE)</f>
        <v>225.7</v>
      </c>
      <c r="AE286" s="44">
        <f t="shared" si="59"/>
        <v>257.67039999999997</v>
      </c>
      <c r="AF286" s="283">
        <f t="shared" si="60"/>
        <v>38.670399999999972</v>
      </c>
      <c r="AG286" s="291">
        <f t="shared" si="69"/>
        <v>0.15007699759072046</v>
      </c>
      <c r="AH286" s="184" t="str">
        <f t="shared" si="61"/>
        <v>YES</v>
      </c>
      <c r="AJ286" s="9" t="str">
        <f t="shared" si="62"/>
        <v>YES</v>
      </c>
      <c r="AK286" s="9" t="str">
        <f t="shared" si="63"/>
        <v>NO</v>
      </c>
      <c r="AL286" s="9" t="str">
        <f t="shared" si="64"/>
        <v>YES</v>
      </c>
      <c r="AM286" s="9" t="str">
        <f t="shared" si="65"/>
        <v>NO</v>
      </c>
      <c r="AN286" s="9" t="str">
        <f t="shared" si="66"/>
        <v>Tier 2 - 15% to 20% better than Standard</v>
      </c>
      <c r="AO286" s="9" t="str">
        <f t="shared" si="67"/>
        <v>16_Tier 2 - 15% to 20% better than Standard</v>
      </c>
      <c r="AP286" s="9" t="str">
        <f t="shared" si="68"/>
        <v>16_YES</v>
      </c>
    </row>
    <row r="287" spans="1:42">
      <c r="A287">
        <v>83256</v>
      </c>
      <c r="B287" t="s">
        <v>4333</v>
      </c>
      <c r="C287" t="s">
        <v>607</v>
      </c>
      <c r="D287" t="s">
        <v>4340</v>
      </c>
      <c r="E287" t="s">
        <v>190</v>
      </c>
      <c r="F287" t="s">
        <v>188</v>
      </c>
      <c r="G287" t="s">
        <v>189</v>
      </c>
      <c r="H287"/>
      <c r="I287"/>
      <c r="J287"/>
      <c r="K287"/>
      <c r="L287"/>
      <c r="M287"/>
      <c r="N287" t="b">
        <v>0</v>
      </c>
      <c r="O287" t="s">
        <v>4099</v>
      </c>
      <c r="P287"/>
      <c r="Q287">
        <v>10.6</v>
      </c>
      <c r="R287">
        <v>10.6</v>
      </c>
      <c r="S287">
        <v>33</v>
      </c>
      <c r="T287">
        <v>51</v>
      </c>
      <c r="U287">
        <v>27</v>
      </c>
      <c r="V287">
        <v>244</v>
      </c>
      <c r="W287" s="281">
        <v>41730</v>
      </c>
      <c r="X287" s="282"/>
      <c r="Z287" s="9" t="b">
        <f t="shared" si="57"/>
        <v>0</v>
      </c>
      <c r="AA287" s="9" t="str">
        <f t="shared" si="56"/>
        <v>10</v>
      </c>
      <c r="AB287" s="196">
        <f t="shared" si="58"/>
        <v>18.655999999999999</v>
      </c>
      <c r="AC287" s="9">
        <f>VLOOKUP(AA287,'Federal Standards'!$N$9:$P$50,2,FALSE)</f>
        <v>7.29</v>
      </c>
      <c r="AD287" s="44">
        <f>VLOOKUP(AA287,'Federal Standards'!$N$9:$P$50,3,FALSE)</f>
        <v>107.8</v>
      </c>
      <c r="AE287" s="44">
        <f t="shared" si="59"/>
        <v>243.80223999999998</v>
      </c>
      <c r="AF287" s="283">
        <f t="shared" si="60"/>
        <v>-0.19776000000001659</v>
      </c>
      <c r="AG287" s="291">
        <f t="shared" si="69"/>
        <v>-8.1114923308340647E-4</v>
      </c>
      <c r="AH287" s="184" t="str">
        <f t="shared" si="61"/>
        <v>NO</v>
      </c>
      <c r="AJ287" s="9" t="str">
        <f t="shared" si="62"/>
        <v>NO</v>
      </c>
      <c r="AK287" s="9" t="str">
        <f t="shared" si="63"/>
        <v>NO</v>
      </c>
      <c r="AL287" s="9" t="str">
        <f t="shared" si="64"/>
        <v>NO</v>
      </c>
      <c r="AM287" s="9" t="str">
        <f t="shared" si="65"/>
        <v>NO</v>
      </c>
      <c r="AN287" s="9" t="str">
        <f t="shared" si="66"/>
        <v>Doesn't meet Standard</v>
      </c>
      <c r="AO287" s="9" t="str">
        <f t="shared" si="67"/>
        <v>10_Doesn't meet Standard</v>
      </c>
      <c r="AP287" s="9" t="str">
        <f t="shared" si="68"/>
        <v>10_NO</v>
      </c>
    </row>
    <row r="288" spans="1:42">
      <c r="A288">
        <v>83255</v>
      </c>
      <c r="B288" t="s">
        <v>4333</v>
      </c>
      <c r="C288" t="s">
        <v>607</v>
      </c>
      <c r="D288" t="s">
        <v>4341</v>
      </c>
      <c r="E288" t="s">
        <v>190</v>
      </c>
      <c r="F288" t="s">
        <v>188</v>
      </c>
      <c r="G288" t="s">
        <v>189</v>
      </c>
      <c r="H288"/>
      <c r="I288"/>
      <c r="J288"/>
      <c r="K288"/>
      <c r="L288"/>
      <c r="M288"/>
      <c r="N288" t="b">
        <v>0</v>
      </c>
      <c r="O288" t="s">
        <v>4099</v>
      </c>
      <c r="P288"/>
      <c r="Q288">
        <v>7</v>
      </c>
      <c r="R288">
        <v>7</v>
      </c>
      <c r="S288">
        <v>33</v>
      </c>
      <c r="T288">
        <v>37</v>
      </c>
      <c r="U288">
        <v>22</v>
      </c>
      <c r="V288">
        <v>277</v>
      </c>
      <c r="W288" s="281">
        <v>41730</v>
      </c>
      <c r="X288" s="282"/>
      <c r="Z288" s="9" t="b">
        <f t="shared" si="57"/>
        <v>1</v>
      </c>
      <c r="AA288" s="9" t="str">
        <f t="shared" si="56"/>
        <v>18</v>
      </c>
      <c r="AB288" s="196">
        <f t="shared" si="58"/>
        <v>12.32</v>
      </c>
      <c r="AC288" s="9">
        <f>VLOOKUP(AA288,'Federal Standards'!$N$9:$P$50,2,FALSE)</f>
        <v>9.25</v>
      </c>
      <c r="AD288" s="44">
        <f>VLOOKUP(AA288,'Federal Standards'!$N$9:$P$50,3,FALSE)</f>
        <v>136.80000000000001</v>
      </c>
      <c r="AE288" s="44">
        <f t="shared" si="59"/>
        <v>250.76000000000002</v>
      </c>
      <c r="AF288" s="283">
        <f t="shared" si="60"/>
        <v>-26.239999999999981</v>
      </c>
      <c r="AG288" s="291">
        <f t="shared" si="69"/>
        <v>-0.10464188865847814</v>
      </c>
      <c r="AH288" s="184" t="str">
        <f t="shared" si="61"/>
        <v>NO</v>
      </c>
      <c r="AJ288" s="9" t="str">
        <f t="shared" si="62"/>
        <v>NO</v>
      </c>
      <c r="AK288" s="9" t="str">
        <f t="shared" si="63"/>
        <v>NO</v>
      </c>
      <c r="AL288" s="9" t="str">
        <f t="shared" si="64"/>
        <v>NO</v>
      </c>
      <c r="AM288" s="9" t="str">
        <f t="shared" si="65"/>
        <v>NO</v>
      </c>
      <c r="AN288" s="9" t="str">
        <f t="shared" si="66"/>
        <v>Doesn't meet Standard</v>
      </c>
      <c r="AO288" s="9" t="str">
        <f t="shared" si="67"/>
        <v>18_Doesn't meet Standard</v>
      </c>
      <c r="AP288" s="9" t="str">
        <f t="shared" si="68"/>
        <v>18_NO</v>
      </c>
    </row>
    <row r="289" spans="1:42">
      <c r="A289">
        <v>83600</v>
      </c>
      <c r="B289" t="s">
        <v>4333</v>
      </c>
      <c r="C289" t="s">
        <v>607</v>
      </c>
      <c r="D289" t="s">
        <v>4342</v>
      </c>
      <c r="E289" t="s">
        <v>187</v>
      </c>
      <c r="F289" t="s">
        <v>188</v>
      </c>
      <c r="G289" t="s">
        <v>189</v>
      </c>
      <c r="H289"/>
      <c r="I289" t="s">
        <v>4106</v>
      </c>
      <c r="J289"/>
      <c r="K289"/>
      <c r="L289"/>
      <c r="M289"/>
      <c r="N289" t="b">
        <v>0</v>
      </c>
      <c r="O289" t="s">
        <v>4099</v>
      </c>
      <c r="P289"/>
      <c r="Q289">
        <v>3</v>
      </c>
      <c r="R289">
        <v>3</v>
      </c>
      <c r="S289">
        <v>34</v>
      </c>
      <c r="T289">
        <v>20</v>
      </c>
      <c r="U289">
        <v>21</v>
      </c>
      <c r="V289">
        <v>240</v>
      </c>
      <c r="W289" s="281">
        <v>41757</v>
      </c>
      <c r="X289" s="282"/>
      <c r="Z289" s="9" t="b">
        <f t="shared" si="57"/>
        <v>1</v>
      </c>
      <c r="AA289" s="9" t="str">
        <f t="shared" si="56"/>
        <v>16</v>
      </c>
      <c r="AB289" s="196">
        <f t="shared" si="58"/>
        <v>5.28</v>
      </c>
      <c r="AC289" s="9">
        <f>VLOOKUP(AA289,'Federal Standards'!$N$9:$P$50,2,FALSE)</f>
        <v>8.65</v>
      </c>
      <c r="AD289" s="44">
        <f>VLOOKUP(AA289,'Federal Standards'!$N$9:$P$50,3,FALSE)</f>
        <v>225.7</v>
      </c>
      <c r="AE289" s="44">
        <f t="shared" si="59"/>
        <v>271.37200000000001</v>
      </c>
      <c r="AF289" s="283">
        <f t="shared" si="60"/>
        <v>31.372000000000014</v>
      </c>
      <c r="AG289" s="291">
        <f t="shared" si="69"/>
        <v>0.11560514717804347</v>
      </c>
      <c r="AH289" s="184" t="str">
        <f t="shared" si="61"/>
        <v>YES</v>
      </c>
      <c r="AJ289" s="9" t="str">
        <f t="shared" si="62"/>
        <v>YES</v>
      </c>
      <c r="AK289" s="9" t="str">
        <f t="shared" si="63"/>
        <v>YES</v>
      </c>
      <c r="AL289" s="9" t="str">
        <f t="shared" si="64"/>
        <v>NO</v>
      </c>
      <c r="AM289" s="9" t="str">
        <f t="shared" si="65"/>
        <v>NO</v>
      </c>
      <c r="AN289" s="9" t="str">
        <f t="shared" si="66"/>
        <v>Tier 1 - 10% to 15% better than Standard</v>
      </c>
      <c r="AO289" s="9" t="str">
        <f t="shared" si="67"/>
        <v>16_Tier 1 - 10% to 15% better than Standard</v>
      </c>
      <c r="AP289" s="9" t="str">
        <f t="shared" si="68"/>
        <v>16_YES</v>
      </c>
    </row>
    <row r="290" spans="1:42">
      <c r="A290">
        <v>83608</v>
      </c>
      <c r="B290" t="s">
        <v>4333</v>
      </c>
      <c r="C290" t="s">
        <v>166</v>
      </c>
      <c r="D290" t="s">
        <v>4343</v>
      </c>
      <c r="E290" t="s">
        <v>187</v>
      </c>
      <c r="F290" t="s">
        <v>188</v>
      </c>
      <c r="G290" t="s">
        <v>189</v>
      </c>
      <c r="H290"/>
      <c r="I290" t="s">
        <v>4106</v>
      </c>
      <c r="J290"/>
      <c r="K290"/>
      <c r="L290"/>
      <c r="M290"/>
      <c r="N290" t="b">
        <v>0</v>
      </c>
      <c r="O290" t="s">
        <v>4099</v>
      </c>
      <c r="P290"/>
      <c r="Q290">
        <v>4.4000000000000004</v>
      </c>
      <c r="R290">
        <v>4.4000000000000004</v>
      </c>
      <c r="S290">
        <v>33</v>
      </c>
      <c r="T290">
        <v>24</v>
      </c>
      <c r="U290">
        <v>26</v>
      </c>
      <c r="V290">
        <v>260</v>
      </c>
      <c r="W290" s="281">
        <v>41757</v>
      </c>
      <c r="X290" s="282"/>
      <c r="Z290" s="9" t="b">
        <f t="shared" si="57"/>
        <v>1</v>
      </c>
      <c r="AA290" s="9" t="str">
        <f t="shared" si="56"/>
        <v>16</v>
      </c>
      <c r="AB290" s="196">
        <f t="shared" si="58"/>
        <v>7.7440000000000007</v>
      </c>
      <c r="AC290" s="9">
        <f>VLOOKUP(AA290,'Federal Standards'!$N$9:$P$50,2,FALSE)</f>
        <v>8.65</v>
      </c>
      <c r="AD290" s="44">
        <f>VLOOKUP(AA290,'Federal Standards'!$N$9:$P$50,3,FALSE)</f>
        <v>225.7</v>
      </c>
      <c r="AE290" s="44">
        <f t="shared" si="59"/>
        <v>292.68560000000002</v>
      </c>
      <c r="AF290" s="283">
        <f t="shared" si="60"/>
        <v>32.685600000000022</v>
      </c>
      <c r="AG290" s="291">
        <f t="shared" si="69"/>
        <v>0.11167478003700906</v>
      </c>
      <c r="AH290" s="184" t="str">
        <f t="shared" si="61"/>
        <v>YES</v>
      </c>
      <c r="AJ290" s="9" t="str">
        <f t="shared" si="62"/>
        <v>YES</v>
      </c>
      <c r="AK290" s="9" t="str">
        <f t="shared" si="63"/>
        <v>YES</v>
      </c>
      <c r="AL290" s="9" t="str">
        <f t="shared" si="64"/>
        <v>NO</v>
      </c>
      <c r="AM290" s="9" t="str">
        <f t="shared" si="65"/>
        <v>NO</v>
      </c>
      <c r="AN290" s="9" t="str">
        <f t="shared" si="66"/>
        <v>Tier 1 - 10% to 15% better than Standard</v>
      </c>
      <c r="AO290" s="9" t="str">
        <f t="shared" si="67"/>
        <v>16_Tier 1 - 10% to 15% better than Standard</v>
      </c>
      <c r="AP290" s="9" t="str">
        <f t="shared" si="68"/>
        <v>16_YES</v>
      </c>
    </row>
    <row r="291" spans="1:42">
      <c r="A291">
        <v>83601</v>
      </c>
      <c r="B291" t="s">
        <v>4333</v>
      </c>
      <c r="C291" t="s">
        <v>166</v>
      </c>
      <c r="D291" t="s">
        <v>637</v>
      </c>
      <c r="E291" t="s">
        <v>4115</v>
      </c>
      <c r="F291" t="s">
        <v>188</v>
      </c>
      <c r="G291" t="s">
        <v>184</v>
      </c>
      <c r="H291"/>
      <c r="I291" t="s">
        <v>4106</v>
      </c>
      <c r="J291"/>
      <c r="K291"/>
      <c r="L291"/>
      <c r="M291"/>
      <c r="N291" t="b">
        <v>0</v>
      </c>
      <c r="O291" t="s">
        <v>4099</v>
      </c>
      <c r="P291">
        <v>1.6</v>
      </c>
      <c r="Q291"/>
      <c r="R291">
        <v>1.6</v>
      </c>
      <c r="S291">
        <v>19</v>
      </c>
      <c r="T291">
        <v>19</v>
      </c>
      <c r="U291">
        <v>18</v>
      </c>
      <c r="V291">
        <v>207</v>
      </c>
      <c r="W291" s="281">
        <v>41757</v>
      </c>
      <c r="X291" s="282"/>
      <c r="Z291" s="9" t="b">
        <f t="shared" si="57"/>
        <v>1</v>
      </c>
      <c r="AA291" s="9" t="str">
        <f t="shared" si="56"/>
        <v>11A</v>
      </c>
      <c r="AB291" s="196">
        <f t="shared" si="58"/>
        <v>1.6</v>
      </c>
      <c r="AC291" s="9">
        <f>VLOOKUP(AA291,'Federal Standards'!$N$9:$P$50,2,FALSE)</f>
        <v>7.84</v>
      </c>
      <c r="AD291" s="44">
        <f>VLOOKUP(AA291,'Federal Standards'!$N$9:$P$50,3,FALSE)</f>
        <v>219.1</v>
      </c>
      <c r="AE291" s="44">
        <f t="shared" si="59"/>
        <v>231.64400000000001</v>
      </c>
      <c r="AF291" s="283">
        <f t="shared" si="60"/>
        <v>24.644000000000005</v>
      </c>
      <c r="AG291" s="291">
        <f t="shared" si="69"/>
        <v>0.10638738754295386</v>
      </c>
      <c r="AH291" s="184" t="str">
        <f t="shared" si="61"/>
        <v>YES</v>
      </c>
      <c r="AJ291" s="9" t="str">
        <f t="shared" si="62"/>
        <v>YES</v>
      </c>
      <c r="AK291" s="9" t="str">
        <f t="shared" si="63"/>
        <v>YES</v>
      </c>
      <c r="AL291" s="9" t="str">
        <f t="shared" si="64"/>
        <v>NO</v>
      </c>
      <c r="AM291" s="9" t="str">
        <f t="shared" si="65"/>
        <v>NO</v>
      </c>
      <c r="AN291" s="9" t="str">
        <f t="shared" si="66"/>
        <v>Tier 1 - 10% to 15% better than Standard</v>
      </c>
      <c r="AO291" s="9" t="str">
        <f t="shared" si="67"/>
        <v>11A_Tier 1 - 10% to 15% better than Standard</v>
      </c>
      <c r="AP291" s="9" t="str">
        <f t="shared" si="68"/>
        <v>11A_YES</v>
      </c>
    </row>
    <row r="292" spans="1:42">
      <c r="A292">
        <v>83607</v>
      </c>
      <c r="B292" t="s">
        <v>4333</v>
      </c>
      <c r="C292" t="s">
        <v>166</v>
      </c>
      <c r="D292" t="s">
        <v>4344</v>
      </c>
      <c r="E292" t="s">
        <v>4115</v>
      </c>
      <c r="F292" t="s">
        <v>188</v>
      </c>
      <c r="G292" t="s">
        <v>184</v>
      </c>
      <c r="H292"/>
      <c r="I292" t="s">
        <v>4106</v>
      </c>
      <c r="J292"/>
      <c r="K292"/>
      <c r="L292"/>
      <c r="M292"/>
      <c r="N292" t="b">
        <v>0</v>
      </c>
      <c r="O292" t="s">
        <v>4099</v>
      </c>
      <c r="P292">
        <v>3.3</v>
      </c>
      <c r="Q292"/>
      <c r="R292">
        <v>3.3</v>
      </c>
      <c r="S292">
        <v>33</v>
      </c>
      <c r="T292">
        <v>19</v>
      </c>
      <c r="U292">
        <v>18</v>
      </c>
      <c r="V292">
        <v>330</v>
      </c>
      <c r="W292" s="281">
        <v>41757</v>
      </c>
      <c r="X292" s="282"/>
      <c r="Z292" s="9" t="b">
        <f t="shared" si="57"/>
        <v>1</v>
      </c>
      <c r="AA292" s="9" t="str">
        <f t="shared" si="56"/>
        <v>11A</v>
      </c>
      <c r="AB292" s="196">
        <f t="shared" si="58"/>
        <v>3.3</v>
      </c>
      <c r="AC292" s="9">
        <f>VLOOKUP(AA292,'Federal Standards'!$N$9:$P$50,2,FALSE)</f>
        <v>7.84</v>
      </c>
      <c r="AD292" s="44">
        <f>VLOOKUP(AA292,'Federal Standards'!$N$9:$P$50,3,FALSE)</f>
        <v>219.1</v>
      </c>
      <c r="AE292" s="44">
        <f t="shared" si="59"/>
        <v>244.97199999999998</v>
      </c>
      <c r="AF292" s="283">
        <f t="shared" si="60"/>
        <v>-85.02800000000002</v>
      </c>
      <c r="AG292" s="291">
        <f t="shared" si="69"/>
        <v>-0.34709272896494303</v>
      </c>
      <c r="AH292" s="184" t="str">
        <f t="shared" si="61"/>
        <v>NO</v>
      </c>
      <c r="AJ292" s="9" t="str">
        <f t="shared" si="62"/>
        <v>NO</v>
      </c>
      <c r="AK292" s="9" t="str">
        <f t="shared" si="63"/>
        <v>NO</v>
      </c>
      <c r="AL292" s="9" t="str">
        <f t="shared" si="64"/>
        <v>NO</v>
      </c>
      <c r="AM292" s="9" t="str">
        <f t="shared" si="65"/>
        <v>NO</v>
      </c>
      <c r="AN292" s="9" t="str">
        <f t="shared" si="66"/>
        <v>Doesn't meet Standard</v>
      </c>
      <c r="AO292" s="9" t="str">
        <f t="shared" si="67"/>
        <v>11A_Doesn't meet Standard</v>
      </c>
      <c r="AP292" s="9" t="str">
        <f t="shared" si="68"/>
        <v>11A_NO</v>
      </c>
    </row>
    <row r="293" spans="1:42">
      <c r="A293">
        <v>83005</v>
      </c>
      <c r="B293" t="s">
        <v>4333</v>
      </c>
      <c r="C293" t="s">
        <v>166</v>
      </c>
      <c r="D293" t="s">
        <v>4345</v>
      </c>
      <c r="E293" t="s">
        <v>4198</v>
      </c>
      <c r="F293" t="s">
        <v>162</v>
      </c>
      <c r="G293" t="s">
        <v>4105</v>
      </c>
      <c r="H293"/>
      <c r="I293"/>
      <c r="J293"/>
      <c r="K293"/>
      <c r="L293"/>
      <c r="M293"/>
      <c r="N293" t="b">
        <v>0</v>
      </c>
      <c r="O293" t="s">
        <v>4099</v>
      </c>
      <c r="P293">
        <v>14.76</v>
      </c>
      <c r="Q293">
        <v>6.04</v>
      </c>
      <c r="R293">
        <v>20.8</v>
      </c>
      <c r="S293">
        <v>70</v>
      </c>
      <c r="T293">
        <v>36</v>
      </c>
      <c r="U293">
        <v>31</v>
      </c>
      <c r="V293">
        <v>569</v>
      </c>
      <c r="W293" s="281">
        <v>41614</v>
      </c>
      <c r="X293" s="282"/>
      <c r="Z293" s="9" t="b">
        <f t="shared" si="57"/>
        <v>0</v>
      </c>
      <c r="AA293" s="9" t="str">
        <f t="shared" ref="AA293:AA356" si="70">GetFridgeClass(E293,F293,G293,J293,Z293,L293,M293)</f>
        <v>5</v>
      </c>
      <c r="AB293" s="196">
        <f t="shared" si="58"/>
        <v>25.3904</v>
      </c>
      <c r="AC293" s="9">
        <f>VLOOKUP(AA293,'Federal Standards'!$N$9:$P$50,2,FALSE)</f>
        <v>8.85</v>
      </c>
      <c r="AD293" s="44">
        <f>VLOOKUP(AA293,'Federal Standards'!$N$9:$P$50,3,FALSE)</f>
        <v>317</v>
      </c>
      <c r="AE293" s="44">
        <f t="shared" si="59"/>
        <v>541.70504000000005</v>
      </c>
      <c r="AF293" s="283">
        <f t="shared" si="60"/>
        <v>-27.294959999999946</v>
      </c>
      <c r="AG293" s="291">
        <f t="shared" si="69"/>
        <v>-5.0387125805585901E-2</v>
      </c>
      <c r="AH293" s="184" t="str">
        <f t="shared" si="61"/>
        <v>NO</v>
      </c>
      <c r="AJ293" s="9" t="str">
        <f t="shared" si="62"/>
        <v>NO</v>
      </c>
      <c r="AK293" s="9" t="str">
        <f t="shared" si="63"/>
        <v>NO</v>
      </c>
      <c r="AL293" s="9" t="str">
        <f t="shared" si="64"/>
        <v>NO</v>
      </c>
      <c r="AM293" s="9" t="str">
        <f t="shared" si="65"/>
        <v>NO</v>
      </c>
      <c r="AN293" s="9" t="str">
        <f t="shared" si="66"/>
        <v>Doesn't meet Standard</v>
      </c>
      <c r="AO293" s="9" t="str">
        <f t="shared" si="67"/>
        <v>5_Doesn't meet Standard</v>
      </c>
      <c r="AP293" s="9" t="str">
        <f t="shared" si="68"/>
        <v>5_NO</v>
      </c>
    </row>
    <row r="294" spans="1:42">
      <c r="A294">
        <v>85600</v>
      </c>
      <c r="B294" t="s">
        <v>4333</v>
      </c>
      <c r="C294" t="s">
        <v>4346</v>
      </c>
      <c r="D294" t="s">
        <v>4347</v>
      </c>
      <c r="E294" t="s">
        <v>190</v>
      </c>
      <c r="F294" t="s">
        <v>188</v>
      </c>
      <c r="G294" t="s">
        <v>189</v>
      </c>
      <c r="H294"/>
      <c r="I294"/>
      <c r="J294" t="b">
        <v>0</v>
      </c>
      <c r="K294" t="b">
        <v>1</v>
      </c>
      <c r="L294"/>
      <c r="M294"/>
      <c r="N294" t="b">
        <v>0</v>
      </c>
      <c r="O294"/>
      <c r="P294"/>
      <c r="Q294">
        <v>10.6</v>
      </c>
      <c r="R294">
        <v>10.6</v>
      </c>
      <c r="S294">
        <v>34</v>
      </c>
      <c r="T294">
        <v>51</v>
      </c>
      <c r="U294">
        <v>27</v>
      </c>
      <c r="V294">
        <v>244</v>
      </c>
      <c r="W294" s="281">
        <v>41842</v>
      </c>
      <c r="X294" s="282"/>
      <c r="Z294" s="9" t="b">
        <f t="shared" si="57"/>
        <v>0</v>
      </c>
      <c r="AA294" s="9" t="str">
        <f t="shared" si="70"/>
        <v>10</v>
      </c>
      <c r="AB294" s="196">
        <f t="shared" si="58"/>
        <v>18.655999999999999</v>
      </c>
      <c r="AC294" s="9">
        <f>VLOOKUP(AA294,'Federal Standards'!$N$9:$P$50,2,FALSE)</f>
        <v>7.29</v>
      </c>
      <c r="AD294" s="44">
        <f>VLOOKUP(AA294,'Federal Standards'!$N$9:$P$50,3,FALSE)</f>
        <v>107.8</v>
      </c>
      <c r="AE294" s="44">
        <f t="shared" si="59"/>
        <v>243.80223999999998</v>
      </c>
      <c r="AF294" s="283">
        <f t="shared" si="60"/>
        <v>-0.19776000000001659</v>
      </c>
      <c r="AG294" s="291">
        <f t="shared" si="69"/>
        <v>-8.1114923308340647E-4</v>
      </c>
      <c r="AH294" s="184" t="str">
        <f t="shared" si="61"/>
        <v>NO</v>
      </c>
      <c r="AJ294" s="9" t="str">
        <f t="shared" si="62"/>
        <v>NO</v>
      </c>
      <c r="AK294" s="9" t="str">
        <f t="shared" si="63"/>
        <v>NO</v>
      </c>
      <c r="AL294" s="9" t="str">
        <f t="shared" si="64"/>
        <v>NO</v>
      </c>
      <c r="AM294" s="9" t="str">
        <f t="shared" si="65"/>
        <v>NO</v>
      </c>
      <c r="AN294" s="9" t="str">
        <f t="shared" si="66"/>
        <v>Doesn't meet Standard</v>
      </c>
      <c r="AO294" s="9" t="str">
        <f t="shared" si="67"/>
        <v>10_Doesn't meet Standard</v>
      </c>
      <c r="AP294" s="9" t="str">
        <f t="shared" si="68"/>
        <v>10_NO</v>
      </c>
    </row>
    <row r="295" spans="1:42">
      <c r="A295">
        <v>83357</v>
      </c>
      <c r="B295" t="s">
        <v>4333</v>
      </c>
      <c r="C295" t="s">
        <v>4308</v>
      </c>
      <c r="D295" t="s">
        <v>4348</v>
      </c>
      <c r="E295" t="s">
        <v>190</v>
      </c>
      <c r="F295" t="s">
        <v>188</v>
      </c>
      <c r="G295" t="s">
        <v>189</v>
      </c>
      <c r="H295"/>
      <c r="I295"/>
      <c r="J295"/>
      <c r="K295"/>
      <c r="L295"/>
      <c r="M295"/>
      <c r="N295" t="b">
        <v>0</v>
      </c>
      <c r="O295" t="s">
        <v>4099</v>
      </c>
      <c r="P295"/>
      <c r="Q295">
        <v>3.5</v>
      </c>
      <c r="R295">
        <v>3.5</v>
      </c>
      <c r="S295">
        <v>33</v>
      </c>
      <c r="T295">
        <v>22</v>
      </c>
      <c r="U295">
        <v>21</v>
      </c>
      <c r="V295">
        <v>215</v>
      </c>
      <c r="W295" s="281">
        <v>41731</v>
      </c>
      <c r="X295" s="282"/>
      <c r="Z295" s="9" t="b">
        <f t="shared" si="57"/>
        <v>1</v>
      </c>
      <c r="AA295" s="9" t="str">
        <f t="shared" si="70"/>
        <v>18</v>
      </c>
      <c r="AB295" s="196">
        <f t="shared" si="58"/>
        <v>6.16</v>
      </c>
      <c r="AC295" s="9">
        <f>VLOOKUP(AA295,'Federal Standards'!$N$9:$P$50,2,FALSE)</f>
        <v>9.25</v>
      </c>
      <c r="AD295" s="44">
        <f>VLOOKUP(AA295,'Federal Standards'!$N$9:$P$50,3,FALSE)</f>
        <v>136.80000000000001</v>
      </c>
      <c r="AE295" s="44">
        <f t="shared" si="59"/>
        <v>193.78000000000003</v>
      </c>
      <c r="AF295" s="283">
        <f t="shared" si="60"/>
        <v>-21.21999999999997</v>
      </c>
      <c r="AG295" s="291">
        <f t="shared" si="69"/>
        <v>-0.10950562493549369</v>
      </c>
      <c r="AH295" s="184" t="str">
        <f t="shared" si="61"/>
        <v>NO</v>
      </c>
      <c r="AJ295" s="9" t="str">
        <f t="shared" si="62"/>
        <v>NO</v>
      </c>
      <c r="AK295" s="9" t="str">
        <f t="shared" si="63"/>
        <v>NO</v>
      </c>
      <c r="AL295" s="9" t="str">
        <f t="shared" si="64"/>
        <v>NO</v>
      </c>
      <c r="AM295" s="9" t="str">
        <f t="shared" si="65"/>
        <v>NO</v>
      </c>
      <c r="AN295" s="9" t="str">
        <f t="shared" si="66"/>
        <v>Doesn't meet Standard</v>
      </c>
      <c r="AO295" s="9" t="str">
        <f t="shared" si="67"/>
        <v>18_Doesn't meet Standard</v>
      </c>
      <c r="AP295" s="9" t="str">
        <f t="shared" si="68"/>
        <v>18_NO</v>
      </c>
    </row>
    <row r="296" spans="1:42">
      <c r="A296">
        <v>88259</v>
      </c>
      <c r="B296" t="s">
        <v>4333</v>
      </c>
      <c r="C296" t="s">
        <v>4308</v>
      </c>
      <c r="D296" t="s">
        <v>4349</v>
      </c>
      <c r="E296" t="s">
        <v>190</v>
      </c>
      <c r="F296" t="s">
        <v>188</v>
      </c>
      <c r="G296" t="s">
        <v>189</v>
      </c>
      <c r="H296"/>
      <c r="I296"/>
      <c r="J296" t="b">
        <v>0</v>
      </c>
      <c r="K296" t="b">
        <v>1</v>
      </c>
      <c r="L296"/>
      <c r="M296"/>
      <c r="N296" t="b">
        <v>0</v>
      </c>
      <c r="O296"/>
      <c r="P296"/>
      <c r="Q296">
        <v>3.5</v>
      </c>
      <c r="R296">
        <v>3.5</v>
      </c>
      <c r="S296">
        <v>33</v>
      </c>
      <c r="T296">
        <v>22</v>
      </c>
      <c r="U296">
        <v>21</v>
      </c>
      <c r="V296">
        <v>193</v>
      </c>
      <c r="W296" s="281">
        <v>41907</v>
      </c>
      <c r="X296" s="282"/>
      <c r="Z296" s="9" t="b">
        <f t="shared" si="57"/>
        <v>1</v>
      </c>
      <c r="AA296" s="9" t="str">
        <f t="shared" si="70"/>
        <v>18</v>
      </c>
      <c r="AB296" s="196">
        <f t="shared" si="58"/>
        <v>6.16</v>
      </c>
      <c r="AC296" s="9">
        <f>VLOOKUP(AA296,'Federal Standards'!$N$9:$P$50,2,FALSE)</f>
        <v>9.25</v>
      </c>
      <c r="AD296" s="44">
        <f>VLOOKUP(AA296,'Federal Standards'!$N$9:$P$50,3,FALSE)</f>
        <v>136.80000000000001</v>
      </c>
      <c r="AE296" s="44">
        <f t="shared" si="59"/>
        <v>193.78000000000003</v>
      </c>
      <c r="AF296" s="283">
        <f t="shared" si="60"/>
        <v>0.78000000000002956</v>
      </c>
      <c r="AG296" s="291">
        <f t="shared" si="69"/>
        <v>4.0251831974405482E-3</v>
      </c>
      <c r="AH296" s="184" t="str">
        <f t="shared" si="61"/>
        <v>YES</v>
      </c>
      <c r="AJ296" s="9" t="str">
        <f t="shared" si="62"/>
        <v>NO</v>
      </c>
      <c r="AK296" s="9" t="str">
        <f t="shared" si="63"/>
        <v>NO</v>
      </c>
      <c r="AL296" s="9" t="str">
        <f t="shared" si="64"/>
        <v>NO</v>
      </c>
      <c r="AM296" s="9" t="str">
        <f t="shared" si="65"/>
        <v>NO</v>
      </c>
      <c r="AN296" s="9" t="str">
        <f t="shared" si="66"/>
        <v>Less than 10% better than Standard</v>
      </c>
      <c r="AO296" s="9" t="str">
        <f t="shared" si="67"/>
        <v>18_Less than 10% better than Standard</v>
      </c>
      <c r="AP296" s="9" t="str">
        <f t="shared" si="68"/>
        <v>18_NO</v>
      </c>
    </row>
    <row r="297" spans="1:42">
      <c r="A297">
        <v>83285</v>
      </c>
      <c r="B297" t="s">
        <v>4333</v>
      </c>
      <c r="C297" t="s">
        <v>170</v>
      </c>
      <c r="D297">
        <v>99759</v>
      </c>
      <c r="E297" t="s">
        <v>4115</v>
      </c>
      <c r="F297" t="s">
        <v>188</v>
      </c>
      <c r="G297" t="s">
        <v>184</v>
      </c>
      <c r="H297"/>
      <c r="I297"/>
      <c r="J297"/>
      <c r="K297"/>
      <c r="L297"/>
      <c r="M297"/>
      <c r="N297" t="b">
        <v>0</v>
      </c>
      <c r="O297" t="s">
        <v>4099</v>
      </c>
      <c r="P297">
        <v>2.4</v>
      </c>
      <c r="Q297"/>
      <c r="R297">
        <v>2.4</v>
      </c>
      <c r="S297">
        <v>25</v>
      </c>
      <c r="T297">
        <v>18</v>
      </c>
      <c r="U297">
        <v>20</v>
      </c>
      <c r="V297">
        <v>237</v>
      </c>
      <c r="W297" s="281">
        <v>41731</v>
      </c>
      <c r="X297" s="282"/>
      <c r="Z297" s="9" t="b">
        <f t="shared" si="57"/>
        <v>1</v>
      </c>
      <c r="AA297" s="9" t="str">
        <f t="shared" si="70"/>
        <v>11A</v>
      </c>
      <c r="AB297" s="196">
        <f t="shared" si="58"/>
        <v>2.4</v>
      </c>
      <c r="AC297" s="9">
        <f>VLOOKUP(AA297,'Federal Standards'!$N$9:$P$50,2,FALSE)</f>
        <v>7.84</v>
      </c>
      <c r="AD297" s="44">
        <f>VLOOKUP(AA297,'Federal Standards'!$N$9:$P$50,3,FALSE)</f>
        <v>219.1</v>
      </c>
      <c r="AE297" s="44">
        <f t="shared" si="59"/>
        <v>237.916</v>
      </c>
      <c r="AF297" s="283">
        <f t="shared" si="60"/>
        <v>0.91599999999999682</v>
      </c>
      <c r="AG297" s="291">
        <f t="shared" si="69"/>
        <v>3.8500983540409087E-3</v>
      </c>
      <c r="AH297" s="184" t="str">
        <f t="shared" si="61"/>
        <v>YES</v>
      </c>
      <c r="AJ297" s="9" t="str">
        <f t="shared" si="62"/>
        <v>NO</v>
      </c>
      <c r="AK297" s="9" t="str">
        <f t="shared" si="63"/>
        <v>NO</v>
      </c>
      <c r="AL297" s="9" t="str">
        <f t="shared" si="64"/>
        <v>NO</v>
      </c>
      <c r="AM297" s="9" t="str">
        <f t="shared" si="65"/>
        <v>NO</v>
      </c>
      <c r="AN297" s="9" t="str">
        <f t="shared" si="66"/>
        <v>Less than 10% better than Standard</v>
      </c>
      <c r="AO297" s="9" t="str">
        <f t="shared" si="67"/>
        <v>11A_Less than 10% better than Standard</v>
      </c>
      <c r="AP297" s="9" t="str">
        <f t="shared" si="68"/>
        <v>11A_NO</v>
      </c>
    </row>
    <row r="298" spans="1:42">
      <c r="A298">
        <v>83226</v>
      </c>
      <c r="B298" t="s">
        <v>4333</v>
      </c>
      <c r="C298" t="s">
        <v>170</v>
      </c>
      <c r="D298">
        <v>99792</v>
      </c>
      <c r="E298" t="s">
        <v>4115</v>
      </c>
      <c r="F298" t="s">
        <v>188</v>
      </c>
      <c r="G298" t="s">
        <v>184</v>
      </c>
      <c r="H298"/>
      <c r="I298"/>
      <c r="J298"/>
      <c r="K298"/>
      <c r="L298"/>
      <c r="M298"/>
      <c r="N298" t="b">
        <v>0</v>
      </c>
      <c r="O298" t="s">
        <v>4099</v>
      </c>
      <c r="P298">
        <v>3.3</v>
      </c>
      <c r="Q298"/>
      <c r="R298">
        <v>3.3</v>
      </c>
      <c r="S298">
        <v>34</v>
      </c>
      <c r="T298">
        <v>19</v>
      </c>
      <c r="U298">
        <v>18</v>
      </c>
      <c r="V298">
        <v>244</v>
      </c>
      <c r="W298" s="281">
        <v>41719</v>
      </c>
      <c r="X298" s="282"/>
      <c r="Z298" s="9" t="b">
        <f t="shared" si="57"/>
        <v>1</v>
      </c>
      <c r="AA298" s="9" t="str">
        <f t="shared" si="70"/>
        <v>11A</v>
      </c>
      <c r="AB298" s="196">
        <f t="shared" si="58"/>
        <v>3.3</v>
      </c>
      <c r="AC298" s="9">
        <f>VLOOKUP(AA298,'Federal Standards'!$N$9:$P$50,2,FALSE)</f>
        <v>7.84</v>
      </c>
      <c r="AD298" s="44">
        <f>VLOOKUP(AA298,'Federal Standards'!$N$9:$P$50,3,FALSE)</f>
        <v>219.1</v>
      </c>
      <c r="AE298" s="44">
        <f t="shared" si="59"/>
        <v>244.97199999999998</v>
      </c>
      <c r="AF298" s="283">
        <f t="shared" si="60"/>
        <v>0.97199999999997999</v>
      </c>
      <c r="AG298" s="291">
        <f t="shared" si="69"/>
        <v>3.9678004016784774E-3</v>
      </c>
      <c r="AH298" s="184" t="str">
        <f t="shared" si="61"/>
        <v>YES</v>
      </c>
      <c r="AJ298" s="9" t="str">
        <f t="shared" si="62"/>
        <v>NO</v>
      </c>
      <c r="AK298" s="9" t="str">
        <f t="shared" si="63"/>
        <v>NO</v>
      </c>
      <c r="AL298" s="9" t="str">
        <f t="shared" si="64"/>
        <v>NO</v>
      </c>
      <c r="AM298" s="9" t="str">
        <f t="shared" si="65"/>
        <v>NO</v>
      </c>
      <c r="AN298" s="9" t="str">
        <f t="shared" si="66"/>
        <v>Less than 10% better than Standard</v>
      </c>
      <c r="AO298" s="9" t="str">
        <f t="shared" si="67"/>
        <v>11A_Less than 10% better than Standard</v>
      </c>
      <c r="AP298" s="9" t="str">
        <f t="shared" si="68"/>
        <v>11A_NO</v>
      </c>
    </row>
    <row r="299" spans="1:42">
      <c r="A299">
        <v>83227</v>
      </c>
      <c r="B299" t="s">
        <v>4333</v>
      </c>
      <c r="C299" t="s">
        <v>4350</v>
      </c>
      <c r="D299" t="s">
        <v>4351</v>
      </c>
      <c r="E299" t="s">
        <v>190</v>
      </c>
      <c r="F299" t="s">
        <v>188</v>
      </c>
      <c r="G299" t="s">
        <v>189</v>
      </c>
      <c r="H299"/>
      <c r="I299"/>
      <c r="J299"/>
      <c r="K299"/>
      <c r="L299"/>
      <c r="M299"/>
      <c r="N299" t="b">
        <v>0</v>
      </c>
      <c r="O299" t="s">
        <v>4099</v>
      </c>
      <c r="P299"/>
      <c r="Q299">
        <v>7</v>
      </c>
      <c r="R299">
        <v>7</v>
      </c>
      <c r="S299">
        <v>33</v>
      </c>
      <c r="T299">
        <v>37</v>
      </c>
      <c r="U299">
        <v>21</v>
      </c>
      <c r="V299">
        <v>277</v>
      </c>
      <c r="W299" s="281">
        <v>41719</v>
      </c>
      <c r="X299" s="282"/>
      <c r="Z299" s="9" t="b">
        <f t="shared" si="57"/>
        <v>1</v>
      </c>
      <c r="AA299" s="9" t="str">
        <f t="shared" si="70"/>
        <v>18</v>
      </c>
      <c r="AB299" s="196">
        <f t="shared" si="58"/>
        <v>12.32</v>
      </c>
      <c r="AC299" s="9">
        <f>VLOOKUP(AA299,'Federal Standards'!$N$9:$P$50,2,FALSE)</f>
        <v>9.25</v>
      </c>
      <c r="AD299" s="44">
        <f>VLOOKUP(AA299,'Federal Standards'!$N$9:$P$50,3,FALSE)</f>
        <v>136.80000000000001</v>
      </c>
      <c r="AE299" s="44">
        <f t="shared" si="59"/>
        <v>250.76000000000002</v>
      </c>
      <c r="AF299" s="283">
        <f t="shared" si="60"/>
        <v>-26.239999999999981</v>
      </c>
      <c r="AG299" s="291">
        <f t="shared" si="69"/>
        <v>-0.10464188865847814</v>
      </c>
      <c r="AH299" s="184" t="str">
        <f t="shared" si="61"/>
        <v>NO</v>
      </c>
      <c r="AJ299" s="9" t="str">
        <f t="shared" si="62"/>
        <v>NO</v>
      </c>
      <c r="AK299" s="9" t="str">
        <f t="shared" si="63"/>
        <v>NO</v>
      </c>
      <c r="AL299" s="9" t="str">
        <f t="shared" si="64"/>
        <v>NO</v>
      </c>
      <c r="AM299" s="9" t="str">
        <f t="shared" si="65"/>
        <v>NO</v>
      </c>
      <c r="AN299" s="9" t="str">
        <f t="shared" si="66"/>
        <v>Doesn't meet Standard</v>
      </c>
      <c r="AO299" s="9" t="str">
        <f t="shared" si="67"/>
        <v>18_Doesn't meet Standard</v>
      </c>
      <c r="AP299" s="9" t="str">
        <f t="shared" si="68"/>
        <v>18_NO</v>
      </c>
    </row>
    <row r="300" spans="1:42">
      <c r="A300">
        <v>83012</v>
      </c>
      <c r="B300" t="s">
        <v>4333</v>
      </c>
      <c r="C300" t="s">
        <v>1114</v>
      </c>
      <c r="D300" t="s">
        <v>4352</v>
      </c>
      <c r="E300" t="s">
        <v>4115</v>
      </c>
      <c r="F300" t="s">
        <v>188</v>
      </c>
      <c r="G300" t="s">
        <v>184</v>
      </c>
      <c r="H300"/>
      <c r="I300"/>
      <c r="J300"/>
      <c r="K300"/>
      <c r="L300"/>
      <c r="M300"/>
      <c r="N300" t="b">
        <v>0</v>
      </c>
      <c r="O300" t="s">
        <v>4099</v>
      </c>
      <c r="P300">
        <v>1.7</v>
      </c>
      <c r="Q300"/>
      <c r="R300">
        <v>1.7</v>
      </c>
      <c r="S300">
        <v>19</v>
      </c>
      <c r="T300">
        <v>19</v>
      </c>
      <c r="U300">
        <v>18</v>
      </c>
      <c r="V300">
        <v>315</v>
      </c>
      <c r="W300" s="281">
        <v>41617</v>
      </c>
      <c r="X300" s="282"/>
      <c r="Z300" s="9" t="b">
        <f t="shared" si="57"/>
        <v>1</v>
      </c>
      <c r="AA300" s="9" t="str">
        <f t="shared" si="70"/>
        <v>11A</v>
      </c>
      <c r="AB300" s="196">
        <f t="shared" si="58"/>
        <v>1.7</v>
      </c>
      <c r="AC300" s="9">
        <f>VLOOKUP(AA300,'Federal Standards'!$N$9:$P$50,2,FALSE)</f>
        <v>7.84</v>
      </c>
      <c r="AD300" s="44">
        <f>VLOOKUP(AA300,'Federal Standards'!$N$9:$P$50,3,FALSE)</f>
        <v>219.1</v>
      </c>
      <c r="AE300" s="44">
        <f t="shared" si="59"/>
        <v>232.428</v>
      </c>
      <c r="AF300" s="283">
        <f t="shared" si="60"/>
        <v>-82.572000000000003</v>
      </c>
      <c r="AG300" s="291">
        <f t="shared" si="69"/>
        <v>-0.35525840260209612</v>
      </c>
      <c r="AH300" s="184" t="str">
        <f t="shared" si="61"/>
        <v>NO</v>
      </c>
      <c r="AJ300" s="9" t="str">
        <f t="shared" si="62"/>
        <v>NO</v>
      </c>
      <c r="AK300" s="9" t="str">
        <f t="shared" si="63"/>
        <v>NO</v>
      </c>
      <c r="AL300" s="9" t="str">
        <f t="shared" si="64"/>
        <v>NO</v>
      </c>
      <c r="AM300" s="9" t="str">
        <f t="shared" si="65"/>
        <v>NO</v>
      </c>
      <c r="AN300" s="9" t="str">
        <f t="shared" si="66"/>
        <v>Doesn't meet Standard</v>
      </c>
      <c r="AO300" s="9" t="str">
        <f t="shared" si="67"/>
        <v>11A_Doesn't meet Standard</v>
      </c>
      <c r="AP300" s="9" t="str">
        <f t="shared" si="68"/>
        <v>11A_NO</v>
      </c>
    </row>
    <row r="301" spans="1:42">
      <c r="A301">
        <v>83014</v>
      </c>
      <c r="B301" t="s">
        <v>4333</v>
      </c>
      <c r="C301" t="s">
        <v>1114</v>
      </c>
      <c r="D301" t="s">
        <v>4353</v>
      </c>
      <c r="E301" t="s">
        <v>4115</v>
      </c>
      <c r="F301" t="s">
        <v>188</v>
      </c>
      <c r="G301" t="s">
        <v>184</v>
      </c>
      <c r="H301"/>
      <c r="I301"/>
      <c r="J301"/>
      <c r="K301"/>
      <c r="L301"/>
      <c r="M301"/>
      <c r="N301" t="b">
        <v>0</v>
      </c>
      <c r="O301" t="s">
        <v>4099</v>
      </c>
      <c r="P301">
        <v>2.4</v>
      </c>
      <c r="Q301"/>
      <c r="R301">
        <v>2.4</v>
      </c>
      <c r="S301">
        <v>25</v>
      </c>
      <c r="T301">
        <v>19</v>
      </c>
      <c r="U301">
        <v>18</v>
      </c>
      <c r="V301">
        <v>318</v>
      </c>
      <c r="W301" s="281">
        <v>41617</v>
      </c>
      <c r="X301" s="282"/>
      <c r="Z301" s="9" t="b">
        <f t="shared" si="57"/>
        <v>1</v>
      </c>
      <c r="AA301" s="9" t="str">
        <f t="shared" si="70"/>
        <v>11A</v>
      </c>
      <c r="AB301" s="196">
        <f t="shared" si="58"/>
        <v>2.4</v>
      </c>
      <c r="AC301" s="9">
        <f>VLOOKUP(AA301,'Federal Standards'!$N$9:$P$50,2,FALSE)</f>
        <v>7.84</v>
      </c>
      <c r="AD301" s="44">
        <f>VLOOKUP(AA301,'Federal Standards'!$N$9:$P$50,3,FALSE)</f>
        <v>219.1</v>
      </c>
      <c r="AE301" s="44">
        <f t="shared" si="59"/>
        <v>237.916</v>
      </c>
      <c r="AF301" s="283">
        <f t="shared" si="60"/>
        <v>-80.084000000000003</v>
      </c>
      <c r="AG301" s="291">
        <f t="shared" si="69"/>
        <v>-0.33660619714521095</v>
      </c>
      <c r="AH301" s="184" t="str">
        <f t="shared" si="61"/>
        <v>NO</v>
      </c>
      <c r="AJ301" s="9" t="str">
        <f t="shared" si="62"/>
        <v>NO</v>
      </c>
      <c r="AK301" s="9" t="str">
        <f t="shared" si="63"/>
        <v>NO</v>
      </c>
      <c r="AL301" s="9" t="str">
        <f t="shared" si="64"/>
        <v>NO</v>
      </c>
      <c r="AM301" s="9" t="str">
        <f t="shared" si="65"/>
        <v>NO</v>
      </c>
      <c r="AN301" s="9" t="str">
        <f t="shared" si="66"/>
        <v>Doesn't meet Standard</v>
      </c>
      <c r="AO301" s="9" t="str">
        <f t="shared" si="67"/>
        <v>11A_Doesn't meet Standard</v>
      </c>
      <c r="AP301" s="9" t="str">
        <f t="shared" si="68"/>
        <v>11A_NO</v>
      </c>
    </row>
    <row r="302" spans="1:42">
      <c r="A302">
        <v>83387</v>
      </c>
      <c r="B302" t="s">
        <v>4333</v>
      </c>
      <c r="C302" t="s">
        <v>855</v>
      </c>
      <c r="D302" t="s">
        <v>4354</v>
      </c>
      <c r="E302" t="s">
        <v>187</v>
      </c>
      <c r="F302" t="s">
        <v>188</v>
      </c>
      <c r="G302" t="s">
        <v>189</v>
      </c>
      <c r="H302"/>
      <c r="I302"/>
      <c r="J302"/>
      <c r="K302"/>
      <c r="L302"/>
      <c r="M302"/>
      <c r="N302" t="b">
        <v>0</v>
      </c>
      <c r="O302" t="s">
        <v>4099</v>
      </c>
      <c r="P302"/>
      <c r="Q302">
        <v>3</v>
      </c>
      <c r="R302">
        <v>3</v>
      </c>
      <c r="S302">
        <v>34</v>
      </c>
      <c r="T302">
        <v>20</v>
      </c>
      <c r="U302">
        <v>21</v>
      </c>
      <c r="V302">
        <v>237</v>
      </c>
      <c r="W302" s="281">
        <v>41731</v>
      </c>
      <c r="X302" s="282"/>
      <c r="Z302" s="9" t="b">
        <f t="shared" si="57"/>
        <v>1</v>
      </c>
      <c r="AA302" s="9" t="str">
        <f t="shared" si="70"/>
        <v>16</v>
      </c>
      <c r="AB302" s="196">
        <f t="shared" si="58"/>
        <v>5.28</v>
      </c>
      <c r="AC302" s="9">
        <f>VLOOKUP(AA302,'Federal Standards'!$N$9:$P$50,2,FALSE)</f>
        <v>8.65</v>
      </c>
      <c r="AD302" s="44">
        <f>VLOOKUP(AA302,'Federal Standards'!$N$9:$P$50,3,FALSE)</f>
        <v>225.7</v>
      </c>
      <c r="AE302" s="44">
        <f t="shared" si="59"/>
        <v>271.37200000000001</v>
      </c>
      <c r="AF302" s="283">
        <f t="shared" si="60"/>
        <v>34.372000000000014</v>
      </c>
      <c r="AG302" s="291">
        <f t="shared" si="69"/>
        <v>0.12666008283831792</v>
      </c>
      <c r="AH302" s="184" t="str">
        <f t="shared" si="61"/>
        <v>YES</v>
      </c>
      <c r="AJ302" s="9" t="str">
        <f t="shared" si="62"/>
        <v>YES</v>
      </c>
      <c r="AK302" s="9" t="str">
        <f t="shared" si="63"/>
        <v>YES</v>
      </c>
      <c r="AL302" s="9" t="str">
        <f t="shared" si="64"/>
        <v>NO</v>
      </c>
      <c r="AM302" s="9" t="str">
        <f t="shared" si="65"/>
        <v>NO</v>
      </c>
      <c r="AN302" s="9" t="str">
        <f t="shared" si="66"/>
        <v>Tier 1 - 10% to 15% better than Standard</v>
      </c>
      <c r="AO302" s="9" t="str">
        <f t="shared" si="67"/>
        <v>16_Tier 1 - 10% to 15% better than Standard</v>
      </c>
      <c r="AP302" s="9" t="str">
        <f t="shared" si="68"/>
        <v>16_YES</v>
      </c>
    </row>
    <row r="303" spans="1:42">
      <c r="A303">
        <v>83363</v>
      </c>
      <c r="B303" t="s">
        <v>4333</v>
      </c>
      <c r="C303" t="s">
        <v>855</v>
      </c>
      <c r="D303" t="s">
        <v>4355</v>
      </c>
      <c r="E303" t="s">
        <v>4119</v>
      </c>
      <c r="F303" t="s">
        <v>162</v>
      </c>
      <c r="G303" t="s">
        <v>184</v>
      </c>
      <c r="H303"/>
      <c r="I303"/>
      <c r="J303"/>
      <c r="K303"/>
      <c r="L303"/>
      <c r="M303"/>
      <c r="N303" t="b">
        <v>0</v>
      </c>
      <c r="O303" t="s">
        <v>4099</v>
      </c>
      <c r="P303">
        <v>3.4</v>
      </c>
      <c r="Q303"/>
      <c r="R303">
        <v>3.4</v>
      </c>
      <c r="S303">
        <v>33</v>
      </c>
      <c r="T303">
        <v>19</v>
      </c>
      <c r="U303">
        <v>18</v>
      </c>
      <c r="V303">
        <v>397</v>
      </c>
      <c r="W303" s="281">
        <v>41731</v>
      </c>
      <c r="X303" s="282"/>
      <c r="Z303" s="9" t="b">
        <f t="shared" si="57"/>
        <v>1</v>
      </c>
      <c r="AA303" s="9" t="str">
        <f t="shared" si="70"/>
        <v>[Wine Chiller - exempt]</v>
      </c>
      <c r="AB303" s="196">
        <f t="shared" si="58"/>
        <v>3.4</v>
      </c>
      <c r="AC303" s="9" t="e">
        <f>VLOOKUP(AA303,'Federal Standards'!$N$9:$P$50,2,FALSE)</f>
        <v>#N/A</v>
      </c>
      <c r="AD303" s="44" t="e">
        <f>VLOOKUP(AA303,'Federal Standards'!$N$9:$P$50,3,FALSE)</f>
        <v>#N/A</v>
      </c>
      <c r="AE303" s="44" t="e">
        <f t="shared" si="59"/>
        <v>#N/A</v>
      </c>
      <c r="AF303" s="283" t="e">
        <f t="shared" si="60"/>
        <v>#N/A</v>
      </c>
      <c r="AG303" s="291" t="e">
        <f t="shared" si="69"/>
        <v>#N/A</v>
      </c>
      <c r="AH303" s="184" t="e">
        <f t="shared" si="61"/>
        <v>#N/A</v>
      </c>
      <c r="AJ303" s="9" t="e">
        <f t="shared" si="62"/>
        <v>#N/A</v>
      </c>
      <c r="AK303" s="9" t="e">
        <f t="shared" si="63"/>
        <v>#N/A</v>
      </c>
      <c r="AL303" s="9" t="e">
        <f t="shared" si="64"/>
        <v>#N/A</v>
      </c>
      <c r="AM303" s="9" t="e">
        <f t="shared" si="65"/>
        <v>#N/A</v>
      </c>
      <c r="AN303" s="9" t="e">
        <f t="shared" si="66"/>
        <v>#N/A</v>
      </c>
      <c r="AO303" s="9" t="e">
        <f t="shared" si="67"/>
        <v>#N/A</v>
      </c>
      <c r="AP303" s="9" t="e">
        <f t="shared" si="68"/>
        <v>#N/A</v>
      </c>
    </row>
    <row r="304" spans="1:42">
      <c r="A304">
        <v>83385</v>
      </c>
      <c r="B304" t="s">
        <v>4333</v>
      </c>
      <c r="C304" t="s">
        <v>855</v>
      </c>
      <c r="D304" t="s">
        <v>4356</v>
      </c>
      <c r="E304" t="s">
        <v>4115</v>
      </c>
      <c r="F304" t="s">
        <v>188</v>
      </c>
      <c r="G304" t="s">
        <v>184</v>
      </c>
      <c r="H304"/>
      <c r="I304"/>
      <c r="J304"/>
      <c r="K304"/>
      <c r="L304"/>
      <c r="M304"/>
      <c r="N304" t="b">
        <v>0</v>
      </c>
      <c r="O304" t="s">
        <v>4099</v>
      </c>
      <c r="P304">
        <v>3.3</v>
      </c>
      <c r="Q304"/>
      <c r="R304">
        <v>3.3</v>
      </c>
      <c r="S304">
        <v>34</v>
      </c>
      <c r="T304">
        <v>19</v>
      </c>
      <c r="U304">
        <v>18</v>
      </c>
      <c r="V304">
        <v>267</v>
      </c>
      <c r="W304" s="281">
        <v>41731</v>
      </c>
      <c r="X304" s="282"/>
      <c r="Z304" s="9" t="b">
        <f t="shared" si="57"/>
        <v>1</v>
      </c>
      <c r="AA304" s="9" t="str">
        <f t="shared" si="70"/>
        <v>11A</v>
      </c>
      <c r="AB304" s="196">
        <f t="shared" si="58"/>
        <v>3.3</v>
      </c>
      <c r="AC304" s="9">
        <f>VLOOKUP(AA304,'Federal Standards'!$N$9:$P$50,2,FALSE)</f>
        <v>7.84</v>
      </c>
      <c r="AD304" s="44">
        <f>VLOOKUP(AA304,'Federal Standards'!$N$9:$P$50,3,FALSE)</f>
        <v>219.1</v>
      </c>
      <c r="AE304" s="44">
        <f t="shared" si="59"/>
        <v>244.97199999999998</v>
      </c>
      <c r="AF304" s="283">
        <f t="shared" si="60"/>
        <v>-22.02800000000002</v>
      </c>
      <c r="AG304" s="291">
        <f t="shared" si="69"/>
        <v>-8.9920480707999365E-2</v>
      </c>
      <c r="AH304" s="184" t="str">
        <f t="shared" si="61"/>
        <v>NO</v>
      </c>
      <c r="AJ304" s="9" t="str">
        <f t="shared" si="62"/>
        <v>NO</v>
      </c>
      <c r="AK304" s="9" t="str">
        <f t="shared" si="63"/>
        <v>NO</v>
      </c>
      <c r="AL304" s="9" t="str">
        <f t="shared" si="64"/>
        <v>NO</v>
      </c>
      <c r="AM304" s="9" t="str">
        <f t="shared" si="65"/>
        <v>NO</v>
      </c>
      <c r="AN304" s="9" t="str">
        <f t="shared" si="66"/>
        <v>Doesn't meet Standard</v>
      </c>
      <c r="AO304" s="9" t="str">
        <f t="shared" si="67"/>
        <v>11A_Doesn't meet Standard</v>
      </c>
      <c r="AP304" s="9" t="str">
        <f t="shared" si="68"/>
        <v>11A_NO</v>
      </c>
    </row>
    <row r="305" spans="1:42">
      <c r="A305">
        <v>83362</v>
      </c>
      <c r="B305" t="s">
        <v>4333</v>
      </c>
      <c r="C305" t="s">
        <v>855</v>
      </c>
      <c r="D305" t="s">
        <v>4357</v>
      </c>
      <c r="E305" t="s">
        <v>4119</v>
      </c>
      <c r="F305" t="s">
        <v>162</v>
      </c>
      <c r="G305" t="s">
        <v>184</v>
      </c>
      <c r="H305"/>
      <c r="I305"/>
      <c r="J305"/>
      <c r="K305"/>
      <c r="L305"/>
      <c r="M305"/>
      <c r="N305" t="b">
        <v>0</v>
      </c>
      <c r="O305" t="s">
        <v>4099</v>
      </c>
      <c r="P305">
        <v>3.9</v>
      </c>
      <c r="Q305"/>
      <c r="R305">
        <v>3.9</v>
      </c>
      <c r="S305">
        <v>34</v>
      </c>
      <c r="T305">
        <v>20</v>
      </c>
      <c r="U305">
        <v>20</v>
      </c>
      <c r="V305">
        <v>347</v>
      </c>
      <c r="W305" s="281">
        <v>41731</v>
      </c>
      <c r="X305" s="282"/>
      <c r="Z305" s="9" t="b">
        <f t="shared" si="57"/>
        <v>1</v>
      </c>
      <c r="AA305" s="9" t="str">
        <f t="shared" si="70"/>
        <v>[Wine Chiller - exempt]</v>
      </c>
      <c r="AB305" s="196">
        <f t="shared" si="58"/>
        <v>3.9</v>
      </c>
      <c r="AC305" s="9" t="e">
        <f>VLOOKUP(AA305,'Federal Standards'!$N$9:$P$50,2,FALSE)</f>
        <v>#N/A</v>
      </c>
      <c r="AD305" s="44" t="e">
        <f>VLOOKUP(AA305,'Federal Standards'!$N$9:$P$50,3,FALSE)</f>
        <v>#N/A</v>
      </c>
      <c r="AE305" s="44" t="e">
        <f t="shared" si="59"/>
        <v>#N/A</v>
      </c>
      <c r="AF305" s="283" t="e">
        <f t="shared" si="60"/>
        <v>#N/A</v>
      </c>
      <c r="AG305" s="291" t="e">
        <f t="shared" si="69"/>
        <v>#N/A</v>
      </c>
      <c r="AH305" s="184" t="e">
        <f t="shared" si="61"/>
        <v>#N/A</v>
      </c>
      <c r="AJ305" s="9" t="e">
        <f t="shared" si="62"/>
        <v>#N/A</v>
      </c>
      <c r="AK305" s="9" t="e">
        <f t="shared" si="63"/>
        <v>#N/A</v>
      </c>
      <c r="AL305" s="9" t="e">
        <f t="shared" si="64"/>
        <v>#N/A</v>
      </c>
      <c r="AM305" s="9" t="e">
        <f t="shared" si="65"/>
        <v>#N/A</v>
      </c>
      <c r="AN305" s="9" t="e">
        <f t="shared" si="66"/>
        <v>#N/A</v>
      </c>
      <c r="AO305" s="9" t="e">
        <f t="shared" si="67"/>
        <v>#N/A</v>
      </c>
      <c r="AP305" s="9" t="e">
        <f t="shared" si="68"/>
        <v>#N/A</v>
      </c>
    </row>
    <row r="306" spans="1:42">
      <c r="A306">
        <v>83360</v>
      </c>
      <c r="B306" t="s">
        <v>4333</v>
      </c>
      <c r="C306" t="s">
        <v>855</v>
      </c>
      <c r="D306" t="s">
        <v>4358</v>
      </c>
      <c r="E306" t="s">
        <v>4119</v>
      </c>
      <c r="F306" t="s">
        <v>162</v>
      </c>
      <c r="G306" t="s">
        <v>184</v>
      </c>
      <c r="H306"/>
      <c r="I306"/>
      <c r="J306"/>
      <c r="K306"/>
      <c r="L306"/>
      <c r="M306"/>
      <c r="N306" t="b">
        <v>0</v>
      </c>
      <c r="O306" t="s">
        <v>4099</v>
      </c>
      <c r="P306">
        <v>4.5</v>
      </c>
      <c r="Q306"/>
      <c r="R306">
        <v>4.5</v>
      </c>
      <c r="S306">
        <v>34</v>
      </c>
      <c r="T306">
        <v>21</v>
      </c>
      <c r="U306">
        <v>25</v>
      </c>
      <c r="V306">
        <v>347</v>
      </c>
      <c r="W306" s="281">
        <v>41731</v>
      </c>
      <c r="X306" s="282"/>
      <c r="Z306" s="9" t="b">
        <f t="shared" si="57"/>
        <v>1</v>
      </c>
      <c r="AA306" s="9" t="str">
        <f t="shared" si="70"/>
        <v>[Wine Chiller - exempt]</v>
      </c>
      <c r="AB306" s="196">
        <f t="shared" si="58"/>
        <v>4.5</v>
      </c>
      <c r="AC306" s="9" t="e">
        <f>VLOOKUP(AA306,'Federal Standards'!$N$9:$P$50,2,FALSE)</f>
        <v>#N/A</v>
      </c>
      <c r="AD306" s="44" t="e">
        <f>VLOOKUP(AA306,'Federal Standards'!$N$9:$P$50,3,FALSE)</f>
        <v>#N/A</v>
      </c>
      <c r="AE306" s="44" t="e">
        <f t="shared" si="59"/>
        <v>#N/A</v>
      </c>
      <c r="AF306" s="283" t="e">
        <f t="shared" si="60"/>
        <v>#N/A</v>
      </c>
      <c r="AG306" s="291" t="e">
        <f t="shared" si="69"/>
        <v>#N/A</v>
      </c>
      <c r="AH306" s="184" t="e">
        <f t="shared" si="61"/>
        <v>#N/A</v>
      </c>
      <c r="AJ306" s="9" t="e">
        <f t="shared" si="62"/>
        <v>#N/A</v>
      </c>
      <c r="AK306" s="9" t="e">
        <f t="shared" si="63"/>
        <v>#N/A</v>
      </c>
      <c r="AL306" s="9" t="e">
        <f t="shared" si="64"/>
        <v>#N/A</v>
      </c>
      <c r="AM306" s="9" t="e">
        <f t="shared" si="65"/>
        <v>#N/A</v>
      </c>
      <c r="AN306" s="9" t="e">
        <f t="shared" si="66"/>
        <v>#N/A</v>
      </c>
      <c r="AO306" s="9" t="e">
        <f t="shared" si="67"/>
        <v>#N/A</v>
      </c>
      <c r="AP306" s="9" t="e">
        <f t="shared" si="68"/>
        <v>#N/A</v>
      </c>
    </row>
    <row r="307" spans="1:42">
      <c r="A307">
        <v>83366</v>
      </c>
      <c r="B307" t="s">
        <v>4333</v>
      </c>
      <c r="C307" t="s">
        <v>855</v>
      </c>
      <c r="D307" t="s">
        <v>4359</v>
      </c>
      <c r="E307" t="s">
        <v>4115</v>
      </c>
      <c r="F307" t="s">
        <v>162</v>
      </c>
      <c r="G307" t="s">
        <v>184</v>
      </c>
      <c r="H307"/>
      <c r="I307"/>
      <c r="J307"/>
      <c r="K307"/>
      <c r="L307"/>
      <c r="M307"/>
      <c r="N307" t="b">
        <v>0</v>
      </c>
      <c r="O307" t="s">
        <v>4099</v>
      </c>
      <c r="P307">
        <v>4.5999999999999996</v>
      </c>
      <c r="Q307"/>
      <c r="R307">
        <v>4.5999999999999996</v>
      </c>
      <c r="S307">
        <v>34</v>
      </c>
      <c r="T307">
        <v>21</v>
      </c>
      <c r="U307">
        <v>25</v>
      </c>
      <c r="V307">
        <v>414</v>
      </c>
      <c r="W307" s="281">
        <v>41731</v>
      </c>
      <c r="X307" s="282"/>
      <c r="Z307" s="9" t="b">
        <f t="shared" si="57"/>
        <v>1</v>
      </c>
      <c r="AA307" s="9" t="str">
        <f t="shared" si="70"/>
        <v>13A</v>
      </c>
      <c r="AB307" s="196">
        <f t="shared" si="58"/>
        <v>4.5999999999999996</v>
      </c>
      <c r="AC307" s="9">
        <f>VLOOKUP(AA307,'Federal Standards'!$N$9:$P$50,2,FALSE)</f>
        <v>9.17</v>
      </c>
      <c r="AD307" s="44">
        <f>VLOOKUP(AA307,'Federal Standards'!$N$9:$P$50,3,FALSE)</f>
        <v>259.3</v>
      </c>
      <c r="AE307" s="44">
        <f t="shared" si="59"/>
        <v>301.48200000000003</v>
      </c>
      <c r="AF307" s="283">
        <f t="shared" si="60"/>
        <v>-112.51799999999997</v>
      </c>
      <c r="AG307" s="291">
        <f t="shared" si="69"/>
        <v>-0.3732163114215773</v>
      </c>
      <c r="AH307" s="184" t="str">
        <f t="shared" si="61"/>
        <v>NO</v>
      </c>
      <c r="AJ307" s="9" t="str">
        <f t="shared" si="62"/>
        <v>NO</v>
      </c>
      <c r="AK307" s="9" t="str">
        <f t="shared" si="63"/>
        <v>NO</v>
      </c>
      <c r="AL307" s="9" t="str">
        <f t="shared" si="64"/>
        <v>NO</v>
      </c>
      <c r="AM307" s="9" t="str">
        <f t="shared" si="65"/>
        <v>NO</v>
      </c>
      <c r="AN307" s="9" t="str">
        <f t="shared" si="66"/>
        <v>Doesn't meet Standard</v>
      </c>
      <c r="AO307" s="9" t="str">
        <f t="shared" si="67"/>
        <v>13A_Doesn't meet Standard</v>
      </c>
      <c r="AP307" s="9" t="str">
        <f t="shared" si="68"/>
        <v>13A_NO</v>
      </c>
    </row>
    <row r="308" spans="1:42">
      <c r="A308">
        <v>83361</v>
      </c>
      <c r="B308" t="s">
        <v>4333</v>
      </c>
      <c r="C308" t="s">
        <v>855</v>
      </c>
      <c r="D308" t="s">
        <v>4360</v>
      </c>
      <c r="E308" t="s">
        <v>4119</v>
      </c>
      <c r="F308" t="s">
        <v>162</v>
      </c>
      <c r="G308" t="s">
        <v>184</v>
      </c>
      <c r="H308"/>
      <c r="I308"/>
      <c r="J308"/>
      <c r="K308"/>
      <c r="L308"/>
      <c r="M308"/>
      <c r="N308" t="b">
        <v>0</v>
      </c>
      <c r="O308" t="s">
        <v>4099</v>
      </c>
      <c r="P308">
        <v>4.5999999999999996</v>
      </c>
      <c r="Q308"/>
      <c r="R308">
        <v>4.5999999999999996</v>
      </c>
      <c r="S308">
        <v>34</v>
      </c>
      <c r="T308">
        <v>21</v>
      </c>
      <c r="U308">
        <v>25</v>
      </c>
      <c r="V308">
        <v>383</v>
      </c>
      <c r="W308" s="281">
        <v>41731</v>
      </c>
      <c r="X308" s="282"/>
      <c r="Z308" s="9" t="b">
        <f t="shared" si="57"/>
        <v>1</v>
      </c>
      <c r="AA308" s="9" t="str">
        <f t="shared" si="70"/>
        <v>[Wine Chiller - exempt]</v>
      </c>
      <c r="AB308" s="196">
        <f t="shared" si="58"/>
        <v>4.5999999999999996</v>
      </c>
      <c r="AC308" s="9" t="e">
        <f>VLOOKUP(AA308,'Federal Standards'!$N$9:$P$50,2,FALSE)</f>
        <v>#N/A</v>
      </c>
      <c r="AD308" s="44" t="e">
        <f>VLOOKUP(AA308,'Federal Standards'!$N$9:$P$50,3,FALSE)</f>
        <v>#N/A</v>
      </c>
      <c r="AE308" s="44" t="e">
        <f t="shared" si="59"/>
        <v>#N/A</v>
      </c>
      <c r="AF308" s="283" t="e">
        <f t="shared" si="60"/>
        <v>#N/A</v>
      </c>
      <c r="AG308" s="291" t="e">
        <f t="shared" si="69"/>
        <v>#N/A</v>
      </c>
      <c r="AH308" s="184" t="e">
        <f t="shared" si="61"/>
        <v>#N/A</v>
      </c>
      <c r="AJ308" s="9" t="e">
        <f t="shared" si="62"/>
        <v>#N/A</v>
      </c>
      <c r="AK308" s="9" t="e">
        <f t="shared" si="63"/>
        <v>#N/A</v>
      </c>
      <c r="AL308" s="9" t="e">
        <f t="shared" si="64"/>
        <v>#N/A</v>
      </c>
      <c r="AM308" s="9" t="e">
        <f t="shared" si="65"/>
        <v>#N/A</v>
      </c>
      <c r="AN308" s="9" t="e">
        <f t="shared" si="66"/>
        <v>#N/A</v>
      </c>
      <c r="AO308" s="9" t="e">
        <f t="shared" si="67"/>
        <v>#N/A</v>
      </c>
      <c r="AP308" s="9" t="e">
        <f t="shared" si="68"/>
        <v>#N/A</v>
      </c>
    </row>
    <row r="309" spans="1:42">
      <c r="A309">
        <v>83384</v>
      </c>
      <c r="B309" t="s">
        <v>4333</v>
      </c>
      <c r="C309" t="s">
        <v>855</v>
      </c>
      <c r="D309" t="s">
        <v>4361</v>
      </c>
      <c r="E309" t="s">
        <v>190</v>
      </c>
      <c r="F309" t="s">
        <v>188</v>
      </c>
      <c r="G309" t="s">
        <v>189</v>
      </c>
      <c r="H309"/>
      <c r="I309"/>
      <c r="J309"/>
      <c r="K309"/>
      <c r="L309"/>
      <c r="M309"/>
      <c r="N309" t="b">
        <v>0</v>
      </c>
      <c r="O309" t="s">
        <v>4099</v>
      </c>
      <c r="P309"/>
      <c r="Q309">
        <v>14.2</v>
      </c>
      <c r="R309">
        <v>14.2</v>
      </c>
      <c r="S309">
        <v>34</v>
      </c>
      <c r="T309">
        <v>56</v>
      </c>
      <c r="U309">
        <v>28</v>
      </c>
      <c r="V309">
        <v>386</v>
      </c>
      <c r="W309" s="281">
        <v>41731</v>
      </c>
      <c r="X309" s="282"/>
      <c r="Z309" s="9" t="b">
        <f t="shared" si="57"/>
        <v>0</v>
      </c>
      <c r="AA309" s="9" t="str">
        <f t="shared" si="70"/>
        <v>10</v>
      </c>
      <c r="AB309" s="196">
        <f t="shared" si="58"/>
        <v>24.991999999999997</v>
      </c>
      <c r="AC309" s="9">
        <f>VLOOKUP(AA309,'Federal Standards'!$N$9:$P$50,2,FALSE)</f>
        <v>7.29</v>
      </c>
      <c r="AD309" s="44">
        <f>VLOOKUP(AA309,'Federal Standards'!$N$9:$P$50,3,FALSE)</f>
        <v>107.8</v>
      </c>
      <c r="AE309" s="44">
        <f t="shared" si="59"/>
        <v>289.99167999999997</v>
      </c>
      <c r="AF309" s="283">
        <f t="shared" si="60"/>
        <v>-96.008320000000026</v>
      </c>
      <c r="AG309" s="291">
        <f t="shared" si="69"/>
        <v>-0.33107267077455477</v>
      </c>
      <c r="AH309" s="184" t="str">
        <f t="shared" si="61"/>
        <v>NO</v>
      </c>
      <c r="AJ309" s="9" t="str">
        <f t="shared" si="62"/>
        <v>NO</v>
      </c>
      <c r="AK309" s="9" t="str">
        <f t="shared" si="63"/>
        <v>NO</v>
      </c>
      <c r="AL309" s="9" t="str">
        <f t="shared" si="64"/>
        <v>NO</v>
      </c>
      <c r="AM309" s="9" t="str">
        <f t="shared" si="65"/>
        <v>NO</v>
      </c>
      <c r="AN309" s="9" t="str">
        <f t="shared" si="66"/>
        <v>Doesn't meet Standard</v>
      </c>
      <c r="AO309" s="9" t="str">
        <f t="shared" si="67"/>
        <v>10_Doesn't meet Standard</v>
      </c>
      <c r="AP309" s="9" t="str">
        <f t="shared" si="68"/>
        <v>10_NO</v>
      </c>
    </row>
    <row r="310" spans="1:42">
      <c r="A310">
        <v>83365</v>
      </c>
      <c r="B310" t="s">
        <v>4333</v>
      </c>
      <c r="C310" t="s">
        <v>855</v>
      </c>
      <c r="D310" t="s">
        <v>4362</v>
      </c>
      <c r="E310" t="s">
        <v>4119</v>
      </c>
      <c r="F310" t="s">
        <v>162</v>
      </c>
      <c r="G310" t="s">
        <v>184</v>
      </c>
      <c r="H310"/>
      <c r="I310"/>
      <c r="J310"/>
      <c r="K310"/>
      <c r="L310"/>
      <c r="M310"/>
      <c r="N310" t="b">
        <v>0</v>
      </c>
      <c r="O310" t="s">
        <v>4099</v>
      </c>
      <c r="P310">
        <v>1.8</v>
      </c>
      <c r="Q310"/>
      <c r="R310">
        <v>1.8</v>
      </c>
      <c r="S310">
        <v>19</v>
      </c>
      <c r="T310">
        <v>19</v>
      </c>
      <c r="U310">
        <v>18</v>
      </c>
      <c r="V310">
        <v>372</v>
      </c>
      <c r="W310" s="281">
        <v>41731</v>
      </c>
      <c r="X310" s="282"/>
      <c r="Z310" s="9" t="b">
        <f t="shared" si="57"/>
        <v>1</v>
      </c>
      <c r="AA310" s="9" t="str">
        <f t="shared" si="70"/>
        <v>[Wine Chiller - exempt]</v>
      </c>
      <c r="AB310" s="196">
        <f t="shared" si="58"/>
        <v>1.8</v>
      </c>
      <c r="AC310" s="9" t="e">
        <f>VLOOKUP(AA310,'Federal Standards'!$N$9:$P$50,2,FALSE)</f>
        <v>#N/A</v>
      </c>
      <c r="AD310" s="44" t="e">
        <f>VLOOKUP(AA310,'Federal Standards'!$N$9:$P$50,3,FALSE)</f>
        <v>#N/A</v>
      </c>
      <c r="AE310" s="44" t="e">
        <f t="shared" si="59"/>
        <v>#N/A</v>
      </c>
      <c r="AF310" s="283" t="e">
        <f t="shared" si="60"/>
        <v>#N/A</v>
      </c>
      <c r="AG310" s="291" t="e">
        <f t="shared" si="69"/>
        <v>#N/A</v>
      </c>
      <c r="AH310" s="184" t="e">
        <f t="shared" si="61"/>
        <v>#N/A</v>
      </c>
      <c r="AJ310" s="9" t="e">
        <f t="shared" si="62"/>
        <v>#N/A</v>
      </c>
      <c r="AK310" s="9" t="e">
        <f t="shared" si="63"/>
        <v>#N/A</v>
      </c>
      <c r="AL310" s="9" t="e">
        <f t="shared" si="64"/>
        <v>#N/A</v>
      </c>
      <c r="AM310" s="9" t="e">
        <f t="shared" si="65"/>
        <v>#N/A</v>
      </c>
      <c r="AN310" s="9" t="e">
        <f t="shared" si="66"/>
        <v>#N/A</v>
      </c>
      <c r="AO310" s="9" t="e">
        <f t="shared" si="67"/>
        <v>#N/A</v>
      </c>
      <c r="AP310" s="9" t="e">
        <f t="shared" si="68"/>
        <v>#N/A</v>
      </c>
    </row>
    <row r="311" spans="1:42">
      <c r="A311">
        <v>83364</v>
      </c>
      <c r="B311" t="s">
        <v>4333</v>
      </c>
      <c r="C311" t="s">
        <v>855</v>
      </c>
      <c r="D311" t="s">
        <v>4363</v>
      </c>
      <c r="E311" t="s">
        <v>4119</v>
      </c>
      <c r="F311" t="s">
        <v>162</v>
      </c>
      <c r="G311" t="s">
        <v>184</v>
      </c>
      <c r="H311"/>
      <c r="I311"/>
      <c r="J311"/>
      <c r="K311"/>
      <c r="L311"/>
      <c r="M311"/>
      <c r="N311" t="b">
        <v>0</v>
      </c>
      <c r="O311" t="s">
        <v>4099</v>
      </c>
      <c r="P311">
        <v>2.4</v>
      </c>
      <c r="Q311"/>
      <c r="R311">
        <v>2.4</v>
      </c>
      <c r="S311">
        <v>25</v>
      </c>
      <c r="T311">
        <v>19</v>
      </c>
      <c r="U311">
        <v>18</v>
      </c>
      <c r="V311">
        <v>360</v>
      </c>
      <c r="W311" s="281">
        <v>41731</v>
      </c>
      <c r="X311" s="282"/>
      <c r="Z311" s="9" t="b">
        <f t="shared" si="57"/>
        <v>1</v>
      </c>
      <c r="AA311" s="9" t="str">
        <f t="shared" si="70"/>
        <v>[Wine Chiller - exempt]</v>
      </c>
      <c r="AB311" s="196">
        <f t="shared" si="58"/>
        <v>2.4</v>
      </c>
      <c r="AC311" s="9" t="e">
        <f>VLOOKUP(AA311,'Federal Standards'!$N$9:$P$50,2,FALSE)</f>
        <v>#N/A</v>
      </c>
      <c r="AD311" s="44" t="e">
        <f>VLOOKUP(AA311,'Federal Standards'!$N$9:$P$50,3,FALSE)</f>
        <v>#N/A</v>
      </c>
      <c r="AE311" s="44" t="e">
        <f t="shared" si="59"/>
        <v>#N/A</v>
      </c>
      <c r="AF311" s="283" t="e">
        <f t="shared" si="60"/>
        <v>#N/A</v>
      </c>
      <c r="AG311" s="291" t="e">
        <f t="shared" si="69"/>
        <v>#N/A</v>
      </c>
      <c r="AH311" s="184" t="e">
        <f t="shared" si="61"/>
        <v>#N/A</v>
      </c>
      <c r="AJ311" s="9" t="e">
        <f t="shared" si="62"/>
        <v>#N/A</v>
      </c>
      <c r="AK311" s="9" t="e">
        <f t="shared" si="63"/>
        <v>#N/A</v>
      </c>
      <c r="AL311" s="9" t="e">
        <f t="shared" si="64"/>
        <v>#N/A</v>
      </c>
      <c r="AM311" s="9" t="e">
        <f t="shared" si="65"/>
        <v>#N/A</v>
      </c>
      <c r="AN311" s="9" t="e">
        <f t="shared" si="66"/>
        <v>#N/A</v>
      </c>
      <c r="AO311" s="9" t="e">
        <f t="shared" si="67"/>
        <v>#N/A</v>
      </c>
      <c r="AP311" s="9" t="e">
        <f t="shared" si="68"/>
        <v>#N/A</v>
      </c>
    </row>
    <row r="312" spans="1:42">
      <c r="A312">
        <v>83390</v>
      </c>
      <c r="B312" t="s">
        <v>4333</v>
      </c>
      <c r="C312" t="s">
        <v>855</v>
      </c>
      <c r="D312" t="s">
        <v>4364</v>
      </c>
      <c r="E312" t="s">
        <v>4115</v>
      </c>
      <c r="F312" t="s">
        <v>188</v>
      </c>
      <c r="G312" t="s">
        <v>184</v>
      </c>
      <c r="H312"/>
      <c r="I312"/>
      <c r="J312"/>
      <c r="K312"/>
      <c r="L312"/>
      <c r="M312"/>
      <c r="N312" t="b">
        <v>0</v>
      </c>
      <c r="O312" t="s">
        <v>4099</v>
      </c>
      <c r="P312">
        <v>2.6</v>
      </c>
      <c r="Q312"/>
      <c r="R312">
        <v>2.6</v>
      </c>
      <c r="S312">
        <v>29</v>
      </c>
      <c r="T312">
        <v>18</v>
      </c>
      <c r="U312">
        <v>21</v>
      </c>
      <c r="V312">
        <v>260</v>
      </c>
      <c r="W312" s="281">
        <v>41731</v>
      </c>
      <c r="X312" s="282"/>
      <c r="Z312" s="9" t="b">
        <f t="shared" si="57"/>
        <v>1</v>
      </c>
      <c r="AA312" s="9" t="str">
        <f t="shared" si="70"/>
        <v>11A</v>
      </c>
      <c r="AB312" s="196">
        <f t="shared" si="58"/>
        <v>2.6</v>
      </c>
      <c r="AC312" s="9">
        <f>VLOOKUP(AA312,'Federal Standards'!$N$9:$P$50,2,FALSE)</f>
        <v>7.84</v>
      </c>
      <c r="AD312" s="44">
        <f>VLOOKUP(AA312,'Federal Standards'!$N$9:$P$50,3,FALSE)</f>
        <v>219.1</v>
      </c>
      <c r="AE312" s="44">
        <f t="shared" si="59"/>
        <v>239.48399999999998</v>
      </c>
      <c r="AF312" s="283">
        <f t="shared" si="60"/>
        <v>-20.51600000000002</v>
      </c>
      <c r="AG312" s="291">
        <f t="shared" si="69"/>
        <v>-8.5667518498104347E-2</v>
      </c>
      <c r="AH312" s="184" t="str">
        <f t="shared" si="61"/>
        <v>NO</v>
      </c>
      <c r="AJ312" s="9" t="str">
        <f t="shared" si="62"/>
        <v>NO</v>
      </c>
      <c r="AK312" s="9" t="str">
        <f t="shared" si="63"/>
        <v>NO</v>
      </c>
      <c r="AL312" s="9" t="str">
        <f t="shared" si="64"/>
        <v>NO</v>
      </c>
      <c r="AM312" s="9" t="str">
        <f t="shared" si="65"/>
        <v>NO</v>
      </c>
      <c r="AN312" s="9" t="str">
        <f t="shared" si="66"/>
        <v>Doesn't meet Standard</v>
      </c>
      <c r="AO312" s="9" t="str">
        <f t="shared" si="67"/>
        <v>11A_Doesn't meet Standard</v>
      </c>
      <c r="AP312" s="9" t="str">
        <f t="shared" si="68"/>
        <v>11A_NO</v>
      </c>
    </row>
    <row r="313" spans="1:42">
      <c r="A313">
        <v>83605</v>
      </c>
      <c r="B313" t="s">
        <v>4333</v>
      </c>
      <c r="C313" t="s">
        <v>855</v>
      </c>
      <c r="D313" t="s">
        <v>4365</v>
      </c>
      <c r="E313" t="s">
        <v>4119</v>
      </c>
      <c r="F313" t="s">
        <v>162</v>
      </c>
      <c r="G313" t="s">
        <v>184</v>
      </c>
      <c r="H313"/>
      <c r="I313" t="s">
        <v>4106</v>
      </c>
      <c r="J313"/>
      <c r="K313"/>
      <c r="L313"/>
      <c r="M313"/>
      <c r="N313" t="b">
        <v>0</v>
      </c>
      <c r="O313" t="s">
        <v>4099</v>
      </c>
      <c r="P313">
        <v>1.7</v>
      </c>
      <c r="Q313"/>
      <c r="R313">
        <v>1.7</v>
      </c>
      <c r="S313">
        <v>19</v>
      </c>
      <c r="T313">
        <v>19</v>
      </c>
      <c r="U313">
        <v>18</v>
      </c>
      <c r="V313">
        <v>372</v>
      </c>
      <c r="W313" s="281">
        <v>41757</v>
      </c>
      <c r="X313" s="282"/>
      <c r="Z313" s="9" t="b">
        <f t="shared" si="57"/>
        <v>1</v>
      </c>
      <c r="AA313" s="9" t="str">
        <f t="shared" si="70"/>
        <v>[Wine Chiller - exempt]</v>
      </c>
      <c r="AB313" s="196">
        <f t="shared" si="58"/>
        <v>1.7</v>
      </c>
      <c r="AC313" s="9" t="e">
        <f>VLOOKUP(AA313,'Federal Standards'!$N$9:$P$50,2,FALSE)</f>
        <v>#N/A</v>
      </c>
      <c r="AD313" s="44" t="e">
        <f>VLOOKUP(AA313,'Federal Standards'!$N$9:$P$50,3,FALSE)</f>
        <v>#N/A</v>
      </c>
      <c r="AE313" s="44" t="e">
        <f t="shared" si="59"/>
        <v>#N/A</v>
      </c>
      <c r="AF313" s="283" t="e">
        <f t="shared" si="60"/>
        <v>#N/A</v>
      </c>
      <c r="AG313" s="291" t="e">
        <f t="shared" si="69"/>
        <v>#N/A</v>
      </c>
      <c r="AH313" s="184" t="e">
        <f t="shared" si="61"/>
        <v>#N/A</v>
      </c>
      <c r="AJ313" s="9" t="e">
        <f t="shared" si="62"/>
        <v>#N/A</v>
      </c>
      <c r="AK313" s="9" t="e">
        <f t="shared" si="63"/>
        <v>#N/A</v>
      </c>
      <c r="AL313" s="9" t="e">
        <f t="shared" si="64"/>
        <v>#N/A</v>
      </c>
      <c r="AM313" s="9" t="e">
        <f t="shared" si="65"/>
        <v>#N/A</v>
      </c>
      <c r="AN313" s="9" t="e">
        <f t="shared" si="66"/>
        <v>#N/A</v>
      </c>
      <c r="AO313" s="9" t="e">
        <f t="shared" si="67"/>
        <v>#N/A</v>
      </c>
      <c r="AP313" s="9" t="e">
        <f t="shared" si="68"/>
        <v>#N/A</v>
      </c>
    </row>
    <row r="314" spans="1:42">
      <c r="A314">
        <v>83604</v>
      </c>
      <c r="B314" t="s">
        <v>4333</v>
      </c>
      <c r="C314" t="s">
        <v>855</v>
      </c>
      <c r="D314" t="s">
        <v>4366</v>
      </c>
      <c r="E314" t="s">
        <v>4119</v>
      </c>
      <c r="F314" t="s">
        <v>162</v>
      </c>
      <c r="G314" t="s">
        <v>184</v>
      </c>
      <c r="H314"/>
      <c r="I314" t="s">
        <v>4106</v>
      </c>
      <c r="J314"/>
      <c r="K314"/>
      <c r="L314"/>
      <c r="M314"/>
      <c r="N314" t="b">
        <v>0</v>
      </c>
      <c r="O314" t="s">
        <v>4099</v>
      </c>
      <c r="P314">
        <v>3.1</v>
      </c>
      <c r="Q314"/>
      <c r="R314">
        <v>3.1</v>
      </c>
      <c r="S314">
        <v>33</v>
      </c>
      <c r="T314">
        <v>19</v>
      </c>
      <c r="U314">
        <v>18</v>
      </c>
      <c r="V314">
        <v>397</v>
      </c>
      <c r="W314" s="281">
        <v>41757</v>
      </c>
      <c r="X314" s="282"/>
      <c r="Z314" s="9" t="b">
        <f t="shared" si="57"/>
        <v>1</v>
      </c>
      <c r="AA314" s="9" t="str">
        <f t="shared" si="70"/>
        <v>[Wine Chiller - exempt]</v>
      </c>
      <c r="AB314" s="196">
        <f t="shared" si="58"/>
        <v>3.1</v>
      </c>
      <c r="AC314" s="9" t="e">
        <f>VLOOKUP(AA314,'Federal Standards'!$N$9:$P$50,2,FALSE)</f>
        <v>#N/A</v>
      </c>
      <c r="AD314" s="44" t="e">
        <f>VLOOKUP(AA314,'Federal Standards'!$N$9:$P$50,3,FALSE)</f>
        <v>#N/A</v>
      </c>
      <c r="AE314" s="44" t="e">
        <f t="shared" si="59"/>
        <v>#N/A</v>
      </c>
      <c r="AF314" s="283" t="e">
        <f t="shared" si="60"/>
        <v>#N/A</v>
      </c>
      <c r="AG314" s="291" t="e">
        <f t="shared" si="69"/>
        <v>#N/A</v>
      </c>
      <c r="AH314" s="184" t="e">
        <f t="shared" si="61"/>
        <v>#N/A</v>
      </c>
      <c r="AJ314" s="9" t="e">
        <f t="shared" si="62"/>
        <v>#N/A</v>
      </c>
      <c r="AK314" s="9" t="e">
        <f t="shared" si="63"/>
        <v>#N/A</v>
      </c>
      <c r="AL314" s="9" t="e">
        <f t="shared" si="64"/>
        <v>#N/A</v>
      </c>
      <c r="AM314" s="9" t="e">
        <f t="shared" si="65"/>
        <v>#N/A</v>
      </c>
      <c r="AN314" s="9" t="e">
        <f t="shared" si="66"/>
        <v>#N/A</v>
      </c>
      <c r="AO314" s="9" t="e">
        <f t="shared" si="67"/>
        <v>#N/A</v>
      </c>
      <c r="AP314" s="9" t="e">
        <f t="shared" si="68"/>
        <v>#N/A</v>
      </c>
    </row>
    <row r="315" spans="1:42">
      <c r="A315">
        <v>83576</v>
      </c>
      <c r="B315" t="s">
        <v>4333</v>
      </c>
      <c r="C315" t="s">
        <v>855</v>
      </c>
      <c r="D315" t="s">
        <v>4367</v>
      </c>
      <c r="E315" t="s">
        <v>187</v>
      </c>
      <c r="F315" t="s">
        <v>188</v>
      </c>
      <c r="G315" t="s">
        <v>189</v>
      </c>
      <c r="H315"/>
      <c r="I315" t="s">
        <v>4106</v>
      </c>
      <c r="J315"/>
      <c r="K315"/>
      <c r="L315"/>
      <c r="M315"/>
      <c r="N315" t="b">
        <v>0</v>
      </c>
      <c r="O315" t="s">
        <v>4099</v>
      </c>
      <c r="P315"/>
      <c r="Q315">
        <v>1.1000000000000001</v>
      </c>
      <c r="R315">
        <v>1.1000000000000001</v>
      </c>
      <c r="S315">
        <v>19</v>
      </c>
      <c r="T315">
        <v>19</v>
      </c>
      <c r="U315">
        <v>18</v>
      </c>
      <c r="V315">
        <v>215</v>
      </c>
      <c r="W315" s="281">
        <v>41757</v>
      </c>
      <c r="X315" s="282"/>
      <c r="Z315" s="9" t="b">
        <f t="shared" si="57"/>
        <v>1</v>
      </c>
      <c r="AA315" s="9" t="str">
        <f t="shared" si="70"/>
        <v>16</v>
      </c>
      <c r="AB315" s="196">
        <f t="shared" si="58"/>
        <v>1.9360000000000002</v>
      </c>
      <c r="AC315" s="9">
        <f>VLOOKUP(AA315,'Federal Standards'!$N$9:$P$50,2,FALSE)</f>
        <v>8.65</v>
      </c>
      <c r="AD315" s="44">
        <f>VLOOKUP(AA315,'Federal Standards'!$N$9:$P$50,3,FALSE)</f>
        <v>225.7</v>
      </c>
      <c r="AE315" s="44">
        <f t="shared" si="59"/>
        <v>242.44639999999998</v>
      </c>
      <c r="AF315" s="283">
        <f t="shared" si="60"/>
        <v>27.446399999999983</v>
      </c>
      <c r="AG315" s="291">
        <f t="shared" si="69"/>
        <v>0.11320605296675877</v>
      </c>
      <c r="AH315" s="184" t="str">
        <f t="shared" si="61"/>
        <v>YES</v>
      </c>
      <c r="AJ315" s="9" t="str">
        <f t="shared" si="62"/>
        <v>YES</v>
      </c>
      <c r="AK315" s="9" t="str">
        <f t="shared" si="63"/>
        <v>YES</v>
      </c>
      <c r="AL315" s="9" t="str">
        <f t="shared" si="64"/>
        <v>NO</v>
      </c>
      <c r="AM315" s="9" t="str">
        <f t="shared" si="65"/>
        <v>NO</v>
      </c>
      <c r="AN315" s="9" t="str">
        <f t="shared" si="66"/>
        <v>Tier 1 - 10% to 15% better than Standard</v>
      </c>
      <c r="AO315" s="9" t="str">
        <f t="shared" si="67"/>
        <v>16_Tier 1 - 10% to 15% better than Standard</v>
      </c>
      <c r="AP315" s="9" t="str">
        <f t="shared" si="68"/>
        <v>16_YES</v>
      </c>
    </row>
    <row r="316" spans="1:42">
      <c r="A316">
        <v>83371</v>
      </c>
      <c r="B316" t="s">
        <v>4333</v>
      </c>
      <c r="C316" t="s">
        <v>855</v>
      </c>
      <c r="D316" t="s">
        <v>4368</v>
      </c>
      <c r="E316" t="s">
        <v>4115</v>
      </c>
      <c r="F316" t="s">
        <v>188</v>
      </c>
      <c r="G316" t="s">
        <v>184</v>
      </c>
      <c r="H316"/>
      <c r="I316"/>
      <c r="J316"/>
      <c r="K316"/>
      <c r="L316"/>
      <c r="M316"/>
      <c r="N316" t="b">
        <v>0</v>
      </c>
      <c r="O316" t="s">
        <v>4099</v>
      </c>
      <c r="P316">
        <v>1.6</v>
      </c>
      <c r="Q316"/>
      <c r="R316">
        <v>1.6</v>
      </c>
      <c r="S316">
        <v>19</v>
      </c>
      <c r="T316">
        <v>19</v>
      </c>
      <c r="U316">
        <v>18</v>
      </c>
      <c r="V316">
        <v>315</v>
      </c>
      <c r="W316" s="281">
        <v>41731</v>
      </c>
      <c r="X316" s="282"/>
      <c r="Z316" s="9" t="b">
        <f t="shared" si="57"/>
        <v>1</v>
      </c>
      <c r="AA316" s="9" t="str">
        <f t="shared" si="70"/>
        <v>11A</v>
      </c>
      <c r="AB316" s="196">
        <f t="shared" si="58"/>
        <v>1.6</v>
      </c>
      <c r="AC316" s="9">
        <f>VLOOKUP(AA316,'Federal Standards'!$N$9:$P$50,2,FALSE)</f>
        <v>7.84</v>
      </c>
      <c r="AD316" s="44">
        <f>VLOOKUP(AA316,'Federal Standards'!$N$9:$P$50,3,FALSE)</f>
        <v>219.1</v>
      </c>
      <c r="AE316" s="44">
        <f t="shared" si="59"/>
        <v>231.64400000000001</v>
      </c>
      <c r="AF316" s="283">
        <f t="shared" si="60"/>
        <v>-83.355999999999995</v>
      </c>
      <c r="AG316" s="291">
        <f t="shared" si="69"/>
        <v>-0.35984527982593978</v>
      </c>
      <c r="AH316" s="184" t="str">
        <f t="shared" si="61"/>
        <v>NO</v>
      </c>
      <c r="AJ316" s="9" t="str">
        <f t="shared" si="62"/>
        <v>NO</v>
      </c>
      <c r="AK316" s="9" t="str">
        <f t="shared" si="63"/>
        <v>NO</v>
      </c>
      <c r="AL316" s="9" t="str">
        <f t="shared" si="64"/>
        <v>NO</v>
      </c>
      <c r="AM316" s="9" t="str">
        <f t="shared" si="65"/>
        <v>NO</v>
      </c>
      <c r="AN316" s="9" t="str">
        <f t="shared" si="66"/>
        <v>Doesn't meet Standard</v>
      </c>
      <c r="AO316" s="9" t="str">
        <f t="shared" si="67"/>
        <v>11A_Doesn't meet Standard</v>
      </c>
      <c r="AP316" s="9" t="str">
        <f t="shared" si="68"/>
        <v>11A_NO</v>
      </c>
    </row>
    <row r="317" spans="1:42">
      <c r="A317">
        <v>83593</v>
      </c>
      <c r="B317" t="s">
        <v>4333</v>
      </c>
      <c r="C317" t="s">
        <v>855</v>
      </c>
      <c r="D317" t="s">
        <v>1349</v>
      </c>
      <c r="E317" t="s">
        <v>4115</v>
      </c>
      <c r="F317" t="s">
        <v>188</v>
      </c>
      <c r="G317" t="s">
        <v>184</v>
      </c>
      <c r="H317"/>
      <c r="I317" t="s">
        <v>4106</v>
      </c>
      <c r="J317"/>
      <c r="K317"/>
      <c r="L317"/>
      <c r="M317"/>
      <c r="N317" t="b">
        <v>0</v>
      </c>
      <c r="O317" t="s">
        <v>4099</v>
      </c>
      <c r="P317">
        <v>2.6</v>
      </c>
      <c r="Q317"/>
      <c r="R317">
        <v>2.6</v>
      </c>
      <c r="S317">
        <v>29</v>
      </c>
      <c r="T317">
        <v>18</v>
      </c>
      <c r="U317">
        <v>21</v>
      </c>
      <c r="V317">
        <v>215</v>
      </c>
      <c r="W317" s="281">
        <v>41757</v>
      </c>
      <c r="X317" s="282"/>
      <c r="Z317" s="9" t="b">
        <f t="shared" si="57"/>
        <v>1</v>
      </c>
      <c r="AA317" s="9" t="str">
        <f t="shared" si="70"/>
        <v>11A</v>
      </c>
      <c r="AB317" s="196">
        <f t="shared" si="58"/>
        <v>2.6</v>
      </c>
      <c r="AC317" s="9">
        <f>VLOOKUP(AA317,'Federal Standards'!$N$9:$P$50,2,FALSE)</f>
        <v>7.84</v>
      </c>
      <c r="AD317" s="44">
        <f>VLOOKUP(AA317,'Federal Standards'!$N$9:$P$50,3,FALSE)</f>
        <v>219.1</v>
      </c>
      <c r="AE317" s="44">
        <f t="shared" si="59"/>
        <v>239.48399999999998</v>
      </c>
      <c r="AF317" s="283">
        <f t="shared" si="60"/>
        <v>24.48399999999998</v>
      </c>
      <c r="AG317" s="291">
        <f t="shared" si="69"/>
        <v>0.10223647508810602</v>
      </c>
      <c r="AH317" s="184" t="str">
        <f t="shared" si="61"/>
        <v>YES</v>
      </c>
      <c r="AJ317" s="9" t="str">
        <f t="shared" si="62"/>
        <v>YES</v>
      </c>
      <c r="AK317" s="9" t="str">
        <f t="shared" si="63"/>
        <v>YES</v>
      </c>
      <c r="AL317" s="9" t="str">
        <f t="shared" si="64"/>
        <v>NO</v>
      </c>
      <c r="AM317" s="9" t="str">
        <f t="shared" si="65"/>
        <v>NO</v>
      </c>
      <c r="AN317" s="9" t="str">
        <f t="shared" si="66"/>
        <v>Tier 1 - 10% to 15% better than Standard</v>
      </c>
      <c r="AO317" s="9" t="str">
        <f t="shared" si="67"/>
        <v>11A_Tier 1 - 10% to 15% better than Standard</v>
      </c>
      <c r="AP317" s="9" t="str">
        <f t="shared" si="68"/>
        <v>11A_YES</v>
      </c>
    </row>
    <row r="318" spans="1:42">
      <c r="A318">
        <v>84146</v>
      </c>
      <c r="B318" t="s">
        <v>4333</v>
      </c>
      <c r="C318" t="s">
        <v>4369</v>
      </c>
      <c r="D318" t="s">
        <v>4370</v>
      </c>
      <c r="E318" t="s">
        <v>190</v>
      </c>
      <c r="F318" t="s">
        <v>188</v>
      </c>
      <c r="G318" t="s">
        <v>189</v>
      </c>
      <c r="H318"/>
      <c r="I318" t="s">
        <v>4106</v>
      </c>
      <c r="J318"/>
      <c r="K318"/>
      <c r="L318"/>
      <c r="M318"/>
      <c r="N318" t="b">
        <v>0</v>
      </c>
      <c r="O318" t="s">
        <v>4099</v>
      </c>
      <c r="P318"/>
      <c r="Q318">
        <v>7</v>
      </c>
      <c r="R318">
        <v>7</v>
      </c>
      <c r="S318">
        <v>33</v>
      </c>
      <c r="T318">
        <v>27</v>
      </c>
      <c r="U318">
        <v>22</v>
      </c>
      <c r="V318">
        <v>250</v>
      </c>
      <c r="W318" s="281">
        <v>41793</v>
      </c>
      <c r="X318" s="282"/>
      <c r="Z318" s="9" t="b">
        <f t="shared" si="57"/>
        <v>1</v>
      </c>
      <c r="AA318" s="9" t="str">
        <f t="shared" si="70"/>
        <v>18</v>
      </c>
      <c r="AB318" s="196">
        <f t="shared" si="58"/>
        <v>12.32</v>
      </c>
      <c r="AC318" s="9">
        <f>VLOOKUP(AA318,'Federal Standards'!$N$9:$P$50,2,FALSE)</f>
        <v>9.25</v>
      </c>
      <c r="AD318" s="44">
        <f>VLOOKUP(AA318,'Federal Standards'!$N$9:$P$50,3,FALSE)</f>
        <v>136.80000000000001</v>
      </c>
      <c r="AE318" s="44">
        <f t="shared" si="59"/>
        <v>250.76000000000002</v>
      </c>
      <c r="AF318" s="283">
        <f t="shared" si="60"/>
        <v>0.76000000000001933</v>
      </c>
      <c r="AG318" s="291">
        <f t="shared" si="69"/>
        <v>3.0307864093157572E-3</v>
      </c>
      <c r="AH318" s="184" t="str">
        <f t="shared" si="61"/>
        <v>YES</v>
      </c>
      <c r="AJ318" s="9" t="str">
        <f t="shared" si="62"/>
        <v>NO</v>
      </c>
      <c r="AK318" s="9" t="str">
        <f t="shared" si="63"/>
        <v>NO</v>
      </c>
      <c r="AL318" s="9" t="str">
        <f t="shared" si="64"/>
        <v>NO</v>
      </c>
      <c r="AM318" s="9" t="str">
        <f t="shared" si="65"/>
        <v>NO</v>
      </c>
      <c r="AN318" s="9" t="str">
        <f t="shared" si="66"/>
        <v>Less than 10% better than Standard</v>
      </c>
      <c r="AO318" s="9" t="str">
        <f t="shared" si="67"/>
        <v>18_Less than 10% better than Standard</v>
      </c>
      <c r="AP318" s="9" t="str">
        <f t="shared" si="68"/>
        <v>18_NO</v>
      </c>
    </row>
    <row r="319" spans="1:42">
      <c r="A319">
        <v>83345</v>
      </c>
      <c r="B319" t="s">
        <v>4333</v>
      </c>
      <c r="C319" t="s">
        <v>4371</v>
      </c>
      <c r="D319" t="s">
        <v>4372</v>
      </c>
      <c r="E319" t="s">
        <v>187</v>
      </c>
      <c r="F319" t="s">
        <v>188</v>
      </c>
      <c r="G319" t="s">
        <v>189</v>
      </c>
      <c r="H319"/>
      <c r="I319"/>
      <c r="J319"/>
      <c r="K319"/>
      <c r="L319"/>
      <c r="M319"/>
      <c r="N319" t="b">
        <v>0</v>
      </c>
      <c r="O319" t="s">
        <v>4099</v>
      </c>
      <c r="P319"/>
      <c r="Q319">
        <v>2.1</v>
      </c>
      <c r="R319">
        <v>2.1</v>
      </c>
      <c r="S319">
        <v>26</v>
      </c>
      <c r="T319">
        <v>18</v>
      </c>
      <c r="U319">
        <v>20</v>
      </c>
      <c r="V319">
        <v>228</v>
      </c>
      <c r="W319" s="281">
        <v>41731</v>
      </c>
      <c r="X319" s="282"/>
      <c r="Z319" s="9" t="b">
        <f t="shared" si="57"/>
        <v>1</v>
      </c>
      <c r="AA319" s="9" t="str">
        <f t="shared" si="70"/>
        <v>16</v>
      </c>
      <c r="AB319" s="196">
        <f t="shared" si="58"/>
        <v>3.6960000000000002</v>
      </c>
      <c r="AC319" s="9">
        <f>VLOOKUP(AA319,'Federal Standards'!$N$9:$P$50,2,FALSE)</f>
        <v>8.65</v>
      </c>
      <c r="AD319" s="44">
        <f>VLOOKUP(AA319,'Federal Standards'!$N$9:$P$50,3,FALSE)</f>
        <v>225.7</v>
      </c>
      <c r="AE319" s="44">
        <f t="shared" si="59"/>
        <v>257.67039999999997</v>
      </c>
      <c r="AF319" s="283">
        <f t="shared" si="60"/>
        <v>29.670399999999972</v>
      </c>
      <c r="AG319" s="291">
        <f t="shared" si="69"/>
        <v>0.11514865502595555</v>
      </c>
      <c r="AH319" s="184" t="str">
        <f t="shared" si="61"/>
        <v>YES</v>
      </c>
      <c r="AJ319" s="9" t="str">
        <f t="shared" si="62"/>
        <v>YES</v>
      </c>
      <c r="AK319" s="9" t="str">
        <f t="shared" si="63"/>
        <v>YES</v>
      </c>
      <c r="AL319" s="9" t="str">
        <f t="shared" si="64"/>
        <v>NO</v>
      </c>
      <c r="AM319" s="9" t="str">
        <f t="shared" si="65"/>
        <v>NO</v>
      </c>
      <c r="AN319" s="9" t="str">
        <f t="shared" si="66"/>
        <v>Tier 1 - 10% to 15% better than Standard</v>
      </c>
      <c r="AO319" s="9" t="str">
        <f t="shared" si="67"/>
        <v>16_Tier 1 - 10% to 15% better than Standard</v>
      </c>
      <c r="AP319" s="9" t="str">
        <f t="shared" si="68"/>
        <v>16_YES</v>
      </c>
    </row>
    <row r="320" spans="1:42">
      <c r="A320">
        <v>86148</v>
      </c>
      <c r="B320" t="s">
        <v>4373</v>
      </c>
      <c r="C320" t="s">
        <v>1114</v>
      </c>
      <c r="D320" t="s">
        <v>4374</v>
      </c>
      <c r="E320" t="s">
        <v>4198</v>
      </c>
      <c r="F320" t="s">
        <v>162</v>
      </c>
      <c r="G320" t="s">
        <v>4105</v>
      </c>
      <c r="H320"/>
      <c r="I320" t="s">
        <v>4199</v>
      </c>
      <c r="J320"/>
      <c r="K320"/>
      <c r="L320"/>
      <c r="M320"/>
      <c r="N320" t="b">
        <v>1</v>
      </c>
      <c r="O320"/>
      <c r="P320">
        <v>6.4</v>
      </c>
      <c r="Q320">
        <v>2.8</v>
      </c>
      <c r="R320">
        <v>9.1999999999999993</v>
      </c>
      <c r="S320">
        <v>60</v>
      </c>
      <c r="T320">
        <v>24</v>
      </c>
      <c r="U320">
        <v>27</v>
      </c>
      <c r="V320">
        <v>374</v>
      </c>
      <c r="W320" s="281">
        <v>41866</v>
      </c>
      <c r="X320" s="282"/>
      <c r="Z320" s="9" t="b">
        <f t="shared" si="57"/>
        <v>0</v>
      </c>
      <c r="AA320" s="9" t="str">
        <f t="shared" si="70"/>
        <v>5</v>
      </c>
      <c r="AB320" s="196">
        <f t="shared" si="58"/>
        <v>11.327999999999999</v>
      </c>
      <c r="AC320" s="9">
        <f>VLOOKUP(AA320,'Federal Standards'!$N$9:$P$50,2,FALSE)</f>
        <v>8.85</v>
      </c>
      <c r="AD320" s="44">
        <f>VLOOKUP(AA320,'Federal Standards'!$N$9:$P$50,3,FALSE)</f>
        <v>317</v>
      </c>
      <c r="AE320" s="44">
        <f t="shared" si="59"/>
        <v>417.25279999999998</v>
      </c>
      <c r="AF320" s="283">
        <f t="shared" si="60"/>
        <v>43.252799999999979</v>
      </c>
      <c r="AG320" s="291">
        <f t="shared" si="69"/>
        <v>0.10366089814136653</v>
      </c>
      <c r="AH320" s="184" t="str">
        <f t="shared" si="61"/>
        <v>YES</v>
      </c>
      <c r="AJ320" s="9" t="str">
        <f t="shared" si="62"/>
        <v>YES</v>
      </c>
      <c r="AK320" s="9" t="str">
        <f t="shared" si="63"/>
        <v>YES</v>
      </c>
      <c r="AL320" s="9" t="str">
        <f t="shared" si="64"/>
        <v>NO</v>
      </c>
      <c r="AM320" s="9" t="str">
        <f t="shared" si="65"/>
        <v>NO</v>
      </c>
      <c r="AN320" s="9" t="str">
        <f t="shared" si="66"/>
        <v>Tier 1 - 10% to 15% better than Standard</v>
      </c>
      <c r="AO320" s="9" t="str">
        <f t="shared" si="67"/>
        <v>5_Tier 1 - 10% to 15% better than Standard</v>
      </c>
      <c r="AP320" s="9" t="str">
        <f t="shared" si="68"/>
        <v>5_YES</v>
      </c>
    </row>
    <row r="321" spans="1:42">
      <c r="A321">
        <v>84865</v>
      </c>
      <c r="B321" t="s">
        <v>4375</v>
      </c>
      <c r="C321" t="s">
        <v>586</v>
      </c>
      <c r="D321" t="s">
        <v>4376</v>
      </c>
      <c r="E321" t="s">
        <v>4115</v>
      </c>
      <c r="F321" t="s">
        <v>188</v>
      </c>
      <c r="G321" t="s">
        <v>184</v>
      </c>
      <c r="H321"/>
      <c r="I321" t="s">
        <v>4106</v>
      </c>
      <c r="J321"/>
      <c r="K321"/>
      <c r="L321"/>
      <c r="M321"/>
      <c r="N321" t="b">
        <v>0</v>
      </c>
      <c r="O321" t="s">
        <v>4099</v>
      </c>
      <c r="P321">
        <v>1.6</v>
      </c>
      <c r="Q321">
        <v>0</v>
      </c>
      <c r="R321">
        <v>1.6</v>
      </c>
      <c r="S321">
        <v>21</v>
      </c>
      <c r="T321">
        <v>18</v>
      </c>
      <c r="U321">
        <v>19</v>
      </c>
      <c r="V321">
        <v>207</v>
      </c>
      <c r="W321" s="281">
        <v>41809</v>
      </c>
      <c r="X321" s="282"/>
      <c r="Z321" s="9" t="b">
        <f t="shared" si="57"/>
        <v>1</v>
      </c>
      <c r="AA321" s="9" t="str">
        <f t="shared" si="70"/>
        <v>11A</v>
      </c>
      <c r="AB321" s="196">
        <f t="shared" si="58"/>
        <v>1.6</v>
      </c>
      <c r="AC321" s="9">
        <f>VLOOKUP(AA321,'Federal Standards'!$N$9:$P$50,2,FALSE)</f>
        <v>7.84</v>
      </c>
      <c r="AD321" s="44">
        <f>VLOOKUP(AA321,'Federal Standards'!$N$9:$P$50,3,FALSE)</f>
        <v>219.1</v>
      </c>
      <c r="AE321" s="44">
        <f t="shared" si="59"/>
        <v>231.64400000000001</v>
      </c>
      <c r="AF321" s="283">
        <f t="shared" si="60"/>
        <v>24.644000000000005</v>
      </c>
      <c r="AG321" s="291">
        <f t="shared" si="69"/>
        <v>0.10638738754295386</v>
      </c>
      <c r="AH321" s="184" t="str">
        <f t="shared" si="61"/>
        <v>YES</v>
      </c>
      <c r="AJ321" s="9" t="str">
        <f t="shared" si="62"/>
        <v>YES</v>
      </c>
      <c r="AK321" s="9" t="str">
        <f t="shared" si="63"/>
        <v>YES</v>
      </c>
      <c r="AL321" s="9" t="str">
        <f t="shared" si="64"/>
        <v>NO</v>
      </c>
      <c r="AM321" s="9" t="str">
        <f t="shared" si="65"/>
        <v>NO</v>
      </c>
      <c r="AN321" s="9" t="str">
        <f t="shared" si="66"/>
        <v>Tier 1 - 10% to 15% better than Standard</v>
      </c>
      <c r="AO321" s="9" t="str">
        <f t="shared" si="67"/>
        <v>11A_Tier 1 - 10% to 15% better than Standard</v>
      </c>
      <c r="AP321" s="9" t="str">
        <f t="shared" si="68"/>
        <v>11A_YES</v>
      </c>
    </row>
    <row r="322" spans="1:42">
      <c r="A322">
        <v>84866</v>
      </c>
      <c r="B322" t="s">
        <v>4375</v>
      </c>
      <c r="C322" t="s">
        <v>586</v>
      </c>
      <c r="D322" t="s">
        <v>4377</v>
      </c>
      <c r="E322" t="s">
        <v>4115</v>
      </c>
      <c r="F322" t="s">
        <v>188</v>
      </c>
      <c r="G322" t="s">
        <v>184</v>
      </c>
      <c r="H322"/>
      <c r="I322" t="s">
        <v>4106</v>
      </c>
      <c r="J322"/>
      <c r="K322"/>
      <c r="L322"/>
      <c r="M322"/>
      <c r="N322" t="b">
        <v>0</v>
      </c>
      <c r="O322" t="s">
        <v>4099</v>
      </c>
      <c r="P322">
        <v>2.7</v>
      </c>
      <c r="Q322">
        <v>0</v>
      </c>
      <c r="R322">
        <v>2.7</v>
      </c>
      <c r="S322">
        <v>27</v>
      </c>
      <c r="T322">
        <v>18</v>
      </c>
      <c r="U322">
        <v>21</v>
      </c>
      <c r="V322">
        <v>214</v>
      </c>
      <c r="W322" s="281">
        <v>41809</v>
      </c>
      <c r="X322" s="282"/>
      <c r="Z322" s="9" t="b">
        <f t="shared" si="57"/>
        <v>1</v>
      </c>
      <c r="AA322" s="9" t="str">
        <f t="shared" si="70"/>
        <v>11A</v>
      </c>
      <c r="AB322" s="196">
        <f t="shared" si="58"/>
        <v>2.7</v>
      </c>
      <c r="AC322" s="9">
        <f>VLOOKUP(AA322,'Federal Standards'!$N$9:$P$50,2,FALSE)</f>
        <v>7.84</v>
      </c>
      <c r="AD322" s="44">
        <f>VLOOKUP(AA322,'Federal Standards'!$N$9:$P$50,3,FALSE)</f>
        <v>219.1</v>
      </c>
      <c r="AE322" s="44">
        <f t="shared" si="59"/>
        <v>240.268</v>
      </c>
      <c r="AF322" s="283">
        <f t="shared" si="60"/>
        <v>26.268000000000001</v>
      </c>
      <c r="AG322" s="291">
        <f t="shared" si="69"/>
        <v>0.10932791715917226</v>
      </c>
      <c r="AH322" s="184" t="str">
        <f t="shared" si="61"/>
        <v>YES</v>
      </c>
      <c r="AJ322" s="9" t="str">
        <f t="shared" si="62"/>
        <v>YES</v>
      </c>
      <c r="AK322" s="9" t="str">
        <f t="shared" si="63"/>
        <v>YES</v>
      </c>
      <c r="AL322" s="9" t="str">
        <f t="shared" si="64"/>
        <v>NO</v>
      </c>
      <c r="AM322" s="9" t="str">
        <f t="shared" si="65"/>
        <v>NO</v>
      </c>
      <c r="AN322" s="9" t="str">
        <f t="shared" si="66"/>
        <v>Tier 1 - 10% to 15% better than Standard</v>
      </c>
      <c r="AO322" s="9" t="str">
        <f t="shared" si="67"/>
        <v>11A_Tier 1 - 10% to 15% better than Standard</v>
      </c>
      <c r="AP322" s="9" t="str">
        <f t="shared" si="68"/>
        <v>11A_YES</v>
      </c>
    </row>
    <row r="323" spans="1:42">
      <c r="A323">
        <v>84867</v>
      </c>
      <c r="B323" t="s">
        <v>4375</v>
      </c>
      <c r="C323" t="s">
        <v>586</v>
      </c>
      <c r="D323" t="s">
        <v>4378</v>
      </c>
      <c r="E323" t="s">
        <v>4115</v>
      </c>
      <c r="F323" t="s">
        <v>188</v>
      </c>
      <c r="G323" t="s">
        <v>184</v>
      </c>
      <c r="H323"/>
      <c r="I323" t="s">
        <v>4106</v>
      </c>
      <c r="J323"/>
      <c r="K323"/>
      <c r="L323"/>
      <c r="M323"/>
      <c r="N323" t="b">
        <v>0</v>
      </c>
      <c r="O323" t="s">
        <v>4099</v>
      </c>
      <c r="P323">
        <v>4.4000000000000004</v>
      </c>
      <c r="Q323">
        <v>0</v>
      </c>
      <c r="R323">
        <v>4.4000000000000004</v>
      </c>
      <c r="S323">
        <v>33</v>
      </c>
      <c r="T323">
        <v>21</v>
      </c>
      <c r="U323">
        <v>22</v>
      </c>
      <c r="V323">
        <v>226</v>
      </c>
      <c r="W323" s="281">
        <v>41809</v>
      </c>
      <c r="X323" s="282"/>
      <c r="Z323" s="9" t="b">
        <f t="shared" si="57"/>
        <v>1</v>
      </c>
      <c r="AA323" s="9" t="str">
        <f t="shared" si="70"/>
        <v>11A</v>
      </c>
      <c r="AB323" s="196">
        <f t="shared" si="58"/>
        <v>4.4000000000000004</v>
      </c>
      <c r="AC323" s="9">
        <f>VLOOKUP(AA323,'Federal Standards'!$N$9:$P$50,2,FALSE)</f>
        <v>7.84</v>
      </c>
      <c r="AD323" s="44">
        <f>VLOOKUP(AA323,'Federal Standards'!$N$9:$P$50,3,FALSE)</f>
        <v>219.1</v>
      </c>
      <c r="AE323" s="44">
        <f t="shared" si="59"/>
        <v>253.596</v>
      </c>
      <c r="AF323" s="283">
        <f t="shared" si="60"/>
        <v>27.596000000000004</v>
      </c>
      <c r="AG323" s="291">
        <f t="shared" si="69"/>
        <v>0.10881875108440198</v>
      </c>
      <c r="AH323" s="184" t="str">
        <f t="shared" si="61"/>
        <v>YES</v>
      </c>
      <c r="AJ323" s="9" t="str">
        <f t="shared" si="62"/>
        <v>YES</v>
      </c>
      <c r="AK323" s="9" t="str">
        <f t="shared" si="63"/>
        <v>YES</v>
      </c>
      <c r="AL323" s="9" t="str">
        <f t="shared" si="64"/>
        <v>NO</v>
      </c>
      <c r="AM323" s="9" t="str">
        <f t="shared" si="65"/>
        <v>NO</v>
      </c>
      <c r="AN323" s="9" t="str">
        <f t="shared" si="66"/>
        <v>Tier 1 - 10% to 15% better than Standard</v>
      </c>
      <c r="AO323" s="9" t="str">
        <f t="shared" si="67"/>
        <v>11A_Tier 1 - 10% to 15% better than Standard</v>
      </c>
      <c r="AP323" s="9" t="str">
        <f t="shared" si="68"/>
        <v>11A_YES</v>
      </c>
    </row>
    <row r="324" spans="1:42">
      <c r="A324">
        <v>84868</v>
      </c>
      <c r="B324" t="s">
        <v>4375</v>
      </c>
      <c r="C324" t="s">
        <v>586</v>
      </c>
      <c r="D324" t="s">
        <v>4379</v>
      </c>
      <c r="E324" t="s">
        <v>4104</v>
      </c>
      <c r="F324" t="s">
        <v>188</v>
      </c>
      <c r="G324" t="s">
        <v>4105</v>
      </c>
      <c r="H324"/>
      <c r="I324" t="s">
        <v>4106</v>
      </c>
      <c r="J324"/>
      <c r="K324"/>
      <c r="L324"/>
      <c r="M324"/>
      <c r="N324" t="b">
        <v>0</v>
      </c>
      <c r="O324" t="s">
        <v>4099</v>
      </c>
      <c r="P324">
        <v>2.1</v>
      </c>
      <c r="Q324">
        <v>1</v>
      </c>
      <c r="R324">
        <v>3.1</v>
      </c>
      <c r="S324">
        <v>34</v>
      </c>
      <c r="T324">
        <v>19</v>
      </c>
      <c r="U324">
        <v>21</v>
      </c>
      <c r="V324">
        <v>218</v>
      </c>
      <c r="W324" s="281">
        <v>41809</v>
      </c>
      <c r="X324" s="282"/>
      <c r="Z324" s="9" t="b">
        <f t="shared" si="57"/>
        <v>1</v>
      </c>
      <c r="AA324" s="9" t="str">
        <f t="shared" si="70"/>
        <v>11</v>
      </c>
      <c r="AB324" s="196">
        <f t="shared" si="58"/>
        <v>3.8600000000000003</v>
      </c>
      <c r="AC324" s="9">
        <f>VLOOKUP(AA324,'Federal Standards'!$N$9:$P$50,2,FALSE)</f>
        <v>9.0299999999999994</v>
      </c>
      <c r="AD324" s="44">
        <f>VLOOKUP(AA324,'Federal Standards'!$N$9:$P$50,3,FALSE)</f>
        <v>252.3</v>
      </c>
      <c r="AE324" s="44">
        <f t="shared" si="59"/>
        <v>287.1558</v>
      </c>
      <c r="AF324" s="283">
        <f t="shared" si="60"/>
        <v>69.155799999999999</v>
      </c>
      <c r="AG324" s="291">
        <f t="shared" si="69"/>
        <v>0.24083023919419352</v>
      </c>
      <c r="AH324" s="184" t="str">
        <f t="shared" si="61"/>
        <v>YES</v>
      </c>
      <c r="AJ324" s="9" t="str">
        <f t="shared" si="62"/>
        <v>YES</v>
      </c>
      <c r="AK324" s="9" t="str">
        <f t="shared" si="63"/>
        <v>NO</v>
      </c>
      <c r="AL324" s="9" t="str">
        <f t="shared" si="64"/>
        <v>NO</v>
      </c>
      <c r="AM324" s="9" t="str">
        <f t="shared" si="65"/>
        <v>YES</v>
      </c>
      <c r="AN324" s="9" t="str">
        <f t="shared" si="66"/>
        <v>Tier 3 - 20%  or better than Standard</v>
      </c>
      <c r="AO324" s="9" t="str">
        <f t="shared" si="67"/>
        <v>11_Tier 3 - 20%  or better than Standard</v>
      </c>
      <c r="AP324" s="9" t="str">
        <f t="shared" si="68"/>
        <v>11_YES</v>
      </c>
    </row>
    <row r="325" spans="1:42">
      <c r="A325">
        <v>85189</v>
      </c>
      <c r="B325" t="s">
        <v>4375</v>
      </c>
      <c r="C325" t="s">
        <v>586</v>
      </c>
      <c r="D325" t="s">
        <v>4380</v>
      </c>
      <c r="E325" t="s">
        <v>187</v>
      </c>
      <c r="F325" t="s">
        <v>188</v>
      </c>
      <c r="G325" t="s">
        <v>189</v>
      </c>
      <c r="H325"/>
      <c r="I325" t="s">
        <v>4106</v>
      </c>
      <c r="J325"/>
      <c r="K325"/>
      <c r="L325"/>
      <c r="M325"/>
      <c r="N325" t="b">
        <v>0</v>
      </c>
      <c r="O325" t="s">
        <v>4099</v>
      </c>
      <c r="P325"/>
      <c r="Q325">
        <v>1.2</v>
      </c>
      <c r="R325">
        <v>1.2</v>
      </c>
      <c r="S325">
        <v>21</v>
      </c>
      <c r="T325">
        <v>18</v>
      </c>
      <c r="U325">
        <v>19</v>
      </c>
      <c r="V325">
        <v>241</v>
      </c>
      <c r="W325" s="281">
        <v>41829</v>
      </c>
      <c r="X325" s="282"/>
      <c r="Z325" s="9" t="b">
        <f t="shared" si="57"/>
        <v>1</v>
      </c>
      <c r="AA325" s="9" t="str">
        <f t="shared" si="70"/>
        <v>16</v>
      </c>
      <c r="AB325" s="196">
        <f t="shared" si="58"/>
        <v>2.1120000000000001</v>
      </c>
      <c r="AC325" s="9">
        <f>VLOOKUP(AA325,'Federal Standards'!$N$9:$P$50,2,FALSE)</f>
        <v>8.65</v>
      </c>
      <c r="AD325" s="44">
        <f>VLOOKUP(AA325,'Federal Standards'!$N$9:$P$50,3,FALSE)</f>
        <v>225.7</v>
      </c>
      <c r="AE325" s="44">
        <f t="shared" si="59"/>
        <v>243.96879999999999</v>
      </c>
      <c r="AF325" s="283">
        <f t="shared" si="60"/>
        <v>2.9687999999999874</v>
      </c>
      <c r="AG325" s="291">
        <f t="shared" si="69"/>
        <v>1.2168769121297426E-2</v>
      </c>
      <c r="AH325" s="184" t="str">
        <f t="shared" si="61"/>
        <v>YES</v>
      </c>
      <c r="AJ325" s="9" t="str">
        <f t="shared" si="62"/>
        <v>NO</v>
      </c>
      <c r="AK325" s="9" t="str">
        <f t="shared" si="63"/>
        <v>NO</v>
      </c>
      <c r="AL325" s="9" t="str">
        <f t="shared" si="64"/>
        <v>NO</v>
      </c>
      <c r="AM325" s="9" t="str">
        <f t="shared" si="65"/>
        <v>NO</v>
      </c>
      <c r="AN325" s="9" t="str">
        <f t="shared" si="66"/>
        <v>Less than 10% better than Standard</v>
      </c>
      <c r="AO325" s="9" t="str">
        <f t="shared" si="67"/>
        <v>16_Less than 10% better than Standard</v>
      </c>
      <c r="AP325" s="9" t="str">
        <f t="shared" si="68"/>
        <v>16_NO</v>
      </c>
    </row>
    <row r="326" spans="1:42">
      <c r="A326">
        <v>83492</v>
      </c>
      <c r="B326" t="s">
        <v>4381</v>
      </c>
      <c r="C326" t="s">
        <v>169</v>
      </c>
      <c r="D326" t="s">
        <v>4382</v>
      </c>
      <c r="E326" t="s">
        <v>4115</v>
      </c>
      <c r="F326" t="s">
        <v>188</v>
      </c>
      <c r="G326" t="s">
        <v>184</v>
      </c>
      <c r="H326"/>
      <c r="I326" t="s">
        <v>4383</v>
      </c>
      <c r="J326"/>
      <c r="K326"/>
      <c r="L326"/>
      <c r="M326"/>
      <c r="N326" t="b">
        <v>0</v>
      </c>
      <c r="O326"/>
      <c r="P326">
        <v>3.96</v>
      </c>
      <c r="Q326"/>
      <c r="R326">
        <v>3.96</v>
      </c>
      <c r="S326">
        <v>33</v>
      </c>
      <c r="T326">
        <v>20</v>
      </c>
      <c r="U326">
        <v>22</v>
      </c>
      <c r="V326">
        <v>250</v>
      </c>
      <c r="W326" s="281">
        <v>41743</v>
      </c>
      <c r="X326" s="282"/>
      <c r="Z326" s="9" t="b">
        <f t="shared" si="57"/>
        <v>1</v>
      </c>
      <c r="AA326" s="9" t="str">
        <f t="shared" si="70"/>
        <v>11A</v>
      </c>
      <c r="AB326" s="196">
        <f t="shared" si="58"/>
        <v>3.96</v>
      </c>
      <c r="AC326" s="9">
        <f>VLOOKUP(AA326,'Federal Standards'!$N$9:$P$50,2,FALSE)</f>
        <v>7.84</v>
      </c>
      <c r="AD326" s="44">
        <f>VLOOKUP(AA326,'Federal Standards'!$N$9:$P$50,3,FALSE)</f>
        <v>219.1</v>
      </c>
      <c r="AE326" s="44">
        <f t="shared" si="59"/>
        <v>250.1464</v>
      </c>
      <c r="AF326" s="283">
        <f t="shared" si="60"/>
        <v>0.14639999999999986</v>
      </c>
      <c r="AG326" s="291">
        <f t="shared" si="69"/>
        <v>5.8525727334073107E-4</v>
      </c>
      <c r="AH326" s="184" t="str">
        <f t="shared" si="61"/>
        <v>YES</v>
      </c>
      <c r="AJ326" s="9" t="str">
        <f t="shared" si="62"/>
        <v>NO</v>
      </c>
      <c r="AK326" s="9" t="str">
        <f t="shared" si="63"/>
        <v>NO</v>
      </c>
      <c r="AL326" s="9" t="str">
        <f t="shared" si="64"/>
        <v>NO</v>
      </c>
      <c r="AM326" s="9" t="str">
        <f t="shared" si="65"/>
        <v>NO</v>
      </c>
      <c r="AN326" s="9" t="str">
        <f t="shared" si="66"/>
        <v>Less than 10% better than Standard</v>
      </c>
      <c r="AO326" s="9" t="str">
        <f t="shared" si="67"/>
        <v>11A_Less than 10% better than Standard</v>
      </c>
      <c r="AP326" s="9" t="str">
        <f t="shared" si="68"/>
        <v>11A_NO</v>
      </c>
    </row>
    <row r="327" spans="1:42">
      <c r="A327">
        <v>85647</v>
      </c>
      <c r="B327" t="s">
        <v>4381</v>
      </c>
      <c r="C327" t="s">
        <v>1114</v>
      </c>
      <c r="D327" t="s">
        <v>1125</v>
      </c>
      <c r="E327" t="s">
        <v>4115</v>
      </c>
      <c r="F327" t="s">
        <v>188</v>
      </c>
      <c r="G327" t="s">
        <v>184</v>
      </c>
      <c r="H327"/>
      <c r="I327" t="s">
        <v>4106</v>
      </c>
      <c r="J327"/>
      <c r="K327"/>
      <c r="L327"/>
      <c r="M327"/>
      <c r="N327" t="b">
        <v>0</v>
      </c>
      <c r="O327"/>
      <c r="P327">
        <v>4.42</v>
      </c>
      <c r="Q327"/>
      <c r="R327">
        <v>4.42</v>
      </c>
      <c r="S327">
        <v>33</v>
      </c>
      <c r="T327">
        <v>20</v>
      </c>
      <c r="U327">
        <v>23</v>
      </c>
      <c r="V327">
        <v>228</v>
      </c>
      <c r="W327" s="281">
        <v>41844</v>
      </c>
      <c r="X327" s="282"/>
      <c r="Z327" s="9" t="b">
        <f t="shared" si="57"/>
        <v>1</v>
      </c>
      <c r="AA327" s="9" t="str">
        <f t="shared" si="70"/>
        <v>11A</v>
      </c>
      <c r="AB327" s="196">
        <f t="shared" si="58"/>
        <v>4.42</v>
      </c>
      <c r="AC327" s="9">
        <f>VLOOKUP(AA327,'Federal Standards'!$N$9:$P$50,2,FALSE)</f>
        <v>7.84</v>
      </c>
      <c r="AD327" s="44">
        <f>VLOOKUP(AA327,'Federal Standards'!$N$9:$P$50,3,FALSE)</f>
        <v>219.1</v>
      </c>
      <c r="AE327" s="44">
        <f t="shared" si="59"/>
        <v>253.75279999999998</v>
      </c>
      <c r="AF327" s="283">
        <f t="shared" si="60"/>
        <v>25.752799999999979</v>
      </c>
      <c r="AG327" s="291">
        <f t="shared" si="69"/>
        <v>0.1014877471302779</v>
      </c>
      <c r="AH327" s="184" t="str">
        <f t="shared" si="61"/>
        <v>YES</v>
      </c>
      <c r="AJ327" s="9" t="str">
        <f t="shared" si="62"/>
        <v>YES</v>
      </c>
      <c r="AK327" s="9" t="str">
        <f t="shared" si="63"/>
        <v>YES</v>
      </c>
      <c r="AL327" s="9" t="str">
        <f t="shared" si="64"/>
        <v>NO</v>
      </c>
      <c r="AM327" s="9" t="str">
        <f t="shared" si="65"/>
        <v>NO</v>
      </c>
      <c r="AN327" s="9" t="str">
        <f t="shared" si="66"/>
        <v>Tier 1 - 10% to 15% better than Standard</v>
      </c>
      <c r="AO327" s="9" t="str">
        <f t="shared" si="67"/>
        <v>11A_Tier 1 - 10% to 15% better than Standard</v>
      </c>
      <c r="AP327" s="9" t="str">
        <f t="shared" si="68"/>
        <v>11A_YES</v>
      </c>
    </row>
    <row r="328" spans="1:42">
      <c r="A328">
        <v>88528</v>
      </c>
      <c r="B328" t="s">
        <v>4381</v>
      </c>
      <c r="C328" t="s">
        <v>1114</v>
      </c>
      <c r="D328" t="s">
        <v>1127</v>
      </c>
      <c r="E328" t="s">
        <v>4104</v>
      </c>
      <c r="F328" t="s">
        <v>4111</v>
      </c>
      <c r="G328" t="s">
        <v>4105</v>
      </c>
      <c r="H328"/>
      <c r="I328" t="s">
        <v>4106</v>
      </c>
      <c r="J328"/>
      <c r="K328"/>
      <c r="L328"/>
      <c r="M328"/>
      <c r="N328" t="b">
        <v>0</v>
      </c>
      <c r="O328"/>
      <c r="P328">
        <v>2.19</v>
      </c>
      <c r="Q328">
        <v>0.87</v>
      </c>
      <c r="R328">
        <v>3.06</v>
      </c>
      <c r="S328">
        <v>34</v>
      </c>
      <c r="T328">
        <v>19</v>
      </c>
      <c r="U328">
        <v>21</v>
      </c>
      <c r="V328">
        <v>320</v>
      </c>
      <c r="W328" s="281">
        <v>41893</v>
      </c>
      <c r="X328" s="282"/>
      <c r="Z328" s="9" t="b">
        <f t="shared" si="57"/>
        <v>1</v>
      </c>
      <c r="AA328" s="9" t="str">
        <f t="shared" si="70"/>
        <v>12</v>
      </c>
      <c r="AB328" s="196">
        <f t="shared" si="58"/>
        <v>3.7211999999999996</v>
      </c>
      <c r="AC328" s="9">
        <f>VLOOKUP(AA328,'Federal Standards'!$N$9:$P$50,2,FALSE)</f>
        <v>5.91</v>
      </c>
      <c r="AD328" s="44">
        <f>VLOOKUP(AA328,'Federal Standards'!$N$9:$P$50,3,FALSE)</f>
        <v>335.8</v>
      </c>
      <c r="AE328" s="44">
        <f t="shared" si="59"/>
        <v>357.79229200000003</v>
      </c>
      <c r="AF328" s="283">
        <f t="shared" si="60"/>
        <v>37.792292000000032</v>
      </c>
      <c r="AG328" s="291">
        <f t="shared" si="69"/>
        <v>0.1056263447956001</v>
      </c>
      <c r="AH328" s="184" t="str">
        <f t="shared" si="61"/>
        <v>YES</v>
      </c>
      <c r="AJ328" s="9" t="str">
        <f t="shared" si="62"/>
        <v>YES</v>
      </c>
      <c r="AK328" s="9" t="str">
        <f t="shared" si="63"/>
        <v>YES</v>
      </c>
      <c r="AL328" s="9" t="str">
        <f t="shared" si="64"/>
        <v>NO</v>
      </c>
      <c r="AM328" s="9" t="str">
        <f t="shared" si="65"/>
        <v>NO</v>
      </c>
      <c r="AN328" s="9" t="str">
        <f t="shared" si="66"/>
        <v>Tier 1 - 10% to 15% better than Standard</v>
      </c>
      <c r="AO328" s="9" t="str">
        <f t="shared" si="67"/>
        <v>12_Tier 1 - 10% to 15% better than Standard</v>
      </c>
      <c r="AP328" s="9" t="str">
        <f t="shared" si="68"/>
        <v>12_YES</v>
      </c>
    </row>
    <row r="329" spans="1:42">
      <c r="A329">
        <v>83623</v>
      </c>
      <c r="B329" t="s">
        <v>4384</v>
      </c>
      <c r="C329" t="s">
        <v>164</v>
      </c>
      <c r="D329" t="s">
        <v>4118</v>
      </c>
      <c r="E329" t="s">
        <v>4119</v>
      </c>
      <c r="F329" t="s">
        <v>162</v>
      </c>
      <c r="G329" t="s">
        <v>184</v>
      </c>
      <c r="H329"/>
      <c r="I329" t="s">
        <v>4106</v>
      </c>
      <c r="J329"/>
      <c r="K329"/>
      <c r="L329"/>
      <c r="M329"/>
      <c r="N329" t="b">
        <v>0</v>
      </c>
      <c r="O329" t="s">
        <v>4099</v>
      </c>
      <c r="P329">
        <v>3.4</v>
      </c>
      <c r="Q329"/>
      <c r="R329">
        <v>3.4</v>
      </c>
      <c r="S329">
        <v>34</v>
      </c>
      <c r="T329">
        <v>20</v>
      </c>
      <c r="U329">
        <v>18</v>
      </c>
      <c r="V329">
        <v>371.94</v>
      </c>
      <c r="W329" s="281">
        <v>41758</v>
      </c>
      <c r="X329" s="282"/>
      <c r="Z329" s="9" t="b">
        <f t="shared" si="57"/>
        <v>1</v>
      </c>
      <c r="AA329" s="9" t="str">
        <f t="shared" si="70"/>
        <v>[Wine Chiller - exempt]</v>
      </c>
      <c r="AB329" s="196">
        <f t="shared" si="58"/>
        <v>3.4</v>
      </c>
      <c r="AC329" s="9" t="e">
        <f>VLOOKUP(AA329,'Federal Standards'!$N$9:$P$50,2,FALSE)</f>
        <v>#N/A</v>
      </c>
      <c r="AD329" s="44" t="e">
        <f>VLOOKUP(AA329,'Federal Standards'!$N$9:$P$50,3,FALSE)</f>
        <v>#N/A</v>
      </c>
      <c r="AE329" s="44" t="e">
        <f t="shared" si="59"/>
        <v>#N/A</v>
      </c>
      <c r="AF329" s="283" t="e">
        <f t="shared" si="60"/>
        <v>#N/A</v>
      </c>
      <c r="AG329" s="291" t="e">
        <f t="shared" si="69"/>
        <v>#N/A</v>
      </c>
      <c r="AH329" s="184" t="e">
        <f t="shared" si="61"/>
        <v>#N/A</v>
      </c>
      <c r="AJ329" s="9" t="e">
        <f t="shared" si="62"/>
        <v>#N/A</v>
      </c>
      <c r="AK329" s="9" t="e">
        <f t="shared" si="63"/>
        <v>#N/A</v>
      </c>
      <c r="AL329" s="9" t="e">
        <f t="shared" si="64"/>
        <v>#N/A</v>
      </c>
      <c r="AM329" s="9" t="e">
        <f t="shared" si="65"/>
        <v>#N/A</v>
      </c>
      <c r="AN329" s="9" t="e">
        <f t="shared" si="66"/>
        <v>#N/A</v>
      </c>
      <c r="AO329" s="9" t="e">
        <f t="shared" si="67"/>
        <v>#N/A</v>
      </c>
      <c r="AP329" s="9" t="e">
        <f t="shared" si="68"/>
        <v>#N/A</v>
      </c>
    </row>
    <row r="330" spans="1:42">
      <c r="A330">
        <v>84723</v>
      </c>
      <c r="B330" t="s">
        <v>4385</v>
      </c>
      <c r="C330" t="s">
        <v>827</v>
      </c>
      <c r="D330" t="s">
        <v>853</v>
      </c>
      <c r="E330" t="s">
        <v>4097</v>
      </c>
      <c r="F330" t="s">
        <v>162</v>
      </c>
      <c r="G330" t="s">
        <v>184</v>
      </c>
      <c r="H330"/>
      <c r="I330" t="s">
        <v>4098</v>
      </c>
      <c r="J330" t="b">
        <v>0</v>
      </c>
      <c r="K330" t="b">
        <v>1</v>
      </c>
      <c r="L330"/>
      <c r="M330"/>
      <c r="N330" t="b">
        <v>0</v>
      </c>
      <c r="O330" t="s">
        <v>4099</v>
      </c>
      <c r="P330">
        <v>2.4700000000000002</v>
      </c>
      <c r="Q330"/>
      <c r="R330">
        <v>2.5</v>
      </c>
      <c r="S330">
        <v>27</v>
      </c>
      <c r="T330">
        <v>20</v>
      </c>
      <c r="U330">
        <v>18</v>
      </c>
      <c r="V330">
        <v>227</v>
      </c>
      <c r="W330" s="281">
        <v>41806</v>
      </c>
      <c r="X330" s="282"/>
      <c r="Z330" s="9" t="b">
        <f t="shared" ref="Z330:Z393" si="71">IF(R330&lt;7.75,TRUE, FALSE)</f>
        <v>1</v>
      </c>
      <c r="AA330" s="9" t="str">
        <f t="shared" si="70"/>
        <v>13A</v>
      </c>
      <c r="AB330" s="196">
        <f t="shared" ref="AB330:AB393" si="72">IF(OR(E330="Internal Freezer",E330 = "Single Door"),P330 + Q330*1.47,P330 + Q330*1.76)</f>
        <v>2.4700000000000002</v>
      </c>
      <c r="AC330" s="9">
        <f>VLOOKUP(AA330,'Federal Standards'!$N$9:$P$50,2,FALSE)</f>
        <v>9.17</v>
      </c>
      <c r="AD330" s="44">
        <f>VLOOKUP(AA330,'Federal Standards'!$N$9:$P$50,3,FALSE)</f>
        <v>259.3</v>
      </c>
      <c r="AE330" s="44">
        <f t="shared" ref="AE330:AE393" si="73">AB330*AC330+AD330</f>
        <v>281.94990000000001</v>
      </c>
      <c r="AF330" s="283">
        <f t="shared" ref="AF330:AF393" si="74">IF($AF$2,AE330-V330,MAX(0,AE330-V330))</f>
        <v>54.949900000000014</v>
      </c>
      <c r="AG330" s="291">
        <f t="shared" si="69"/>
        <v>0.19489242592389644</v>
      </c>
      <c r="AH330" s="184" t="str">
        <f t="shared" ref="AH330:AH393" si="75">IF(AF330&gt;=0,"YES","NO")</f>
        <v>YES</v>
      </c>
      <c r="AJ330" s="9" t="str">
        <f t="shared" ref="AJ330:AJ393" si="76">IF(AG330&gt;=0.1,"YES","NO")</f>
        <v>YES</v>
      </c>
      <c r="AK330" s="9" t="str">
        <f t="shared" ref="AK330:AK393" si="77">IF(AND($AG330&gt;=0.1,$AG330&lt;0.15),"YES","NO")</f>
        <v>NO</v>
      </c>
      <c r="AL330" s="9" t="str">
        <f t="shared" ref="AL330:AL393" si="78">IF(AND($AG330&gt;=0.15,$AG330&lt;0.2),"YES","NO")</f>
        <v>YES</v>
      </c>
      <c r="AM330" s="9" t="str">
        <f t="shared" ref="AM330:AM393" si="79">IF($AG330&gt;=0.2,"YES","NO")</f>
        <v>NO</v>
      </c>
      <c r="AN330" s="9" t="str">
        <f t="shared" ref="AN330:AN393" si="80">VLOOKUP(AG330,$AO$2:$AP$6,2,TRUE)</f>
        <v>Tier 2 - 15% to 20% better than Standard</v>
      </c>
      <c r="AO330" s="9" t="str">
        <f t="shared" ref="AO330:AO393" si="81">AA330&amp;"_"&amp;AN330</f>
        <v>13A_Tier 2 - 15% to 20% better than Standard</v>
      </c>
      <c r="AP330" s="9" t="str">
        <f t="shared" ref="AP330:AP393" si="82">CONCATENATE(AA330,"_",AJ330)</f>
        <v>13A_YES</v>
      </c>
    </row>
    <row r="331" spans="1:42">
      <c r="A331">
        <v>84724</v>
      </c>
      <c r="B331" t="s">
        <v>4385</v>
      </c>
      <c r="C331" t="s">
        <v>827</v>
      </c>
      <c r="D331" t="s">
        <v>1442</v>
      </c>
      <c r="E331" t="s">
        <v>4097</v>
      </c>
      <c r="F331" t="s">
        <v>162</v>
      </c>
      <c r="G331" t="s">
        <v>184</v>
      </c>
      <c r="H331"/>
      <c r="I331" t="s">
        <v>4098</v>
      </c>
      <c r="J331" t="b">
        <v>0</v>
      </c>
      <c r="K331" t="b">
        <v>1</v>
      </c>
      <c r="L331"/>
      <c r="M331"/>
      <c r="N331" t="b">
        <v>0</v>
      </c>
      <c r="O331" t="s">
        <v>4099</v>
      </c>
      <c r="P331">
        <v>2.58</v>
      </c>
      <c r="Q331"/>
      <c r="R331">
        <v>2.6</v>
      </c>
      <c r="S331">
        <v>27</v>
      </c>
      <c r="T331">
        <v>18</v>
      </c>
      <c r="U331">
        <v>21</v>
      </c>
      <c r="V331">
        <v>228</v>
      </c>
      <c r="W331" s="281">
        <v>41806</v>
      </c>
      <c r="X331" s="282"/>
      <c r="Z331" s="9" t="b">
        <f t="shared" si="71"/>
        <v>1</v>
      </c>
      <c r="AA331" s="9" t="str">
        <f t="shared" si="70"/>
        <v>13A</v>
      </c>
      <c r="AB331" s="196">
        <f t="shared" si="72"/>
        <v>2.58</v>
      </c>
      <c r="AC331" s="9">
        <f>VLOOKUP(AA331,'Federal Standards'!$N$9:$P$50,2,FALSE)</f>
        <v>9.17</v>
      </c>
      <c r="AD331" s="44">
        <f>VLOOKUP(AA331,'Federal Standards'!$N$9:$P$50,3,FALSE)</f>
        <v>259.3</v>
      </c>
      <c r="AE331" s="44">
        <f t="shared" si="73"/>
        <v>282.95859999999999</v>
      </c>
      <c r="AF331" s="283">
        <f t="shared" si="74"/>
        <v>54.95859999999999</v>
      </c>
      <c r="AG331" s="291">
        <f t="shared" si="69"/>
        <v>0.19422841362658705</v>
      </c>
      <c r="AH331" s="184" t="str">
        <f t="shared" si="75"/>
        <v>YES</v>
      </c>
      <c r="AJ331" s="9" t="str">
        <f t="shared" si="76"/>
        <v>YES</v>
      </c>
      <c r="AK331" s="9" t="str">
        <f t="shared" si="77"/>
        <v>NO</v>
      </c>
      <c r="AL331" s="9" t="str">
        <f t="shared" si="78"/>
        <v>YES</v>
      </c>
      <c r="AM331" s="9" t="str">
        <f t="shared" si="79"/>
        <v>NO</v>
      </c>
      <c r="AN331" s="9" t="str">
        <f t="shared" si="80"/>
        <v>Tier 2 - 15% to 20% better than Standard</v>
      </c>
      <c r="AO331" s="9" t="str">
        <f t="shared" si="81"/>
        <v>13A_Tier 2 - 15% to 20% better than Standard</v>
      </c>
      <c r="AP331" s="9" t="str">
        <f t="shared" si="82"/>
        <v>13A_YES</v>
      </c>
    </row>
    <row r="332" spans="1:42">
      <c r="A332">
        <v>84725</v>
      </c>
      <c r="B332" t="s">
        <v>4385</v>
      </c>
      <c r="C332" t="s">
        <v>827</v>
      </c>
      <c r="D332" t="s">
        <v>1444</v>
      </c>
      <c r="E332" t="s">
        <v>4097</v>
      </c>
      <c r="F332" t="s">
        <v>162</v>
      </c>
      <c r="G332" t="s">
        <v>184</v>
      </c>
      <c r="H332"/>
      <c r="I332" t="s">
        <v>4098</v>
      </c>
      <c r="J332" t="b">
        <v>0</v>
      </c>
      <c r="K332" t="b">
        <v>1</v>
      </c>
      <c r="L332"/>
      <c r="M332"/>
      <c r="N332" t="b">
        <v>0</v>
      </c>
      <c r="O332" t="s">
        <v>4099</v>
      </c>
      <c r="P332">
        <v>3.24</v>
      </c>
      <c r="Q332"/>
      <c r="R332">
        <v>3.2</v>
      </c>
      <c r="S332">
        <v>33</v>
      </c>
      <c r="T332">
        <v>18</v>
      </c>
      <c r="U332">
        <v>19</v>
      </c>
      <c r="V332">
        <v>258</v>
      </c>
      <c r="W332" s="281">
        <v>41806</v>
      </c>
      <c r="X332" s="282"/>
      <c r="Z332" s="9" t="b">
        <f t="shared" si="71"/>
        <v>1</v>
      </c>
      <c r="AA332" s="9" t="str">
        <f t="shared" si="70"/>
        <v>13A</v>
      </c>
      <c r="AB332" s="196">
        <f t="shared" si="72"/>
        <v>3.24</v>
      </c>
      <c r="AC332" s="9">
        <f>VLOOKUP(AA332,'Federal Standards'!$N$9:$P$50,2,FALSE)</f>
        <v>9.17</v>
      </c>
      <c r="AD332" s="44">
        <f>VLOOKUP(AA332,'Federal Standards'!$N$9:$P$50,3,FALSE)</f>
        <v>259.3</v>
      </c>
      <c r="AE332" s="44">
        <f t="shared" si="73"/>
        <v>289.01080000000002</v>
      </c>
      <c r="AF332" s="283">
        <f t="shared" si="74"/>
        <v>31.010800000000017</v>
      </c>
      <c r="AG332" s="291">
        <f t="shared" ref="AG332:AG395" si="83">AF332/AE332</f>
        <v>0.10729979640899238</v>
      </c>
      <c r="AH332" s="184" t="str">
        <f t="shared" si="75"/>
        <v>YES</v>
      </c>
      <c r="AJ332" s="9" t="str">
        <f t="shared" si="76"/>
        <v>YES</v>
      </c>
      <c r="AK332" s="9" t="str">
        <f t="shared" si="77"/>
        <v>YES</v>
      </c>
      <c r="AL332" s="9" t="str">
        <f t="shared" si="78"/>
        <v>NO</v>
      </c>
      <c r="AM332" s="9" t="str">
        <f t="shared" si="79"/>
        <v>NO</v>
      </c>
      <c r="AN332" s="9" t="str">
        <f t="shared" si="80"/>
        <v>Tier 1 - 10% to 15% better than Standard</v>
      </c>
      <c r="AO332" s="9" t="str">
        <f t="shared" si="81"/>
        <v>13A_Tier 1 - 10% to 15% better than Standard</v>
      </c>
      <c r="AP332" s="9" t="str">
        <f t="shared" si="82"/>
        <v>13A_YES</v>
      </c>
    </row>
    <row r="333" spans="1:42">
      <c r="A333">
        <v>84726</v>
      </c>
      <c r="B333" t="s">
        <v>4385</v>
      </c>
      <c r="C333" t="s">
        <v>827</v>
      </c>
      <c r="D333" t="s">
        <v>1446</v>
      </c>
      <c r="E333" t="s">
        <v>4097</v>
      </c>
      <c r="F333" t="s">
        <v>162</v>
      </c>
      <c r="G333" t="s">
        <v>184</v>
      </c>
      <c r="H333"/>
      <c r="I333" t="s">
        <v>4098</v>
      </c>
      <c r="J333" t="b">
        <v>0</v>
      </c>
      <c r="K333" t="b">
        <v>1</v>
      </c>
      <c r="L333"/>
      <c r="M333"/>
      <c r="N333" t="b">
        <v>0</v>
      </c>
      <c r="O333" t="s">
        <v>4099</v>
      </c>
      <c r="P333">
        <v>3.3</v>
      </c>
      <c r="Q333"/>
      <c r="R333">
        <v>3.3</v>
      </c>
      <c r="S333">
        <v>33</v>
      </c>
      <c r="T333">
        <v>18</v>
      </c>
      <c r="U333">
        <v>21</v>
      </c>
      <c r="V333">
        <v>259</v>
      </c>
      <c r="W333" s="281">
        <v>41806</v>
      </c>
      <c r="X333" s="282"/>
      <c r="Z333" s="9" t="b">
        <f t="shared" si="71"/>
        <v>1</v>
      </c>
      <c r="AA333" s="9" t="str">
        <f t="shared" si="70"/>
        <v>13A</v>
      </c>
      <c r="AB333" s="196">
        <f t="shared" si="72"/>
        <v>3.3</v>
      </c>
      <c r="AC333" s="9">
        <f>VLOOKUP(AA333,'Federal Standards'!$N$9:$P$50,2,FALSE)</f>
        <v>9.17</v>
      </c>
      <c r="AD333" s="44">
        <f>VLOOKUP(AA333,'Federal Standards'!$N$9:$P$50,3,FALSE)</f>
        <v>259.3</v>
      </c>
      <c r="AE333" s="44">
        <f t="shared" si="73"/>
        <v>289.56100000000004</v>
      </c>
      <c r="AF333" s="283">
        <f t="shared" si="74"/>
        <v>30.561000000000035</v>
      </c>
      <c r="AG333" s="291">
        <f t="shared" si="83"/>
        <v>0.10554252817195697</v>
      </c>
      <c r="AH333" s="184" t="str">
        <f t="shared" si="75"/>
        <v>YES</v>
      </c>
      <c r="AJ333" s="9" t="str">
        <f t="shared" si="76"/>
        <v>YES</v>
      </c>
      <c r="AK333" s="9" t="str">
        <f t="shared" si="77"/>
        <v>YES</v>
      </c>
      <c r="AL333" s="9" t="str">
        <f t="shared" si="78"/>
        <v>NO</v>
      </c>
      <c r="AM333" s="9" t="str">
        <f t="shared" si="79"/>
        <v>NO</v>
      </c>
      <c r="AN333" s="9" t="str">
        <f t="shared" si="80"/>
        <v>Tier 1 - 10% to 15% better than Standard</v>
      </c>
      <c r="AO333" s="9" t="str">
        <f t="shared" si="81"/>
        <v>13A_Tier 1 - 10% to 15% better than Standard</v>
      </c>
      <c r="AP333" s="9" t="str">
        <f t="shared" si="82"/>
        <v>13A_YES</v>
      </c>
    </row>
    <row r="334" spans="1:42">
      <c r="A334">
        <v>85212</v>
      </c>
      <c r="B334" t="s">
        <v>4386</v>
      </c>
      <c r="C334" t="s">
        <v>170</v>
      </c>
      <c r="D334" t="s">
        <v>4387</v>
      </c>
      <c r="E334" t="s">
        <v>4179</v>
      </c>
      <c r="F334" t="s">
        <v>162</v>
      </c>
      <c r="G334" t="s">
        <v>4105</v>
      </c>
      <c r="H334" t="s">
        <v>4130</v>
      </c>
      <c r="I334" t="s">
        <v>4098</v>
      </c>
      <c r="J334" t="b">
        <v>0</v>
      </c>
      <c r="K334" t="b">
        <v>0</v>
      </c>
      <c r="L334" t="b">
        <v>1</v>
      </c>
      <c r="M334" t="b">
        <v>1</v>
      </c>
      <c r="N334" t="b">
        <v>0</v>
      </c>
      <c r="O334" t="s">
        <v>4099</v>
      </c>
      <c r="P334">
        <v>15.01</v>
      </c>
      <c r="Q334">
        <v>6.92</v>
      </c>
      <c r="R334">
        <v>21.93</v>
      </c>
      <c r="S334">
        <v>67</v>
      </c>
      <c r="T334">
        <v>33</v>
      </c>
      <c r="U334">
        <v>32</v>
      </c>
      <c r="V334">
        <v>664</v>
      </c>
      <c r="W334" s="281">
        <v>41836</v>
      </c>
      <c r="X334" s="282"/>
      <c r="Z334" s="9" t="b">
        <f t="shared" si="71"/>
        <v>0</v>
      </c>
      <c r="AA334" s="9" t="str">
        <f t="shared" si="70"/>
        <v>7</v>
      </c>
      <c r="AB334" s="196">
        <f t="shared" si="72"/>
        <v>27.1892</v>
      </c>
      <c r="AC334" s="9">
        <f>VLOOKUP(AA334,'Federal Standards'!$N$9:$P$50,2,FALSE)</f>
        <v>8.5399999999999991</v>
      </c>
      <c r="AD334" s="44">
        <f>VLOOKUP(AA334,'Federal Standards'!$N$9:$P$50,3,FALSE)</f>
        <v>432.8</v>
      </c>
      <c r="AE334" s="44">
        <f t="shared" si="73"/>
        <v>664.995768</v>
      </c>
      <c r="AF334" s="283">
        <f t="shared" si="74"/>
        <v>0.99576799999999821</v>
      </c>
      <c r="AG334" s="291">
        <f t="shared" si="83"/>
        <v>1.4974050180722326E-3</v>
      </c>
      <c r="AH334" s="184" t="str">
        <f t="shared" si="75"/>
        <v>YES</v>
      </c>
      <c r="AJ334" s="9" t="str">
        <f t="shared" si="76"/>
        <v>NO</v>
      </c>
      <c r="AK334" s="9" t="str">
        <f t="shared" si="77"/>
        <v>NO</v>
      </c>
      <c r="AL334" s="9" t="str">
        <f t="shared" si="78"/>
        <v>NO</v>
      </c>
      <c r="AM334" s="9" t="str">
        <f t="shared" si="79"/>
        <v>NO</v>
      </c>
      <c r="AN334" s="9" t="str">
        <f t="shared" si="80"/>
        <v>Less than 10% better than Standard</v>
      </c>
      <c r="AO334" s="9" t="str">
        <f t="shared" si="81"/>
        <v>7_Less than 10% better than Standard</v>
      </c>
      <c r="AP334" s="9" t="str">
        <f t="shared" si="82"/>
        <v>7_NO</v>
      </c>
    </row>
    <row r="335" spans="1:42">
      <c r="A335">
        <v>85214</v>
      </c>
      <c r="B335" t="s">
        <v>4386</v>
      </c>
      <c r="C335" t="s">
        <v>170</v>
      </c>
      <c r="D335" t="s">
        <v>4388</v>
      </c>
      <c r="E335" t="s">
        <v>4179</v>
      </c>
      <c r="F335" t="s">
        <v>162</v>
      </c>
      <c r="G335" t="s">
        <v>4105</v>
      </c>
      <c r="H335" t="s">
        <v>4130</v>
      </c>
      <c r="I335" t="s">
        <v>4098</v>
      </c>
      <c r="J335" t="b">
        <v>0</v>
      </c>
      <c r="K335" t="b">
        <v>0</v>
      </c>
      <c r="L335" t="b">
        <v>1</v>
      </c>
      <c r="M335" t="b">
        <v>1</v>
      </c>
      <c r="N335" t="b">
        <v>1</v>
      </c>
      <c r="O335" t="s">
        <v>4099</v>
      </c>
      <c r="P335">
        <v>15.01</v>
      </c>
      <c r="Q335">
        <v>6.85</v>
      </c>
      <c r="R335">
        <v>21.86</v>
      </c>
      <c r="S335">
        <v>67</v>
      </c>
      <c r="T335">
        <v>33</v>
      </c>
      <c r="U335">
        <v>32</v>
      </c>
      <c r="V335">
        <v>606</v>
      </c>
      <c r="W335" s="281">
        <v>41836</v>
      </c>
      <c r="X335" s="282"/>
      <c r="Z335" s="9" t="b">
        <f t="shared" si="71"/>
        <v>0</v>
      </c>
      <c r="AA335" s="9" t="str">
        <f t="shared" si="70"/>
        <v>7</v>
      </c>
      <c r="AB335" s="196">
        <f t="shared" si="72"/>
        <v>27.065999999999999</v>
      </c>
      <c r="AC335" s="9">
        <f>VLOOKUP(AA335,'Federal Standards'!$N$9:$P$50,2,FALSE)</f>
        <v>8.5399999999999991</v>
      </c>
      <c r="AD335" s="44">
        <f>VLOOKUP(AA335,'Federal Standards'!$N$9:$P$50,3,FALSE)</f>
        <v>432.8</v>
      </c>
      <c r="AE335" s="44">
        <f t="shared" si="73"/>
        <v>663.94363999999996</v>
      </c>
      <c r="AF335" s="283">
        <f t="shared" si="74"/>
        <v>57.943639999999959</v>
      </c>
      <c r="AG335" s="291">
        <f t="shared" si="83"/>
        <v>8.7271925671281322E-2</v>
      </c>
      <c r="AH335" s="184" t="str">
        <f t="shared" si="75"/>
        <v>YES</v>
      </c>
      <c r="AJ335" s="9" t="str">
        <f t="shared" si="76"/>
        <v>NO</v>
      </c>
      <c r="AK335" s="9" t="str">
        <f t="shared" si="77"/>
        <v>NO</v>
      </c>
      <c r="AL335" s="9" t="str">
        <f t="shared" si="78"/>
        <v>NO</v>
      </c>
      <c r="AM335" s="9" t="str">
        <f t="shared" si="79"/>
        <v>NO</v>
      </c>
      <c r="AN335" s="9" t="str">
        <f t="shared" si="80"/>
        <v>Less than 10% better than Standard</v>
      </c>
      <c r="AO335" s="9" t="str">
        <f t="shared" si="81"/>
        <v>7_Less than 10% better than Standard</v>
      </c>
      <c r="AP335" s="9" t="str">
        <f t="shared" si="82"/>
        <v>7_NO</v>
      </c>
    </row>
    <row r="336" spans="1:42">
      <c r="A336">
        <v>86186</v>
      </c>
      <c r="B336" t="s">
        <v>4386</v>
      </c>
      <c r="C336" t="s">
        <v>170</v>
      </c>
      <c r="D336" t="s">
        <v>825</v>
      </c>
      <c r="E336" t="s">
        <v>4108</v>
      </c>
      <c r="F336" t="s">
        <v>162</v>
      </c>
      <c r="G336" t="s">
        <v>4105</v>
      </c>
      <c r="H336" t="s">
        <v>4130</v>
      </c>
      <c r="I336" t="s">
        <v>4098</v>
      </c>
      <c r="J336" t="b">
        <v>0</v>
      </c>
      <c r="K336" t="b">
        <v>0</v>
      </c>
      <c r="L336" t="b">
        <v>0</v>
      </c>
      <c r="M336"/>
      <c r="N336" t="b">
        <v>0</v>
      </c>
      <c r="O336" t="s">
        <v>4099</v>
      </c>
      <c r="P336">
        <v>17.600000000000001</v>
      </c>
      <c r="Q336">
        <v>6.2</v>
      </c>
      <c r="R336">
        <v>23.8</v>
      </c>
      <c r="S336">
        <v>69</v>
      </c>
      <c r="T336">
        <v>33</v>
      </c>
      <c r="U336">
        <v>34</v>
      </c>
      <c r="V336">
        <v>463</v>
      </c>
      <c r="W336" s="281">
        <v>41869</v>
      </c>
      <c r="X336" s="282"/>
      <c r="Z336" s="9" t="b">
        <f t="shared" si="71"/>
        <v>0</v>
      </c>
      <c r="AA336" s="9" t="str">
        <f t="shared" si="70"/>
        <v>3</v>
      </c>
      <c r="AB336" s="196">
        <f t="shared" si="72"/>
        <v>28.512</v>
      </c>
      <c r="AC336" s="9">
        <f>VLOOKUP(AA336,'Federal Standards'!$N$9:$P$50,2,FALSE)</f>
        <v>8.07</v>
      </c>
      <c r="AD336" s="44">
        <f>VLOOKUP(AA336,'Federal Standards'!$N$9:$P$50,3,FALSE)</f>
        <v>233.7</v>
      </c>
      <c r="AE336" s="44">
        <f t="shared" si="73"/>
        <v>463.79183999999998</v>
      </c>
      <c r="AF336" s="283">
        <f t="shared" si="74"/>
        <v>0.79183999999997923</v>
      </c>
      <c r="AG336" s="291">
        <f t="shared" si="83"/>
        <v>1.7073176621649473E-3</v>
      </c>
      <c r="AH336" s="184" t="str">
        <f t="shared" si="75"/>
        <v>YES</v>
      </c>
      <c r="AJ336" s="9" t="str">
        <f t="shared" si="76"/>
        <v>NO</v>
      </c>
      <c r="AK336" s="9" t="str">
        <f t="shared" si="77"/>
        <v>NO</v>
      </c>
      <c r="AL336" s="9" t="str">
        <f t="shared" si="78"/>
        <v>NO</v>
      </c>
      <c r="AM336" s="9" t="str">
        <f t="shared" si="79"/>
        <v>NO</v>
      </c>
      <c r="AN336" s="9" t="str">
        <f t="shared" si="80"/>
        <v>Less than 10% better than Standard</v>
      </c>
      <c r="AO336" s="9" t="str">
        <f t="shared" si="81"/>
        <v>3_Less than 10% better than Standard</v>
      </c>
      <c r="AP336" s="9" t="str">
        <f t="shared" si="82"/>
        <v>3_NO</v>
      </c>
    </row>
    <row r="337" spans="1:42">
      <c r="A337">
        <v>85203</v>
      </c>
      <c r="B337" t="s">
        <v>4386</v>
      </c>
      <c r="C337" t="s">
        <v>170</v>
      </c>
      <c r="D337" t="s">
        <v>4389</v>
      </c>
      <c r="E337" t="s">
        <v>4109</v>
      </c>
      <c r="F337" t="s">
        <v>162</v>
      </c>
      <c r="G337" t="s">
        <v>4105</v>
      </c>
      <c r="H337"/>
      <c r="I337" t="s">
        <v>4170</v>
      </c>
      <c r="J337" t="b">
        <v>0</v>
      </c>
      <c r="K337" t="b">
        <v>0</v>
      </c>
      <c r="L337" t="b">
        <v>1</v>
      </c>
      <c r="M337" t="b">
        <v>1</v>
      </c>
      <c r="N337" t="b">
        <v>0</v>
      </c>
      <c r="O337" t="s">
        <v>4099</v>
      </c>
      <c r="P337">
        <v>16.2</v>
      </c>
      <c r="Q337">
        <v>7.7</v>
      </c>
      <c r="R337">
        <v>23.9</v>
      </c>
      <c r="S337">
        <v>70</v>
      </c>
      <c r="T337">
        <v>36</v>
      </c>
      <c r="U337">
        <v>35</v>
      </c>
      <c r="V337">
        <v>750</v>
      </c>
      <c r="W337" s="281">
        <v>41835</v>
      </c>
      <c r="X337" s="282"/>
      <c r="Z337" s="9" t="b">
        <f t="shared" si="71"/>
        <v>0</v>
      </c>
      <c r="AA337" s="9" t="str">
        <f t="shared" si="70"/>
        <v>5A</v>
      </c>
      <c r="AB337" s="196">
        <f t="shared" si="72"/>
        <v>29.751999999999999</v>
      </c>
      <c r="AC337" s="9">
        <f>VLOOKUP(AA337,'Federal Standards'!$N$9:$P$50,2,FALSE)</f>
        <v>9.25</v>
      </c>
      <c r="AD337" s="44">
        <f>VLOOKUP(AA337,'Federal Standards'!$N$9:$P$50,3,FALSE)</f>
        <v>475.4</v>
      </c>
      <c r="AE337" s="44">
        <f t="shared" si="73"/>
        <v>750.60599999999999</v>
      </c>
      <c r="AF337" s="283">
        <f t="shared" si="74"/>
        <v>0.60599999999999454</v>
      </c>
      <c r="AG337" s="291">
        <f t="shared" si="83"/>
        <v>8.073476630882174E-4</v>
      </c>
      <c r="AH337" s="184" t="str">
        <f t="shared" si="75"/>
        <v>YES</v>
      </c>
      <c r="AJ337" s="9" t="str">
        <f t="shared" si="76"/>
        <v>NO</v>
      </c>
      <c r="AK337" s="9" t="str">
        <f t="shared" si="77"/>
        <v>NO</v>
      </c>
      <c r="AL337" s="9" t="str">
        <f t="shared" si="78"/>
        <v>NO</v>
      </c>
      <c r="AM337" s="9" t="str">
        <f t="shared" si="79"/>
        <v>NO</v>
      </c>
      <c r="AN337" s="9" t="str">
        <f t="shared" si="80"/>
        <v>Less than 10% better than Standard</v>
      </c>
      <c r="AO337" s="9" t="str">
        <f t="shared" si="81"/>
        <v>5A_Less than 10% better than Standard</v>
      </c>
      <c r="AP337" s="9" t="str">
        <f t="shared" si="82"/>
        <v>5A_NO</v>
      </c>
    </row>
    <row r="338" spans="1:42">
      <c r="A338">
        <v>83038</v>
      </c>
      <c r="B338" t="s">
        <v>4386</v>
      </c>
      <c r="C338" t="s">
        <v>170</v>
      </c>
      <c r="D338" t="s">
        <v>914</v>
      </c>
      <c r="E338" t="s">
        <v>4198</v>
      </c>
      <c r="F338" t="s">
        <v>162</v>
      </c>
      <c r="G338" t="s">
        <v>4105</v>
      </c>
      <c r="H338"/>
      <c r="I338" t="s">
        <v>4106</v>
      </c>
      <c r="J338"/>
      <c r="K338"/>
      <c r="L338"/>
      <c r="M338"/>
      <c r="N338" t="b">
        <v>0</v>
      </c>
      <c r="O338" t="s">
        <v>4099</v>
      </c>
      <c r="P338">
        <v>14.5</v>
      </c>
      <c r="Q338">
        <v>7.1</v>
      </c>
      <c r="R338">
        <v>21.6</v>
      </c>
      <c r="S338">
        <v>69</v>
      </c>
      <c r="T338">
        <v>30</v>
      </c>
      <c r="U338">
        <v>35</v>
      </c>
      <c r="V338">
        <v>463</v>
      </c>
      <c r="W338" s="281">
        <v>41646</v>
      </c>
      <c r="X338" s="282"/>
      <c r="Z338" s="9" t="b">
        <f t="shared" si="71"/>
        <v>0</v>
      </c>
      <c r="AA338" s="9" t="str">
        <f t="shared" si="70"/>
        <v>5</v>
      </c>
      <c r="AB338" s="196">
        <f t="shared" si="72"/>
        <v>26.995999999999999</v>
      </c>
      <c r="AC338" s="9">
        <f>VLOOKUP(AA338,'Federal Standards'!$N$9:$P$50,2,FALSE)</f>
        <v>8.85</v>
      </c>
      <c r="AD338" s="44">
        <f>VLOOKUP(AA338,'Federal Standards'!$N$9:$P$50,3,FALSE)</f>
        <v>317</v>
      </c>
      <c r="AE338" s="44">
        <f t="shared" si="73"/>
        <v>555.91459999999995</v>
      </c>
      <c r="AF338" s="283">
        <f t="shared" si="74"/>
        <v>92.91459999999995</v>
      </c>
      <c r="AG338" s="291">
        <f t="shared" si="83"/>
        <v>0.16713826188410946</v>
      </c>
      <c r="AH338" s="184" t="str">
        <f t="shared" si="75"/>
        <v>YES</v>
      </c>
      <c r="AJ338" s="9" t="str">
        <f t="shared" si="76"/>
        <v>YES</v>
      </c>
      <c r="AK338" s="9" t="str">
        <f t="shared" si="77"/>
        <v>NO</v>
      </c>
      <c r="AL338" s="9" t="str">
        <f t="shared" si="78"/>
        <v>YES</v>
      </c>
      <c r="AM338" s="9" t="str">
        <f t="shared" si="79"/>
        <v>NO</v>
      </c>
      <c r="AN338" s="9" t="str">
        <f t="shared" si="80"/>
        <v>Tier 2 - 15% to 20% better than Standard</v>
      </c>
      <c r="AO338" s="9" t="str">
        <f t="shared" si="81"/>
        <v>5_Tier 2 - 15% to 20% better than Standard</v>
      </c>
      <c r="AP338" s="9" t="str">
        <f t="shared" si="82"/>
        <v>5_YES</v>
      </c>
    </row>
    <row r="339" spans="1:42">
      <c r="A339">
        <v>88461</v>
      </c>
      <c r="B339" t="s">
        <v>4386</v>
      </c>
      <c r="C339" t="s">
        <v>170</v>
      </c>
      <c r="D339" t="s">
        <v>916</v>
      </c>
      <c r="E339" t="s">
        <v>4109</v>
      </c>
      <c r="F339" t="s">
        <v>162</v>
      </c>
      <c r="G339" t="s">
        <v>4105</v>
      </c>
      <c r="H339"/>
      <c r="I339" t="s">
        <v>4170</v>
      </c>
      <c r="J339" t="b">
        <v>0</v>
      </c>
      <c r="K339" t="b">
        <v>0</v>
      </c>
      <c r="L339" t="b">
        <v>1</v>
      </c>
      <c r="M339" t="b">
        <v>0</v>
      </c>
      <c r="N339" t="b">
        <v>0</v>
      </c>
      <c r="O339" t="s">
        <v>4099</v>
      </c>
      <c r="P339">
        <v>17.600000000000001</v>
      </c>
      <c r="Q339">
        <v>7.8</v>
      </c>
      <c r="R339">
        <v>25.4</v>
      </c>
      <c r="S339">
        <v>70</v>
      </c>
      <c r="T339">
        <v>36</v>
      </c>
      <c r="U339">
        <v>35</v>
      </c>
      <c r="V339">
        <v>618</v>
      </c>
      <c r="W339" s="281">
        <v>41911</v>
      </c>
      <c r="X339" s="282"/>
      <c r="Z339" s="9" t="b">
        <f t="shared" si="71"/>
        <v>0</v>
      </c>
      <c r="AA339" s="9" t="str">
        <f t="shared" si="70"/>
        <v>5I</v>
      </c>
      <c r="AB339" s="196">
        <f t="shared" si="72"/>
        <v>31.328000000000003</v>
      </c>
      <c r="AC339" s="9">
        <f>VLOOKUP(AA339,'Federal Standards'!$N$9:$P$50,2,FALSE)</f>
        <v>8.85</v>
      </c>
      <c r="AD339" s="44">
        <f>VLOOKUP(AA339,'Federal Standards'!$N$9:$P$50,3,FALSE)</f>
        <v>401</v>
      </c>
      <c r="AE339" s="44">
        <f t="shared" si="73"/>
        <v>678.25279999999998</v>
      </c>
      <c r="AF339" s="283">
        <f t="shared" si="74"/>
        <v>60.252799999999979</v>
      </c>
      <c r="AG339" s="291">
        <f t="shared" si="83"/>
        <v>8.8835313322702072E-2</v>
      </c>
      <c r="AH339" s="184" t="str">
        <f t="shared" si="75"/>
        <v>YES</v>
      </c>
      <c r="AJ339" s="9" t="str">
        <f t="shared" si="76"/>
        <v>NO</v>
      </c>
      <c r="AK339" s="9" t="str">
        <f t="shared" si="77"/>
        <v>NO</v>
      </c>
      <c r="AL339" s="9" t="str">
        <f t="shared" si="78"/>
        <v>NO</v>
      </c>
      <c r="AM339" s="9" t="str">
        <f t="shared" si="79"/>
        <v>NO</v>
      </c>
      <c r="AN339" s="9" t="str">
        <f t="shared" si="80"/>
        <v>Less than 10% better than Standard</v>
      </c>
      <c r="AO339" s="9" t="str">
        <f t="shared" si="81"/>
        <v>5I_Less than 10% better than Standard</v>
      </c>
      <c r="AP339" s="9" t="str">
        <f t="shared" si="82"/>
        <v>5I_NO</v>
      </c>
    </row>
    <row r="340" spans="1:42">
      <c r="A340">
        <v>82901</v>
      </c>
      <c r="B340" t="s">
        <v>4386</v>
      </c>
      <c r="C340" t="s">
        <v>170</v>
      </c>
      <c r="D340" t="s">
        <v>4390</v>
      </c>
      <c r="E340" t="s">
        <v>4216</v>
      </c>
      <c r="F340" t="s">
        <v>162</v>
      </c>
      <c r="G340" t="s">
        <v>4105</v>
      </c>
      <c r="H340"/>
      <c r="I340" t="s">
        <v>4106</v>
      </c>
      <c r="J340"/>
      <c r="K340"/>
      <c r="L340"/>
      <c r="M340"/>
      <c r="N340" t="b">
        <v>0</v>
      </c>
      <c r="O340" t="s">
        <v>4099</v>
      </c>
      <c r="P340">
        <v>20.5</v>
      </c>
      <c r="Q340">
        <v>10</v>
      </c>
      <c r="R340">
        <v>30.5</v>
      </c>
      <c r="S340">
        <v>70</v>
      </c>
      <c r="T340">
        <v>36</v>
      </c>
      <c r="U340">
        <v>36</v>
      </c>
      <c r="V340">
        <v>578</v>
      </c>
      <c r="W340" s="281">
        <v>41564</v>
      </c>
      <c r="X340" s="282"/>
      <c r="Z340" s="9" t="b">
        <f t="shared" si="71"/>
        <v>0</v>
      </c>
      <c r="AA340" s="9" t="str">
        <f t="shared" si="70"/>
        <v>5A</v>
      </c>
      <c r="AB340" s="196">
        <f t="shared" si="72"/>
        <v>38.1</v>
      </c>
      <c r="AC340" s="9">
        <f>VLOOKUP(AA340,'Federal Standards'!$N$9:$P$50,2,FALSE)</f>
        <v>9.25</v>
      </c>
      <c r="AD340" s="44">
        <f>VLOOKUP(AA340,'Federal Standards'!$N$9:$P$50,3,FALSE)</f>
        <v>475.4</v>
      </c>
      <c r="AE340" s="44">
        <f t="shared" si="73"/>
        <v>827.82500000000005</v>
      </c>
      <c r="AF340" s="283">
        <f t="shared" si="74"/>
        <v>249.82500000000005</v>
      </c>
      <c r="AG340" s="291">
        <f t="shared" si="83"/>
        <v>0.30178479751155141</v>
      </c>
      <c r="AH340" s="184" t="str">
        <f t="shared" si="75"/>
        <v>YES</v>
      </c>
      <c r="AJ340" s="9" t="str">
        <f t="shared" si="76"/>
        <v>YES</v>
      </c>
      <c r="AK340" s="9" t="str">
        <f t="shared" si="77"/>
        <v>NO</v>
      </c>
      <c r="AL340" s="9" t="str">
        <f t="shared" si="78"/>
        <v>NO</v>
      </c>
      <c r="AM340" s="9" t="str">
        <f t="shared" si="79"/>
        <v>YES</v>
      </c>
      <c r="AN340" s="9" t="str">
        <f t="shared" si="80"/>
        <v>Tier 3 - 20%  or better than Standard</v>
      </c>
      <c r="AO340" s="9" t="str">
        <f t="shared" si="81"/>
        <v>5A_Tier 3 - 20%  or better than Standard</v>
      </c>
      <c r="AP340" s="9" t="str">
        <f t="shared" si="82"/>
        <v>5A_YES</v>
      </c>
    </row>
    <row r="341" spans="1:42">
      <c r="A341">
        <v>84038</v>
      </c>
      <c r="B341" t="s">
        <v>4386</v>
      </c>
      <c r="C341" t="s">
        <v>170</v>
      </c>
      <c r="D341" t="s">
        <v>918</v>
      </c>
      <c r="E341" t="s">
        <v>4109</v>
      </c>
      <c r="F341" t="s">
        <v>162</v>
      </c>
      <c r="G341" t="s">
        <v>4105</v>
      </c>
      <c r="H341"/>
      <c r="I341" t="s">
        <v>4170</v>
      </c>
      <c r="J341" t="b">
        <v>0</v>
      </c>
      <c r="K341" t="b">
        <v>0</v>
      </c>
      <c r="L341" t="b">
        <v>1</v>
      </c>
      <c r="M341" t="b">
        <v>1</v>
      </c>
      <c r="N341" t="b">
        <v>0</v>
      </c>
      <c r="O341" t="s">
        <v>4099</v>
      </c>
      <c r="P341">
        <v>21.1</v>
      </c>
      <c r="Q341">
        <v>8.8000000000000007</v>
      </c>
      <c r="R341">
        <v>29.9</v>
      </c>
      <c r="S341">
        <v>71</v>
      </c>
      <c r="T341">
        <v>36</v>
      </c>
      <c r="U341">
        <v>39</v>
      </c>
      <c r="V341">
        <v>741</v>
      </c>
      <c r="W341" s="281">
        <v>41786</v>
      </c>
      <c r="X341" s="282"/>
      <c r="Z341" s="9" t="b">
        <f t="shared" si="71"/>
        <v>0</v>
      </c>
      <c r="AA341" s="9" t="str">
        <f t="shared" si="70"/>
        <v>5A</v>
      </c>
      <c r="AB341" s="196">
        <f t="shared" si="72"/>
        <v>36.588000000000001</v>
      </c>
      <c r="AC341" s="9">
        <f>VLOOKUP(AA341,'Federal Standards'!$N$9:$P$50,2,FALSE)</f>
        <v>9.25</v>
      </c>
      <c r="AD341" s="44">
        <f>VLOOKUP(AA341,'Federal Standards'!$N$9:$P$50,3,FALSE)</f>
        <v>475.4</v>
      </c>
      <c r="AE341" s="44">
        <f t="shared" si="73"/>
        <v>813.83899999999994</v>
      </c>
      <c r="AF341" s="283">
        <f t="shared" si="74"/>
        <v>72.838999999999942</v>
      </c>
      <c r="AG341" s="291">
        <f t="shared" si="83"/>
        <v>8.9500503170774501E-2</v>
      </c>
      <c r="AH341" s="184" t="str">
        <f t="shared" si="75"/>
        <v>YES</v>
      </c>
      <c r="AJ341" s="9" t="str">
        <f t="shared" si="76"/>
        <v>NO</v>
      </c>
      <c r="AK341" s="9" t="str">
        <f t="shared" si="77"/>
        <v>NO</v>
      </c>
      <c r="AL341" s="9" t="str">
        <f t="shared" si="78"/>
        <v>NO</v>
      </c>
      <c r="AM341" s="9" t="str">
        <f t="shared" si="79"/>
        <v>NO</v>
      </c>
      <c r="AN341" s="9" t="str">
        <f t="shared" si="80"/>
        <v>Less than 10% better than Standard</v>
      </c>
      <c r="AO341" s="9" t="str">
        <f t="shared" si="81"/>
        <v>5A_Less than 10% better than Standard</v>
      </c>
      <c r="AP341" s="9" t="str">
        <f t="shared" si="82"/>
        <v>5A_NO</v>
      </c>
    </row>
    <row r="342" spans="1:42">
      <c r="A342">
        <v>86163</v>
      </c>
      <c r="B342" t="s">
        <v>4386</v>
      </c>
      <c r="C342" t="s">
        <v>170</v>
      </c>
      <c r="D342" t="s">
        <v>920</v>
      </c>
      <c r="E342" t="s">
        <v>4109</v>
      </c>
      <c r="F342" t="s">
        <v>162</v>
      </c>
      <c r="G342" t="s">
        <v>4105</v>
      </c>
      <c r="H342" t="s">
        <v>4130</v>
      </c>
      <c r="I342" t="s">
        <v>4170</v>
      </c>
      <c r="J342" t="b">
        <v>0</v>
      </c>
      <c r="K342" t="b">
        <v>0</v>
      </c>
      <c r="L342" t="b">
        <v>1</v>
      </c>
      <c r="M342" t="b">
        <v>0</v>
      </c>
      <c r="N342" t="b">
        <v>0</v>
      </c>
      <c r="O342" t="s">
        <v>4099</v>
      </c>
      <c r="P342">
        <v>17</v>
      </c>
      <c r="Q342">
        <v>8</v>
      </c>
      <c r="R342">
        <v>25</v>
      </c>
      <c r="S342">
        <v>70</v>
      </c>
      <c r="T342">
        <v>33</v>
      </c>
      <c r="U342">
        <v>36</v>
      </c>
      <c r="V342">
        <v>617</v>
      </c>
      <c r="W342" s="281">
        <v>41869</v>
      </c>
      <c r="X342" s="282"/>
      <c r="Z342" s="9" t="b">
        <f t="shared" si="71"/>
        <v>0</v>
      </c>
      <c r="AA342" s="9" t="str">
        <f t="shared" si="70"/>
        <v>5I</v>
      </c>
      <c r="AB342" s="196">
        <f t="shared" si="72"/>
        <v>31.08</v>
      </c>
      <c r="AC342" s="9">
        <f>VLOOKUP(AA342,'Federal Standards'!$N$9:$P$50,2,FALSE)</f>
        <v>8.85</v>
      </c>
      <c r="AD342" s="44">
        <f>VLOOKUP(AA342,'Federal Standards'!$N$9:$P$50,3,FALSE)</f>
        <v>401</v>
      </c>
      <c r="AE342" s="44">
        <f t="shared" si="73"/>
        <v>676.05799999999999</v>
      </c>
      <c r="AF342" s="283">
        <f t="shared" si="74"/>
        <v>59.057999999999993</v>
      </c>
      <c r="AG342" s="291">
        <f t="shared" si="83"/>
        <v>8.735641024882479E-2</v>
      </c>
      <c r="AH342" s="184" t="str">
        <f t="shared" si="75"/>
        <v>YES</v>
      </c>
      <c r="AJ342" s="9" t="str">
        <f t="shared" si="76"/>
        <v>NO</v>
      </c>
      <c r="AK342" s="9" t="str">
        <f t="shared" si="77"/>
        <v>NO</v>
      </c>
      <c r="AL342" s="9" t="str">
        <f t="shared" si="78"/>
        <v>NO</v>
      </c>
      <c r="AM342" s="9" t="str">
        <f t="shared" si="79"/>
        <v>NO</v>
      </c>
      <c r="AN342" s="9" t="str">
        <f t="shared" si="80"/>
        <v>Less than 10% better than Standard</v>
      </c>
      <c r="AO342" s="9" t="str">
        <f t="shared" si="81"/>
        <v>5I_Less than 10% better than Standard</v>
      </c>
      <c r="AP342" s="9" t="str">
        <f t="shared" si="82"/>
        <v>5I_NO</v>
      </c>
    </row>
    <row r="343" spans="1:42">
      <c r="A343">
        <v>84870</v>
      </c>
      <c r="B343" t="s">
        <v>4386</v>
      </c>
      <c r="C343" t="s">
        <v>170</v>
      </c>
      <c r="D343" t="s">
        <v>4391</v>
      </c>
      <c r="E343" t="s">
        <v>4109</v>
      </c>
      <c r="F343" t="s">
        <v>162</v>
      </c>
      <c r="G343" t="s">
        <v>4105</v>
      </c>
      <c r="H343"/>
      <c r="I343" t="s">
        <v>4170</v>
      </c>
      <c r="J343" t="b">
        <v>0</v>
      </c>
      <c r="K343" t="b">
        <v>0</v>
      </c>
      <c r="L343" t="b">
        <v>1</v>
      </c>
      <c r="M343" t="b">
        <v>1</v>
      </c>
      <c r="N343" t="b">
        <v>0</v>
      </c>
      <c r="O343" t="s">
        <v>4099</v>
      </c>
      <c r="P343">
        <v>17.899999999999999</v>
      </c>
      <c r="Q343">
        <v>8.9</v>
      </c>
      <c r="R343">
        <v>26.8</v>
      </c>
      <c r="S343">
        <v>70</v>
      </c>
      <c r="T343">
        <v>36</v>
      </c>
      <c r="U343">
        <v>36</v>
      </c>
      <c r="V343">
        <v>715</v>
      </c>
      <c r="W343" s="281">
        <v>41813</v>
      </c>
      <c r="X343" s="282"/>
      <c r="Z343" s="9" t="b">
        <f t="shared" si="71"/>
        <v>0</v>
      </c>
      <c r="AA343" s="9" t="str">
        <f t="shared" si="70"/>
        <v>5A</v>
      </c>
      <c r="AB343" s="196">
        <f t="shared" si="72"/>
        <v>33.564</v>
      </c>
      <c r="AC343" s="9">
        <f>VLOOKUP(AA343,'Federal Standards'!$N$9:$P$50,2,FALSE)</f>
        <v>9.25</v>
      </c>
      <c r="AD343" s="44">
        <f>VLOOKUP(AA343,'Federal Standards'!$N$9:$P$50,3,FALSE)</f>
        <v>475.4</v>
      </c>
      <c r="AE343" s="44">
        <f t="shared" si="73"/>
        <v>785.86699999999996</v>
      </c>
      <c r="AF343" s="283">
        <f t="shared" si="74"/>
        <v>70.866999999999962</v>
      </c>
      <c r="AG343" s="291">
        <f t="shared" si="83"/>
        <v>9.0176836538498201E-2</v>
      </c>
      <c r="AH343" s="184" t="str">
        <f t="shared" si="75"/>
        <v>YES</v>
      </c>
      <c r="AJ343" s="9" t="str">
        <f t="shared" si="76"/>
        <v>NO</v>
      </c>
      <c r="AK343" s="9" t="str">
        <f t="shared" si="77"/>
        <v>NO</v>
      </c>
      <c r="AL343" s="9" t="str">
        <f t="shared" si="78"/>
        <v>NO</v>
      </c>
      <c r="AM343" s="9" t="str">
        <f t="shared" si="79"/>
        <v>NO</v>
      </c>
      <c r="AN343" s="9" t="str">
        <f t="shared" si="80"/>
        <v>Less than 10% better than Standard</v>
      </c>
      <c r="AO343" s="9" t="str">
        <f t="shared" si="81"/>
        <v>5A_Less than 10% better than Standard</v>
      </c>
      <c r="AP343" s="9" t="str">
        <f t="shared" si="82"/>
        <v>5A_NO</v>
      </c>
    </row>
    <row r="344" spans="1:42">
      <c r="A344">
        <v>85204</v>
      </c>
      <c r="B344" t="s">
        <v>4386</v>
      </c>
      <c r="C344" t="s">
        <v>170</v>
      </c>
      <c r="D344" t="s">
        <v>4392</v>
      </c>
      <c r="E344" t="s">
        <v>4109</v>
      </c>
      <c r="F344" t="s">
        <v>162</v>
      </c>
      <c r="G344" t="s">
        <v>4105</v>
      </c>
      <c r="H344"/>
      <c r="I344" t="s">
        <v>4170</v>
      </c>
      <c r="J344" t="b">
        <v>0</v>
      </c>
      <c r="K344" t="b">
        <v>0</v>
      </c>
      <c r="L344" t="b">
        <v>1</v>
      </c>
      <c r="M344" t="b">
        <v>1</v>
      </c>
      <c r="N344" t="b">
        <v>0</v>
      </c>
      <c r="O344" t="s">
        <v>4099</v>
      </c>
      <c r="P344">
        <v>17.7</v>
      </c>
      <c r="Q344">
        <v>8.9</v>
      </c>
      <c r="R344">
        <v>26.6</v>
      </c>
      <c r="S344">
        <v>70</v>
      </c>
      <c r="T344">
        <v>36</v>
      </c>
      <c r="U344">
        <v>36</v>
      </c>
      <c r="V344">
        <v>714</v>
      </c>
      <c r="W344" s="281">
        <v>41836</v>
      </c>
      <c r="X344" s="282"/>
      <c r="Z344" s="9" t="b">
        <f t="shared" si="71"/>
        <v>0</v>
      </c>
      <c r="AA344" s="9" t="str">
        <f t="shared" si="70"/>
        <v>5A</v>
      </c>
      <c r="AB344" s="196">
        <f t="shared" si="72"/>
        <v>33.364000000000004</v>
      </c>
      <c r="AC344" s="9">
        <f>VLOOKUP(AA344,'Federal Standards'!$N$9:$P$50,2,FALSE)</f>
        <v>9.25</v>
      </c>
      <c r="AD344" s="44">
        <f>VLOOKUP(AA344,'Federal Standards'!$N$9:$P$50,3,FALSE)</f>
        <v>475.4</v>
      </c>
      <c r="AE344" s="44">
        <f t="shared" si="73"/>
        <v>784.01700000000005</v>
      </c>
      <c r="AF344" s="283">
        <f t="shared" si="74"/>
        <v>70.017000000000053</v>
      </c>
      <c r="AG344" s="291">
        <f t="shared" si="83"/>
        <v>8.9305461488717777E-2</v>
      </c>
      <c r="AH344" s="184" t="str">
        <f t="shared" si="75"/>
        <v>YES</v>
      </c>
      <c r="AJ344" s="9" t="str">
        <f t="shared" si="76"/>
        <v>NO</v>
      </c>
      <c r="AK344" s="9" t="str">
        <f t="shared" si="77"/>
        <v>NO</v>
      </c>
      <c r="AL344" s="9" t="str">
        <f t="shared" si="78"/>
        <v>NO</v>
      </c>
      <c r="AM344" s="9" t="str">
        <f t="shared" si="79"/>
        <v>NO</v>
      </c>
      <c r="AN344" s="9" t="str">
        <f t="shared" si="80"/>
        <v>Less than 10% better than Standard</v>
      </c>
      <c r="AO344" s="9" t="str">
        <f t="shared" si="81"/>
        <v>5A_Less than 10% better than Standard</v>
      </c>
      <c r="AP344" s="9" t="str">
        <f t="shared" si="82"/>
        <v>5A_NO</v>
      </c>
    </row>
    <row r="345" spans="1:42">
      <c r="A345">
        <v>86191</v>
      </c>
      <c r="B345" t="s">
        <v>4386</v>
      </c>
      <c r="C345" t="s">
        <v>170</v>
      </c>
      <c r="D345" t="s">
        <v>924</v>
      </c>
      <c r="E345" t="s">
        <v>4179</v>
      </c>
      <c r="F345" t="s">
        <v>162</v>
      </c>
      <c r="G345" t="s">
        <v>4105</v>
      </c>
      <c r="H345" t="s">
        <v>4130</v>
      </c>
      <c r="I345" t="s">
        <v>4098</v>
      </c>
      <c r="J345" t="b">
        <v>0</v>
      </c>
      <c r="K345" t="b">
        <v>0</v>
      </c>
      <c r="L345" t="b">
        <v>1</v>
      </c>
      <c r="M345" t="b">
        <v>1</v>
      </c>
      <c r="N345" t="b">
        <v>1</v>
      </c>
      <c r="O345" t="s">
        <v>4099</v>
      </c>
      <c r="P345">
        <v>16.2</v>
      </c>
      <c r="Q345">
        <v>8</v>
      </c>
      <c r="R345">
        <v>24.2</v>
      </c>
      <c r="S345">
        <v>70</v>
      </c>
      <c r="T345">
        <v>33</v>
      </c>
      <c r="U345">
        <v>35</v>
      </c>
      <c r="V345">
        <v>688</v>
      </c>
      <c r="W345" s="281">
        <v>41869</v>
      </c>
      <c r="X345" s="282"/>
      <c r="Z345" s="9" t="b">
        <f t="shared" si="71"/>
        <v>0</v>
      </c>
      <c r="AA345" s="9" t="str">
        <f t="shared" si="70"/>
        <v>7</v>
      </c>
      <c r="AB345" s="196">
        <f t="shared" si="72"/>
        <v>30.28</v>
      </c>
      <c r="AC345" s="9">
        <f>VLOOKUP(AA345,'Federal Standards'!$N$9:$P$50,2,FALSE)</f>
        <v>8.5399999999999991</v>
      </c>
      <c r="AD345" s="44">
        <f>VLOOKUP(AA345,'Federal Standards'!$N$9:$P$50,3,FALSE)</f>
        <v>432.8</v>
      </c>
      <c r="AE345" s="44">
        <f t="shared" si="73"/>
        <v>691.39120000000003</v>
      </c>
      <c r="AF345" s="283">
        <f t="shared" si="74"/>
        <v>3.3912000000000262</v>
      </c>
      <c r="AG345" s="291">
        <f t="shared" si="83"/>
        <v>4.9048932066245938E-3</v>
      </c>
      <c r="AH345" s="184" t="str">
        <f t="shared" si="75"/>
        <v>YES</v>
      </c>
      <c r="AJ345" s="9" t="str">
        <f t="shared" si="76"/>
        <v>NO</v>
      </c>
      <c r="AK345" s="9" t="str">
        <f t="shared" si="77"/>
        <v>NO</v>
      </c>
      <c r="AL345" s="9" t="str">
        <f t="shared" si="78"/>
        <v>NO</v>
      </c>
      <c r="AM345" s="9" t="str">
        <f t="shared" si="79"/>
        <v>NO</v>
      </c>
      <c r="AN345" s="9" t="str">
        <f t="shared" si="80"/>
        <v>Less than 10% better than Standard</v>
      </c>
      <c r="AO345" s="9" t="str">
        <f t="shared" si="81"/>
        <v>7_Less than 10% better than Standard</v>
      </c>
      <c r="AP345" s="9" t="str">
        <f t="shared" si="82"/>
        <v>7_NO</v>
      </c>
    </row>
    <row r="346" spans="1:42">
      <c r="A346">
        <v>88465</v>
      </c>
      <c r="B346" t="s">
        <v>4386</v>
      </c>
      <c r="C346" t="s">
        <v>170</v>
      </c>
      <c r="D346" t="s">
        <v>926</v>
      </c>
      <c r="E346" t="s">
        <v>4109</v>
      </c>
      <c r="F346" t="s">
        <v>162</v>
      </c>
      <c r="G346" t="s">
        <v>4105</v>
      </c>
      <c r="H346"/>
      <c r="I346" t="s">
        <v>4170</v>
      </c>
      <c r="J346" t="b">
        <v>0</v>
      </c>
      <c r="K346" t="b">
        <v>0</v>
      </c>
      <c r="L346" t="b">
        <v>1</v>
      </c>
      <c r="M346" t="b">
        <v>0</v>
      </c>
      <c r="N346" t="b">
        <v>0</v>
      </c>
      <c r="O346" t="s">
        <v>4099</v>
      </c>
      <c r="P346">
        <v>20.5</v>
      </c>
      <c r="Q346">
        <v>10.1</v>
      </c>
      <c r="R346">
        <v>30.6</v>
      </c>
      <c r="S346">
        <v>71</v>
      </c>
      <c r="T346">
        <v>36</v>
      </c>
      <c r="U346">
        <v>37</v>
      </c>
      <c r="V346">
        <v>674</v>
      </c>
      <c r="W346" s="281">
        <v>41911</v>
      </c>
      <c r="X346" s="282"/>
      <c r="Z346" s="9" t="b">
        <f t="shared" si="71"/>
        <v>0</v>
      </c>
      <c r="AA346" s="9" t="str">
        <f t="shared" si="70"/>
        <v>5I</v>
      </c>
      <c r="AB346" s="196">
        <f t="shared" si="72"/>
        <v>38.275999999999996</v>
      </c>
      <c r="AC346" s="9">
        <f>VLOOKUP(AA346,'Federal Standards'!$N$9:$P$50,2,FALSE)</f>
        <v>8.85</v>
      </c>
      <c r="AD346" s="44">
        <f>VLOOKUP(AA346,'Federal Standards'!$N$9:$P$50,3,FALSE)</f>
        <v>401</v>
      </c>
      <c r="AE346" s="44">
        <f t="shared" si="73"/>
        <v>739.74259999999992</v>
      </c>
      <c r="AF346" s="283">
        <f t="shared" si="74"/>
        <v>65.742599999999925</v>
      </c>
      <c r="AG346" s="291">
        <f t="shared" si="83"/>
        <v>8.8872264487674407E-2</v>
      </c>
      <c r="AH346" s="184" t="str">
        <f t="shared" si="75"/>
        <v>YES</v>
      </c>
      <c r="AJ346" s="9" t="str">
        <f t="shared" si="76"/>
        <v>NO</v>
      </c>
      <c r="AK346" s="9" t="str">
        <f t="shared" si="77"/>
        <v>NO</v>
      </c>
      <c r="AL346" s="9" t="str">
        <f t="shared" si="78"/>
        <v>NO</v>
      </c>
      <c r="AM346" s="9" t="str">
        <f t="shared" si="79"/>
        <v>NO</v>
      </c>
      <c r="AN346" s="9" t="str">
        <f t="shared" si="80"/>
        <v>Less than 10% better than Standard</v>
      </c>
      <c r="AO346" s="9" t="str">
        <f t="shared" si="81"/>
        <v>5I_Less than 10% better than Standard</v>
      </c>
      <c r="AP346" s="9" t="str">
        <f t="shared" si="82"/>
        <v>5I_NO</v>
      </c>
    </row>
    <row r="347" spans="1:42">
      <c r="A347">
        <v>85210</v>
      </c>
      <c r="B347" t="s">
        <v>4386</v>
      </c>
      <c r="C347" t="s">
        <v>170</v>
      </c>
      <c r="D347" t="s">
        <v>928</v>
      </c>
      <c r="E347" t="s">
        <v>4109</v>
      </c>
      <c r="F347" t="s">
        <v>162</v>
      </c>
      <c r="G347" t="s">
        <v>4105</v>
      </c>
      <c r="H347"/>
      <c r="I347" t="s">
        <v>4170</v>
      </c>
      <c r="J347" t="b">
        <v>0</v>
      </c>
      <c r="K347" t="b">
        <v>0</v>
      </c>
      <c r="L347" t="b">
        <v>1</v>
      </c>
      <c r="M347" t="b">
        <v>1</v>
      </c>
      <c r="N347" t="b">
        <v>0</v>
      </c>
      <c r="O347" t="s">
        <v>4099</v>
      </c>
      <c r="P347">
        <v>19.7</v>
      </c>
      <c r="Q347">
        <v>10.1</v>
      </c>
      <c r="R347">
        <v>29.8</v>
      </c>
      <c r="S347">
        <v>71</v>
      </c>
      <c r="T347">
        <v>36</v>
      </c>
      <c r="U347">
        <v>37</v>
      </c>
      <c r="V347">
        <v>748</v>
      </c>
      <c r="W347" s="281">
        <v>41836</v>
      </c>
      <c r="X347" s="282"/>
      <c r="Z347" s="9" t="b">
        <f t="shared" si="71"/>
        <v>0</v>
      </c>
      <c r="AA347" s="9" t="str">
        <f t="shared" si="70"/>
        <v>5A</v>
      </c>
      <c r="AB347" s="196">
        <f t="shared" si="72"/>
        <v>37.475999999999999</v>
      </c>
      <c r="AC347" s="9">
        <f>VLOOKUP(AA347,'Federal Standards'!$N$9:$P$50,2,FALSE)</f>
        <v>9.25</v>
      </c>
      <c r="AD347" s="44">
        <f>VLOOKUP(AA347,'Federal Standards'!$N$9:$P$50,3,FALSE)</f>
        <v>475.4</v>
      </c>
      <c r="AE347" s="44">
        <f t="shared" si="73"/>
        <v>822.053</v>
      </c>
      <c r="AF347" s="283">
        <f t="shared" si="74"/>
        <v>74.052999999999997</v>
      </c>
      <c r="AG347" s="291">
        <f t="shared" si="83"/>
        <v>9.0082999514629836E-2</v>
      </c>
      <c r="AH347" s="184" t="str">
        <f t="shared" si="75"/>
        <v>YES</v>
      </c>
      <c r="AJ347" s="9" t="str">
        <f t="shared" si="76"/>
        <v>NO</v>
      </c>
      <c r="AK347" s="9" t="str">
        <f t="shared" si="77"/>
        <v>NO</v>
      </c>
      <c r="AL347" s="9" t="str">
        <f t="shared" si="78"/>
        <v>NO</v>
      </c>
      <c r="AM347" s="9" t="str">
        <f t="shared" si="79"/>
        <v>NO</v>
      </c>
      <c r="AN347" s="9" t="str">
        <f t="shared" si="80"/>
        <v>Less than 10% better than Standard</v>
      </c>
      <c r="AO347" s="9" t="str">
        <f t="shared" si="81"/>
        <v>5A_Less than 10% better than Standard</v>
      </c>
      <c r="AP347" s="9" t="str">
        <f t="shared" si="82"/>
        <v>5A_NO</v>
      </c>
    </row>
    <row r="348" spans="1:42">
      <c r="A348">
        <v>85206</v>
      </c>
      <c r="B348" t="s">
        <v>4386</v>
      </c>
      <c r="C348" t="s">
        <v>170</v>
      </c>
      <c r="D348" t="s">
        <v>930</v>
      </c>
      <c r="E348" t="s">
        <v>4109</v>
      </c>
      <c r="F348" t="s">
        <v>162</v>
      </c>
      <c r="G348" t="s">
        <v>4105</v>
      </c>
      <c r="H348"/>
      <c r="I348" t="s">
        <v>4170</v>
      </c>
      <c r="J348" t="b">
        <v>0</v>
      </c>
      <c r="K348" t="b">
        <v>0</v>
      </c>
      <c r="L348" t="b">
        <v>1</v>
      </c>
      <c r="M348" t="b">
        <v>1</v>
      </c>
      <c r="N348" t="b">
        <v>0</v>
      </c>
      <c r="O348" t="s">
        <v>4099</v>
      </c>
      <c r="P348">
        <v>19.5</v>
      </c>
      <c r="Q348">
        <v>10.1</v>
      </c>
      <c r="R348">
        <v>29.6</v>
      </c>
      <c r="S348">
        <v>71</v>
      </c>
      <c r="T348">
        <v>36</v>
      </c>
      <c r="U348">
        <v>37</v>
      </c>
      <c r="V348">
        <v>747</v>
      </c>
      <c r="W348" s="281">
        <v>41836</v>
      </c>
      <c r="X348" s="282"/>
      <c r="Z348" s="9" t="b">
        <f t="shared" si="71"/>
        <v>0</v>
      </c>
      <c r="AA348" s="9" t="str">
        <f t="shared" si="70"/>
        <v>5A</v>
      </c>
      <c r="AB348" s="196">
        <f t="shared" si="72"/>
        <v>37.275999999999996</v>
      </c>
      <c r="AC348" s="9">
        <f>VLOOKUP(AA348,'Federal Standards'!$N$9:$P$50,2,FALSE)</f>
        <v>9.25</v>
      </c>
      <c r="AD348" s="44">
        <f>VLOOKUP(AA348,'Federal Standards'!$N$9:$P$50,3,FALSE)</f>
        <v>475.4</v>
      </c>
      <c r="AE348" s="44">
        <f t="shared" si="73"/>
        <v>820.20299999999997</v>
      </c>
      <c r="AF348" s="283">
        <f t="shared" si="74"/>
        <v>73.202999999999975</v>
      </c>
      <c r="AG348" s="291">
        <f t="shared" si="83"/>
        <v>8.924985643797935E-2</v>
      </c>
      <c r="AH348" s="184" t="str">
        <f t="shared" si="75"/>
        <v>YES</v>
      </c>
      <c r="AJ348" s="9" t="str">
        <f t="shared" si="76"/>
        <v>NO</v>
      </c>
      <c r="AK348" s="9" t="str">
        <f t="shared" si="77"/>
        <v>NO</v>
      </c>
      <c r="AL348" s="9" t="str">
        <f t="shared" si="78"/>
        <v>NO</v>
      </c>
      <c r="AM348" s="9" t="str">
        <f t="shared" si="79"/>
        <v>NO</v>
      </c>
      <c r="AN348" s="9" t="str">
        <f t="shared" si="80"/>
        <v>Less than 10% better than Standard</v>
      </c>
      <c r="AO348" s="9" t="str">
        <f t="shared" si="81"/>
        <v>5A_Less than 10% better than Standard</v>
      </c>
      <c r="AP348" s="9" t="str">
        <f t="shared" si="82"/>
        <v>5A_NO</v>
      </c>
    </row>
    <row r="349" spans="1:42">
      <c r="A349">
        <v>85211</v>
      </c>
      <c r="B349" t="s">
        <v>4386</v>
      </c>
      <c r="C349" t="s">
        <v>170</v>
      </c>
      <c r="D349" t="s">
        <v>932</v>
      </c>
      <c r="E349" t="s">
        <v>4109</v>
      </c>
      <c r="F349" t="s">
        <v>162</v>
      </c>
      <c r="G349" t="s">
        <v>4105</v>
      </c>
      <c r="H349"/>
      <c r="I349" t="s">
        <v>4170</v>
      </c>
      <c r="J349" t="b">
        <v>0</v>
      </c>
      <c r="K349" t="b">
        <v>0</v>
      </c>
      <c r="L349" t="b">
        <v>1</v>
      </c>
      <c r="M349" t="b">
        <v>1</v>
      </c>
      <c r="N349" t="b">
        <v>0</v>
      </c>
      <c r="O349" t="s">
        <v>4099</v>
      </c>
      <c r="P349">
        <v>15.8</v>
      </c>
      <c r="Q349">
        <v>7.9</v>
      </c>
      <c r="R349">
        <v>23.7</v>
      </c>
      <c r="S349">
        <v>71</v>
      </c>
      <c r="T349">
        <v>36</v>
      </c>
      <c r="U349">
        <v>31</v>
      </c>
      <c r="V349">
        <v>683</v>
      </c>
      <c r="W349" s="281">
        <v>41836</v>
      </c>
      <c r="X349" s="282"/>
      <c r="Z349" s="9" t="b">
        <f t="shared" si="71"/>
        <v>0</v>
      </c>
      <c r="AA349" s="9" t="str">
        <f t="shared" si="70"/>
        <v>5A</v>
      </c>
      <c r="AB349" s="196">
        <f t="shared" si="72"/>
        <v>29.704000000000001</v>
      </c>
      <c r="AC349" s="9">
        <f>VLOOKUP(AA349,'Federal Standards'!$N$9:$P$50,2,FALSE)</f>
        <v>9.25</v>
      </c>
      <c r="AD349" s="44">
        <f>VLOOKUP(AA349,'Federal Standards'!$N$9:$P$50,3,FALSE)</f>
        <v>475.4</v>
      </c>
      <c r="AE349" s="44">
        <f t="shared" si="73"/>
        <v>750.16200000000003</v>
      </c>
      <c r="AF349" s="283">
        <f t="shared" si="74"/>
        <v>67.162000000000035</v>
      </c>
      <c r="AG349" s="291">
        <f t="shared" si="83"/>
        <v>8.9529994854444822E-2</v>
      </c>
      <c r="AH349" s="184" t="str">
        <f t="shared" si="75"/>
        <v>YES</v>
      </c>
      <c r="AJ349" s="9" t="str">
        <f t="shared" si="76"/>
        <v>NO</v>
      </c>
      <c r="AK349" s="9" t="str">
        <f t="shared" si="77"/>
        <v>NO</v>
      </c>
      <c r="AL349" s="9" t="str">
        <f t="shared" si="78"/>
        <v>NO</v>
      </c>
      <c r="AM349" s="9" t="str">
        <f t="shared" si="79"/>
        <v>NO</v>
      </c>
      <c r="AN349" s="9" t="str">
        <f t="shared" si="80"/>
        <v>Less than 10% better than Standard</v>
      </c>
      <c r="AO349" s="9" t="str">
        <f t="shared" si="81"/>
        <v>5A_Less than 10% better than Standard</v>
      </c>
      <c r="AP349" s="9" t="str">
        <f t="shared" si="82"/>
        <v>5A_NO</v>
      </c>
    </row>
    <row r="350" spans="1:42">
      <c r="A350">
        <v>85207</v>
      </c>
      <c r="B350" t="s">
        <v>4386</v>
      </c>
      <c r="C350" t="s">
        <v>170</v>
      </c>
      <c r="D350" t="s">
        <v>934</v>
      </c>
      <c r="E350" t="s">
        <v>4109</v>
      </c>
      <c r="F350" t="s">
        <v>162</v>
      </c>
      <c r="G350" t="s">
        <v>4105</v>
      </c>
      <c r="H350"/>
      <c r="I350" t="s">
        <v>4170</v>
      </c>
      <c r="J350" t="b">
        <v>0</v>
      </c>
      <c r="K350" t="b">
        <v>0</v>
      </c>
      <c r="L350" t="b">
        <v>1</v>
      </c>
      <c r="M350" t="b">
        <v>1</v>
      </c>
      <c r="N350" t="b">
        <v>0</v>
      </c>
      <c r="O350" t="s">
        <v>4099</v>
      </c>
      <c r="P350">
        <v>15.6</v>
      </c>
      <c r="Q350">
        <v>7.9</v>
      </c>
      <c r="R350">
        <v>23.5</v>
      </c>
      <c r="S350">
        <v>71</v>
      </c>
      <c r="T350">
        <v>36</v>
      </c>
      <c r="U350">
        <v>31</v>
      </c>
      <c r="V350">
        <v>682</v>
      </c>
      <c r="W350" s="281">
        <v>41836</v>
      </c>
      <c r="X350" s="282"/>
      <c r="Z350" s="9" t="b">
        <f t="shared" si="71"/>
        <v>0</v>
      </c>
      <c r="AA350" s="9" t="str">
        <f t="shared" si="70"/>
        <v>5A</v>
      </c>
      <c r="AB350" s="196">
        <f t="shared" si="72"/>
        <v>29.503999999999998</v>
      </c>
      <c r="AC350" s="9">
        <f>VLOOKUP(AA350,'Federal Standards'!$N$9:$P$50,2,FALSE)</f>
        <v>9.25</v>
      </c>
      <c r="AD350" s="44">
        <f>VLOOKUP(AA350,'Federal Standards'!$N$9:$P$50,3,FALSE)</f>
        <v>475.4</v>
      </c>
      <c r="AE350" s="44">
        <f t="shared" si="73"/>
        <v>748.3119999999999</v>
      </c>
      <c r="AF350" s="283">
        <f t="shared" si="74"/>
        <v>66.311999999999898</v>
      </c>
      <c r="AG350" s="291">
        <f t="shared" si="83"/>
        <v>8.8615443825569962E-2</v>
      </c>
      <c r="AH350" s="184" t="str">
        <f t="shared" si="75"/>
        <v>YES</v>
      </c>
      <c r="AJ350" s="9" t="str">
        <f t="shared" si="76"/>
        <v>NO</v>
      </c>
      <c r="AK350" s="9" t="str">
        <f t="shared" si="77"/>
        <v>NO</v>
      </c>
      <c r="AL350" s="9" t="str">
        <f t="shared" si="78"/>
        <v>NO</v>
      </c>
      <c r="AM350" s="9" t="str">
        <f t="shared" si="79"/>
        <v>NO</v>
      </c>
      <c r="AN350" s="9" t="str">
        <f t="shared" si="80"/>
        <v>Less than 10% better than Standard</v>
      </c>
      <c r="AO350" s="9" t="str">
        <f t="shared" si="81"/>
        <v>5A_Less than 10% better than Standard</v>
      </c>
      <c r="AP350" s="9" t="str">
        <f t="shared" si="82"/>
        <v>5A_NO</v>
      </c>
    </row>
    <row r="351" spans="1:42">
      <c r="A351">
        <v>85741</v>
      </c>
      <c r="B351" t="s">
        <v>4386</v>
      </c>
      <c r="C351" t="s">
        <v>170</v>
      </c>
      <c r="D351" t="s">
        <v>936</v>
      </c>
      <c r="E351" t="s">
        <v>4109</v>
      </c>
      <c r="F351" t="s">
        <v>162</v>
      </c>
      <c r="G351" t="s">
        <v>4105</v>
      </c>
      <c r="H351"/>
      <c r="I351" t="s">
        <v>4170</v>
      </c>
      <c r="J351" t="b">
        <v>0</v>
      </c>
      <c r="K351" t="b">
        <v>0</v>
      </c>
      <c r="L351" t="b">
        <v>1</v>
      </c>
      <c r="M351" t="b">
        <v>1</v>
      </c>
      <c r="N351" t="b">
        <v>0</v>
      </c>
      <c r="O351" t="s">
        <v>4099</v>
      </c>
      <c r="P351">
        <v>20.9</v>
      </c>
      <c r="Q351">
        <v>10.8</v>
      </c>
      <c r="R351">
        <v>31.7</v>
      </c>
      <c r="S351">
        <v>71</v>
      </c>
      <c r="T351">
        <v>36</v>
      </c>
      <c r="U351">
        <v>38</v>
      </c>
      <c r="V351">
        <v>768</v>
      </c>
      <c r="W351" s="281">
        <v>41862</v>
      </c>
      <c r="X351" s="282"/>
      <c r="Z351" s="9" t="b">
        <f t="shared" si="71"/>
        <v>0</v>
      </c>
      <c r="AA351" s="9" t="str">
        <f t="shared" si="70"/>
        <v>5A</v>
      </c>
      <c r="AB351" s="196">
        <f t="shared" si="72"/>
        <v>39.908000000000001</v>
      </c>
      <c r="AC351" s="9">
        <f>VLOOKUP(AA351,'Federal Standards'!$N$9:$P$50,2,FALSE)</f>
        <v>9.25</v>
      </c>
      <c r="AD351" s="44">
        <f>VLOOKUP(AA351,'Federal Standards'!$N$9:$P$50,3,FALSE)</f>
        <v>475.4</v>
      </c>
      <c r="AE351" s="44">
        <f t="shared" si="73"/>
        <v>844.54899999999998</v>
      </c>
      <c r="AF351" s="283">
        <f t="shared" si="74"/>
        <v>76.548999999999978</v>
      </c>
      <c r="AG351" s="291">
        <f t="shared" si="83"/>
        <v>9.0638909050866176E-2</v>
      </c>
      <c r="AH351" s="184" t="str">
        <f t="shared" si="75"/>
        <v>YES</v>
      </c>
      <c r="AJ351" s="9" t="str">
        <f t="shared" si="76"/>
        <v>NO</v>
      </c>
      <c r="AK351" s="9" t="str">
        <f t="shared" si="77"/>
        <v>NO</v>
      </c>
      <c r="AL351" s="9" t="str">
        <f t="shared" si="78"/>
        <v>NO</v>
      </c>
      <c r="AM351" s="9" t="str">
        <f t="shared" si="79"/>
        <v>NO</v>
      </c>
      <c r="AN351" s="9" t="str">
        <f t="shared" si="80"/>
        <v>Less than 10% better than Standard</v>
      </c>
      <c r="AO351" s="9" t="str">
        <f t="shared" si="81"/>
        <v>5A_Less than 10% better than Standard</v>
      </c>
      <c r="AP351" s="9" t="str">
        <f t="shared" si="82"/>
        <v>5A_NO</v>
      </c>
    </row>
    <row r="352" spans="1:42">
      <c r="A352">
        <v>86166</v>
      </c>
      <c r="B352" t="s">
        <v>4386</v>
      </c>
      <c r="C352" t="s">
        <v>170</v>
      </c>
      <c r="D352" t="s">
        <v>4393</v>
      </c>
      <c r="E352" t="s">
        <v>4109</v>
      </c>
      <c r="F352" t="s">
        <v>162</v>
      </c>
      <c r="G352" t="s">
        <v>4105</v>
      </c>
      <c r="H352" t="s">
        <v>4130</v>
      </c>
      <c r="I352" t="s">
        <v>4098</v>
      </c>
      <c r="J352" t="b">
        <v>0</v>
      </c>
      <c r="K352" t="b">
        <v>0</v>
      </c>
      <c r="L352" t="b">
        <v>1</v>
      </c>
      <c r="M352" t="b">
        <v>0</v>
      </c>
      <c r="N352" t="b">
        <v>0</v>
      </c>
      <c r="O352" t="s">
        <v>4099</v>
      </c>
      <c r="P352">
        <v>14.8</v>
      </c>
      <c r="Q352">
        <v>7.3</v>
      </c>
      <c r="R352">
        <v>22.1</v>
      </c>
      <c r="S352">
        <v>70</v>
      </c>
      <c r="T352">
        <v>33</v>
      </c>
      <c r="U352">
        <v>35</v>
      </c>
      <c r="V352">
        <v>645</v>
      </c>
      <c r="W352" s="281">
        <v>41869</v>
      </c>
      <c r="X352" s="282"/>
      <c r="Z352" s="9" t="b">
        <f t="shared" si="71"/>
        <v>0</v>
      </c>
      <c r="AA352" s="9" t="str">
        <f t="shared" si="70"/>
        <v>5I</v>
      </c>
      <c r="AB352" s="196">
        <f t="shared" si="72"/>
        <v>27.648</v>
      </c>
      <c r="AC352" s="9">
        <f>VLOOKUP(AA352,'Federal Standards'!$N$9:$P$50,2,FALSE)</f>
        <v>8.85</v>
      </c>
      <c r="AD352" s="44">
        <f>VLOOKUP(AA352,'Federal Standards'!$N$9:$P$50,3,FALSE)</f>
        <v>401</v>
      </c>
      <c r="AE352" s="44">
        <f t="shared" si="73"/>
        <v>645.6848</v>
      </c>
      <c r="AF352" s="283">
        <f t="shared" si="74"/>
        <v>0.68479999999999563</v>
      </c>
      <c r="AG352" s="291">
        <f t="shared" si="83"/>
        <v>1.0605794034488586E-3</v>
      </c>
      <c r="AH352" s="184" t="str">
        <f t="shared" si="75"/>
        <v>YES</v>
      </c>
      <c r="AJ352" s="9" t="str">
        <f t="shared" si="76"/>
        <v>NO</v>
      </c>
      <c r="AK352" s="9" t="str">
        <f t="shared" si="77"/>
        <v>NO</v>
      </c>
      <c r="AL352" s="9" t="str">
        <f t="shared" si="78"/>
        <v>NO</v>
      </c>
      <c r="AM352" s="9" t="str">
        <f t="shared" si="79"/>
        <v>NO</v>
      </c>
      <c r="AN352" s="9" t="str">
        <f t="shared" si="80"/>
        <v>Less than 10% better than Standard</v>
      </c>
      <c r="AO352" s="9" t="str">
        <f t="shared" si="81"/>
        <v>5I_Less than 10% better than Standard</v>
      </c>
      <c r="AP352" s="9" t="str">
        <f t="shared" si="82"/>
        <v>5I_NO</v>
      </c>
    </row>
    <row r="353" spans="1:42">
      <c r="A353">
        <v>86189</v>
      </c>
      <c r="B353" t="s">
        <v>4386</v>
      </c>
      <c r="C353" t="s">
        <v>170</v>
      </c>
      <c r="D353" t="s">
        <v>938</v>
      </c>
      <c r="E353" t="s">
        <v>4108</v>
      </c>
      <c r="F353" t="s">
        <v>162</v>
      </c>
      <c r="G353" t="s">
        <v>4105</v>
      </c>
      <c r="H353" t="s">
        <v>4130</v>
      </c>
      <c r="I353" t="s">
        <v>4098</v>
      </c>
      <c r="J353" t="b">
        <v>0</v>
      </c>
      <c r="K353" t="b">
        <v>0</v>
      </c>
      <c r="L353" t="b">
        <v>1</v>
      </c>
      <c r="M353" t="b">
        <v>0</v>
      </c>
      <c r="N353" t="b">
        <v>0</v>
      </c>
      <c r="O353" t="s">
        <v>4099</v>
      </c>
      <c r="P353">
        <v>17.600000000000001</v>
      </c>
      <c r="Q353">
        <v>6.2</v>
      </c>
      <c r="R353">
        <v>23.8</v>
      </c>
      <c r="S353">
        <v>69</v>
      </c>
      <c r="T353">
        <v>33</v>
      </c>
      <c r="U353">
        <v>34</v>
      </c>
      <c r="V353">
        <v>547</v>
      </c>
      <c r="W353" s="281">
        <v>41869</v>
      </c>
      <c r="X353" s="282"/>
      <c r="Z353" s="9" t="b">
        <f t="shared" si="71"/>
        <v>0</v>
      </c>
      <c r="AA353" s="9" t="str">
        <f t="shared" si="70"/>
        <v>3I</v>
      </c>
      <c r="AB353" s="196">
        <f t="shared" si="72"/>
        <v>28.512</v>
      </c>
      <c r="AC353" s="9">
        <f>VLOOKUP(AA353,'Federal Standards'!$N$9:$P$50,2,FALSE)</f>
        <v>8.07</v>
      </c>
      <c r="AD353" s="44">
        <f>VLOOKUP(AA353,'Federal Standards'!$N$9:$P$50,3,FALSE)</f>
        <v>317.7</v>
      </c>
      <c r="AE353" s="44">
        <f t="shared" si="73"/>
        <v>547.79183999999998</v>
      </c>
      <c r="AF353" s="283">
        <f t="shared" si="74"/>
        <v>0.79183999999997923</v>
      </c>
      <c r="AG353" s="291">
        <f t="shared" si="83"/>
        <v>1.4455125874090773E-3</v>
      </c>
      <c r="AH353" s="184" t="str">
        <f t="shared" si="75"/>
        <v>YES</v>
      </c>
      <c r="AJ353" s="9" t="str">
        <f t="shared" si="76"/>
        <v>NO</v>
      </c>
      <c r="AK353" s="9" t="str">
        <f t="shared" si="77"/>
        <v>NO</v>
      </c>
      <c r="AL353" s="9" t="str">
        <f t="shared" si="78"/>
        <v>NO</v>
      </c>
      <c r="AM353" s="9" t="str">
        <f t="shared" si="79"/>
        <v>NO</v>
      </c>
      <c r="AN353" s="9" t="str">
        <f t="shared" si="80"/>
        <v>Less than 10% better than Standard</v>
      </c>
      <c r="AO353" s="9" t="str">
        <f t="shared" si="81"/>
        <v>3I_Less than 10% better than Standard</v>
      </c>
      <c r="AP353" s="9" t="str">
        <f t="shared" si="82"/>
        <v>3I_NO</v>
      </c>
    </row>
    <row r="354" spans="1:42">
      <c r="A354">
        <v>87368</v>
      </c>
      <c r="B354" t="s">
        <v>4386</v>
      </c>
      <c r="C354" t="s">
        <v>170</v>
      </c>
      <c r="D354" t="s">
        <v>4394</v>
      </c>
      <c r="E354" t="s">
        <v>4109</v>
      </c>
      <c r="F354" t="s">
        <v>162</v>
      </c>
      <c r="G354" t="s">
        <v>4105</v>
      </c>
      <c r="H354" t="s">
        <v>4130</v>
      </c>
      <c r="I354" t="s">
        <v>4170</v>
      </c>
      <c r="J354" t="b">
        <v>0</v>
      </c>
      <c r="K354" t="b">
        <v>0</v>
      </c>
      <c r="L354" t="b">
        <v>1</v>
      </c>
      <c r="M354" t="b">
        <v>0</v>
      </c>
      <c r="N354" t="b">
        <v>0</v>
      </c>
      <c r="O354" t="s">
        <v>4099</v>
      </c>
      <c r="P354">
        <v>16.399999999999999</v>
      </c>
      <c r="Q354">
        <v>7.7</v>
      </c>
      <c r="R354">
        <v>24.1</v>
      </c>
      <c r="S354">
        <v>70</v>
      </c>
      <c r="T354">
        <v>33</v>
      </c>
      <c r="U354">
        <v>35</v>
      </c>
      <c r="V354">
        <v>666</v>
      </c>
      <c r="W354" s="281">
        <v>41892</v>
      </c>
      <c r="X354" s="282"/>
      <c r="Z354" s="9" t="b">
        <f t="shared" si="71"/>
        <v>0</v>
      </c>
      <c r="AA354" s="9" t="str">
        <f t="shared" si="70"/>
        <v>5I</v>
      </c>
      <c r="AB354" s="196">
        <f t="shared" si="72"/>
        <v>29.951999999999998</v>
      </c>
      <c r="AC354" s="9">
        <f>VLOOKUP(AA354,'Federal Standards'!$N$9:$P$50,2,FALSE)</f>
        <v>8.85</v>
      </c>
      <c r="AD354" s="44">
        <f>VLOOKUP(AA354,'Federal Standards'!$N$9:$P$50,3,FALSE)</f>
        <v>401</v>
      </c>
      <c r="AE354" s="44">
        <f t="shared" si="73"/>
        <v>666.0752</v>
      </c>
      <c r="AF354" s="283">
        <f t="shared" si="74"/>
        <v>7.5199999999995271E-2</v>
      </c>
      <c r="AG354" s="291">
        <f t="shared" si="83"/>
        <v>1.1290016502640433E-4</v>
      </c>
      <c r="AH354" s="184" t="str">
        <f t="shared" si="75"/>
        <v>YES</v>
      </c>
      <c r="AJ354" s="9" t="str">
        <f t="shared" si="76"/>
        <v>NO</v>
      </c>
      <c r="AK354" s="9" t="str">
        <f t="shared" si="77"/>
        <v>NO</v>
      </c>
      <c r="AL354" s="9" t="str">
        <f t="shared" si="78"/>
        <v>NO</v>
      </c>
      <c r="AM354" s="9" t="str">
        <f t="shared" si="79"/>
        <v>NO</v>
      </c>
      <c r="AN354" s="9" t="str">
        <f t="shared" si="80"/>
        <v>Less than 10% better than Standard</v>
      </c>
      <c r="AO354" s="9" t="str">
        <f t="shared" si="81"/>
        <v>5I_Less than 10% better than Standard</v>
      </c>
      <c r="AP354" s="9" t="str">
        <f t="shared" si="82"/>
        <v>5I_NO</v>
      </c>
    </row>
    <row r="355" spans="1:42">
      <c r="A355">
        <v>83996</v>
      </c>
      <c r="B355" t="s">
        <v>4386</v>
      </c>
      <c r="C355" t="s">
        <v>1017</v>
      </c>
      <c r="D355" t="s">
        <v>1018</v>
      </c>
      <c r="E355" t="s">
        <v>4109</v>
      </c>
      <c r="F355" t="s">
        <v>162</v>
      </c>
      <c r="G355" t="s">
        <v>4105</v>
      </c>
      <c r="H355" t="s">
        <v>4130</v>
      </c>
      <c r="I355" t="s">
        <v>4170</v>
      </c>
      <c r="J355" t="b">
        <v>0</v>
      </c>
      <c r="K355" t="b">
        <v>0</v>
      </c>
      <c r="L355" t="b">
        <v>1</v>
      </c>
      <c r="M355" t="b">
        <v>0</v>
      </c>
      <c r="N355" t="b">
        <v>0</v>
      </c>
      <c r="O355" t="s">
        <v>4099</v>
      </c>
      <c r="P355">
        <v>16.399999999999999</v>
      </c>
      <c r="Q355">
        <v>7.7</v>
      </c>
      <c r="R355">
        <v>24.1</v>
      </c>
      <c r="S355">
        <v>70</v>
      </c>
      <c r="T355">
        <v>33</v>
      </c>
      <c r="U355">
        <v>35</v>
      </c>
      <c r="V355">
        <v>608</v>
      </c>
      <c r="W355" s="281">
        <v>41781</v>
      </c>
      <c r="X355" s="282"/>
      <c r="Z355" s="9" t="b">
        <f t="shared" si="71"/>
        <v>0</v>
      </c>
      <c r="AA355" s="9" t="str">
        <f t="shared" si="70"/>
        <v>5I</v>
      </c>
      <c r="AB355" s="196">
        <f t="shared" si="72"/>
        <v>29.951999999999998</v>
      </c>
      <c r="AC355" s="9">
        <f>VLOOKUP(AA355,'Federal Standards'!$N$9:$P$50,2,FALSE)</f>
        <v>8.85</v>
      </c>
      <c r="AD355" s="44">
        <f>VLOOKUP(AA355,'Federal Standards'!$N$9:$P$50,3,FALSE)</f>
        <v>401</v>
      </c>
      <c r="AE355" s="44">
        <f t="shared" si="73"/>
        <v>666.0752</v>
      </c>
      <c r="AF355" s="283">
        <f t="shared" si="74"/>
        <v>58.075199999999995</v>
      </c>
      <c r="AG355" s="291">
        <f t="shared" si="83"/>
        <v>8.7190155105609693E-2</v>
      </c>
      <c r="AH355" s="184" t="str">
        <f t="shared" si="75"/>
        <v>YES</v>
      </c>
      <c r="AJ355" s="9" t="str">
        <f t="shared" si="76"/>
        <v>NO</v>
      </c>
      <c r="AK355" s="9" t="str">
        <f t="shared" si="77"/>
        <v>NO</v>
      </c>
      <c r="AL355" s="9" t="str">
        <f t="shared" si="78"/>
        <v>NO</v>
      </c>
      <c r="AM355" s="9" t="str">
        <f t="shared" si="79"/>
        <v>NO</v>
      </c>
      <c r="AN355" s="9" t="str">
        <f t="shared" si="80"/>
        <v>Less than 10% better than Standard</v>
      </c>
      <c r="AO355" s="9" t="str">
        <f t="shared" si="81"/>
        <v>5I_Less than 10% better than Standard</v>
      </c>
      <c r="AP355" s="9" t="str">
        <f t="shared" si="82"/>
        <v>5I_NO</v>
      </c>
    </row>
    <row r="356" spans="1:42">
      <c r="A356">
        <v>83920</v>
      </c>
      <c r="B356" t="s">
        <v>4386</v>
      </c>
      <c r="C356" t="s">
        <v>1017</v>
      </c>
      <c r="D356" t="s">
        <v>4395</v>
      </c>
      <c r="E356" t="s">
        <v>4198</v>
      </c>
      <c r="F356" t="s">
        <v>162</v>
      </c>
      <c r="G356" t="s">
        <v>4105</v>
      </c>
      <c r="H356"/>
      <c r="I356" t="s">
        <v>4098</v>
      </c>
      <c r="J356"/>
      <c r="K356"/>
      <c r="L356"/>
      <c r="M356"/>
      <c r="N356" t="b">
        <v>0</v>
      </c>
      <c r="O356" t="s">
        <v>4099</v>
      </c>
      <c r="P356">
        <v>6.5</v>
      </c>
      <c r="Q356">
        <v>3.6</v>
      </c>
      <c r="R356">
        <v>10.1</v>
      </c>
      <c r="S356">
        <v>69</v>
      </c>
      <c r="T356">
        <v>24</v>
      </c>
      <c r="U356">
        <v>26</v>
      </c>
      <c r="V356">
        <v>430</v>
      </c>
      <c r="W356" s="281">
        <v>41766</v>
      </c>
      <c r="X356" s="282"/>
      <c r="Z356" s="9" t="b">
        <f t="shared" si="71"/>
        <v>0</v>
      </c>
      <c r="AA356" s="9" t="str">
        <f t="shared" si="70"/>
        <v>5</v>
      </c>
      <c r="AB356" s="196">
        <f t="shared" si="72"/>
        <v>12.836</v>
      </c>
      <c r="AC356" s="9">
        <f>VLOOKUP(AA356,'Federal Standards'!$N$9:$P$50,2,FALSE)</f>
        <v>8.85</v>
      </c>
      <c r="AD356" s="44">
        <f>VLOOKUP(AA356,'Federal Standards'!$N$9:$P$50,3,FALSE)</f>
        <v>317</v>
      </c>
      <c r="AE356" s="44">
        <f t="shared" si="73"/>
        <v>430.59860000000003</v>
      </c>
      <c r="AF356" s="283">
        <f t="shared" si="74"/>
        <v>0.59860000000003311</v>
      </c>
      <c r="AG356" s="291">
        <f t="shared" si="83"/>
        <v>1.3901577942892361E-3</v>
      </c>
      <c r="AH356" s="184" t="str">
        <f t="shared" si="75"/>
        <v>YES</v>
      </c>
      <c r="AJ356" s="9" t="str">
        <f t="shared" si="76"/>
        <v>NO</v>
      </c>
      <c r="AK356" s="9" t="str">
        <f t="shared" si="77"/>
        <v>NO</v>
      </c>
      <c r="AL356" s="9" t="str">
        <f t="shared" si="78"/>
        <v>NO</v>
      </c>
      <c r="AM356" s="9" t="str">
        <f t="shared" si="79"/>
        <v>NO</v>
      </c>
      <c r="AN356" s="9" t="str">
        <f t="shared" si="80"/>
        <v>Less than 10% better than Standard</v>
      </c>
      <c r="AO356" s="9" t="str">
        <f t="shared" si="81"/>
        <v>5_Less than 10% better than Standard</v>
      </c>
      <c r="AP356" s="9" t="str">
        <f t="shared" si="82"/>
        <v>5_NO</v>
      </c>
    </row>
    <row r="357" spans="1:42">
      <c r="A357">
        <v>83919</v>
      </c>
      <c r="B357" t="s">
        <v>4386</v>
      </c>
      <c r="C357" t="s">
        <v>1017</v>
      </c>
      <c r="D357" t="s">
        <v>4396</v>
      </c>
      <c r="E357" t="s">
        <v>4198</v>
      </c>
      <c r="F357" t="s">
        <v>162</v>
      </c>
      <c r="G357" t="s">
        <v>4105</v>
      </c>
      <c r="H357"/>
      <c r="I357" t="s">
        <v>4098</v>
      </c>
      <c r="J357"/>
      <c r="K357"/>
      <c r="L357"/>
      <c r="M357"/>
      <c r="N357" t="b">
        <v>0</v>
      </c>
      <c r="O357" t="s">
        <v>4099</v>
      </c>
      <c r="P357">
        <v>7.7</v>
      </c>
      <c r="Q357">
        <v>3.6</v>
      </c>
      <c r="R357">
        <v>11.3</v>
      </c>
      <c r="S357">
        <v>76</v>
      </c>
      <c r="T357">
        <v>24</v>
      </c>
      <c r="U357">
        <v>26</v>
      </c>
      <c r="V357">
        <v>440</v>
      </c>
      <c r="W357" s="281">
        <v>41766</v>
      </c>
      <c r="X357" s="282"/>
      <c r="Z357" s="9" t="b">
        <f t="shared" si="71"/>
        <v>0</v>
      </c>
      <c r="AA357" s="9" t="str">
        <f t="shared" ref="AA357:AA420" si="84">GetFridgeClass(E357,F357,G357,J357,Z357,L357,M357)</f>
        <v>5</v>
      </c>
      <c r="AB357" s="196">
        <f t="shared" si="72"/>
        <v>14.036000000000001</v>
      </c>
      <c r="AC357" s="9">
        <f>VLOOKUP(AA357,'Federal Standards'!$N$9:$P$50,2,FALSE)</f>
        <v>8.85</v>
      </c>
      <c r="AD357" s="44">
        <f>VLOOKUP(AA357,'Federal Standards'!$N$9:$P$50,3,FALSE)</f>
        <v>317</v>
      </c>
      <c r="AE357" s="44">
        <f t="shared" si="73"/>
        <v>441.21860000000004</v>
      </c>
      <c r="AF357" s="283">
        <f t="shared" si="74"/>
        <v>1.2186000000000377</v>
      </c>
      <c r="AG357" s="291">
        <f t="shared" si="83"/>
        <v>2.7618962573201528E-3</v>
      </c>
      <c r="AH357" s="184" t="str">
        <f t="shared" si="75"/>
        <v>YES</v>
      </c>
      <c r="AJ357" s="9" t="str">
        <f t="shared" si="76"/>
        <v>NO</v>
      </c>
      <c r="AK357" s="9" t="str">
        <f t="shared" si="77"/>
        <v>NO</v>
      </c>
      <c r="AL357" s="9" t="str">
        <f t="shared" si="78"/>
        <v>NO</v>
      </c>
      <c r="AM357" s="9" t="str">
        <f t="shared" si="79"/>
        <v>NO</v>
      </c>
      <c r="AN357" s="9" t="str">
        <f t="shared" si="80"/>
        <v>Less than 10% better than Standard</v>
      </c>
      <c r="AO357" s="9" t="str">
        <f t="shared" si="81"/>
        <v>5_Less than 10% better than Standard</v>
      </c>
      <c r="AP357" s="9" t="str">
        <f t="shared" si="82"/>
        <v>5_NO</v>
      </c>
    </row>
    <row r="358" spans="1:42">
      <c r="A358">
        <v>83995</v>
      </c>
      <c r="B358" t="s">
        <v>4386</v>
      </c>
      <c r="C358" t="s">
        <v>1017</v>
      </c>
      <c r="D358" t="s">
        <v>1020</v>
      </c>
      <c r="E358" t="s">
        <v>4109</v>
      </c>
      <c r="F358" t="s">
        <v>162</v>
      </c>
      <c r="G358" t="s">
        <v>4105</v>
      </c>
      <c r="H358" t="s">
        <v>4130</v>
      </c>
      <c r="I358" t="s">
        <v>4170</v>
      </c>
      <c r="J358" t="b">
        <v>0</v>
      </c>
      <c r="K358" t="b">
        <v>0</v>
      </c>
      <c r="L358" t="b">
        <v>1</v>
      </c>
      <c r="M358" t="b">
        <v>0</v>
      </c>
      <c r="N358" t="b">
        <v>0</v>
      </c>
      <c r="O358" t="s">
        <v>4099</v>
      </c>
      <c r="P358">
        <v>14.8</v>
      </c>
      <c r="Q358">
        <v>7.3</v>
      </c>
      <c r="R358">
        <v>22.1</v>
      </c>
      <c r="S358">
        <v>69</v>
      </c>
      <c r="T358">
        <v>30</v>
      </c>
      <c r="U358">
        <v>35</v>
      </c>
      <c r="V358">
        <v>505</v>
      </c>
      <c r="W358" s="281">
        <v>41781</v>
      </c>
      <c r="X358" s="282"/>
      <c r="Z358" s="9" t="b">
        <f t="shared" si="71"/>
        <v>0</v>
      </c>
      <c r="AA358" s="9" t="str">
        <f t="shared" si="84"/>
        <v>5I</v>
      </c>
      <c r="AB358" s="196">
        <f t="shared" si="72"/>
        <v>27.648</v>
      </c>
      <c r="AC358" s="9">
        <f>VLOOKUP(AA358,'Federal Standards'!$N$9:$P$50,2,FALSE)</f>
        <v>8.85</v>
      </c>
      <c r="AD358" s="44">
        <f>VLOOKUP(AA358,'Federal Standards'!$N$9:$P$50,3,FALSE)</f>
        <v>401</v>
      </c>
      <c r="AE358" s="44">
        <f t="shared" si="73"/>
        <v>645.6848</v>
      </c>
      <c r="AF358" s="283">
        <f t="shared" si="74"/>
        <v>140.6848</v>
      </c>
      <c r="AG358" s="291">
        <f t="shared" si="83"/>
        <v>0.21788463968797159</v>
      </c>
      <c r="AH358" s="184" t="str">
        <f t="shared" si="75"/>
        <v>YES</v>
      </c>
      <c r="AJ358" s="9" t="str">
        <f t="shared" si="76"/>
        <v>YES</v>
      </c>
      <c r="AK358" s="9" t="str">
        <f t="shared" si="77"/>
        <v>NO</v>
      </c>
      <c r="AL358" s="9" t="str">
        <f t="shared" si="78"/>
        <v>NO</v>
      </c>
      <c r="AM358" s="9" t="str">
        <f t="shared" si="79"/>
        <v>YES</v>
      </c>
      <c r="AN358" s="9" t="str">
        <f t="shared" si="80"/>
        <v>Tier 3 - 20%  or better than Standard</v>
      </c>
      <c r="AO358" s="9" t="str">
        <f t="shared" si="81"/>
        <v>5I_Tier 3 - 20%  or better than Standard</v>
      </c>
      <c r="AP358" s="9" t="str">
        <f t="shared" si="82"/>
        <v>5I_YES</v>
      </c>
    </row>
    <row r="359" spans="1:42">
      <c r="A359">
        <v>83918</v>
      </c>
      <c r="B359" t="s">
        <v>4386</v>
      </c>
      <c r="C359" t="s">
        <v>1017</v>
      </c>
      <c r="D359" t="s">
        <v>1028</v>
      </c>
      <c r="E359" t="s">
        <v>4198</v>
      </c>
      <c r="F359" t="s">
        <v>162</v>
      </c>
      <c r="G359" t="s">
        <v>4105</v>
      </c>
      <c r="H359"/>
      <c r="I359" t="s">
        <v>4098</v>
      </c>
      <c r="J359"/>
      <c r="K359"/>
      <c r="L359"/>
      <c r="M359"/>
      <c r="N359" t="b">
        <v>0</v>
      </c>
      <c r="O359" t="s">
        <v>4099</v>
      </c>
      <c r="P359">
        <v>14.7</v>
      </c>
      <c r="Q359">
        <v>6.2</v>
      </c>
      <c r="R359">
        <v>20.9</v>
      </c>
      <c r="S359">
        <v>70</v>
      </c>
      <c r="T359">
        <v>36</v>
      </c>
      <c r="U359">
        <v>31</v>
      </c>
      <c r="V359">
        <v>573</v>
      </c>
      <c r="W359" s="281">
        <v>41766</v>
      </c>
      <c r="X359" s="282"/>
      <c r="Z359" s="9" t="b">
        <f t="shared" si="71"/>
        <v>0</v>
      </c>
      <c r="AA359" s="9" t="str">
        <f t="shared" si="84"/>
        <v>5</v>
      </c>
      <c r="AB359" s="196">
        <f t="shared" si="72"/>
        <v>25.612000000000002</v>
      </c>
      <c r="AC359" s="9">
        <f>VLOOKUP(AA359,'Federal Standards'!$N$9:$P$50,2,FALSE)</f>
        <v>8.85</v>
      </c>
      <c r="AD359" s="44">
        <f>VLOOKUP(AA359,'Federal Standards'!$N$9:$P$50,3,FALSE)</f>
        <v>317</v>
      </c>
      <c r="AE359" s="44">
        <f t="shared" si="73"/>
        <v>543.6662</v>
      </c>
      <c r="AF359" s="283">
        <f t="shared" si="74"/>
        <v>-29.333799999999997</v>
      </c>
      <c r="AG359" s="291">
        <f t="shared" si="83"/>
        <v>-5.3955533744786774E-2</v>
      </c>
      <c r="AH359" s="184" t="str">
        <f t="shared" si="75"/>
        <v>NO</v>
      </c>
      <c r="AJ359" s="9" t="str">
        <f t="shared" si="76"/>
        <v>NO</v>
      </c>
      <c r="AK359" s="9" t="str">
        <f t="shared" si="77"/>
        <v>NO</v>
      </c>
      <c r="AL359" s="9" t="str">
        <f t="shared" si="78"/>
        <v>NO</v>
      </c>
      <c r="AM359" s="9" t="str">
        <f t="shared" si="79"/>
        <v>NO</v>
      </c>
      <c r="AN359" s="9" t="str">
        <f t="shared" si="80"/>
        <v>Doesn't meet Standard</v>
      </c>
      <c r="AO359" s="9" t="str">
        <f t="shared" si="81"/>
        <v>5_Doesn't meet Standard</v>
      </c>
      <c r="AP359" s="9" t="str">
        <f t="shared" si="82"/>
        <v>5_NO</v>
      </c>
    </row>
    <row r="360" spans="1:42">
      <c r="A360">
        <v>83029</v>
      </c>
      <c r="B360" t="s">
        <v>4386</v>
      </c>
      <c r="C360" t="s">
        <v>1017</v>
      </c>
      <c r="D360" t="s">
        <v>1032</v>
      </c>
      <c r="E360" t="s">
        <v>4198</v>
      </c>
      <c r="F360" t="s">
        <v>162</v>
      </c>
      <c r="G360" t="s">
        <v>4105</v>
      </c>
      <c r="H360"/>
      <c r="I360" t="s">
        <v>4106</v>
      </c>
      <c r="J360"/>
      <c r="K360"/>
      <c r="L360"/>
      <c r="M360"/>
      <c r="N360" t="b">
        <v>0</v>
      </c>
      <c r="O360" t="s">
        <v>4099</v>
      </c>
      <c r="P360">
        <v>16.100000000000001</v>
      </c>
      <c r="Q360">
        <v>7.5</v>
      </c>
      <c r="R360">
        <v>23.6</v>
      </c>
      <c r="S360">
        <v>70</v>
      </c>
      <c r="T360">
        <v>33</v>
      </c>
      <c r="U360">
        <v>36</v>
      </c>
      <c r="V360">
        <v>471</v>
      </c>
      <c r="W360" s="281">
        <v>41638</v>
      </c>
      <c r="X360" s="282"/>
      <c r="Z360" s="9" t="b">
        <f t="shared" si="71"/>
        <v>0</v>
      </c>
      <c r="AA360" s="9" t="str">
        <f t="shared" si="84"/>
        <v>5</v>
      </c>
      <c r="AB360" s="196">
        <f t="shared" si="72"/>
        <v>29.3</v>
      </c>
      <c r="AC360" s="9">
        <f>VLOOKUP(AA360,'Federal Standards'!$N$9:$P$50,2,FALSE)</f>
        <v>8.85</v>
      </c>
      <c r="AD360" s="44">
        <f>VLOOKUP(AA360,'Federal Standards'!$N$9:$P$50,3,FALSE)</f>
        <v>317</v>
      </c>
      <c r="AE360" s="44">
        <f t="shared" si="73"/>
        <v>576.30500000000006</v>
      </c>
      <c r="AF360" s="283">
        <f t="shared" si="74"/>
        <v>105.30500000000006</v>
      </c>
      <c r="AG360" s="291">
        <f t="shared" si="83"/>
        <v>0.18272442543444886</v>
      </c>
      <c r="AH360" s="184" t="str">
        <f t="shared" si="75"/>
        <v>YES</v>
      </c>
      <c r="AJ360" s="9" t="str">
        <f t="shared" si="76"/>
        <v>YES</v>
      </c>
      <c r="AK360" s="9" t="str">
        <f t="shared" si="77"/>
        <v>NO</v>
      </c>
      <c r="AL360" s="9" t="str">
        <f t="shared" si="78"/>
        <v>YES</v>
      </c>
      <c r="AM360" s="9" t="str">
        <f t="shared" si="79"/>
        <v>NO</v>
      </c>
      <c r="AN360" s="9" t="str">
        <f t="shared" si="80"/>
        <v>Tier 2 - 15% to 20% better than Standard</v>
      </c>
      <c r="AO360" s="9" t="str">
        <f t="shared" si="81"/>
        <v>5_Tier 2 - 15% to 20% better than Standard</v>
      </c>
      <c r="AP360" s="9" t="str">
        <f t="shared" si="82"/>
        <v>5_YES</v>
      </c>
    </row>
    <row r="361" spans="1:42">
      <c r="A361">
        <v>88463</v>
      </c>
      <c r="B361" t="s">
        <v>4386</v>
      </c>
      <c r="C361" t="s">
        <v>1017</v>
      </c>
      <c r="D361" t="s">
        <v>1038</v>
      </c>
      <c r="E361" t="s">
        <v>4109</v>
      </c>
      <c r="F361" t="s">
        <v>162</v>
      </c>
      <c r="G361" t="s">
        <v>4105</v>
      </c>
      <c r="H361"/>
      <c r="I361" t="s">
        <v>4170</v>
      </c>
      <c r="J361" t="b">
        <v>0</v>
      </c>
      <c r="K361" t="b">
        <v>0</v>
      </c>
      <c r="L361" t="b">
        <v>1</v>
      </c>
      <c r="M361" t="b">
        <v>0</v>
      </c>
      <c r="N361" t="b">
        <v>0</v>
      </c>
      <c r="O361" t="s">
        <v>4099</v>
      </c>
      <c r="P361">
        <v>18.8</v>
      </c>
      <c r="Q361">
        <v>9.1</v>
      </c>
      <c r="R361">
        <v>27.9</v>
      </c>
      <c r="S361">
        <v>70</v>
      </c>
      <c r="T361">
        <v>36</v>
      </c>
      <c r="U361">
        <v>36</v>
      </c>
      <c r="V361">
        <v>646</v>
      </c>
      <c r="W361" s="281">
        <v>41911</v>
      </c>
      <c r="X361" s="282"/>
      <c r="Z361" s="9" t="b">
        <f t="shared" si="71"/>
        <v>0</v>
      </c>
      <c r="AA361" s="9" t="str">
        <f t="shared" si="84"/>
        <v>5I</v>
      </c>
      <c r="AB361" s="196">
        <f t="shared" si="72"/>
        <v>34.816000000000003</v>
      </c>
      <c r="AC361" s="9">
        <f>VLOOKUP(AA361,'Federal Standards'!$N$9:$P$50,2,FALSE)</f>
        <v>8.85</v>
      </c>
      <c r="AD361" s="44">
        <f>VLOOKUP(AA361,'Federal Standards'!$N$9:$P$50,3,FALSE)</f>
        <v>401</v>
      </c>
      <c r="AE361" s="44">
        <f t="shared" si="73"/>
        <v>709.12159999999994</v>
      </c>
      <c r="AF361" s="283">
        <f t="shared" si="74"/>
        <v>63.121599999999944</v>
      </c>
      <c r="AG361" s="291">
        <f t="shared" si="83"/>
        <v>8.9013788326289811E-2</v>
      </c>
      <c r="AH361" s="184" t="str">
        <f t="shared" si="75"/>
        <v>YES</v>
      </c>
      <c r="AJ361" s="9" t="str">
        <f t="shared" si="76"/>
        <v>NO</v>
      </c>
      <c r="AK361" s="9" t="str">
        <f t="shared" si="77"/>
        <v>NO</v>
      </c>
      <c r="AL361" s="9" t="str">
        <f t="shared" si="78"/>
        <v>NO</v>
      </c>
      <c r="AM361" s="9" t="str">
        <f t="shared" si="79"/>
        <v>NO</v>
      </c>
      <c r="AN361" s="9" t="str">
        <f t="shared" si="80"/>
        <v>Less than 10% better than Standard</v>
      </c>
      <c r="AO361" s="9" t="str">
        <f t="shared" si="81"/>
        <v>5I_Less than 10% better than Standard</v>
      </c>
      <c r="AP361" s="9" t="str">
        <f t="shared" si="82"/>
        <v>5I_NO</v>
      </c>
    </row>
    <row r="362" spans="1:42">
      <c r="A362">
        <v>84940</v>
      </c>
      <c r="B362" t="s">
        <v>4386</v>
      </c>
      <c r="C362" t="s">
        <v>1017</v>
      </c>
      <c r="D362" t="s">
        <v>1044</v>
      </c>
      <c r="E362" t="s">
        <v>4109</v>
      </c>
      <c r="F362" t="s">
        <v>162</v>
      </c>
      <c r="G362" t="s">
        <v>4105</v>
      </c>
      <c r="H362"/>
      <c r="I362" t="s">
        <v>4170</v>
      </c>
      <c r="J362" t="b">
        <v>0</v>
      </c>
      <c r="K362" t="b">
        <v>0</v>
      </c>
      <c r="L362" t="b">
        <v>1</v>
      </c>
      <c r="M362" t="b">
        <v>1</v>
      </c>
      <c r="N362" t="b">
        <v>0</v>
      </c>
      <c r="O362" t="s">
        <v>4099</v>
      </c>
      <c r="P362">
        <v>13.7</v>
      </c>
      <c r="Q362">
        <v>6.1</v>
      </c>
      <c r="R362">
        <v>19.8</v>
      </c>
      <c r="S362">
        <v>70</v>
      </c>
      <c r="T362">
        <v>36</v>
      </c>
      <c r="U362">
        <v>31</v>
      </c>
      <c r="V362">
        <v>639</v>
      </c>
      <c r="W362" s="281">
        <v>41815</v>
      </c>
      <c r="X362" s="282"/>
      <c r="Z362" s="9" t="b">
        <f t="shared" si="71"/>
        <v>0</v>
      </c>
      <c r="AA362" s="9" t="str">
        <f t="shared" si="84"/>
        <v>5A</v>
      </c>
      <c r="AB362" s="196">
        <f t="shared" si="72"/>
        <v>24.436</v>
      </c>
      <c r="AC362" s="9">
        <f>VLOOKUP(AA362,'Federal Standards'!$N$9:$P$50,2,FALSE)</f>
        <v>9.25</v>
      </c>
      <c r="AD362" s="44">
        <f>VLOOKUP(AA362,'Federal Standards'!$N$9:$P$50,3,FALSE)</f>
        <v>475.4</v>
      </c>
      <c r="AE362" s="44">
        <f t="shared" si="73"/>
        <v>701.43299999999999</v>
      </c>
      <c r="AF362" s="283">
        <f t="shared" si="74"/>
        <v>62.432999999999993</v>
      </c>
      <c r="AG362" s="291">
        <f t="shared" si="83"/>
        <v>8.9007788341865859E-2</v>
      </c>
      <c r="AH362" s="184" t="str">
        <f t="shared" si="75"/>
        <v>YES</v>
      </c>
      <c r="AJ362" s="9" t="str">
        <f t="shared" si="76"/>
        <v>NO</v>
      </c>
      <c r="AK362" s="9" t="str">
        <f t="shared" si="77"/>
        <v>NO</v>
      </c>
      <c r="AL362" s="9" t="str">
        <f t="shared" si="78"/>
        <v>NO</v>
      </c>
      <c r="AM362" s="9" t="str">
        <f t="shared" si="79"/>
        <v>NO</v>
      </c>
      <c r="AN362" s="9" t="str">
        <f t="shared" si="80"/>
        <v>Less than 10% better than Standard</v>
      </c>
      <c r="AO362" s="9" t="str">
        <f t="shared" si="81"/>
        <v>5A_Less than 10% better than Standard</v>
      </c>
      <c r="AP362" s="9" t="str">
        <f t="shared" si="82"/>
        <v>5A_NO</v>
      </c>
    </row>
    <row r="363" spans="1:42">
      <c r="A363">
        <v>85215</v>
      </c>
      <c r="B363" t="s">
        <v>4386</v>
      </c>
      <c r="C363" t="s">
        <v>1017</v>
      </c>
      <c r="D363" t="s">
        <v>4397</v>
      </c>
      <c r="E363" t="s">
        <v>4109</v>
      </c>
      <c r="F363" t="s">
        <v>162</v>
      </c>
      <c r="G363" t="s">
        <v>4105</v>
      </c>
      <c r="H363"/>
      <c r="I363" t="s">
        <v>4170</v>
      </c>
      <c r="J363" t="b">
        <v>0</v>
      </c>
      <c r="K363" t="b">
        <v>0</v>
      </c>
      <c r="L363" t="b">
        <v>1</v>
      </c>
      <c r="M363" t="b">
        <v>1</v>
      </c>
      <c r="N363" t="b">
        <v>0</v>
      </c>
      <c r="O363" t="s">
        <v>4099</v>
      </c>
      <c r="P363">
        <v>16.399999999999999</v>
      </c>
      <c r="Q363">
        <v>7.7</v>
      </c>
      <c r="R363">
        <v>24.1</v>
      </c>
      <c r="S363">
        <v>70</v>
      </c>
      <c r="T363">
        <v>36</v>
      </c>
      <c r="U363">
        <v>35</v>
      </c>
      <c r="V363">
        <v>752</v>
      </c>
      <c r="W363" s="281">
        <v>41836</v>
      </c>
      <c r="X363" s="282"/>
      <c r="Z363" s="9" t="b">
        <f t="shared" si="71"/>
        <v>0</v>
      </c>
      <c r="AA363" s="9" t="str">
        <f t="shared" si="84"/>
        <v>5A</v>
      </c>
      <c r="AB363" s="196">
        <f t="shared" si="72"/>
        <v>29.951999999999998</v>
      </c>
      <c r="AC363" s="9">
        <f>VLOOKUP(AA363,'Federal Standards'!$N$9:$P$50,2,FALSE)</f>
        <v>9.25</v>
      </c>
      <c r="AD363" s="44">
        <f>VLOOKUP(AA363,'Federal Standards'!$N$9:$P$50,3,FALSE)</f>
        <v>475.4</v>
      </c>
      <c r="AE363" s="44">
        <f t="shared" si="73"/>
        <v>752.4559999999999</v>
      </c>
      <c r="AF363" s="283">
        <f t="shared" si="74"/>
        <v>0.45599999999990359</v>
      </c>
      <c r="AG363" s="291">
        <f t="shared" si="83"/>
        <v>6.0601550123848258E-4</v>
      </c>
      <c r="AH363" s="184" t="str">
        <f t="shared" si="75"/>
        <v>YES</v>
      </c>
      <c r="AJ363" s="9" t="str">
        <f t="shared" si="76"/>
        <v>NO</v>
      </c>
      <c r="AK363" s="9" t="str">
        <f t="shared" si="77"/>
        <v>NO</v>
      </c>
      <c r="AL363" s="9" t="str">
        <f t="shared" si="78"/>
        <v>NO</v>
      </c>
      <c r="AM363" s="9" t="str">
        <f t="shared" si="79"/>
        <v>NO</v>
      </c>
      <c r="AN363" s="9" t="str">
        <f t="shared" si="80"/>
        <v>Less than 10% better than Standard</v>
      </c>
      <c r="AO363" s="9" t="str">
        <f t="shared" si="81"/>
        <v>5A_Less than 10% better than Standard</v>
      </c>
      <c r="AP363" s="9" t="str">
        <f t="shared" si="82"/>
        <v>5A_NO</v>
      </c>
    </row>
    <row r="364" spans="1:42">
      <c r="A364">
        <v>83035</v>
      </c>
      <c r="B364" t="s">
        <v>4386</v>
      </c>
      <c r="C364" t="s">
        <v>1017</v>
      </c>
      <c r="D364" t="s">
        <v>1048</v>
      </c>
      <c r="E364" t="s">
        <v>4198</v>
      </c>
      <c r="F364" t="s">
        <v>162</v>
      </c>
      <c r="G364" t="s">
        <v>4105</v>
      </c>
      <c r="H364"/>
      <c r="I364" t="s">
        <v>4106</v>
      </c>
      <c r="J364"/>
      <c r="K364"/>
      <c r="L364"/>
      <c r="M364"/>
      <c r="N364" t="b">
        <v>0</v>
      </c>
      <c r="O364" t="s">
        <v>4099</v>
      </c>
      <c r="P364">
        <v>19.600000000000001</v>
      </c>
      <c r="Q364">
        <v>9.6</v>
      </c>
      <c r="R364">
        <v>29.2</v>
      </c>
      <c r="S364">
        <v>71</v>
      </c>
      <c r="T364">
        <v>36</v>
      </c>
      <c r="U364">
        <v>37</v>
      </c>
      <c r="V364">
        <v>457</v>
      </c>
      <c r="W364" s="281">
        <v>41641</v>
      </c>
      <c r="X364" s="282"/>
      <c r="Z364" s="9" t="b">
        <f t="shared" si="71"/>
        <v>0</v>
      </c>
      <c r="AA364" s="9" t="str">
        <f t="shared" si="84"/>
        <v>5</v>
      </c>
      <c r="AB364" s="196">
        <f t="shared" si="72"/>
        <v>36.496000000000002</v>
      </c>
      <c r="AC364" s="9">
        <f>VLOOKUP(AA364,'Federal Standards'!$N$9:$P$50,2,FALSE)</f>
        <v>8.85</v>
      </c>
      <c r="AD364" s="44">
        <f>VLOOKUP(AA364,'Federal Standards'!$N$9:$P$50,3,FALSE)</f>
        <v>317</v>
      </c>
      <c r="AE364" s="44">
        <f t="shared" si="73"/>
        <v>639.9896</v>
      </c>
      <c r="AF364" s="283">
        <f t="shared" si="74"/>
        <v>182.9896</v>
      </c>
      <c r="AG364" s="291">
        <f t="shared" si="83"/>
        <v>0.28592589629581483</v>
      </c>
      <c r="AH364" s="184" t="str">
        <f t="shared" si="75"/>
        <v>YES</v>
      </c>
      <c r="AJ364" s="9" t="str">
        <f t="shared" si="76"/>
        <v>YES</v>
      </c>
      <c r="AK364" s="9" t="str">
        <f t="shared" si="77"/>
        <v>NO</v>
      </c>
      <c r="AL364" s="9" t="str">
        <f t="shared" si="78"/>
        <v>NO</v>
      </c>
      <c r="AM364" s="9" t="str">
        <f t="shared" si="79"/>
        <v>YES</v>
      </c>
      <c r="AN364" s="9" t="str">
        <f t="shared" si="80"/>
        <v>Tier 3 - 20%  or better than Standard</v>
      </c>
      <c r="AO364" s="9" t="str">
        <f t="shared" si="81"/>
        <v>5_Tier 3 - 20%  or better than Standard</v>
      </c>
      <c r="AP364" s="9" t="str">
        <f t="shared" si="82"/>
        <v>5_YES</v>
      </c>
    </row>
    <row r="365" spans="1:42">
      <c r="A365">
        <v>86164</v>
      </c>
      <c r="B365" t="s">
        <v>4386</v>
      </c>
      <c r="C365" t="s">
        <v>1017</v>
      </c>
      <c r="D365" t="s">
        <v>1056</v>
      </c>
      <c r="E365" t="s">
        <v>4109</v>
      </c>
      <c r="F365" t="s">
        <v>162</v>
      </c>
      <c r="G365" t="s">
        <v>4105</v>
      </c>
      <c r="H365" t="s">
        <v>4130</v>
      </c>
      <c r="I365" t="s">
        <v>4170</v>
      </c>
      <c r="J365" t="b">
        <v>0</v>
      </c>
      <c r="K365" t="b">
        <v>0</v>
      </c>
      <c r="L365" t="b">
        <v>1</v>
      </c>
      <c r="M365" t="b">
        <v>1</v>
      </c>
      <c r="N365" t="b">
        <v>0</v>
      </c>
      <c r="O365" t="s">
        <v>4099</v>
      </c>
      <c r="P365">
        <v>16.399999999999999</v>
      </c>
      <c r="Q365">
        <v>8</v>
      </c>
      <c r="R365">
        <v>24.4</v>
      </c>
      <c r="S365">
        <v>70</v>
      </c>
      <c r="T365">
        <v>33</v>
      </c>
      <c r="U365">
        <v>36</v>
      </c>
      <c r="V365">
        <v>690</v>
      </c>
      <c r="W365" s="281">
        <v>41869</v>
      </c>
      <c r="X365" s="282"/>
      <c r="Z365" s="9" t="b">
        <f t="shared" si="71"/>
        <v>0</v>
      </c>
      <c r="AA365" s="9" t="str">
        <f t="shared" si="84"/>
        <v>5A</v>
      </c>
      <c r="AB365" s="196">
        <f t="shared" si="72"/>
        <v>30.479999999999997</v>
      </c>
      <c r="AC365" s="9">
        <f>VLOOKUP(AA365,'Federal Standards'!$N$9:$P$50,2,FALSE)</f>
        <v>9.25</v>
      </c>
      <c r="AD365" s="44">
        <f>VLOOKUP(AA365,'Federal Standards'!$N$9:$P$50,3,FALSE)</f>
        <v>475.4</v>
      </c>
      <c r="AE365" s="44">
        <f t="shared" si="73"/>
        <v>757.33999999999992</v>
      </c>
      <c r="AF365" s="283">
        <f t="shared" si="74"/>
        <v>67.339999999999918</v>
      </c>
      <c r="AG365" s="291">
        <f t="shared" si="83"/>
        <v>8.8916470805714645E-2</v>
      </c>
      <c r="AH365" s="184" t="str">
        <f t="shared" si="75"/>
        <v>YES</v>
      </c>
      <c r="AJ365" s="9" t="str">
        <f t="shared" si="76"/>
        <v>NO</v>
      </c>
      <c r="AK365" s="9" t="str">
        <f t="shared" si="77"/>
        <v>NO</v>
      </c>
      <c r="AL365" s="9" t="str">
        <f t="shared" si="78"/>
        <v>NO</v>
      </c>
      <c r="AM365" s="9" t="str">
        <f t="shared" si="79"/>
        <v>NO</v>
      </c>
      <c r="AN365" s="9" t="str">
        <f t="shared" si="80"/>
        <v>Less than 10% better than Standard</v>
      </c>
      <c r="AO365" s="9" t="str">
        <f t="shared" si="81"/>
        <v>5A_Less than 10% better than Standard</v>
      </c>
      <c r="AP365" s="9" t="str">
        <f t="shared" si="82"/>
        <v>5A_NO</v>
      </c>
    </row>
    <row r="366" spans="1:42">
      <c r="A366">
        <v>85740</v>
      </c>
      <c r="B366" t="s">
        <v>4386</v>
      </c>
      <c r="C366" t="s">
        <v>1017</v>
      </c>
      <c r="D366" t="s">
        <v>1060</v>
      </c>
      <c r="E366" t="s">
        <v>4109</v>
      </c>
      <c r="F366" t="s">
        <v>162</v>
      </c>
      <c r="G366" t="s">
        <v>4105</v>
      </c>
      <c r="H366"/>
      <c r="I366" t="s">
        <v>4170</v>
      </c>
      <c r="J366" t="b">
        <v>0</v>
      </c>
      <c r="K366" t="b">
        <v>0</v>
      </c>
      <c r="L366" t="b">
        <v>1</v>
      </c>
      <c r="M366" t="b">
        <v>1</v>
      </c>
      <c r="N366" t="b">
        <v>0</v>
      </c>
      <c r="O366" t="s">
        <v>4099</v>
      </c>
      <c r="P366">
        <v>18.8</v>
      </c>
      <c r="Q366">
        <v>9.9</v>
      </c>
      <c r="R366">
        <v>28.7</v>
      </c>
      <c r="S366">
        <v>71</v>
      </c>
      <c r="T366">
        <v>36</v>
      </c>
      <c r="U366">
        <v>37</v>
      </c>
      <c r="V366">
        <v>738</v>
      </c>
      <c r="W366" s="281">
        <v>41862</v>
      </c>
      <c r="X366" s="282"/>
      <c r="Z366" s="9" t="b">
        <f t="shared" si="71"/>
        <v>0</v>
      </c>
      <c r="AA366" s="9" t="str">
        <f t="shared" si="84"/>
        <v>5A</v>
      </c>
      <c r="AB366" s="196">
        <f t="shared" si="72"/>
        <v>36.224000000000004</v>
      </c>
      <c r="AC366" s="9">
        <f>VLOOKUP(AA366,'Federal Standards'!$N$9:$P$50,2,FALSE)</f>
        <v>9.25</v>
      </c>
      <c r="AD366" s="44">
        <f>VLOOKUP(AA366,'Federal Standards'!$N$9:$P$50,3,FALSE)</f>
        <v>475.4</v>
      </c>
      <c r="AE366" s="44">
        <f t="shared" si="73"/>
        <v>810.47199999999998</v>
      </c>
      <c r="AF366" s="283">
        <f t="shared" si="74"/>
        <v>72.47199999999998</v>
      </c>
      <c r="AG366" s="291">
        <f t="shared" si="83"/>
        <v>8.941949876121566E-2</v>
      </c>
      <c r="AH366" s="184" t="str">
        <f t="shared" si="75"/>
        <v>YES</v>
      </c>
      <c r="AJ366" s="9" t="str">
        <f t="shared" si="76"/>
        <v>NO</v>
      </c>
      <c r="AK366" s="9" t="str">
        <f t="shared" si="77"/>
        <v>NO</v>
      </c>
      <c r="AL366" s="9" t="str">
        <f t="shared" si="78"/>
        <v>NO</v>
      </c>
      <c r="AM366" s="9" t="str">
        <f t="shared" si="79"/>
        <v>NO</v>
      </c>
      <c r="AN366" s="9" t="str">
        <f t="shared" si="80"/>
        <v>Less than 10% better than Standard</v>
      </c>
      <c r="AO366" s="9" t="str">
        <f t="shared" si="81"/>
        <v>5A_Less than 10% better than Standard</v>
      </c>
      <c r="AP366" s="9" t="str">
        <f t="shared" si="82"/>
        <v>5A_NO</v>
      </c>
    </row>
    <row r="367" spans="1:42">
      <c r="A367">
        <v>85739</v>
      </c>
      <c r="B367" t="s">
        <v>4386</v>
      </c>
      <c r="C367" t="s">
        <v>1017</v>
      </c>
      <c r="D367" t="s">
        <v>1062</v>
      </c>
      <c r="E367" t="s">
        <v>4109</v>
      </c>
      <c r="F367" t="s">
        <v>162</v>
      </c>
      <c r="G367" t="s">
        <v>4105</v>
      </c>
      <c r="H367"/>
      <c r="I367" t="s">
        <v>4170</v>
      </c>
      <c r="J367" t="b">
        <v>0</v>
      </c>
      <c r="K367" t="b">
        <v>0</v>
      </c>
      <c r="L367" t="b">
        <v>1</v>
      </c>
      <c r="M367" t="b">
        <v>1</v>
      </c>
      <c r="N367" t="b">
        <v>0</v>
      </c>
      <c r="O367" t="s">
        <v>4099</v>
      </c>
      <c r="P367">
        <v>18.600000000000001</v>
      </c>
      <c r="Q367">
        <v>9.9</v>
      </c>
      <c r="R367">
        <v>28.5</v>
      </c>
      <c r="S367">
        <v>71</v>
      </c>
      <c r="T367">
        <v>36</v>
      </c>
      <c r="U367">
        <v>37</v>
      </c>
      <c r="V367">
        <v>736</v>
      </c>
      <c r="W367" s="281">
        <v>41862</v>
      </c>
      <c r="X367" s="282"/>
      <c r="Z367" s="9" t="b">
        <f t="shared" si="71"/>
        <v>0</v>
      </c>
      <c r="AA367" s="9" t="str">
        <f t="shared" si="84"/>
        <v>5A</v>
      </c>
      <c r="AB367" s="196">
        <f t="shared" si="72"/>
        <v>36.024000000000001</v>
      </c>
      <c r="AC367" s="9">
        <f>VLOOKUP(AA367,'Federal Standards'!$N$9:$P$50,2,FALSE)</f>
        <v>9.25</v>
      </c>
      <c r="AD367" s="44">
        <f>VLOOKUP(AA367,'Federal Standards'!$N$9:$P$50,3,FALSE)</f>
        <v>475.4</v>
      </c>
      <c r="AE367" s="44">
        <f t="shared" si="73"/>
        <v>808.62199999999996</v>
      </c>
      <c r="AF367" s="283">
        <f t="shared" si="74"/>
        <v>72.621999999999957</v>
      </c>
      <c r="AG367" s="291">
        <f t="shared" si="83"/>
        <v>8.9809577280855535E-2</v>
      </c>
      <c r="AH367" s="184" t="str">
        <f t="shared" si="75"/>
        <v>YES</v>
      </c>
      <c r="AJ367" s="9" t="str">
        <f t="shared" si="76"/>
        <v>NO</v>
      </c>
      <c r="AK367" s="9" t="str">
        <f t="shared" si="77"/>
        <v>NO</v>
      </c>
      <c r="AL367" s="9" t="str">
        <f t="shared" si="78"/>
        <v>NO</v>
      </c>
      <c r="AM367" s="9" t="str">
        <f t="shared" si="79"/>
        <v>NO</v>
      </c>
      <c r="AN367" s="9" t="str">
        <f t="shared" si="80"/>
        <v>Less than 10% better than Standard</v>
      </c>
      <c r="AO367" s="9" t="str">
        <f t="shared" si="81"/>
        <v>5A_Less than 10% better than Standard</v>
      </c>
      <c r="AP367" s="9" t="str">
        <f t="shared" si="82"/>
        <v>5A_NO</v>
      </c>
    </row>
    <row r="368" spans="1:42">
      <c r="A368">
        <v>85737</v>
      </c>
      <c r="B368" t="s">
        <v>4386</v>
      </c>
      <c r="C368" t="s">
        <v>1017</v>
      </c>
      <c r="D368" t="s">
        <v>1070</v>
      </c>
      <c r="E368" t="s">
        <v>4109</v>
      </c>
      <c r="F368" t="s">
        <v>162</v>
      </c>
      <c r="G368" t="s">
        <v>4105</v>
      </c>
      <c r="H368"/>
      <c r="I368" t="s">
        <v>4170</v>
      </c>
      <c r="J368" t="b">
        <v>0</v>
      </c>
      <c r="K368" t="b">
        <v>0</v>
      </c>
      <c r="L368" t="b">
        <v>1</v>
      </c>
      <c r="M368" t="b">
        <v>1</v>
      </c>
      <c r="N368" t="b">
        <v>0</v>
      </c>
      <c r="O368" t="s">
        <v>4099</v>
      </c>
      <c r="P368">
        <v>20.7</v>
      </c>
      <c r="Q368">
        <v>10.8</v>
      </c>
      <c r="R368">
        <v>31.5</v>
      </c>
      <c r="S368">
        <v>71</v>
      </c>
      <c r="T368">
        <v>36</v>
      </c>
      <c r="U368">
        <v>38</v>
      </c>
      <c r="V368">
        <v>767</v>
      </c>
      <c r="W368" s="281">
        <v>41862</v>
      </c>
      <c r="X368" s="282"/>
      <c r="Z368" s="9" t="b">
        <f t="shared" si="71"/>
        <v>0</v>
      </c>
      <c r="AA368" s="9" t="str">
        <f t="shared" si="84"/>
        <v>5A</v>
      </c>
      <c r="AB368" s="196">
        <f t="shared" si="72"/>
        <v>39.707999999999998</v>
      </c>
      <c r="AC368" s="9">
        <f>VLOOKUP(AA368,'Federal Standards'!$N$9:$P$50,2,FALSE)</f>
        <v>9.25</v>
      </c>
      <c r="AD368" s="44">
        <f>VLOOKUP(AA368,'Federal Standards'!$N$9:$P$50,3,FALSE)</f>
        <v>475.4</v>
      </c>
      <c r="AE368" s="44">
        <f t="shared" si="73"/>
        <v>842.69899999999996</v>
      </c>
      <c r="AF368" s="283">
        <f t="shared" si="74"/>
        <v>75.698999999999955</v>
      </c>
      <c r="AG368" s="291">
        <f t="shared" si="83"/>
        <v>8.982922728044053E-2</v>
      </c>
      <c r="AH368" s="184" t="str">
        <f t="shared" si="75"/>
        <v>YES</v>
      </c>
      <c r="AJ368" s="9" t="str">
        <f t="shared" si="76"/>
        <v>NO</v>
      </c>
      <c r="AK368" s="9" t="str">
        <f t="shared" si="77"/>
        <v>NO</v>
      </c>
      <c r="AL368" s="9" t="str">
        <f t="shared" si="78"/>
        <v>NO</v>
      </c>
      <c r="AM368" s="9" t="str">
        <f t="shared" si="79"/>
        <v>NO</v>
      </c>
      <c r="AN368" s="9" t="str">
        <f t="shared" si="80"/>
        <v>Less than 10% better than Standard</v>
      </c>
      <c r="AO368" s="9" t="str">
        <f t="shared" si="81"/>
        <v>5A_Less than 10% better than Standard</v>
      </c>
      <c r="AP368" s="9" t="str">
        <f t="shared" si="82"/>
        <v>5A_NO</v>
      </c>
    </row>
    <row r="369" spans="1:42">
      <c r="A369">
        <v>82824</v>
      </c>
      <c r="B369" t="s">
        <v>4386</v>
      </c>
      <c r="C369" t="s">
        <v>1017</v>
      </c>
      <c r="D369" t="s">
        <v>4398</v>
      </c>
      <c r="E369" t="s">
        <v>4216</v>
      </c>
      <c r="F369" t="s">
        <v>162</v>
      </c>
      <c r="G369" t="s">
        <v>4105</v>
      </c>
      <c r="H369"/>
      <c r="I369" t="s">
        <v>4106</v>
      </c>
      <c r="J369"/>
      <c r="K369"/>
      <c r="L369"/>
      <c r="M369"/>
      <c r="N369" t="b">
        <v>0</v>
      </c>
      <c r="O369" t="s">
        <v>4099</v>
      </c>
      <c r="P369">
        <v>20.3</v>
      </c>
      <c r="Q369">
        <v>9.6999999999999993</v>
      </c>
      <c r="R369">
        <v>30</v>
      </c>
      <c r="S369">
        <v>71</v>
      </c>
      <c r="T369">
        <v>36</v>
      </c>
      <c r="U369">
        <v>37</v>
      </c>
      <c r="V369">
        <v>575</v>
      </c>
      <c r="W369" s="281">
        <v>41523</v>
      </c>
      <c r="X369" s="282"/>
      <c r="Z369" s="9" t="b">
        <f t="shared" si="71"/>
        <v>0</v>
      </c>
      <c r="AA369" s="9" t="str">
        <f t="shared" si="84"/>
        <v>5A</v>
      </c>
      <c r="AB369" s="196">
        <f t="shared" si="72"/>
        <v>37.372</v>
      </c>
      <c r="AC369" s="9">
        <f>VLOOKUP(AA369,'Federal Standards'!$N$9:$P$50,2,FALSE)</f>
        <v>9.25</v>
      </c>
      <c r="AD369" s="44">
        <f>VLOOKUP(AA369,'Federal Standards'!$N$9:$P$50,3,FALSE)</f>
        <v>475.4</v>
      </c>
      <c r="AE369" s="44">
        <f t="shared" si="73"/>
        <v>821.09099999999989</v>
      </c>
      <c r="AF369" s="283">
        <f t="shared" si="74"/>
        <v>246.09099999999989</v>
      </c>
      <c r="AG369" s="291">
        <f t="shared" si="83"/>
        <v>0.29971221216649546</v>
      </c>
      <c r="AH369" s="184" t="str">
        <f t="shared" si="75"/>
        <v>YES</v>
      </c>
      <c r="AJ369" s="9" t="str">
        <f t="shared" si="76"/>
        <v>YES</v>
      </c>
      <c r="AK369" s="9" t="str">
        <f t="shared" si="77"/>
        <v>NO</v>
      </c>
      <c r="AL369" s="9" t="str">
        <f t="shared" si="78"/>
        <v>NO</v>
      </c>
      <c r="AM369" s="9" t="str">
        <f t="shared" si="79"/>
        <v>YES</v>
      </c>
      <c r="AN369" s="9" t="str">
        <f t="shared" si="80"/>
        <v>Tier 3 - 20%  or better than Standard</v>
      </c>
      <c r="AO369" s="9" t="str">
        <f t="shared" si="81"/>
        <v>5A_Tier 3 - 20%  or better than Standard</v>
      </c>
      <c r="AP369" s="9" t="str">
        <f t="shared" si="82"/>
        <v>5A_YES</v>
      </c>
    </row>
    <row r="370" spans="1:42">
      <c r="A370">
        <v>88466</v>
      </c>
      <c r="B370" t="s">
        <v>4386</v>
      </c>
      <c r="C370" t="s">
        <v>1017</v>
      </c>
      <c r="D370" t="s">
        <v>1072</v>
      </c>
      <c r="E370" t="s">
        <v>4109</v>
      </c>
      <c r="F370" t="s">
        <v>162</v>
      </c>
      <c r="G370" t="s">
        <v>4105</v>
      </c>
      <c r="H370"/>
      <c r="I370" t="s">
        <v>4170</v>
      </c>
      <c r="J370" t="b">
        <v>0</v>
      </c>
      <c r="K370" t="b">
        <v>0</v>
      </c>
      <c r="L370" t="b">
        <v>1</v>
      </c>
      <c r="M370" t="b">
        <v>1</v>
      </c>
      <c r="N370" t="b">
        <v>0</v>
      </c>
      <c r="O370" t="s">
        <v>4099</v>
      </c>
      <c r="P370">
        <v>16.3</v>
      </c>
      <c r="Q370">
        <v>6.4</v>
      </c>
      <c r="R370">
        <v>22.7</v>
      </c>
      <c r="S370">
        <v>71</v>
      </c>
      <c r="T370">
        <v>36</v>
      </c>
      <c r="U370">
        <v>32</v>
      </c>
      <c r="V370">
        <v>665</v>
      </c>
      <c r="W370" s="281">
        <v>41911</v>
      </c>
      <c r="X370" s="282"/>
      <c r="Z370" s="9" t="b">
        <f t="shared" si="71"/>
        <v>0</v>
      </c>
      <c r="AA370" s="9" t="str">
        <f t="shared" si="84"/>
        <v>5A</v>
      </c>
      <c r="AB370" s="196">
        <f t="shared" si="72"/>
        <v>27.564</v>
      </c>
      <c r="AC370" s="9">
        <f>VLOOKUP(AA370,'Federal Standards'!$N$9:$P$50,2,FALSE)</f>
        <v>9.25</v>
      </c>
      <c r="AD370" s="44">
        <f>VLOOKUP(AA370,'Federal Standards'!$N$9:$P$50,3,FALSE)</f>
        <v>475.4</v>
      </c>
      <c r="AE370" s="44">
        <f t="shared" si="73"/>
        <v>730.36699999999996</v>
      </c>
      <c r="AF370" s="283">
        <f t="shared" si="74"/>
        <v>65.366999999999962</v>
      </c>
      <c r="AG370" s="291">
        <f t="shared" si="83"/>
        <v>8.9498840993637391E-2</v>
      </c>
      <c r="AH370" s="184" t="str">
        <f t="shared" si="75"/>
        <v>YES</v>
      </c>
      <c r="AJ370" s="9" t="str">
        <f t="shared" si="76"/>
        <v>NO</v>
      </c>
      <c r="AK370" s="9" t="str">
        <f t="shared" si="77"/>
        <v>NO</v>
      </c>
      <c r="AL370" s="9" t="str">
        <f t="shared" si="78"/>
        <v>NO</v>
      </c>
      <c r="AM370" s="9" t="str">
        <f t="shared" si="79"/>
        <v>NO</v>
      </c>
      <c r="AN370" s="9" t="str">
        <f t="shared" si="80"/>
        <v>Less than 10% better than Standard</v>
      </c>
      <c r="AO370" s="9" t="str">
        <f t="shared" si="81"/>
        <v>5A_Less than 10% better than Standard</v>
      </c>
      <c r="AP370" s="9" t="str">
        <f t="shared" si="82"/>
        <v>5A_NO</v>
      </c>
    </row>
    <row r="371" spans="1:42">
      <c r="A371">
        <v>86167</v>
      </c>
      <c r="B371" t="s">
        <v>4386</v>
      </c>
      <c r="C371" t="s">
        <v>1017</v>
      </c>
      <c r="D371" t="s">
        <v>1074</v>
      </c>
      <c r="E371" t="s">
        <v>4109</v>
      </c>
      <c r="F371" t="s">
        <v>162</v>
      </c>
      <c r="G371" t="s">
        <v>4105</v>
      </c>
      <c r="H371"/>
      <c r="I371" t="s">
        <v>4170</v>
      </c>
      <c r="J371" t="b">
        <v>0</v>
      </c>
      <c r="K371" t="b">
        <v>0</v>
      </c>
      <c r="L371" t="b">
        <v>1</v>
      </c>
      <c r="M371" t="b">
        <v>1</v>
      </c>
      <c r="N371" t="b">
        <v>0</v>
      </c>
      <c r="O371" t="s">
        <v>4099</v>
      </c>
      <c r="P371">
        <v>17.899999999999999</v>
      </c>
      <c r="Q371">
        <v>8.8000000000000007</v>
      </c>
      <c r="R371">
        <v>26.7</v>
      </c>
      <c r="S371">
        <v>70</v>
      </c>
      <c r="T371">
        <v>36</v>
      </c>
      <c r="U371">
        <v>36</v>
      </c>
      <c r="V371">
        <v>714</v>
      </c>
      <c r="W371" s="281">
        <v>41869</v>
      </c>
      <c r="X371" s="282"/>
      <c r="Z371" s="9" t="b">
        <f t="shared" si="71"/>
        <v>0</v>
      </c>
      <c r="AA371" s="9" t="str">
        <f t="shared" si="84"/>
        <v>5A</v>
      </c>
      <c r="AB371" s="196">
        <f t="shared" si="72"/>
        <v>33.387999999999998</v>
      </c>
      <c r="AC371" s="9">
        <f>VLOOKUP(AA371,'Federal Standards'!$N$9:$P$50,2,FALSE)</f>
        <v>9.25</v>
      </c>
      <c r="AD371" s="44">
        <f>VLOOKUP(AA371,'Federal Standards'!$N$9:$P$50,3,FALSE)</f>
        <v>475.4</v>
      </c>
      <c r="AE371" s="44">
        <f t="shared" si="73"/>
        <v>784.23900000000003</v>
      </c>
      <c r="AF371" s="283">
        <f t="shared" si="74"/>
        <v>70.239000000000033</v>
      </c>
      <c r="AG371" s="291">
        <f t="shared" si="83"/>
        <v>8.9563258139419274E-2</v>
      </c>
      <c r="AH371" s="184" t="str">
        <f t="shared" si="75"/>
        <v>YES</v>
      </c>
      <c r="AJ371" s="9" t="str">
        <f t="shared" si="76"/>
        <v>NO</v>
      </c>
      <c r="AK371" s="9" t="str">
        <f t="shared" si="77"/>
        <v>NO</v>
      </c>
      <c r="AL371" s="9" t="str">
        <f t="shared" si="78"/>
        <v>NO</v>
      </c>
      <c r="AM371" s="9" t="str">
        <f t="shared" si="79"/>
        <v>NO</v>
      </c>
      <c r="AN371" s="9" t="str">
        <f t="shared" si="80"/>
        <v>Less than 10% better than Standard</v>
      </c>
      <c r="AO371" s="9" t="str">
        <f t="shared" si="81"/>
        <v>5A_Less than 10% better than Standard</v>
      </c>
      <c r="AP371" s="9" t="str">
        <f t="shared" si="82"/>
        <v>5A_NO</v>
      </c>
    </row>
    <row r="372" spans="1:42">
      <c r="A372">
        <v>87366</v>
      </c>
      <c r="B372" t="s">
        <v>4386</v>
      </c>
      <c r="C372" t="s">
        <v>1017</v>
      </c>
      <c r="D372" t="s">
        <v>4399</v>
      </c>
      <c r="E372" t="s">
        <v>4109</v>
      </c>
      <c r="F372" t="s">
        <v>162</v>
      </c>
      <c r="G372" t="s">
        <v>4105</v>
      </c>
      <c r="H372"/>
      <c r="I372" t="s">
        <v>4170</v>
      </c>
      <c r="J372" t="b">
        <v>0</v>
      </c>
      <c r="K372" t="b">
        <v>0</v>
      </c>
      <c r="L372" t="b">
        <v>1</v>
      </c>
      <c r="M372" t="b">
        <v>1</v>
      </c>
      <c r="N372" t="b">
        <v>0</v>
      </c>
      <c r="O372" t="s">
        <v>4099</v>
      </c>
      <c r="P372">
        <v>17.7</v>
      </c>
      <c r="Q372">
        <v>8.8000000000000007</v>
      </c>
      <c r="R372">
        <v>26.5</v>
      </c>
      <c r="S372">
        <v>70</v>
      </c>
      <c r="T372">
        <v>36</v>
      </c>
      <c r="U372">
        <v>36</v>
      </c>
      <c r="V372">
        <v>782</v>
      </c>
      <c r="W372" s="281">
        <v>41892</v>
      </c>
      <c r="X372" s="282"/>
      <c r="Z372" s="9" t="b">
        <f t="shared" si="71"/>
        <v>0</v>
      </c>
      <c r="AA372" s="9" t="str">
        <f t="shared" si="84"/>
        <v>5A</v>
      </c>
      <c r="AB372" s="196">
        <f t="shared" si="72"/>
        <v>33.188000000000002</v>
      </c>
      <c r="AC372" s="9">
        <f>VLOOKUP(AA372,'Federal Standards'!$N$9:$P$50,2,FALSE)</f>
        <v>9.25</v>
      </c>
      <c r="AD372" s="44">
        <f>VLOOKUP(AA372,'Federal Standards'!$N$9:$P$50,3,FALSE)</f>
        <v>475.4</v>
      </c>
      <c r="AE372" s="44">
        <f t="shared" si="73"/>
        <v>782.38900000000001</v>
      </c>
      <c r="AF372" s="283">
        <f t="shared" si="74"/>
        <v>0.38900000000001</v>
      </c>
      <c r="AG372" s="291">
        <f t="shared" si="83"/>
        <v>4.9719512927713704E-4</v>
      </c>
      <c r="AH372" s="184" t="str">
        <f t="shared" si="75"/>
        <v>YES</v>
      </c>
      <c r="AJ372" s="9" t="str">
        <f t="shared" si="76"/>
        <v>NO</v>
      </c>
      <c r="AK372" s="9" t="str">
        <f t="shared" si="77"/>
        <v>NO</v>
      </c>
      <c r="AL372" s="9" t="str">
        <f t="shared" si="78"/>
        <v>NO</v>
      </c>
      <c r="AM372" s="9" t="str">
        <f t="shared" si="79"/>
        <v>NO</v>
      </c>
      <c r="AN372" s="9" t="str">
        <f t="shared" si="80"/>
        <v>Less than 10% better than Standard</v>
      </c>
      <c r="AO372" s="9" t="str">
        <f t="shared" si="81"/>
        <v>5A_Less than 10% better than Standard</v>
      </c>
      <c r="AP372" s="9" t="str">
        <f t="shared" si="82"/>
        <v>5A_NO</v>
      </c>
    </row>
    <row r="373" spans="1:42">
      <c r="A373">
        <v>86165</v>
      </c>
      <c r="B373" t="s">
        <v>4386</v>
      </c>
      <c r="C373" t="s">
        <v>1017</v>
      </c>
      <c r="D373" t="s">
        <v>1084</v>
      </c>
      <c r="E373" t="s">
        <v>4108</v>
      </c>
      <c r="F373" t="s">
        <v>162</v>
      </c>
      <c r="G373" t="s">
        <v>4105</v>
      </c>
      <c r="H373" t="s">
        <v>4130</v>
      </c>
      <c r="I373" t="s">
        <v>4098</v>
      </c>
      <c r="J373" t="b">
        <v>0</v>
      </c>
      <c r="K373" t="b">
        <v>0</v>
      </c>
      <c r="L373" t="b">
        <v>1</v>
      </c>
      <c r="M373" t="b">
        <v>0</v>
      </c>
      <c r="N373" t="b">
        <v>0</v>
      </c>
      <c r="O373" t="s">
        <v>4099</v>
      </c>
      <c r="P373">
        <v>14.7</v>
      </c>
      <c r="Q373">
        <v>5.5</v>
      </c>
      <c r="R373">
        <v>24.38</v>
      </c>
      <c r="S373">
        <v>67</v>
      </c>
      <c r="T373">
        <v>30</v>
      </c>
      <c r="U373">
        <v>34</v>
      </c>
      <c r="V373">
        <v>471</v>
      </c>
      <c r="W373" s="281">
        <v>41869</v>
      </c>
      <c r="X373" s="282"/>
      <c r="Z373" s="9" t="b">
        <f t="shared" si="71"/>
        <v>0</v>
      </c>
      <c r="AA373" s="9" t="str">
        <f t="shared" si="84"/>
        <v>3I</v>
      </c>
      <c r="AB373" s="196">
        <f t="shared" si="72"/>
        <v>24.38</v>
      </c>
      <c r="AC373" s="9">
        <f>VLOOKUP(AA373,'Federal Standards'!$N$9:$P$50,2,FALSE)</f>
        <v>8.07</v>
      </c>
      <c r="AD373" s="44">
        <f>VLOOKUP(AA373,'Federal Standards'!$N$9:$P$50,3,FALSE)</f>
        <v>317.7</v>
      </c>
      <c r="AE373" s="44">
        <f t="shared" si="73"/>
        <v>514.44659999999999</v>
      </c>
      <c r="AF373" s="283">
        <f t="shared" si="74"/>
        <v>43.446599999999989</v>
      </c>
      <c r="AG373" s="291">
        <f t="shared" si="83"/>
        <v>8.4453080261391547E-2</v>
      </c>
      <c r="AH373" s="184" t="str">
        <f t="shared" si="75"/>
        <v>YES</v>
      </c>
      <c r="AJ373" s="9" t="str">
        <f t="shared" si="76"/>
        <v>NO</v>
      </c>
      <c r="AK373" s="9" t="str">
        <f t="shared" si="77"/>
        <v>NO</v>
      </c>
      <c r="AL373" s="9" t="str">
        <f t="shared" si="78"/>
        <v>NO</v>
      </c>
      <c r="AM373" s="9" t="str">
        <f t="shared" si="79"/>
        <v>NO</v>
      </c>
      <c r="AN373" s="9" t="str">
        <f t="shared" si="80"/>
        <v>Less than 10% better than Standard</v>
      </c>
      <c r="AO373" s="9" t="str">
        <f t="shared" si="81"/>
        <v>3I_Less than 10% better than Standard</v>
      </c>
      <c r="AP373" s="9" t="str">
        <f t="shared" si="82"/>
        <v>3I_NO</v>
      </c>
    </row>
    <row r="374" spans="1:42">
      <c r="A374">
        <v>86187</v>
      </c>
      <c r="B374" t="s">
        <v>4386</v>
      </c>
      <c r="C374" t="s">
        <v>1017</v>
      </c>
      <c r="D374" t="s">
        <v>1086</v>
      </c>
      <c r="E374" t="s">
        <v>4108</v>
      </c>
      <c r="F374" t="s">
        <v>162</v>
      </c>
      <c r="G374" t="s">
        <v>4105</v>
      </c>
      <c r="H374" t="s">
        <v>4130</v>
      </c>
      <c r="I374" t="s">
        <v>4098</v>
      </c>
      <c r="J374" t="b">
        <v>0</v>
      </c>
      <c r="K374" t="b">
        <v>0</v>
      </c>
      <c r="L374" t="b">
        <v>1</v>
      </c>
      <c r="M374" t="b">
        <v>0</v>
      </c>
      <c r="N374" t="b">
        <v>0</v>
      </c>
      <c r="O374" t="s">
        <v>4099</v>
      </c>
      <c r="P374">
        <v>17.600000000000001</v>
      </c>
      <c r="Q374">
        <v>6.2</v>
      </c>
      <c r="R374">
        <v>23.8</v>
      </c>
      <c r="S374">
        <v>69</v>
      </c>
      <c r="T374">
        <v>33</v>
      </c>
      <c r="U374">
        <v>34</v>
      </c>
      <c r="V374">
        <v>501</v>
      </c>
      <c r="W374" s="281">
        <v>41869</v>
      </c>
      <c r="X374" s="282"/>
      <c r="Z374" s="9" t="b">
        <f t="shared" si="71"/>
        <v>0</v>
      </c>
      <c r="AA374" s="9" t="str">
        <f t="shared" si="84"/>
        <v>3I</v>
      </c>
      <c r="AB374" s="196">
        <f t="shared" si="72"/>
        <v>28.512</v>
      </c>
      <c r="AC374" s="9">
        <f>VLOOKUP(AA374,'Federal Standards'!$N$9:$P$50,2,FALSE)</f>
        <v>8.07</v>
      </c>
      <c r="AD374" s="44">
        <f>VLOOKUP(AA374,'Federal Standards'!$N$9:$P$50,3,FALSE)</f>
        <v>317.7</v>
      </c>
      <c r="AE374" s="44">
        <f t="shared" si="73"/>
        <v>547.79183999999998</v>
      </c>
      <c r="AF374" s="283">
        <f t="shared" si="74"/>
        <v>46.791839999999979</v>
      </c>
      <c r="AG374" s="291">
        <f t="shared" si="83"/>
        <v>8.5419016099254022E-2</v>
      </c>
      <c r="AH374" s="184" t="str">
        <f t="shared" si="75"/>
        <v>YES</v>
      </c>
      <c r="AJ374" s="9" t="str">
        <f t="shared" si="76"/>
        <v>NO</v>
      </c>
      <c r="AK374" s="9" t="str">
        <f t="shared" si="77"/>
        <v>NO</v>
      </c>
      <c r="AL374" s="9" t="str">
        <f t="shared" si="78"/>
        <v>NO</v>
      </c>
      <c r="AM374" s="9" t="str">
        <f t="shared" si="79"/>
        <v>NO</v>
      </c>
      <c r="AN374" s="9" t="str">
        <f t="shared" si="80"/>
        <v>Less than 10% better than Standard</v>
      </c>
      <c r="AO374" s="9" t="str">
        <f t="shared" si="81"/>
        <v>3I_Less than 10% better than Standard</v>
      </c>
      <c r="AP374" s="9" t="str">
        <f t="shared" si="82"/>
        <v>3I_NO</v>
      </c>
    </row>
    <row r="375" spans="1:42">
      <c r="A375">
        <v>87367</v>
      </c>
      <c r="B375" t="s">
        <v>4386</v>
      </c>
      <c r="C375" t="s">
        <v>1017</v>
      </c>
      <c r="D375" t="s">
        <v>4400</v>
      </c>
      <c r="E375" t="s">
        <v>4108</v>
      </c>
      <c r="F375" t="s">
        <v>162</v>
      </c>
      <c r="G375" t="s">
        <v>4105</v>
      </c>
      <c r="H375" t="s">
        <v>4130</v>
      </c>
      <c r="I375" t="s">
        <v>4098</v>
      </c>
      <c r="J375" t="b">
        <v>0</v>
      </c>
      <c r="K375" t="b">
        <v>0</v>
      </c>
      <c r="L375" t="b">
        <v>0</v>
      </c>
      <c r="M375"/>
      <c r="N375" t="b">
        <v>0</v>
      </c>
      <c r="O375" t="s">
        <v>4099</v>
      </c>
      <c r="P375">
        <v>8.49</v>
      </c>
      <c r="Q375">
        <v>2.62</v>
      </c>
      <c r="R375">
        <v>11.1</v>
      </c>
      <c r="S375">
        <v>67</v>
      </c>
      <c r="T375">
        <v>24</v>
      </c>
      <c r="U375">
        <v>26</v>
      </c>
      <c r="V375">
        <v>339</v>
      </c>
      <c r="W375" s="281">
        <v>41892</v>
      </c>
      <c r="X375" s="282"/>
      <c r="Z375" s="9" t="b">
        <f t="shared" si="71"/>
        <v>0</v>
      </c>
      <c r="AA375" s="9" t="str">
        <f t="shared" si="84"/>
        <v>3</v>
      </c>
      <c r="AB375" s="196">
        <f t="shared" si="72"/>
        <v>13.1012</v>
      </c>
      <c r="AC375" s="9">
        <f>VLOOKUP(AA375,'Federal Standards'!$N$9:$P$50,2,FALSE)</f>
        <v>8.07</v>
      </c>
      <c r="AD375" s="44">
        <f>VLOOKUP(AA375,'Federal Standards'!$N$9:$P$50,3,FALSE)</f>
        <v>233.7</v>
      </c>
      <c r="AE375" s="44">
        <f t="shared" si="73"/>
        <v>339.42668400000002</v>
      </c>
      <c r="AF375" s="283">
        <f t="shared" si="74"/>
        <v>0.42668400000002293</v>
      </c>
      <c r="AG375" s="291">
        <f t="shared" si="83"/>
        <v>1.2570726466515016E-3</v>
      </c>
      <c r="AH375" s="184" t="str">
        <f t="shared" si="75"/>
        <v>YES</v>
      </c>
      <c r="AJ375" s="9" t="str">
        <f t="shared" si="76"/>
        <v>NO</v>
      </c>
      <c r="AK375" s="9" t="str">
        <f t="shared" si="77"/>
        <v>NO</v>
      </c>
      <c r="AL375" s="9" t="str">
        <f t="shared" si="78"/>
        <v>NO</v>
      </c>
      <c r="AM375" s="9" t="str">
        <f t="shared" si="79"/>
        <v>NO</v>
      </c>
      <c r="AN375" s="9" t="str">
        <f t="shared" si="80"/>
        <v>Less than 10% better than Standard</v>
      </c>
      <c r="AO375" s="9" t="str">
        <f t="shared" si="81"/>
        <v>3_Less than 10% better than Standard</v>
      </c>
      <c r="AP375" s="9" t="str">
        <f t="shared" si="82"/>
        <v>3_NO</v>
      </c>
    </row>
    <row r="376" spans="1:42">
      <c r="A376">
        <v>82848</v>
      </c>
      <c r="B376" t="s">
        <v>4401</v>
      </c>
      <c r="C376" t="s">
        <v>1088</v>
      </c>
      <c r="D376" t="s">
        <v>4402</v>
      </c>
      <c r="E376" t="s">
        <v>4198</v>
      </c>
      <c r="F376" t="s">
        <v>162</v>
      </c>
      <c r="G376" t="s">
        <v>4105</v>
      </c>
      <c r="H376"/>
      <c r="I376" t="s">
        <v>4199</v>
      </c>
      <c r="J376"/>
      <c r="K376"/>
      <c r="L376"/>
      <c r="M376"/>
      <c r="N376" t="b">
        <v>0</v>
      </c>
      <c r="O376" t="s">
        <v>4099</v>
      </c>
      <c r="P376">
        <v>13.49</v>
      </c>
      <c r="Q376">
        <v>6</v>
      </c>
      <c r="R376">
        <v>19.489999999999998</v>
      </c>
      <c r="S376">
        <v>81</v>
      </c>
      <c r="T376">
        <v>36</v>
      </c>
      <c r="U376">
        <v>25</v>
      </c>
      <c r="V376">
        <v>436</v>
      </c>
      <c r="W376" s="281">
        <v>41555</v>
      </c>
      <c r="X376" s="282"/>
      <c r="Z376" s="9" t="b">
        <f t="shared" si="71"/>
        <v>0</v>
      </c>
      <c r="AA376" s="9" t="str">
        <f t="shared" si="84"/>
        <v>5</v>
      </c>
      <c r="AB376" s="196">
        <f t="shared" si="72"/>
        <v>24.05</v>
      </c>
      <c r="AC376" s="9">
        <f>VLOOKUP(AA376,'Federal Standards'!$N$9:$P$50,2,FALSE)</f>
        <v>8.85</v>
      </c>
      <c r="AD376" s="44">
        <f>VLOOKUP(AA376,'Federal Standards'!$N$9:$P$50,3,FALSE)</f>
        <v>317</v>
      </c>
      <c r="AE376" s="44">
        <f t="shared" si="73"/>
        <v>529.84249999999997</v>
      </c>
      <c r="AF376" s="283">
        <f t="shared" si="74"/>
        <v>93.842499999999973</v>
      </c>
      <c r="AG376" s="291">
        <f t="shared" si="83"/>
        <v>0.17711395367491278</v>
      </c>
      <c r="AH376" s="184" t="str">
        <f t="shared" si="75"/>
        <v>YES</v>
      </c>
      <c r="AJ376" s="9" t="str">
        <f t="shared" si="76"/>
        <v>YES</v>
      </c>
      <c r="AK376" s="9" t="str">
        <f t="shared" si="77"/>
        <v>NO</v>
      </c>
      <c r="AL376" s="9" t="str">
        <f t="shared" si="78"/>
        <v>YES</v>
      </c>
      <c r="AM376" s="9" t="str">
        <f t="shared" si="79"/>
        <v>NO</v>
      </c>
      <c r="AN376" s="9" t="str">
        <f t="shared" si="80"/>
        <v>Tier 2 - 15% to 20% better than Standard</v>
      </c>
      <c r="AO376" s="9" t="str">
        <f t="shared" si="81"/>
        <v>5_Tier 2 - 15% to 20% better than Standard</v>
      </c>
      <c r="AP376" s="9" t="str">
        <f t="shared" si="82"/>
        <v>5_YES</v>
      </c>
    </row>
    <row r="377" spans="1:42">
      <c r="A377">
        <v>82847</v>
      </c>
      <c r="B377" t="s">
        <v>4401</v>
      </c>
      <c r="C377" t="s">
        <v>1088</v>
      </c>
      <c r="D377" t="s">
        <v>4403</v>
      </c>
      <c r="E377" t="s">
        <v>4198</v>
      </c>
      <c r="F377" t="s">
        <v>162</v>
      </c>
      <c r="G377" t="s">
        <v>4105</v>
      </c>
      <c r="H377"/>
      <c r="I377" t="s">
        <v>4106</v>
      </c>
      <c r="J377"/>
      <c r="K377"/>
      <c r="L377"/>
      <c r="M377"/>
      <c r="N377" t="b">
        <v>0</v>
      </c>
      <c r="O377" t="s">
        <v>4099</v>
      </c>
      <c r="P377">
        <v>8.16</v>
      </c>
      <c r="Q377">
        <v>3.32</v>
      </c>
      <c r="R377">
        <v>11.48</v>
      </c>
      <c r="S377">
        <v>72</v>
      </c>
      <c r="T377">
        <v>24</v>
      </c>
      <c r="U377">
        <v>25</v>
      </c>
      <c r="V377">
        <v>395</v>
      </c>
      <c r="W377" s="281">
        <v>41555</v>
      </c>
      <c r="X377" s="282"/>
      <c r="Z377" s="9" t="b">
        <f t="shared" si="71"/>
        <v>0</v>
      </c>
      <c r="AA377" s="9" t="str">
        <f t="shared" si="84"/>
        <v>5</v>
      </c>
      <c r="AB377" s="196">
        <f t="shared" si="72"/>
        <v>14.0032</v>
      </c>
      <c r="AC377" s="9">
        <f>VLOOKUP(AA377,'Federal Standards'!$N$9:$P$50,2,FALSE)</f>
        <v>8.85</v>
      </c>
      <c r="AD377" s="44">
        <f>VLOOKUP(AA377,'Federal Standards'!$N$9:$P$50,3,FALSE)</f>
        <v>317</v>
      </c>
      <c r="AE377" s="44">
        <f t="shared" si="73"/>
        <v>440.92831999999999</v>
      </c>
      <c r="AF377" s="283">
        <f t="shared" si="74"/>
        <v>45.928319999999985</v>
      </c>
      <c r="AG377" s="291">
        <f t="shared" si="83"/>
        <v>0.10416278092548011</v>
      </c>
      <c r="AH377" s="184" t="str">
        <f t="shared" si="75"/>
        <v>YES</v>
      </c>
      <c r="AJ377" s="9" t="str">
        <f t="shared" si="76"/>
        <v>YES</v>
      </c>
      <c r="AK377" s="9" t="str">
        <f t="shared" si="77"/>
        <v>YES</v>
      </c>
      <c r="AL377" s="9" t="str">
        <f t="shared" si="78"/>
        <v>NO</v>
      </c>
      <c r="AM377" s="9" t="str">
        <f t="shared" si="79"/>
        <v>NO</v>
      </c>
      <c r="AN377" s="9" t="str">
        <f t="shared" si="80"/>
        <v>Tier 1 - 10% to 15% better than Standard</v>
      </c>
      <c r="AO377" s="9" t="str">
        <f t="shared" si="81"/>
        <v>5_Tier 1 - 10% to 15% better than Standard</v>
      </c>
      <c r="AP377" s="9" t="str">
        <f t="shared" si="82"/>
        <v>5_YES</v>
      </c>
    </row>
    <row r="378" spans="1:42">
      <c r="A378">
        <v>82851</v>
      </c>
      <c r="B378" t="s">
        <v>4401</v>
      </c>
      <c r="C378" t="s">
        <v>1088</v>
      </c>
      <c r="D378" t="s">
        <v>4404</v>
      </c>
      <c r="E378" t="s">
        <v>4119</v>
      </c>
      <c r="F378" t="s">
        <v>162</v>
      </c>
      <c r="G378" t="s">
        <v>184</v>
      </c>
      <c r="H378"/>
      <c r="I378" t="s">
        <v>4106</v>
      </c>
      <c r="J378"/>
      <c r="K378"/>
      <c r="L378"/>
      <c r="M378"/>
      <c r="N378" t="b">
        <v>0</v>
      </c>
      <c r="O378" t="s">
        <v>4099</v>
      </c>
      <c r="P378">
        <v>17.829999999999998</v>
      </c>
      <c r="Q378"/>
      <c r="R378">
        <v>17.829999999999998</v>
      </c>
      <c r="S378">
        <v>76</v>
      </c>
      <c r="T378">
        <v>28</v>
      </c>
      <c r="U378">
        <v>30</v>
      </c>
      <c r="V378">
        <v>383</v>
      </c>
      <c r="W378" s="281">
        <v>41555</v>
      </c>
      <c r="X378" s="282"/>
      <c r="Z378" s="9" t="b">
        <f t="shared" si="71"/>
        <v>0</v>
      </c>
      <c r="AA378" s="9" t="str">
        <f t="shared" si="84"/>
        <v>[NOT FOUND]</v>
      </c>
      <c r="AB378" s="196">
        <f t="shared" si="72"/>
        <v>17.829999999999998</v>
      </c>
      <c r="AC378" s="9" t="e">
        <f>VLOOKUP(AA378,'Federal Standards'!$N$9:$P$50,2,FALSE)</f>
        <v>#N/A</v>
      </c>
      <c r="AD378" s="44" t="e">
        <f>VLOOKUP(AA378,'Federal Standards'!$N$9:$P$50,3,FALSE)</f>
        <v>#N/A</v>
      </c>
      <c r="AE378" s="44" t="e">
        <f t="shared" si="73"/>
        <v>#N/A</v>
      </c>
      <c r="AF378" s="283" t="e">
        <f t="shared" si="74"/>
        <v>#N/A</v>
      </c>
      <c r="AG378" s="291" t="e">
        <f t="shared" si="83"/>
        <v>#N/A</v>
      </c>
      <c r="AH378" s="184" t="e">
        <f t="shared" si="75"/>
        <v>#N/A</v>
      </c>
      <c r="AJ378" s="9" t="e">
        <f t="shared" si="76"/>
        <v>#N/A</v>
      </c>
      <c r="AK378" s="9" t="e">
        <f t="shared" si="77"/>
        <v>#N/A</v>
      </c>
      <c r="AL378" s="9" t="e">
        <f t="shared" si="78"/>
        <v>#N/A</v>
      </c>
      <c r="AM378" s="9" t="e">
        <f t="shared" si="79"/>
        <v>#N/A</v>
      </c>
      <c r="AN378" s="9" t="e">
        <f t="shared" si="80"/>
        <v>#N/A</v>
      </c>
      <c r="AO378" s="9" t="e">
        <f t="shared" si="81"/>
        <v>#N/A</v>
      </c>
      <c r="AP378" s="9" t="e">
        <f t="shared" si="82"/>
        <v>#N/A</v>
      </c>
    </row>
    <row r="379" spans="1:42">
      <c r="A379">
        <v>82903</v>
      </c>
      <c r="B379" t="s">
        <v>4401</v>
      </c>
      <c r="C379" t="s">
        <v>175</v>
      </c>
      <c r="D379" t="s">
        <v>4405</v>
      </c>
      <c r="E379" t="s">
        <v>4198</v>
      </c>
      <c r="F379" t="s">
        <v>162</v>
      </c>
      <c r="G379" t="s">
        <v>4105</v>
      </c>
      <c r="H379"/>
      <c r="I379" t="s">
        <v>4199</v>
      </c>
      <c r="J379"/>
      <c r="K379"/>
      <c r="L379"/>
      <c r="M379"/>
      <c r="N379" t="b">
        <v>0</v>
      </c>
      <c r="O379" t="s">
        <v>4099</v>
      </c>
      <c r="P379">
        <v>8.8000000000000007</v>
      </c>
      <c r="Q379">
        <v>4.3</v>
      </c>
      <c r="R379">
        <v>13.1</v>
      </c>
      <c r="S379">
        <v>80</v>
      </c>
      <c r="T379">
        <v>30</v>
      </c>
      <c r="U379">
        <v>24</v>
      </c>
      <c r="V379">
        <v>427</v>
      </c>
      <c r="W379" s="281">
        <v>41564</v>
      </c>
      <c r="X379" s="282"/>
      <c r="Z379" s="9" t="b">
        <f t="shared" si="71"/>
        <v>0</v>
      </c>
      <c r="AA379" s="9" t="str">
        <f t="shared" si="84"/>
        <v>5</v>
      </c>
      <c r="AB379" s="196">
        <f t="shared" si="72"/>
        <v>16.368000000000002</v>
      </c>
      <c r="AC379" s="9">
        <f>VLOOKUP(AA379,'Federal Standards'!$N$9:$P$50,2,FALSE)</f>
        <v>8.85</v>
      </c>
      <c r="AD379" s="44">
        <f>VLOOKUP(AA379,'Federal Standards'!$N$9:$P$50,3,FALSE)</f>
        <v>317</v>
      </c>
      <c r="AE379" s="44">
        <f t="shared" si="73"/>
        <v>461.85680000000002</v>
      </c>
      <c r="AF379" s="283">
        <f t="shared" si="74"/>
        <v>34.856800000000021</v>
      </c>
      <c r="AG379" s="291">
        <f t="shared" si="83"/>
        <v>7.5471011794131904E-2</v>
      </c>
      <c r="AH379" s="184" t="str">
        <f t="shared" si="75"/>
        <v>YES</v>
      </c>
      <c r="AJ379" s="9" t="str">
        <f t="shared" si="76"/>
        <v>NO</v>
      </c>
      <c r="AK379" s="9" t="str">
        <f t="shared" si="77"/>
        <v>NO</v>
      </c>
      <c r="AL379" s="9" t="str">
        <f t="shared" si="78"/>
        <v>NO</v>
      </c>
      <c r="AM379" s="9" t="str">
        <f t="shared" si="79"/>
        <v>NO</v>
      </c>
      <c r="AN379" s="9" t="str">
        <f t="shared" si="80"/>
        <v>Less than 10% better than Standard</v>
      </c>
      <c r="AO379" s="9" t="str">
        <f t="shared" si="81"/>
        <v>5_Less than 10% better than Standard</v>
      </c>
      <c r="AP379" s="9" t="str">
        <f t="shared" si="82"/>
        <v>5_NO</v>
      </c>
    </row>
    <row r="380" spans="1:42">
      <c r="A380">
        <v>88458</v>
      </c>
      <c r="B380" t="s">
        <v>4406</v>
      </c>
      <c r="C380" t="s">
        <v>586</v>
      </c>
      <c r="D380" t="s">
        <v>4407</v>
      </c>
      <c r="E380" t="s">
        <v>190</v>
      </c>
      <c r="F380" t="s">
        <v>188</v>
      </c>
      <c r="G380" t="s">
        <v>189</v>
      </c>
      <c r="H380"/>
      <c r="I380" t="s">
        <v>4098</v>
      </c>
      <c r="J380" t="b">
        <v>0</v>
      </c>
      <c r="K380" t="b">
        <v>1</v>
      </c>
      <c r="L380"/>
      <c r="M380"/>
      <c r="N380" t="b">
        <v>0</v>
      </c>
      <c r="O380" t="s">
        <v>4099</v>
      </c>
      <c r="P380"/>
      <c r="Q380">
        <v>3.5</v>
      </c>
      <c r="R380">
        <v>3.5</v>
      </c>
      <c r="S380">
        <v>33</v>
      </c>
      <c r="T380">
        <v>22</v>
      </c>
      <c r="U380">
        <v>22</v>
      </c>
      <c r="V380">
        <v>193</v>
      </c>
      <c r="W380" s="281">
        <v>41911</v>
      </c>
      <c r="X380" s="282"/>
      <c r="Z380" s="9" t="b">
        <f t="shared" si="71"/>
        <v>1</v>
      </c>
      <c r="AA380" s="9" t="str">
        <f t="shared" si="84"/>
        <v>18</v>
      </c>
      <c r="AB380" s="196">
        <f t="shared" si="72"/>
        <v>6.16</v>
      </c>
      <c r="AC380" s="9">
        <f>VLOOKUP(AA380,'Federal Standards'!$N$9:$P$50,2,FALSE)</f>
        <v>9.25</v>
      </c>
      <c r="AD380" s="44">
        <f>VLOOKUP(AA380,'Federal Standards'!$N$9:$P$50,3,FALSE)</f>
        <v>136.80000000000001</v>
      </c>
      <c r="AE380" s="44">
        <f t="shared" si="73"/>
        <v>193.78000000000003</v>
      </c>
      <c r="AF380" s="283">
        <f t="shared" si="74"/>
        <v>0.78000000000002956</v>
      </c>
      <c r="AG380" s="291">
        <f t="shared" si="83"/>
        <v>4.0251831974405482E-3</v>
      </c>
      <c r="AH380" s="184" t="str">
        <f t="shared" si="75"/>
        <v>YES</v>
      </c>
      <c r="AJ380" s="9" t="str">
        <f t="shared" si="76"/>
        <v>NO</v>
      </c>
      <c r="AK380" s="9" t="str">
        <f t="shared" si="77"/>
        <v>NO</v>
      </c>
      <c r="AL380" s="9" t="str">
        <f t="shared" si="78"/>
        <v>NO</v>
      </c>
      <c r="AM380" s="9" t="str">
        <f t="shared" si="79"/>
        <v>NO</v>
      </c>
      <c r="AN380" s="9" t="str">
        <f t="shared" si="80"/>
        <v>Less than 10% better than Standard</v>
      </c>
      <c r="AO380" s="9" t="str">
        <f t="shared" si="81"/>
        <v>18_Less than 10% better than Standard</v>
      </c>
      <c r="AP380" s="9" t="str">
        <f t="shared" si="82"/>
        <v>18_NO</v>
      </c>
    </row>
    <row r="381" spans="1:42">
      <c r="A381">
        <v>88459</v>
      </c>
      <c r="B381" t="s">
        <v>4406</v>
      </c>
      <c r="C381" t="s">
        <v>586</v>
      </c>
      <c r="D381" t="s">
        <v>4408</v>
      </c>
      <c r="E381" t="s">
        <v>190</v>
      </c>
      <c r="F381" t="s">
        <v>188</v>
      </c>
      <c r="G381" t="s">
        <v>189</v>
      </c>
      <c r="H381"/>
      <c r="I381" t="s">
        <v>4098</v>
      </c>
      <c r="J381" t="b">
        <v>0</v>
      </c>
      <c r="K381" t="b">
        <v>1</v>
      </c>
      <c r="L381"/>
      <c r="M381"/>
      <c r="N381" t="b">
        <v>0</v>
      </c>
      <c r="O381" t="s">
        <v>4099</v>
      </c>
      <c r="P381"/>
      <c r="Q381">
        <v>5.2</v>
      </c>
      <c r="R381">
        <v>5.2</v>
      </c>
      <c r="S381">
        <v>33</v>
      </c>
      <c r="T381">
        <v>29</v>
      </c>
      <c r="U381">
        <v>22</v>
      </c>
      <c r="V381">
        <v>221</v>
      </c>
      <c r="W381" s="281">
        <v>41911</v>
      </c>
      <c r="X381" s="282"/>
      <c r="Z381" s="9" t="b">
        <f t="shared" si="71"/>
        <v>1</v>
      </c>
      <c r="AA381" s="9" t="str">
        <f t="shared" si="84"/>
        <v>18</v>
      </c>
      <c r="AB381" s="196">
        <f t="shared" si="72"/>
        <v>9.152000000000001</v>
      </c>
      <c r="AC381" s="9">
        <f>VLOOKUP(AA381,'Federal Standards'!$N$9:$P$50,2,FALSE)</f>
        <v>9.25</v>
      </c>
      <c r="AD381" s="44">
        <f>VLOOKUP(AA381,'Federal Standards'!$N$9:$P$50,3,FALSE)</f>
        <v>136.80000000000001</v>
      </c>
      <c r="AE381" s="44">
        <f t="shared" si="73"/>
        <v>221.45600000000002</v>
      </c>
      <c r="AF381" s="283">
        <f t="shared" si="74"/>
        <v>0.45600000000001728</v>
      </c>
      <c r="AG381" s="291">
        <f t="shared" si="83"/>
        <v>2.0590997760278214E-3</v>
      </c>
      <c r="AH381" s="184" t="str">
        <f t="shared" si="75"/>
        <v>YES</v>
      </c>
      <c r="AJ381" s="9" t="str">
        <f t="shared" si="76"/>
        <v>NO</v>
      </c>
      <c r="AK381" s="9" t="str">
        <f t="shared" si="77"/>
        <v>NO</v>
      </c>
      <c r="AL381" s="9" t="str">
        <f t="shared" si="78"/>
        <v>NO</v>
      </c>
      <c r="AM381" s="9" t="str">
        <f t="shared" si="79"/>
        <v>NO</v>
      </c>
      <c r="AN381" s="9" t="str">
        <f t="shared" si="80"/>
        <v>Less than 10% better than Standard</v>
      </c>
      <c r="AO381" s="9" t="str">
        <f t="shared" si="81"/>
        <v>18_Less than 10% better than Standard</v>
      </c>
      <c r="AP381" s="9" t="str">
        <f t="shared" si="82"/>
        <v>18_NO</v>
      </c>
    </row>
    <row r="382" spans="1:42">
      <c r="A382">
        <v>88460</v>
      </c>
      <c r="B382" t="s">
        <v>4406</v>
      </c>
      <c r="C382" t="s">
        <v>586</v>
      </c>
      <c r="D382" t="s">
        <v>4409</v>
      </c>
      <c r="E382" t="s">
        <v>190</v>
      </c>
      <c r="F382" t="s">
        <v>188</v>
      </c>
      <c r="G382" t="s">
        <v>189</v>
      </c>
      <c r="H382"/>
      <c r="I382" t="s">
        <v>4098</v>
      </c>
      <c r="J382" t="b">
        <v>0</v>
      </c>
      <c r="K382" t="b">
        <v>1</v>
      </c>
      <c r="L382"/>
      <c r="M382"/>
      <c r="N382" t="b">
        <v>0</v>
      </c>
      <c r="O382" t="s">
        <v>4099</v>
      </c>
      <c r="P382"/>
      <c r="Q382">
        <v>6.9</v>
      </c>
      <c r="R382">
        <v>6.9</v>
      </c>
      <c r="S382">
        <v>33</v>
      </c>
      <c r="T382">
        <v>39</v>
      </c>
      <c r="U382">
        <v>22</v>
      </c>
      <c r="V382">
        <v>249</v>
      </c>
      <c r="W382" s="281">
        <v>41911</v>
      </c>
      <c r="X382" s="282"/>
      <c r="Z382" s="9" t="b">
        <f t="shared" si="71"/>
        <v>1</v>
      </c>
      <c r="AA382" s="9" t="str">
        <f t="shared" si="84"/>
        <v>18</v>
      </c>
      <c r="AB382" s="196">
        <f t="shared" si="72"/>
        <v>12.144</v>
      </c>
      <c r="AC382" s="9">
        <f>VLOOKUP(AA382,'Federal Standards'!$N$9:$P$50,2,FALSE)</f>
        <v>9.25</v>
      </c>
      <c r="AD382" s="44">
        <f>VLOOKUP(AA382,'Federal Standards'!$N$9:$P$50,3,FALSE)</f>
        <v>136.80000000000001</v>
      </c>
      <c r="AE382" s="44">
        <f t="shared" si="73"/>
        <v>249.13200000000001</v>
      </c>
      <c r="AF382" s="283">
        <f t="shared" si="74"/>
        <v>0.132000000000005</v>
      </c>
      <c r="AG382" s="291">
        <f t="shared" si="83"/>
        <v>5.2983960310199005E-4</v>
      </c>
      <c r="AH382" s="184" t="str">
        <f t="shared" si="75"/>
        <v>YES</v>
      </c>
      <c r="AJ382" s="9" t="str">
        <f t="shared" si="76"/>
        <v>NO</v>
      </c>
      <c r="AK382" s="9" t="str">
        <f t="shared" si="77"/>
        <v>NO</v>
      </c>
      <c r="AL382" s="9" t="str">
        <f t="shared" si="78"/>
        <v>NO</v>
      </c>
      <c r="AM382" s="9" t="str">
        <f t="shared" si="79"/>
        <v>NO</v>
      </c>
      <c r="AN382" s="9" t="str">
        <f t="shared" si="80"/>
        <v>Less than 10% better than Standard</v>
      </c>
      <c r="AO382" s="9" t="str">
        <f t="shared" si="81"/>
        <v>18_Less than 10% better than Standard</v>
      </c>
      <c r="AP382" s="9" t="str">
        <f t="shared" si="82"/>
        <v>18_NO</v>
      </c>
    </row>
    <row r="383" spans="1:42">
      <c r="A383">
        <v>83045</v>
      </c>
      <c r="B383" t="s">
        <v>4406</v>
      </c>
      <c r="C383" t="s">
        <v>586</v>
      </c>
      <c r="D383" t="s">
        <v>4410</v>
      </c>
      <c r="E383" t="s">
        <v>4115</v>
      </c>
      <c r="F383" t="s">
        <v>188</v>
      </c>
      <c r="G383" t="s">
        <v>184</v>
      </c>
      <c r="H383"/>
      <c r="I383" t="s">
        <v>4106</v>
      </c>
      <c r="J383"/>
      <c r="K383"/>
      <c r="L383"/>
      <c r="M383"/>
      <c r="N383" t="b">
        <v>0</v>
      </c>
      <c r="O383" t="s">
        <v>4099</v>
      </c>
      <c r="P383">
        <v>3.78</v>
      </c>
      <c r="Q383">
        <v>0.26</v>
      </c>
      <c r="R383">
        <v>4.04</v>
      </c>
      <c r="S383">
        <v>33</v>
      </c>
      <c r="T383">
        <v>19</v>
      </c>
      <c r="U383">
        <v>21</v>
      </c>
      <c r="V383">
        <v>249</v>
      </c>
      <c r="W383" s="281">
        <v>41655</v>
      </c>
      <c r="X383" s="282"/>
      <c r="Z383" s="9" t="b">
        <f t="shared" si="71"/>
        <v>1</v>
      </c>
      <c r="AA383" s="9" t="str">
        <f t="shared" si="84"/>
        <v>11A</v>
      </c>
      <c r="AB383" s="196">
        <f>IF(OR(E383="Internal Freezer",E383 = "Single Door"),P383 + Q383*1.47,P383 + Q383*1.76)</f>
        <v>4.1621999999999995</v>
      </c>
      <c r="AC383" s="9">
        <f>VLOOKUP(AA383,'Federal Standards'!$N$9:$P$50,2,FALSE)</f>
        <v>7.84</v>
      </c>
      <c r="AD383" s="44">
        <f>VLOOKUP(AA383,'Federal Standards'!$N$9:$P$50,3,FALSE)</f>
        <v>219.1</v>
      </c>
      <c r="AE383" s="44">
        <f t="shared" si="73"/>
        <v>251.73164800000001</v>
      </c>
      <c r="AF383" s="283">
        <f t="shared" si="74"/>
        <v>2.731648000000007</v>
      </c>
      <c r="AG383" s="291">
        <f t="shared" si="83"/>
        <v>1.0851428581598158E-2</v>
      </c>
      <c r="AH383" s="184" t="str">
        <f t="shared" si="75"/>
        <v>YES</v>
      </c>
      <c r="AJ383" s="9" t="str">
        <f t="shared" si="76"/>
        <v>NO</v>
      </c>
      <c r="AK383" s="9" t="str">
        <f t="shared" si="77"/>
        <v>NO</v>
      </c>
      <c r="AL383" s="9" t="str">
        <f t="shared" si="78"/>
        <v>NO</v>
      </c>
      <c r="AM383" s="9" t="str">
        <f t="shared" si="79"/>
        <v>NO</v>
      </c>
      <c r="AN383" s="9" t="str">
        <f t="shared" si="80"/>
        <v>Less than 10% better than Standard</v>
      </c>
      <c r="AO383" s="9" t="str">
        <f t="shared" si="81"/>
        <v>11A_Less than 10% better than Standard</v>
      </c>
      <c r="AP383" s="9" t="str">
        <f t="shared" si="82"/>
        <v>11A_NO</v>
      </c>
    </row>
    <row r="384" spans="1:42">
      <c r="A384">
        <v>88457</v>
      </c>
      <c r="B384" t="s">
        <v>4406</v>
      </c>
      <c r="C384" t="s">
        <v>586</v>
      </c>
      <c r="D384" t="s">
        <v>4411</v>
      </c>
      <c r="E384" t="s">
        <v>4108</v>
      </c>
      <c r="F384" t="s">
        <v>4111</v>
      </c>
      <c r="G384" t="s">
        <v>4105</v>
      </c>
      <c r="H384"/>
      <c r="I384" t="s">
        <v>4098</v>
      </c>
      <c r="J384" t="b">
        <v>0</v>
      </c>
      <c r="K384" t="b">
        <v>1</v>
      </c>
      <c r="L384" t="b">
        <v>0</v>
      </c>
      <c r="M384"/>
      <c r="N384" t="b">
        <v>0</v>
      </c>
      <c r="O384" t="s">
        <v>4099</v>
      </c>
      <c r="P384">
        <v>2.2400000000000002</v>
      </c>
      <c r="Q384">
        <v>0.93</v>
      </c>
      <c r="R384">
        <v>3.17</v>
      </c>
      <c r="S384">
        <v>34</v>
      </c>
      <c r="T384">
        <v>19</v>
      </c>
      <c r="U384">
        <v>20</v>
      </c>
      <c r="V384">
        <v>358</v>
      </c>
      <c r="W384" s="281">
        <v>41911</v>
      </c>
      <c r="X384" s="282"/>
      <c r="Z384" s="9" t="b">
        <f t="shared" si="71"/>
        <v>1</v>
      </c>
      <c r="AA384" s="9" t="str">
        <f t="shared" si="84"/>
        <v>12</v>
      </c>
      <c r="AB384" s="196">
        <f t="shared" si="72"/>
        <v>3.8768000000000002</v>
      </c>
      <c r="AC384" s="9">
        <f>VLOOKUP(AA384,'Federal Standards'!$N$9:$P$50,2,FALSE)</f>
        <v>5.91</v>
      </c>
      <c r="AD384" s="44">
        <f>VLOOKUP(AA384,'Federal Standards'!$N$9:$P$50,3,FALSE)</f>
        <v>335.8</v>
      </c>
      <c r="AE384" s="44">
        <f t="shared" si="73"/>
        <v>358.71188799999999</v>
      </c>
      <c r="AF384" s="283">
        <f t="shared" si="74"/>
        <v>0.71188799999998764</v>
      </c>
      <c r="AG384" s="291">
        <f t="shared" si="83"/>
        <v>1.9845676260386099E-3</v>
      </c>
      <c r="AH384" s="184" t="str">
        <f t="shared" si="75"/>
        <v>YES</v>
      </c>
      <c r="AJ384" s="9" t="str">
        <f t="shared" si="76"/>
        <v>NO</v>
      </c>
      <c r="AK384" s="9" t="str">
        <f t="shared" si="77"/>
        <v>NO</v>
      </c>
      <c r="AL384" s="9" t="str">
        <f t="shared" si="78"/>
        <v>NO</v>
      </c>
      <c r="AM384" s="9" t="str">
        <f t="shared" si="79"/>
        <v>NO</v>
      </c>
      <c r="AN384" s="9" t="str">
        <f t="shared" si="80"/>
        <v>Less than 10% better than Standard</v>
      </c>
      <c r="AO384" s="9" t="str">
        <f t="shared" si="81"/>
        <v>12_Less than 10% better than Standard</v>
      </c>
      <c r="AP384" s="9" t="str">
        <f t="shared" si="82"/>
        <v>12_NO</v>
      </c>
    </row>
    <row r="385" spans="1:42">
      <c r="A385">
        <v>85200</v>
      </c>
      <c r="B385" t="s">
        <v>4406</v>
      </c>
      <c r="C385" t="s">
        <v>1114</v>
      </c>
      <c r="D385" t="s">
        <v>1115</v>
      </c>
      <c r="E385" t="s">
        <v>4115</v>
      </c>
      <c r="F385" t="s">
        <v>188</v>
      </c>
      <c r="G385" t="s">
        <v>184</v>
      </c>
      <c r="H385"/>
      <c r="I385" t="s">
        <v>4106</v>
      </c>
      <c r="J385"/>
      <c r="K385"/>
      <c r="L385"/>
      <c r="M385"/>
      <c r="N385" t="b">
        <v>0</v>
      </c>
      <c r="O385" t="s">
        <v>4099</v>
      </c>
      <c r="P385">
        <v>2.34</v>
      </c>
      <c r="Q385">
        <v>0.22</v>
      </c>
      <c r="R385">
        <v>2.56</v>
      </c>
      <c r="S385">
        <v>25</v>
      </c>
      <c r="T385">
        <v>18</v>
      </c>
      <c r="U385">
        <v>19</v>
      </c>
      <c r="V385">
        <v>215</v>
      </c>
      <c r="W385" s="281">
        <v>41835</v>
      </c>
      <c r="X385" s="282"/>
      <c r="Z385" s="9" t="b">
        <f t="shared" si="71"/>
        <v>1</v>
      </c>
      <c r="AA385" s="9" t="str">
        <f t="shared" si="84"/>
        <v>11A</v>
      </c>
      <c r="AB385" s="196">
        <f t="shared" si="72"/>
        <v>2.6633999999999998</v>
      </c>
      <c r="AC385" s="9">
        <f>VLOOKUP(AA385,'Federal Standards'!$N$9:$P$50,2,FALSE)</f>
        <v>7.84</v>
      </c>
      <c r="AD385" s="44">
        <f>VLOOKUP(AA385,'Federal Standards'!$N$9:$P$50,3,FALSE)</f>
        <v>219.1</v>
      </c>
      <c r="AE385" s="44">
        <f t="shared" si="73"/>
        <v>239.981056</v>
      </c>
      <c r="AF385" s="283">
        <f t="shared" si="74"/>
        <v>24.981055999999995</v>
      </c>
      <c r="AG385" s="291">
        <f t="shared" si="83"/>
        <v>0.10409594997365124</v>
      </c>
      <c r="AH385" s="184" t="str">
        <f t="shared" si="75"/>
        <v>YES</v>
      </c>
      <c r="AJ385" s="9" t="str">
        <f t="shared" si="76"/>
        <v>YES</v>
      </c>
      <c r="AK385" s="9" t="str">
        <f t="shared" si="77"/>
        <v>YES</v>
      </c>
      <c r="AL385" s="9" t="str">
        <f t="shared" si="78"/>
        <v>NO</v>
      </c>
      <c r="AM385" s="9" t="str">
        <f t="shared" si="79"/>
        <v>NO</v>
      </c>
      <c r="AN385" s="9" t="str">
        <f t="shared" si="80"/>
        <v>Tier 1 - 10% to 15% better than Standard</v>
      </c>
      <c r="AO385" s="9" t="str">
        <f t="shared" si="81"/>
        <v>11A_Tier 1 - 10% to 15% better than Standard</v>
      </c>
      <c r="AP385" s="9" t="str">
        <f t="shared" si="82"/>
        <v>11A_YES</v>
      </c>
    </row>
    <row r="386" spans="1:42">
      <c r="A386">
        <v>85198</v>
      </c>
      <c r="B386" t="s">
        <v>4406</v>
      </c>
      <c r="C386" t="s">
        <v>1114</v>
      </c>
      <c r="D386" t="s">
        <v>4412</v>
      </c>
      <c r="E386" t="s">
        <v>190</v>
      </c>
      <c r="F386" t="s">
        <v>188</v>
      </c>
      <c r="G386" t="s">
        <v>189</v>
      </c>
      <c r="H386"/>
      <c r="I386" t="s">
        <v>4106</v>
      </c>
      <c r="J386"/>
      <c r="K386"/>
      <c r="L386"/>
      <c r="M386"/>
      <c r="N386" t="b">
        <v>0</v>
      </c>
      <c r="O386" t="s">
        <v>4099</v>
      </c>
      <c r="P386"/>
      <c r="Q386">
        <v>6.9</v>
      </c>
      <c r="R386">
        <v>6.9</v>
      </c>
      <c r="S386">
        <v>33</v>
      </c>
      <c r="T386">
        <v>37</v>
      </c>
      <c r="U386">
        <v>22</v>
      </c>
      <c r="V386">
        <v>249</v>
      </c>
      <c r="W386" s="281">
        <v>41835</v>
      </c>
      <c r="X386" s="282"/>
      <c r="Z386" s="9" t="b">
        <f t="shared" si="71"/>
        <v>1</v>
      </c>
      <c r="AA386" s="9" t="str">
        <f t="shared" si="84"/>
        <v>18</v>
      </c>
      <c r="AB386" s="196">
        <f t="shared" si="72"/>
        <v>12.144</v>
      </c>
      <c r="AC386" s="9">
        <f>VLOOKUP(AA386,'Federal Standards'!$N$9:$P$50,2,FALSE)</f>
        <v>9.25</v>
      </c>
      <c r="AD386" s="44">
        <f>VLOOKUP(AA386,'Federal Standards'!$N$9:$P$50,3,FALSE)</f>
        <v>136.80000000000001</v>
      </c>
      <c r="AE386" s="44">
        <f t="shared" si="73"/>
        <v>249.13200000000001</v>
      </c>
      <c r="AF386" s="283">
        <f t="shared" si="74"/>
        <v>0.132000000000005</v>
      </c>
      <c r="AG386" s="291">
        <f t="shared" si="83"/>
        <v>5.2983960310199005E-4</v>
      </c>
      <c r="AH386" s="184" t="str">
        <f t="shared" si="75"/>
        <v>YES</v>
      </c>
      <c r="AJ386" s="9" t="str">
        <f t="shared" si="76"/>
        <v>NO</v>
      </c>
      <c r="AK386" s="9" t="str">
        <f t="shared" si="77"/>
        <v>NO</v>
      </c>
      <c r="AL386" s="9" t="str">
        <f t="shared" si="78"/>
        <v>NO</v>
      </c>
      <c r="AM386" s="9" t="str">
        <f t="shared" si="79"/>
        <v>NO</v>
      </c>
      <c r="AN386" s="9" t="str">
        <f t="shared" si="80"/>
        <v>Less than 10% better than Standard</v>
      </c>
      <c r="AO386" s="9" t="str">
        <f t="shared" si="81"/>
        <v>18_Less than 10% better than Standard</v>
      </c>
      <c r="AP386" s="9" t="str">
        <f t="shared" si="82"/>
        <v>18_NO</v>
      </c>
    </row>
    <row r="387" spans="1:42">
      <c r="A387">
        <v>86648</v>
      </c>
      <c r="B387" t="s">
        <v>4406</v>
      </c>
      <c r="C387" t="s">
        <v>1114</v>
      </c>
      <c r="D387" t="s">
        <v>4413</v>
      </c>
      <c r="E387" t="s">
        <v>187</v>
      </c>
      <c r="F387" t="s">
        <v>188</v>
      </c>
      <c r="G387" t="s">
        <v>189</v>
      </c>
      <c r="H387"/>
      <c r="I387" t="s">
        <v>4098</v>
      </c>
      <c r="J387" t="b">
        <v>0</v>
      </c>
      <c r="K387" t="b">
        <v>1</v>
      </c>
      <c r="L387" t="b">
        <v>0</v>
      </c>
      <c r="M387"/>
      <c r="N387" t="b">
        <v>0</v>
      </c>
      <c r="O387" t="s">
        <v>4099</v>
      </c>
      <c r="P387"/>
      <c r="Q387">
        <v>3</v>
      </c>
      <c r="R387">
        <v>3</v>
      </c>
      <c r="S387">
        <v>32</v>
      </c>
      <c r="T387">
        <v>20</v>
      </c>
      <c r="U387">
        <v>22</v>
      </c>
      <c r="V387">
        <v>270</v>
      </c>
      <c r="W387" s="281">
        <v>41878</v>
      </c>
      <c r="X387" s="282"/>
      <c r="Z387" s="9" t="b">
        <f t="shared" si="71"/>
        <v>1</v>
      </c>
      <c r="AA387" s="9" t="str">
        <f t="shared" si="84"/>
        <v>16</v>
      </c>
      <c r="AB387" s="196">
        <f t="shared" si="72"/>
        <v>5.28</v>
      </c>
      <c r="AC387" s="9">
        <f>VLOOKUP(AA387,'Federal Standards'!$N$9:$P$50,2,FALSE)</f>
        <v>8.65</v>
      </c>
      <c r="AD387" s="44">
        <f>VLOOKUP(AA387,'Federal Standards'!$N$9:$P$50,3,FALSE)</f>
        <v>225.7</v>
      </c>
      <c r="AE387" s="44">
        <f t="shared" si="73"/>
        <v>271.37200000000001</v>
      </c>
      <c r="AF387" s="283">
        <f t="shared" si="74"/>
        <v>1.3720000000000141</v>
      </c>
      <c r="AG387" s="291">
        <f t="shared" si="83"/>
        <v>5.0557905752989032E-3</v>
      </c>
      <c r="AH387" s="184" t="str">
        <f t="shared" si="75"/>
        <v>YES</v>
      </c>
      <c r="AJ387" s="9" t="str">
        <f t="shared" si="76"/>
        <v>NO</v>
      </c>
      <c r="AK387" s="9" t="str">
        <f t="shared" si="77"/>
        <v>NO</v>
      </c>
      <c r="AL387" s="9" t="str">
        <f t="shared" si="78"/>
        <v>NO</v>
      </c>
      <c r="AM387" s="9" t="str">
        <f t="shared" si="79"/>
        <v>NO</v>
      </c>
      <c r="AN387" s="9" t="str">
        <f t="shared" si="80"/>
        <v>Less than 10% better than Standard</v>
      </c>
      <c r="AO387" s="9" t="str">
        <f t="shared" si="81"/>
        <v>16_Less than 10% better than Standard</v>
      </c>
      <c r="AP387" s="9" t="str">
        <f t="shared" si="82"/>
        <v>16_NO</v>
      </c>
    </row>
    <row r="388" spans="1:42">
      <c r="A388">
        <v>82819</v>
      </c>
      <c r="B388" t="s">
        <v>4414</v>
      </c>
      <c r="C388" t="s">
        <v>520</v>
      </c>
      <c r="D388" t="s">
        <v>4415</v>
      </c>
      <c r="E388" t="s">
        <v>4104</v>
      </c>
      <c r="F388" t="s">
        <v>162</v>
      </c>
      <c r="G388" t="s">
        <v>4105</v>
      </c>
      <c r="H388"/>
      <c r="I388" t="s">
        <v>4106</v>
      </c>
      <c r="J388"/>
      <c r="K388"/>
      <c r="L388"/>
      <c r="M388"/>
      <c r="N388" t="b">
        <v>0</v>
      </c>
      <c r="O388" t="s">
        <v>4099</v>
      </c>
      <c r="P388">
        <v>7.95</v>
      </c>
      <c r="Q388">
        <v>2.36</v>
      </c>
      <c r="R388">
        <v>10.31</v>
      </c>
      <c r="S388">
        <v>59</v>
      </c>
      <c r="T388">
        <v>24</v>
      </c>
      <c r="U388">
        <v>26</v>
      </c>
      <c r="V388">
        <v>342</v>
      </c>
      <c r="W388" s="281">
        <v>41522</v>
      </c>
      <c r="X388" s="282"/>
      <c r="Z388" s="9" t="b">
        <f t="shared" si="71"/>
        <v>0</v>
      </c>
      <c r="AA388" s="9" t="str">
        <f t="shared" si="84"/>
        <v>3</v>
      </c>
      <c r="AB388" s="196">
        <f t="shared" si="72"/>
        <v>12.1036</v>
      </c>
      <c r="AC388" s="9">
        <f>VLOOKUP(AA388,'Federal Standards'!$N$9:$P$50,2,FALSE)</f>
        <v>8.07</v>
      </c>
      <c r="AD388" s="44">
        <f>VLOOKUP(AA388,'Federal Standards'!$N$9:$P$50,3,FALSE)</f>
        <v>233.7</v>
      </c>
      <c r="AE388" s="44">
        <f t="shared" si="73"/>
        <v>331.37605199999996</v>
      </c>
      <c r="AF388" s="283">
        <f t="shared" si="74"/>
        <v>-10.623948000000041</v>
      </c>
      <c r="AG388" s="291">
        <f t="shared" si="83"/>
        <v>-3.2060095881642173E-2</v>
      </c>
      <c r="AH388" s="184" t="str">
        <f t="shared" si="75"/>
        <v>NO</v>
      </c>
      <c r="AJ388" s="9" t="str">
        <f t="shared" si="76"/>
        <v>NO</v>
      </c>
      <c r="AK388" s="9" t="str">
        <f t="shared" si="77"/>
        <v>NO</v>
      </c>
      <c r="AL388" s="9" t="str">
        <f t="shared" si="78"/>
        <v>NO</v>
      </c>
      <c r="AM388" s="9" t="str">
        <f t="shared" si="79"/>
        <v>NO</v>
      </c>
      <c r="AN388" s="9" t="str">
        <f t="shared" si="80"/>
        <v>Doesn't meet Standard</v>
      </c>
      <c r="AO388" s="9" t="str">
        <f t="shared" si="81"/>
        <v>3_Doesn't meet Standard</v>
      </c>
      <c r="AP388" s="9" t="str">
        <f t="shared" si="82"/>
        <v>3_NO</v>
      </c>
    </row>
    <row r="389" spans="1:42">
      <c r="A389">
        <v>82895</v>
      </c>
      <c r="B389" t="s">
        <v>4414</v>
      </c>
      <c r="C389" t="s">
        <v>520</v>
      </c>
      <c r="D389" t="s">
        <v>4416</v>
      </c>
      <c r="E389" t="s">
        <v>4104</v>
      </c>
      <c r="F389" t="s">
        <v>162</v>
      </c>
      <c r="G389" t="s">
        <v>4105</v>
      </c>
      <c r="H389"/>
      <c r="I389" t="s">
        <v>4106</v>
      </c>
      <c r="J389"/>
      <c r="K389"/>
      <c r="L389"/>
      <c r="M389"/>
      <c r="N389" t="b">
        <v>0</v>
      </c>
      <c r="O389" t="s">
        <v>4099</v>
      </c>
      <c r="P389">
        <v>7.95</v>
      </c>
      <c r="Q389">
        <v>2.36</v>
      </c>
      <c r="R389">
        <v>10.31</v>
      </c>
      <c r="S389">
        <v>59</v>
      </c>
      <c r="T389">
        <v>24</v>
      </c>
      <c r="U389">
        <v>26</v>
      </c>
      <c r="V389">
        <v>313</v>
      </c>
      <c r="W389" s="281">
        <v>41562</v>
      </c>
      <c r="X389" s="282"/>
      <c r="Z389" s="9" t="b">
        <f t="shared" si="71"/>
        <v>0</v>
      </c>
      <c r="AA389" s="9" t="str">
        <f t="shared" si="84"/>
        <v>3</v>
      </c>
      <c r="AB389" s="196">
        <f t="shared" si="72"/>
        <v>12.1036</v>
      </c>
      <c r="AC389" s="9">
        <f>VLOOKUP(AA389,'Federal Standards'!$N$9:$P$50,2,FALSE)</f>
        <v>8.07</v>
      </c>
      <c r="AD389" s="44">
        <f>VLOOKUP(AA389,'Federal Standards'!$N$9:$P$50,3,FALSE)</f>
        <v>233.7</v>
      </c>
      <c r="AE389" s="44">
        <f t="shared" si="73"/>
        <v>331.37605199999996</v>
      </c>
      <c r="AF389" s="283">
        <f t="shared" si="74"/>
        <v>18.376051999999959</v>
      </c>
      <c r="AG389" s="291">
        <f t="shared" si="83"/>
        <v>5.5453771897795323E-2</v>
      </c>
      <c r="AH389" s="184" t="str">
        <f t="shared" si="75"/>
        <v>YES</v>
      </c>
      <c r="AJ389" s="9" t="str">
        <f t="shared" si="76"/>
        <v>NO</v>
      </c>
      <c r="AK389" s="9" t="str">
        <f t="shared" si="77"/>
        <v>NO</v>
      </c>
      <c r="AL389" s="9" t="str">
        <f t="shared" si="78"/>
        <v>NO</v>
      </c>
      <c r="AM389" s="9" t="str">
        <f t="shared" si="79"/>
        <v>NO</v>
      </c>
      <c r="AN389" s="9" t="str">
        <f t="shared" si="80"/>
        <v>Less than 10% better than Standard</v>
      </c>
      <c r="AO389" s="9" t="str">
        <f t="shared" si="81"/>
        <v>3_Less than 10% better than Standard</v>
      </c>
      <c r="AP389" s="9" t="str">
        <f t="shared" si="82"/>
        <v>3_NO</v>
      </c>
    </row>
    <row r="390" spans="1:42">
      <c r="A390">
        <v>88391</v>
      </c>
      <c r="B390" t="s">
        <v>4414</v>
      </c>
      <c r="C390" t="s">
        <v>520</v>
      </c>
      <c r="D390" t="s">
        <v>4417</v>
      </c>
      <c r="E390" t="s">
        <v>4097</v>
      </c>
      <c r="F390" t="s">
        <v>162</v>
      </c>
      <c r="G390" t="s">
        <v>184</v>
      </c>
      <c r="H390"/>
      <c r="I390" t="s">
        <v>4098</v>
      </c>
      <c r="J390" t="b">
        <v>0</v>
      </c>
      <c r="K390" t="b">
        <v>1</v>
      </c>
      <c r="L390"/>
      <c r="M390"/>
      <c r="N390" t="b">
        <v>0</v>
      </c>
      <c r="O390" t="s">
        <v>4099</v>
      </c>
      <c r="P390">
        <v>1.06</v>
      </c>
      <c r="Q390">
        <v>0</v>
      </c>
      <c r="R390">
        <v>1.06</v>
      </c>
      <c r="S390">
        <v>20</v>
      </c>
      <c r="T390">
        <v>15</v>
      </c>
      <c r="U390">
        <v>16</v>
      </c>
      <c r="V390">
        <v>241</v>
      </c>
      <c r="W390" s="281">
        <v>41907</v>
      </c>
      <c r="X390" s="282"/>
      <c r="Z390" s="9" t="b">
        <f t="shared" si="71"/>
        <v>1</v>
      </c>
      <c r="AA390" s="9" t="str">
        <f t="shared" si="84"/>
        <v>13A</v>
      </c>
      <c r="AB390" s="196">
        <f t="shared" si="72"/>
        <v>1.06</v>
      </c>
      <c r="AC390" s="9">
        <f>VLOOKUP(AA390,'Federal Standards'!$N$9:$P$50,2,FALSE)</f>
        <v>9.17</v>
      </c>
      <c r="AD390" s="44">
        <f>VLOOKUP(AA390,'Federal Standards'!$N$9:$P$50,3,FALSE)</f>
        <v>259.3</v>
      </c>
      <c r="AE390" s="44">
        <f t="shared" si="73"/>
        <v>269.02019999999999</v>
      </c>
      <c r="AF390" s="283">
        <f t="shared" si="74"/>
        <v>28.020199999999988</v>
      </c>
      <c r="AG390" s="291">
        <f t="shared" si="83"/>
        <v>0.10415649085087288</v>
      </c>
      <c r="AH390" s="184" t="str">
        <f t="shared" si="75"/>
        <v>YES</v>
      </c>
      <c r="AJ390" s="9" t="str">
        <f t="shared" si="76"/>
        <v>YES</v>
      </c>
      <c r="AK390" s="9" t="str">
        <f t="shared" si="77"/>
        <v>YES</v>
      </c>
      <c r="AL390" s="9" t="str">
        <f t="shared" si="78"/>
        <v>NO</v>
      </c>
      <c r="AM390" s="9" t="str">
        <f t="shared" si="79"/>
        <v>NO</v>
      </c>
      <c r="AN390" s="9" t="str">
        <f t="shared" si="80"/>
        <v>Tier 1 - 10% to 15% better than Standard</v>
      </c>
      <c r="AO390" s="9" t="str">
        <f t="shared" si="81"/>
        <v>13A_Tier 1 - 10% to 15% better than Standard</v>
      </c>
      <c r="AP390" s="9" t="str">
        <f t="shared" si="82"/>
        <v>13A_YES</v>
      </c>
    </row>
    <row r="391" spans="1:42">
      <c r="A391">
        <v>88392</v>
      </c>
      <c r="B391" t="s">
        <v>4414</v>
      </c>
      <c r="C391" t="s">
        <v>520</v>
      </c>
      <c r="D391" t="s">
        <v>4418</v>
      </c>
      <c r="E391" t="s">
        <v>4097</v>
      </c>
      <c r="F391" t="s">
        <v>162</v>
      </c>
      <c r="G391" t="s">
        <v>184</v>
      </c>
      <c r="H391"/>
      <c r="I391" t="s">
        <v>4098</v>
      </c>
      <c r="J391" t="b">
        <v>0</v>
      </c>
      <c r="K391" t="b">
        <v>1</v>
      </c>
      <c r="L391"/>
      <c r="M391"/>
      <c r="N391" t="b">
        <v>0</v>
      </c>
      <c r="O391" t="s">
        <v>4099</v>
      </c>
      <c r="P391">
        <v>2.06</v>
      </c>
      <c r="Q391">
        <v>0</v>
      </c>
      <c r="R391">
        <v>2.06</v>
      </c>
      <c r="S391">
        <v>22</v>
      </c>
      <c r="T391">
        <v>19</v>
      </c>
      <c r="U391">
        <v>19</v>
      </c>
      <c r="V391">
        <v>249</v>
      </c>
      <c r="W391" s="281">
        <v>41907</v>
      </c>
      <c r="X391" s="282"/>
      <c r="Z391" s="9" t="b">
        <f t="shared" si="71"/>
        <v>1</v>
      </c>
      <c r="AA391" s="9" t="str">
        <f t="shared" si="84"/>
        <v>13A</v>
      </c>
      <c r="AB391" s="196">
        <f t="shared" si="72"/>
        <v>2.06</v>
      </c>
      <c r="AC391" s="9">
        <f>VLOOKUP(AA391,'Federal Standards'!$N$9:$P$50,2,FALSE)</f>
        <v>9.17</v>
      </c>
      <c r="AD391" s="44">
        <f>VLOOKUP(AA391,'Federal Standards'!$N$9:$P$50,3,FALSE)</f>
        <v>259.3</v>
      </c>
      <c r="AE391" s="44">
        <f t="shared" si="73"/>
        <v>278.1902</v>
      </c>
      <c r="AF391" s="283">
        <f t="shared" si="74"/>
        <v>29.190200000000004</v>
      </c>
      <c r="AG391" s="291">
        <f t="shared" si="83"/>
        <v>0.10492892991917042</v>
      </c>
      <c r="AH391" s="184" t="str">
        <f t="shared" si="75"/>
        <v>YES</v>
      </c>
      <c r="AJ391" s="9" t="str">
        <f t="shared" si="76"/>
        <v>YES</v>
      </c>
      <c r="AK391" s="9" t="str">
        <f t="shared" si="77"/>
        <v>YES</v>
      </c>
      <c r="AL391" s="9" t="str">
        <f t="shared" si="78"/>
        <v>NO</v>
      </c>
      <c r="AM391" s="9" t="str">
        <f t="shared" si="79"/>
        <v>NO</v>
      </c>
      <c r="AN391" s="9" t="str">
        <f t="shared" si="80"/>
        <v>Tier 1 - 10% to 15% better than Standard</v>
      </c>
      <c r="AO391" s="9" t="str">
        <f t="shared" si="81"/>
        <v>13A_Tier 1 - 10% to 15% better than Standard</v>
      </c>
      <c r="AP391" s="9" t="str">
        <f t="shared" si="82"/>
        <v>13A_YES</v>
      </c>
    </row>
    <row r="392" spans="1:42">
      <c r="A392">
        <v>85814</v>
      </c>
      <c r="B392" t="s">
        <v>4414</v>
      </c>
      <c r="C392" t="s">
        <v>520</v>
      </c>
      <c r="D392" t="s">
        <v>521</v>
      </c>
      <c r="E392" t="s">
        <v>4097</v>
      </c>
      <c r="F392" t="s">
        <v>162</v>
      </c>
      <c r="G392" t="s">
        <v>184</v>
      </c>
      <c r="H392"/>
      <c r="I392" t="s">
        <v>4098</v>
      </c>
      <c r="J392" t="b">
        <v>0</v>
      </c>
      <c r="K392" t="b">
        <v>1</v>
      </c>
      <c r="L392"/>
      <c r="M392"/>
      <c r="N392" t="b">
        <v>0</v>
      </c>
      <c r="O392" t="s">
        <v>4099</v>
      </c>
      <c r="P392">
        <v>2.2799999999999998</v>
      </c>
      <c r="Q392">
        <v>0</v>
      </c>
      <c r="R392">
        <v>2.2799999999999998</v>
      </c>
      <c r="S392">
        <v>25</v>
      </c>
      <c r="T392">
        <v>19</v>
      </c>
      <c r="U392">
        <v>21</v>
      </c>
      <c r="V392">
        <v>223</v>
      </c>
      <c r="W392" s="281">
        <v>41863</v>
      </c>
      <c r="X392" s="282"/>
      <c r="Z392" s="9" t="b">
        <f t="shared" si="71"/>
        <v>1</v>
      </c>
      <c r="AA392" s="9" t="str">
        <f t="shared" si="84"/>
        <v>13A</v>
      </c>
      <c r="AB392" s="196">
        <f t="shared" si="72"/>
        <v>2.2799999999999998</v>
      </c>
      <c r="AC392" s="9">
        <f>VLOOKUP(AA392,'Federal Standards'!$N$9:$P$50,2,FALSE)</f>
        <v>9.17</v>
      </c>
      <c r="AD392" s="44">
        <f>VLOOKUP(AA392,'Federal Standards'!$N$9:$P$50,3,FALSE)</f>
        <v>259.3</v>
      </c>
      <c r="AE392" s="44">
        <f t="shared" si="73"/>
        <v>280.20760000000001</v>
      </c>
      <c r="AF392" s="283">
        <f t="shared" si="74"/>
        <v>57.207600000000014</v>
      </c>
      <c r="AG392" s="291">
        <f t="shared" si="83"/>
        <v>0.20416148598396336</v>
      </c>
      <c r="AH392" s="184" t="str">
        <f t="shared" si="75"/>
        <v>YES</v>
      </c>
      <c r="AJ392" s="9" t="str">
        <f t="shared" si="76"/>
        <v>YES</v>
      </c>
      <c r="AK392" s="9" t="str">
        <f t="shared" si="77"/>
        <v>NO</v>
      </c>
      <c r="AL392" s="9" t="str">
        <f t="shared" si="78"/>
        <v>NO</v>
      </c>
      <c r="AM392" s="9" t="str">
        <f t="shared" si="79"/>
        <v>YES</v>
      </c>
      <c r="AN392" s="9" t="str">
        <f t="shared" si="80"/>
        <v>Tier 3 - 20%  or better than Standard</v>
      </c>
      <c r="AO392" s="9" t="str">
        <f t="shared" si="81"/>
        <v>13A_Tier 3 - 20%  or better than Standard</v>
      </c>
      <c r="AP392" s="9" t="str">
        <f t="shared" si="82"/>
        <v>13A_YES</v>
      </c>
    </row>
    <row r="393" spans="1:42">
      <c r="A393">
        <v>85818</v>
      </c>
      <c r="B393" t="s">
        <v>4414</v>
      </c>
      <c r="C393" t="s">
        <v>520</v>
      </c>
      <c r="D393" t="s">
        <v>523</v>
      </c>
      <c r="E393" t="s">
        <v>4108</v>
      </c>
      <c r="F393" t="s">
        <v>4111</v>
      </c>
      <c r="G393" t="s">
        <v>4105</v>
      </c>
      <c r="H393"/>
      <c r="I393" t="s">
        <v>4098</v>
      </c>
      <c r="J393" t="b">
        <v>0</v>
      </c>
      <c r="K393" t="b">
        <v>1</v>
      </c>
      <c r="L393" t="b">
        <v>0</v>
      </c>
      <c r="M393"/>
      <c r="N393" t="b">
        <v>0</v>
      </c>
      <c r="O393" t="s">
        <v>4099</v>
      </c>
      <c r="P393">
        <v>2.16</v>
      </c>
      <c r="Q393">
        <v>0.81</v>
      </c>
      <c r="R393">
        <v>2.97</v>
      </c>
      <c r="S393">
        <v>34</v>
      </c>
      <c r="T393">
        <v>19</v>
      </c>
      <c r="U393">
        <v>20</v>
      </c>
      <c r="V393">
        <v>319</v>
      </c>
      <c r="W393" s="281">
        <v>41863</v>
      </c>
      <c r="X393" s="282"/>
      <c r="Z393" s="9" t="b">
        <f t="shared" si="71"/>
        <v>1</v>
      </c>
      <c r="AA393" s="9" t="str">
        <f t="shared" si="84"/>
        <v>12</v>
      </c>
      <c r="AB393" s="196">
        <f t="shared" si="72"/>
        <v>3.5856000000000003</v>
      </c>
      <c r="AC393" s="9">
        <f>VLOOKUP(AA393,'Federal Standards'!$N$9:$P$50,2,FALSE)</f>
        <v>5.91</v>
      </c>
      <c r="AD393" s="44">
        <f>VLOOKUP(AA393,'Federal Standards'!$N$9:$P$50,3,FALSE)</f>
        <v>335.8</v>
      </c>
      <c r="AE393" s="44">
        <f t="shared" si="73"/>
        <v>356.99089600000002</v>
      </c>
      <c r="AF393" s="283">
        <f t="shared" si="74"/>
        <v>37.990896000000021</v>
      </c>
      <c r="AG393" s="291">
        <f t="shared" si="83"/>
        <v>0.10641978948393131</v>
      </c>
      <c r="AH393" s="184" t="str">
        <f t="shared" si="75"/>
        <v>YES</v>
      </c>
      <c r="AJ393" s="9" t="str">
        <f t="shared" si="76"/>
        <v>YES</v>
      </c>
      <c r="AK393" s="9" t="str">
        <f t="shared" si="77"/>
        <v>YES</v>
      </c>
      <c r="AL393" s="9" t="str">
        <f t="shared" si="78"/>
        <v>NO</v>
      </c>
      <c r="AM393" s="9" t="str">
        <f t="shared" si="79"/>
        <v>NO</v>
      </c>
      <c r="AN393" s="9" t="str">
        <f t="shared" si="80"/>
        <v>Tier 1 - 10% to 15% better than Standard</v>
      </c>
      <c r="AO393" s="9" t="str">
        <f t="shared" si="81"/>
        <v>12_Tier 1 - 10% to 15% better than Standard</v>
      </c>
      <c r="AP393" s="9" t="str">
        <f t="shared" si="82"/>
        <v>12_YES</v>
      </c>
    </row>
    <row r="394" spans="1:42">
      <c r="A394">
        <v>86410</v>
      </c>
      <c r="B394" t="s">
        <v>4414</v>
      </c>
      <c r="C394" t="s">
        <v>520</v>
      </c>
      <c r="D394" t="s">
        <v>525</v>
      </c>
      <c r="E394" t="s">
        <v>4097</v>
      </c>
      <c r="F394" t="s">
        <v>162</v>
      </c>
      <c r="G394" t="s">
        <v>184</v>
      </c>
      <c r="H394"/>
      <c r="I394" t="s">
        <v>4098</v>
      </c>
      <c r="J394" t="b">
        <v>0</v>
      </c>
      <c r="K394" t="b">
        <v>1</v>
      </c>
      <c r="L394"/>
      <c r="M394"/>
      <c r="N394" t="b">
        <v>0</v>
      </c>
      <c r="O394" t="s">
        <v>4099</v>
      </c>
      <c r="P394">
        <v>3.31</v>
      </c>
      <c r="Q394">
        <v>0.28000000000000003</v>
      </c>
      <c r="R394">
        <v>3.59</v>
      </c>
      <c r="S394">
        <v>34</v>
      </c>
      <c r="T394">
        <v>19</v>
      </c>
      <c r="U394">
        <v>20</v>
      </c>
      <c r="V394">
        <v>262</v>
      </c>
      <c r="W394" s="281">
        <v>41876</v>
      </c>
      <c r="X394" s="282"/>
      <c r="Z394" s="9" t="b">
        <f t="shared" ref="Z394:Z457" si="85">IF(R394&lt;7.75,TRUE, FALSE)</f>
        <v>1</v>
      </c>
      <c r="AA394" s="9" t="str">
        <f t="shared" si="84"/>
        <v>13A</v>
      </c>
      <c r="AB394" s="196">
        <f t="shared" ref="AB394:AB457" si="86">IF(OR(E394="Internal Freezer",E394 = "Single Door"),P394 + Q394*1.47,P394 + Q394*1.76)</f>
        <v>3.8028</v>
      </c>
      <c r="AC394" s="9">
        <f>VLOOKUP(AA394,'Federal Standards'!$N$9:$P$50,2,FALSE)</f>
        <v>9.17</v>
      </c>
      <c r="AD394" s="44">
        <f>VLOOKUP(AA394,'Federal Standards'!$N$9:$P$50,3,FALSE)</f>
        <v>259.3</v>
      </c>
      <c r="AE394" s="44">
        <f t="shared" ref="AE394:AE457" si="87">AB394*AC394+AD394</f>
        <v>294.17167599999999</v>
      </c>
      <c r="AF394" s="283">
        <f t="shared" ref="AF394:AF457" si="88">IF($AF$2,AE394-V394,MAX(0,AE394-V394))</f>
        <v>32.171675999999991</v>
      </c>
      <c r="AG394" s="291">
        <f t="shared" si="83"/>
        <v>0.10936360848010396</v>
      </c>
      <c r="AH394" s="184" t="str">
        <f t="shared" ref="AH394:AH457" si="89">IF(AF394&gt;=0,"YES","NO")</f>
        <v>YES</v>
      </c>
      <c r="AJ394" s="9" t="str">
        <f t="shared" ref="AJ394:AJ457" si="90">IF(AG394&gt;=0.1,"YES","NO")</f>
        <v>YES</v>
      </c>
      <c r="AK394" s="9" t="str">
        <f t="shared" ref="AK394:AK457" si="91">IF(AND($AG394&gt;=0.1,$AG394&lt;0.15),"YES","NO")</f>
        <v>YES</v>
      </c>
      <c r="AL394" s="9" t="str">
        <f t="shared" ref="AL394:AL457" si="92">IF(AND($AG394&gt;=0.15,$AG394&lt;0.2),"YES","NO")</f>
        <v>NO</v>
      </c>
      <c r="AM394" s="9" t="str">
        <f t="shared" ref="AM394:AM457" si="93">IF($AG394&gt;=0.2,"YES","NO")</f>
        <v>NO</v>
      </c>
      <c r="AN394" s="9" t="str">
        <f t="shared" ref="AN394:AN457" si="94">VLOOKUP(AG394,$AO$2:$AP$6,2,TRUE)</f>
        <v>Tier 1 - 10% to 15% better than Standard</v>
      </c>
      <c r="AO394" s="9" t="str">
        <f t="shared" ref="AO394:AO457" si="95">AA394&amp;"_"&amp;AN394</f>
        <v>13A_Tier 1 - 10% to 15% better than Standard</v>
      </c>
      <c r="AP394" s="9" t="str">
        <f t="shared" ref="AP394:AP457" si="96">CONCATENATE(AA394,"_",AJ394)</f>
        <v>13A_YES</v>
      </c>
    </row>
    <row r="395" spans="1:42">
      <c r="A395">
        <v>86823</v>
      </c>
      <c r="B395" t="s">
        <v>4414</v>
      </c>
      <c r="C395" t="s">
        <v>520</v>
      </c>
      <c r="D395" t="s">
        <v>527</v>
      </c>
      <c r="E395" t="s">
        <v>4108</v>
      </c>
      <c r="F395" t="s">
        <v>162</v>
      </c>
      <c r="G395" t="s">
        <v>4105</v>
      </c>
      <c r="H395"/>
      <c r="I395" t="s">
        <v>4098</v>
      </c>
      <c r="J395" t="b">
        <v>0</v>
      </c>
      <c r="K395" t="b">
        <v>1</v>
      </c>
      <c r="L395" t="b">
        <v>0</v>
      </c>
      <c r="M395"/>
      <c r="N395" t="b">
        <v>0</v>
      </c>
      <c r="O395" t="s">
        <v>4099</v>
      </c>
      <c r="P395">
        <v>3.38</v>
      </c>
      <c r="Q395">
        <v>1.37</v>
      </c>
      <c r="R395">
        <v>4.75</v>
      </c>
      <c r="S395">
        <v>46</v>
      </c>
      <c r="T395">
        <v>19</v>
      </c>
      <c r="U395">
        <v>23</v>
      </c>
      <c r="V395">
        <v>346</v>
      </c>
      <c r="W395" s="281">
        <v>41884</v>
      </c>
      <c r="X395" s="282"/>
      <c r="Z395" s="9" t="b">
        <f t="shared" si="85"/>
        <v>1</v>
      </c>
      <c r="AA395" s="9" t="str">
        <f t="shared" si="84"/>
        <v>13</v>
      </c>
      <c r="AB395" s="196">
        <f t="shared" si="86"/>
        <v>5.7911999999999999</v>
      </c>
      <c r="AC395" s="9">
        <f>VLOOKUP(AA395,'Federal Standards'!$N$9:$P$50,2,FALSE)</f>
        <v>11.8</v>
      </c>
      <c r="AD395" s="44">
        <f>VLOOKUP(AA395,'Federal Standards'!$N$9:$P$50,3,FALSE)</f>
        <v>339.2</v>
      </c>
      <c r="AE395" s="44">
        <f t="shared" si="87"/>
        <v>407.53616</v>
      </c>
      <c r="AF395" s="283">
        <f t="shared" si="88"/>
        <v>61.536159999999995</v>
      </c>
      <c r="AG395" s="291">
        <f t="shared" si="83"/>
        <v>0.15099558282141146</v>
      </c>
      <c r="AH395" s="184" t="str">
        <f t="shared" si="89"/>
        <v>YES</v>
      </c>
      <c r="AJ395" s="9" t="str">
        <f t="shared" si="90"/>
        <v>YES</v>
      </c>
      <c r="AK395" s="9" t="str">
        <f t="shared" si="91"/>
        <v>NO</v>
      </c>
      <c r="AL395" s="9" t="str">
        <f t="shared" si="92"/>
        <v>YES</v>
      </c>
      <c r="AM395" s="9" t="str">
        <f t="shared" si="93"/>
        <v>NO</v>
      </c>
      <c r="AN395" s="9" t="str">
        <f t="shared" si="94"/>
        <v>Tier 2 - 15% to 20% better than Standard</v>
      </c>
      <c r="AO395" s="9" t="str">
        <f t="shared" si="95"/>
        <v>13_Tier 2 - 15% to 20% better than Standard</v>
      </c>
      <c r="AP395" s="9" t="str">
        <f t="shared" si="96"/>
        <v>13_YES</v>
      </c>
    </row>
    <row r="396" spans="1:42">
      <c r="A396">
        <v>88362</v>
      </c>
      <c r="B396" t="s">
        <v>4414</v>
      </c>
      <c r="C396" t="s">
        <v>775</v>
      </c>
      <c r="D396" t="s">
        <v>4419</v>
      </c>
      <c r="E396" t="s">
        <v>4097</v>
      </c>
      <c r="F396" t="s">
        <v>162</v>
      </c>
      <c r="G396" t="s">
        <v>184</v>
      </c>
      <c r="H396"/>
      <c r="I396" t="s">
        <v>4247</v>
      </c>
      <c r="J396" t="b">
        <v>0</v>
      </c>
      <c r="K396" t="b">
        <v>1</v>
      </c>
      <c r="L396"/>
      <c r="M396"/>
      <c r="N396" t="b">
        <v>0</v>
      </c>
      <c r="O396" t="s">
        <v>4099</v>
      </c>
      <c r="P396">
        <v>4.97</v>
      </c>
      <c r="Q396"/>
      <c r="R396">
        <v>4.97</v>
      </c>
      <c r="S396">
        <v>35</v>
      </c>
      <c r="T396">
        <v>24</v>
      </c>
      <c r="U396">
        <v>24</v>
      </c>
      <c r="V396">
        <v>304</v>
      </c>
      <c r="W396" s="281">
        <v>41907</v>
      </c>
      <c r="X396" s="282"/>
      <c r="Z396" s="9" t="b">
        <f t="shared" si="85"/>
        <v>1</v>
      </c>
      <c r="AA396" s="9" t="str">
        <f t="shared" si="84"/>
        <v>13A</v>
      </c>
      <c r="AB396" s="196">
        <f t="shared" si="86"/>
        <v>4.97</v>
      </c>
      <c r="AC396" s="9">
        <f>VLOOKUP(AA396,'Federal Standards'!$N$9:$P$50,2,FALSE)</f>
        <v>9.17</v>
      </c>
      <c r="AD396" s="44">
        <f>VLOOKUP(AA396,'Federal Standards'!$N$9:$P$50,3,FALSE)</f>
        <v>259.3</v>
      </c>
      <c r="AE396" s="44">
        <f t="shared" si="87"/>
        <v>304.87490000000003</v>
      </c>
      <c r="AF396" s="283">
        <f t="shared" si="88"/>
        <v>0.8749000000000251</v>
      </c>
      <c r="AG396" s="291">
        <f t="shared" ref="AG396:AG459" si="97">AF396/AE396</f>
        <v>2.8697016382786024E-3</v>
      </c>
      <c r="AH396" s="184" t="str">
        <f t="shared" si="89"/>
        <v>YES</v>
      </c>
      <c r="AJ396" s="9" t="str">
        <f t="shared" si="90"/>
        <v>NO</v>
      </c>
      <c r="AK396" s="9" t="str">
        <f t="shared" si="91"/>
        <v>NO</v>
      </c>
      <c r="AL396" s="9" t="str">
        <f t="shared" si="92"/>
        <v>NO</v>
      </c>
      <c r="AM396" s="9" t="str">
        <f t="shared" si="93"/>
        <v>NO</v>
      </c>
      <c r="AN396" s="9" t="str">
        <f t="shared" si="94"/>
        <v>Less than 10% better than Standard</v>
      </c>
      <c r="AO396" s="9" t="str">
        <f t="shared" si="95"/>
        <v>13A_Less than 10% better than Standard</v>
      </c>
      <c r="AP396" s="9" t="str">
        <f t="shared" si="96"/>
        <v>13A_NO</v>
      </c>
    </row>
    <row r="397" spans="1:42">
      <c r="A397">
        <v>88358</v>
      </c>
      <c r="B397" t="s">
        <v>4414</v>
      </c>
      <c r="C397" t="s">
        <v>775</v>
      </c>
      <c r="D397" t="s">
        <v>4420</v>
      </c>
      <c r="E397" t="s">
        <v>4097</v>
      </c>
      <c r="F397" t="s">
        <v>162</v>
      </c>
      <c r="G397" t="s">
        <v>184</v>
      </c>
      <c r="H397"/>
      <c r="I397" t="s">
        <v>4098</v>
      </c>
      <c r="J397" t="b">
        <v>0</v>
      </c>
      <c r="K397" t="b">
        <v>1</v>
      </c>
      <c r="L397"/>
      <c r="M397"/>
      <c r="N397" t="b">
        <v>0</v>
      </c>
      <c r="O397" t="s">
        <v>4099</v>
      </c>
      <c r="P397">
        <v>4.9400000000000004</v>
      </c>
      <c r="Q397"/>
      <c r="R397">
        <v>4.9400000000000004</v>
      </c>
      <c r="S397">
        <v>35</v>
      </c>
      <c r="T397">
        <v>24</v>
      </c>
      <c r="U397">
        <v>24</v>
      </c>
      <c r="V397">
        <v>304</v>
      </c>
      <c r="W397" s="281">
        <v>41907</v>
      </c>
      <c r="X397" s="282"/>
      <c r="Z397" s="9" t="b">
        <f t="shared" si="85"/>
        <v>1</v>
      </c>
      <c r="AA397" s="9" t="str">
        <f t="shared" si="84"/>
        <v>13A</v>
      </c>
      <c r="AB397" s="196">
        <f t="shared" si="86"/>
        <v>4.9400000000000004</v>
      </c>
      <c r="AC397" s="9">
        <f>VLOOKUP(AA397,'Federal Standards'!$N$9:$P$50,2,FALSE)</f>
        <v>9.17</v>
      </c>
      <c r="AD397" s="44">
        <f>VLOOKUP(AA397,'Federal Standards'!$N$9:$P$50,3,FALSE)</f>
        <v>259.3</v>
      </c>
      <c r="AE397" s="44">
        <f t="shared" si="87"/>
        <v>304.59980000000002</v>
      </c>
      <c r="AF397" s="283">
        <f t="shared" si="88"/>
        <v>0.5998000000000161</v>
      </c>
      <c r="AG397" s="291">
        <f t="shared" si="97"/>
        <v>1.9691411484840634E-3</v>
      </c>
      <c r="AH397" s="184" t="str">
        <f t="shared" si="89"/>
        <v>YES</v>
      </c>
      <c r="AJ397" s="9" t="str">
        <f t="shared" si="90"/>
        <v>NO</v>
      </c>
      <c r="AK397" s="9" t="str">
        <f t="shared" si="91"/>
        <v>NO</v>
      </c>
      <c r="AL397" s="9" t="str">
        <f t="shared" si="92"/>
        <v>NO</v>
      </c>
      <c r="AM397" s="9" t="str">
        <f t="shared" si="93"/>
        <v>NO</v>
      </c>
      <c r="AN397" s="9" t="str">
        <f t="shared" si="94"/>
        <v>Less than 10% better than Standard</v>
      </c>
      <c r="AO397" s="9" t="str">
        <f t="shared" si="95"/>
        <v>13A_Less than 10% better than Standard</v>
      </c>
      <c r="AP397" s="9" t="str">
        <f t="shared" si="96"/>
        <v>13A_NO</v>
      </c>
    </row>
    <row r="398" spans="1:42">
      <c r="A398">
        <v>88363</v>
      </c>
      <c r="B398" t="s">
        <v>4414</v>
      </c>
      <c r="C398" t="s">
        <v>1599</v>
      </c>
      <c r="D398" t="s">
        <v>4421</v>
      </c>
      <c r="E398" t="s">
        <v>4097</v>
      </c>
      <c r="F398" t="s">
        <v>162</v>
      </c>
      <c r="G398" t="s">
        <v>184</v>
      </c>
      <c r="H398"/>
      <c r="I398" t="s">
        <v>4247</v>
      </c>
      <c r="J398" t="b">
        <v>0</v>
      </c>
      <c r="K398" t="b">
        <v>1</v>
      </c>
      <c r="L398"/>
      <c r="M398"/>
      <c r="N398" t="b">
        <v>0</v>
      </c>
      <c r="O398" t="s">
        <v>4099</v>
      </c>
      <c r="P398">
        <v>5.23</v>
      </c>
      <c r="Q398"/>
      <c r="R398">
        <v>5.23</v>
      </c>
      <c r="S398">
        <v>35</v>
      </c>
      <c r="T398">
        <v>24</v>
      </c>
      <c r="U398">
        <v>25</v>
      </c>
      <c r="V398">
        <v>306</v>
      </c>
      <c r="W398" s="281">
        <v>41907</v>
      </c>
      <c r="X398" s="282"/>
      <c r="Z398" s="9" t="b">
        <f t="shared" si="85"/>
        <v>1</v>
      </c>
      <c r="AA398" s="9" t="str">
        <f t="shared" si="84"/>
        <v>13A</v>
      </c>
      <c r="AB398" s="196">
        <f t="shared" si="86"/>
        <v>5.23</v>
      </c>
      <c r="AC398" s="9">
        <f>VLOOKUP(AA398,'Federal Standards'!$N$9:$P$50,2,FALSE)</f>
        <v>9.17</v>
      </c>
      <c r="AD398" s="44">
        <f>VLOOKUP(AA398,'Federal Standards'!$N$9:$P$50,3,FALSE)</f>
        <v>259.3</v>
      </c>
      <c r="AE398" s="44">
        <f t="shared" si="87"/>
        <v>307.25909999999999</v>
      </c>
      <c r="AF398" s="283">
        <f t="shared" si="88"/>
        <v>1.2590999999999894</v>
      </c>
      <c r="AG398" s="291">
        <f t="shared" si="97"/>
        <v>4.0978444576580137E-3</v>
      </c>
      <c r="AH398" s="184" t="str">
        <f t="shared" si="89"/>
        <v>YES</v>
      </c>
      <c r="AJ398" s="9" t="str">
        <f t="shared" si="90"/>
        <v>NO</v>
      </c>
      <c r="AK398" s="9" t="str">
        <f t="shared" si="91"/>
        <v>NO</v>
      </c>
      <c r="AL398" s="9" t="str">
        <f t="shared" si="92"/>
        <v>NO</v>
      </c>
      <c r="AM398" s="9" t="str">
        <f t="shared" si="93"/>
        <v>NO</v>
      </c>
      <c r="AN398" s="9" t="str">
        <f t="shared" si="94"/>
        <v>Less than 10% better than Standard</v>
      </c>
      <c r="AO398" s="9" t="str">
        <f t="shared" si="95"/>
        <v>13A_Less than 10% better than Standard</v>
      </c>
      <c r="AP398" s="9" t="str">
        <f t="shared" si="96"/>
        <v>13A_NO</v>
      </c>
    </row>
    <row r="399" spans="1:42">
      <c r="A399">
        <v>88353</v>
      </c>
      <c r="B399" t="s">
        <v>4414</v>
      </c>
      <c r="C399" t="s">
        <v>1599</v>
      </c>
      <c r="D399" t="s">
        <v>4422</v>
      </c>
      <c r="E399" t="s">
        <v>4097</v>
      </c>
      <c r="F399" t="s">
        <v>162</v>
      </c>
      <c r="G399" t="s">
        <v>184</v>
      </c>
      <c r="H399"/>
      <c r="I399" t="s">
        <v>4098</v>
      </c>
      <c r="J399" t="b">
        <v>0</v>
      </c>
      <c r="K399" t="b">
        <v>1</v>
      </c>
      <c r="L399"/>
      <c r="M399"/>
      <c r="N399" t="b">
        <v>0</v>
      </c>
      <c r="O399" t="s">
        <v>4099</v>
      </c>
      <c r="P399">
        <v>5.79</v>
      </c>
      <c r="Q399"/>
      <c r="R399">
        <v>5.79</v>
      </c>
      <c r="S399">
        <v>35</v>
      </c>
      <c r="T399">
        <v>24</v>
      </c>
      <c r="U399">
        <v>25</v>
      </c>
      <c r="V399">
        <v>311</v>
      </c>
      <c r="W399" s="281">
        <v>41907</v>
      </c>
      <c r="X399" s="282"/>
      <c r="Z399" s="9" t="b">
        <f t="shared" si="85"/>
        <v>1</v>
      </c>
      <c r="AA399" s="9" t="str">
        <f t="shared" si="84"/>
        <v>13A</v>
      </c>
      <c r="AB399" s="196">
        <f t="shared" si="86"/>
        <v>5.79</v>
      </c>
      <c r="AC399" s="9">
        <f>VLOOKUP(AA399,'Federal Standards'!$N$9:$P$50,2,FALSE)</f>
        <v>9.17</v>
      </c>
      <c r="AD399" s="44">
        <f>VLOOKUP(AA399,'Federal Standards'!$N$9:$P$50,3,FALSE)</f>
        <v>259.3</v>
      </c>
      <c r="AE399" s="44">
        <f t="shared" si="87"/>
        <v>312.39429999999999</v>
      </c>
      <c r="AF399" s="283">
        <f t="shared" si="88"/>
        <v>1.394299999999987</v>
      </c>
      <c r="AG399" s="291">
        <f t="shared" si="97"/>
        <v>4.4632696563285147E-3</v>
      </c>
      <c r="AH399" s="184" t="str">
        <f t="shared" si="89"/>
        <v>YES</v>
      </c>
      <c r="AJ399" s="9" t="str">
        <f t="shared" si="90"/>
        <v>NO</v>
      </c>
      <c r="AK399" s="9" t="str">
        <f t="shared" si="91"/>
        <v>NO</v>
      </c>
      <c r="AL399" s="9" t="str">
        <f t="shared" si="92"/>
        <v>NO</v>
      </c>
      <c r="AM399" s="9" t="str">
        <f t="shared" si="93"/>
        <v>NO</v>
      </c>
      <c r="AN399" s="9" t="str">
        <f t="shared" si="94"/>
        <v>Less than 10% better than Standard</v>
      </c>
      <c r="AO399" s="9" t="str">
        <f t="shared" si="95"/>
        <v>13A_Less than 10% better than Standard</v>
      </c>
      <c r="AP399" s="9" t="str">
        <f t="shared" si="96"/>
        <v>13A_NO</v>
      </c>
    </row>
    <row r="400" spans="1:42">
      <c r="A400">
        <v>88365</v>
      </c>
      <c r="B400" t="s">
        <v>4414</v>
      </c>
      <c r="C400" t="s">
        <v>173</v>
      </c>
      <c r="D400" t="s">
        <v>4423</v>
      </c>
      <c r="E400" t="s">
        <v>4097</v>
      </c>
      <c r="F400" t="s">
        <v>162</v>
      </c>
      <c r="G400" t="s">
        <v>184</v>
      </c>
      <c r="H400"/>
      <c r="I400" t="s">
        <v>4098</v>
      </c>
      <c r="J400" t="b">
        <v>0</v>
      </c>
      <c r="K400" t="b">
        <v>1</v>
      </c>
      <c r="L400"/>
      <c r="M400"/>
      <c r="N400" t="b">
        <v>0</v>
      </c>
      <c r="O400" t="s">
        <v>4099</v>
      </c>
      <c r="P400">
        <v>5.66</v>
      </c>
      <c r="Q400"/>
      <c r="R400">
        <v>5.66</v>
      </c>
      <c r="S400">
        <v>35</v>
      </c>
      <c r="T400">
        <v>24</v>
      </c>
      <c r="U400">
        <v>25</v>
      </c>
      <c r="V400">
        <v>310</v>
      </c>
      <c r="W400" s="281">
        <v>41907</v>
      </c>
      <c r="X400" s="282"/>
      <c r="Z400" s="9" t="b">
        <f t="shared" si="85"/>
        <v>1</v>
      </c>
      <c r="AA400" s="9" t="str">
        <f t="shared" si="84"/>
        <v>13A</v>
      </c>
      <c r="AB400" s="196">
        <f t="shared" si="86"/>
        <v>5.66</v>
      </c>
      <c r="AC400" s="9">
        <f>VLOOKUP(AA400,'Federal Standards'!$N$9:$P$50,2,FALSE)</f>
        <v>9.17</v>
      </c>
      <c r="AD400" s="44">
        <f>VLOOKUP(AA400,'Federal Standards'!$N$9:$P$50,3,FALSE)</f>
        <v>259.3</v>
      </c>
      <c r="AE400" s="44">
        <f t="shared" si="87"/>
        <v>311.2022</v>
      </c>
      <c r="AF400" s="283">
        <f t="shared" si="88"/>
        <v>1.2022000000000048</v>
      </c>
      <c r="AG400" s="291">
        <f t="shared" si="97"/>
        <v>3.863083230131422E-3</v>
      </c>
      <c r="AH400" s="184" t="str">
        <f t="shared" si="89"/>
        <v>YES</v>
      </c>
      <c r="AJ400" s="9" t="str">
        <f t="shared" si="90"/>
        <v>NO</v>
      </c>
      <c r="AK400" s="9" t="str">
        <f t="shared" si="91"/>
        <v>NO</v>
      </c>
      <c r="AL400" s="9" t="str">
        <f t="shared" si="92"/>
        <v>NO</v>
      </c>
      <c r="AM400" s="9" t="str">
        <f t="shared" si="93"/>
        <v>NO</v>
      </c>
      <c r="AN400" s="9" t="str">
        <f t="shared" si="94"/>
        <v>Less than 10% better than Standard</v>
      </c>
      <c r="AO400" s="9" t="str">
        <f t="shared" si="95"/>
        <v>13A_Less than 10% better than Standard</v>
      </c>
      <c r="AP400" s="9" t="str">
        <f t="shared" si="96"/>
        <v>13A_NO</v>
      </c>
    </row>
    <row r="401" spans="1:42">
      <c r="A401">
        <v>85666</v>
      </c>
      <c r="B401" t="s">
        <v>4424</v>
      </c>
      <c r="C401" t="s">
        <v>1638</v>
      </c>
      <c r="D401" t="s">
        <v>4261</v>
      </c>
      <c r="E401" t="s">
        <v>4179</v>
      </c>
      <c r="F401" t="s">
        <v>162</v>
      </c>
      <c r="G401" t="s">
        <v>4105</v>
      </c>
      <c r="H401"/>
      <c r="I401" t="s">
        <v>4098</v>
      </c>
      <c r="J401" t="b">
        <v>1</v>
      </c>
      <c r="K401" t="b">
        <v>0</v>
      </c>
      <c r="L401" t="b">
        <v>1</v>
      </c>
      <c r="M401" t="b">
        <v>1</v>
      </c>
      <c r="N401" t="b">
        <v>0</v>
      </c>
      <c r="O401" t="s">
        <v>4099</v>
      </c>
      <c r="P401">
        <v>15.59</v>
      </c>
      <c r="Q401">
        <v>8.8000000000000007</v>
      </c>
      <c r="R401">
        <v>24.4</v>
      </c>
      <c r="S401">
        <v>82</v>
      </c>
      <c r="T401">
        <v>42</v>
      </c>
      <c r="U401">
        <v>29</v>
      </c>
      <c r="V401">
        <v>820</v>
      </c>
      <c r="W401" s="281">
        <v>41845</v>
      </c>
      <c r="X401" s="282"/>
      <c r="Z401" s="9" t="b">
        <f t="shared" si="85"/>
        <v>0</v>
      </c>
      <c r="AA401" s="9" t="str">
        <f t="shared" si="84"/>
        <v>7-BI</v>
      </c>
      <c r="AB401" s="196">
        <f t="shared" si="86"/>
        <v>31.078000000000003</v>
      </c>
      <c r="AC401" s="9">
        <f>VLOOKUP(AA401,'Federal Standards'!$N$9:$P$50,2,FALSE)</f>
        <v>10.25</v>
      </c>
      <c r="AD401" s="44">
        <f>VLOOKUP(AA401,'Federal Standards'!$N$9:$P$50,3,FALSE)</f>
        <v>502.6</v>
      </c>
      <c r="AE401" s="44">
        <f t="shared" si="87"/>
        <v>821.14949999999999</v>
      </c>
      <c r="AF401" s="283">
        <f t="shared" si="88"/>
        <v>1.1494999999999891</v>
      </c>
      <c r="AG401" s="291">
        <f t="shared" si="97"/>
        <v>1.399866893909074E-3</v>
      </c>
      <c r="AH401" s="184" t="str">
        <f t="shared" si="89"/>
        <v>YES</v>
      </c>
      <c r="AJ401" s="9" t="str">
        <f t="shared" si="90"/>
        <v>NO</v>
      </c>
      <c r="AK401" s="9" t="str">
        <f t="shared" si="91"/>
        <v>NO</v>
      </c>
      <c r="AL401" s="9" t="str">
        <f t="shared" si="92"/>
        <v>NO</v>
      </c>
      <c r="AM401" s="9" t="str">
        <f t="shared" si="93"/>
        <v>NO</v>
      </c>
      <c r="AN401" s="9" t="str">
        <f t="shared" si="94"/>
        <v>Less than 10% better than Standard</v>
      </c>
      <c r="AO401" s="9" t="str">
        <f t="shared" si="95"/>
        <v>7-BI_Less than 10% better than Standard</v>
      </c>
      <c r="AP401" s="9" t="str">
        <f t="shared" si="96"/>
        <v>7-BI_NO</v>
      </c>
    </row>
    <row r="402" spans="1:42">
      <c r="A402">
        <v>85664</v>
      </c>
      <c r="B402" t="s">
        <v>4424</v>
      </c>
      <c r="C402" t="s">
        <v>1638</v>
      </c>
      <c r="D402" t="s">
        <v>4262</v>
      </c>
      <c r="E402" t="s">
        <v>4179</v>
      </c>
      <c r="F402" t="s">
        <v>162</v>
      </c>
      <c r="G402" t="s">
        <v>4105</v>
      </c>
      <c r="H402"/>
      <c r="I402" t="s">
        <v>4098</v>
      </c>
      <c r="J402" t="b">
        <v>1</v>
      </c>
      <c r="K402" t="b">
        <v>0</v>
      </c>
      <c r="L402" t="b">
        <v>1</v>
      </c>
      <c r="M402" t="b">
        <v>1</v>
      </c>
      <c r="N402" t="b">
        <v>0</v>
      </c>
      <c r="O402" t="s">
        <v>4099</v>
      </c>
      <c r="P402">
        <v>18.64</v>
      </c>
      <c r="Q402">
        <v>9.9700000000000006</v>
      </c>
      <c r="R402">
        <v>28.6</v>
      </c>
      <c r="S402">
        <v>82</v>
      </c>
      <c r="T402">
        <v>48</v>
      </c>
      <c r="U402">
        <v>29</v>
      </c>
      <c r="V402">
        <v>873</v>
      </c>
      <c r="W402" s="281">
        <v>41845</v>
      </c>
      <c r="X402" s="282"/>
      <c r="Z402" s="9" t="b">
        <f t="shared" si="85"/>
        <v>0</v>
      </c>
      <c r="AA402" s="9" t="str">
        <f t="shared" si="84"/>
        <v>7-BI</v>
      </c>
      <c r="AB402" s="196">
        <f t="shared" si="86"/>
        <v>36.187200000000004</v>
      </c>
      <c r="AC402" s="9">
        <f>VLOOKUP(AA402,'Federal Standards'!$N$9:$P$50,2,FALSE)</f>
        <v>10.25</v>
      </c>
      <c r="AD402" s="44">
        <f>VLOOKUP(AA402,'Federal Standards'!$N$9:$P$50,3,FALSE)</f>
        <v>502.6</v>
      </c>
      <c r="AE402" s="44">
        <f t="shared" si="87"/>
        <v>873.51880000000006</v>
      </c>
      <c r="AF402" s="283">
        <f t="shared" si="88"/>
        <v>0.51880000000005566</v>
      </c>
      <c r="AG402" s="291">
        <f t="shared" si="97"/>
        <v>5.9391967293669654E-4</v>
      </c>
      <c r="AH402" s="184" t="str">
        <f t="shared" si="89"/>
        <v>YES</v>
      </c>
      <c r="AJ402" s="9" t="str">
        <f t="shared" si="90"/>
        <v>NO</v>
      </c>
      <c r="AK402" s="9" t="str">
        <f t="shared" si="91"/>
        <v>NO</v>
      </c>
      <c r="AL402" s="9" t="str">
        <f t="shared" si="92"/>
        <v>NO</v>
      </c>
      <c r="AM402" s="9" t="str">
        <f t="shared" si="93"/>
        <v>NO</v>
      </c>
      <c r="AN402" s="9" t="str">
        <f t="shared" si="94"/>
        <v>Less than 10% better than Standard</v>
      </c>
      <c r="AO402" s="9" t="str">
        <f t="shared" si="95"/>
        <v>7-BI_Less than 10% better than Standard</v>
      </c>
      <c r="AP402" s="9" t="str">
        <f t="shared" si="96"/>
        <v>7-BI_NO</v>
      </c>
    </row>
    <row r="403" spans="1:42">
      <c r="A403">
        <v>86192</v>
      </c>
      <c r="B403" t="s">
        <v>4424</v>
      </c>
      <c r="C403" t="s">
        <v>176</v>
      </c>
      <c r="D403" t="s">
        <v>4425</v>
      </c>
      <c r="E403" t="s">
        <v>4109</v>
      </c>
      <c r="F403" t="s">
        <v>162</v>
      </c>
      <c r="G403" t="s">
        <v>4105</v>
      </c>
      <c r="H403"/>
      <c r="I403" t="s">
        <v>4170</v>
      </c>
      <c r="J403" t="b">
        <v>0</v>
      </c>
      <c r="K403" t="b">
        <v>0</v>
      </c>
      <c r="L403" t="b">
        <v>1</v>
      </c>
      <c r="M403" t="b">
        <v>0</v>
      </c>
      <c r="N403" t="b">
        <v>1</v>
      </c>
      <c r="O403" t="s">
        <v>4099</v>
      </c>
      <c r="P403">
        <v>11.79</v>
      </c>
      <c r="Q403">
        <v>5.72</v>
      </c>
      <c r="R403">
        <v>17.5</v>
      </c>
      <c r="S403">
        <v>71</v>
      </c>
      <c r="T403">
        <v>33</v>
      </c>
      <c r="U403">
        <v>31</v>
      </c>
      <c r="V403">
        <v>594</v>
      </c>
      <c r="W403" s="281">
        <v>41870</v>
      </c>
      <c r="X403" s="282"/>
      <c r="Z403" s="9" t="b">
        <f t="shared" si="85"/>
        <v>0</v>
      </c>
      <c r="AA403" s="9" t="str">
        <f t="shared" si="84"/>
        <v>5I</v>
      </c>
      <c r="AB403" s="196">
        <f t="shared" si="86"/>
        <v>21.857199999999999</v>
      </c>
      <c r="AC403" s="9">
        <f>VLOOKUP(AA403,'Federal Standards'!$N$9:$P$50,2,FALSE)</f>
        <v>8.85</v>
      </c>
      <c r="AD403" s="44">
        <f>VLOOKUP(AA403,'Federal Standards'!$N$9:$P$50,3,FALSE)</f>
        <v>401</v>
      </c>
      <c r="AE403" s="44">
        <f t="shared" si="87"/>
        <v>594.43622000000005</v>
      </c>
      <c r="AF403" s="283">
        <f t="shared" si="88"/>
        <v>0.43622000000004846</v>
      </c>
      <c r="AG403" s="291">
        <f t="shared" si="97"/>
        <v>7.3383819041182997E-4</v>
      </c>
      <c r="AH403" s="184" t="str">
        <f t="shared" si="89"/>
        <v>YES</v>
      </c>
      <c r="AJ403" s="9" t="str">
        <f t="shared" si="90"/>
        <v>NO</v>
      </c>
      <c r="AK403" s="9" t="str">
        <f t="shared" si="91"/>
        <v>NO</v>
      </c>
      <c r="AL403" s="9" t="str">
        <f t="shared" si="92"/>
        <v>NO</v>
      </c>
      <c r="AM403" s="9" t="str">
        <f t="shared" si="93"/>
        <v>NO</v>
      </c>
      <c r="AN403" s="9" t="str">
        <f t="shared" si="94"/>
        <v>Less than 10% better than Standard</v>
      </c>
      <c r="AO403" s="9" t="str">
        <f t="shared" si="95"/>
        <v>5I_Less than 10% better than Standard</v>
      </c>
      <c r="AP403" s="9" t="str">
        <f t="shared" si="96"/>
        <v>5I_NO</v>
      </c>
    </row>
    <row r="404" spans="1:42">
      <c r="A404">
        <v>86193</v>
      </c>
      <c r="B404" t="s">
        <v>4424</v>
      </c>
      <c r="C404" t="s">
        <v>176</v>
      </c>
      <c r="D404" t="s">
        <v>4426</v>
      </c>
      <c r="E404" t="s">
        <v>4109</v>
      </c>
      <c r="F404" t="s">
        <v>162</v>
      </c>
      <c r="G404" t="s">
        <v>4105</v>
      </c>
      <c r="H404"/>
      <c r="I404" t="s">
        <v>4170</v>
      </c>
      <c r="J404" t="b">
        <v>0</v>
      </c>
      <c r="K404" t="b">
        <v>0</v>
      </c>
      <c r="L404" t="b">
        <v>1</v>
      </c>
      <c r="M404" t="b">
        <v>0</v>
      </c>
      <c r="N404" t="b">
        <v>1</v>
      </c>
      <c r="O404" t="s">
        <v>4099</v>
      </c>
      <c r="P404">
        <v>12.85</v>
      </c>
      <c r="Q404">
        <v>6.58</v>
      </c>
      <c r="R404">
        <v>19.399999999999999</v>
      </c>
      <c r="S404">
        <v>71</v>
      </c>
      <c r="T404">
        <v>33</v>
      </c>
      <c r="U404">
        <v>33</v>
      </c>
      <c r="V404">
        <v>617</v>
      </c>
      <c r="W404" s="281">
        <v>41870</v>
      </c>
      <c r="X404" s="282"/>
      <c r="Z404" s="9" t="b">
        <f t="shared" si="85"/>
        <v>0</v>
      </c>
      <c r="AA404" s="9" t="str">
        <f t="shared" si="84"/>
        <v>5I</v>
      </c>
      <c r="AB404" s="196">
        <f t="shared" si="86"/>
        <v>24.430799999999998</v>
      </c>
      <c r="AC404" s="9">
        <f>VLOOKUP(AA404,'Federal Standards'!$N$9:$P$50,2,FALSE)</f>
        <v>8.85</v>
      </c>
      <c r="AD404" s="44">
        <f>VLOOKUP(AA404,'Federal Standards'!$N$9:$P$50,3,FALSE)</f>
        <v>401</v>
      </c>
      <c r="AE404" s="44">
        <f t="shared" si="87"/>
        <v>617.21258</v>
      </c>
      <c r="AF404" s="283">
        <f t="shared" si="88"/>
        <v>0.21258000000000266</v>
      </c>
      <c r="AG404" s="291">
        <f t="shared" si="97"/>
        <v>3.4441942191133345E-4</v>
      </c>
      <c r="AH404" s="184" t="str">
        <f t="shared" si="89"/>
        <v>YES</v>
      </c>
      <c r="AJ404" s="9" t="str">
        <f t="shared" si="90"/>
        <v>NO</v>
      </c>
      <c r="AK404" s="9" t="str">
        <f t="shared" si="91"/>
        <v>NO</v>
      </c>
      <c r="AL404" s="9" t="str">
        <f t="shared" si="92"/>
        <v>NO</v>
      </c>
      <c r="AM404" s="9" t="str">
        <f t="shared" si="93"/>
        <v>NO</v>
      </c>
      <c r="AN404" s="9" t="str">
        <f t="shared" si="94"/>
        <v>Less than 10% better than Standard</v>
      </c>
      <c r="AO404" s="9" t="str">
        <f t="shared" si="95"/>
        <v>5I_Less than 10% better than Standard</v>
      </c>
      <c r="AP404" s="9" t="str">
        <f t="shared" si="96"/>
        <v>5I_NO</v>
      </c>
    </row>
    <row r="405" spans="1:42">
      <c r="A405">
        <v>84909</v>
      </c>
      <c r="B405" t="s">
        <v>4424</v>
      </c>
      <c r="C405" t="s">
        <v>176</v>
      </c>
      <c r="D405" t="s">
        <v>1370</v>
      </c>
      <c r="E405" t="s">
        <v>4109</v>
      </c>
      <c r="F405" t="s">
        <v>162</v>
      </c>
      <c r="G405" t="s">
        <v>4105</v>
      </c>
      <c r="H405"/>
      <c r="I405" t="s">
        <v>4170</v>
      </c>
      <c r="J405" t="b">
        <v>0</v>
      </c>
      <c r="K405" t="b">
        <v>0</v>
      </c>
      <c r="L405" t="b">
        <v>1</v>
      </c>
      <c r="M405" t="b">
        <v>1</v>
      </c>
      <c r="N405" t="b">
        <v>1</v>
      </c>
      <c r="O405" t="s">
        <v>4099</v>
      </c>
      <c r="P405">
        <v>15.7</v>
      </c>
      <c r="Q405">
        <v>6.8</v>
      </c>
      <c r="R405">
        <v>22.5</v>
      </c>
      <c r="S405">
        <v>70</v>
      </c>
      <c r="T405">
        <v>36</v>
      </c>
      <c r="U405">
        <v>32</v>
      </c>
      <c r="V405">
        <v>699</v>
      </c>
      <c r="W405" s="281">
        <v>41814</v>
      </c>
      <c r="X405" s="282"/>
      <c r="Z405" s="9" t="b">
        <f t="shared" si="85"/>
        <v>0</v>
      </c>
      <c r="AA405" s="9" t="str">
        <f t="shared" si="84"/>
        <v>5A</v>
      </c>
      <c r="AB405" s="196">
        <f t="shared" si="86"/>
        <v>27.667999999999999</v>
      </c>
      <c r="AC405" s="9">
        <f>VLOOKUP(AA405,'Federal Standards'!$N$9:$P$50,2,FALSE)</f>
        <v>9.25</v>
      </c>
      <c r="AD405" s="44">
        <f>VLOOKUP(AA405,'Federal Standards'!$N$9:$P$50,3,FALSE)</f>
        <v>475.4</v>
      </c>
      <c r="AE405" s="44">
        <f t="shared" si="87"/>
        <v>731.32899999999995</v>
      </c>
      <c r="AF405" s="283">
        <f t="shared" si="88"/>
        <v>32.328999999999951</v>
      </c>
      <c r="AG405" s="291">
        <f t="shared" si="97"/>
        <v>4.4205822550452606E-2</v>
      </c>
      <c r="AH405" s="184" t="str">
        <f t="shared" si="89"/>
        <v>YES</v>
      </c>
      <c r="AJ405" s="9" t="str">
        <f t="shared" si="90"/>
        <v>NO</v>
      </c>
      <c r="AK405" s="9" t="str">
        <f t="shared" si="91"/>
        <v>NO</v>
      </c>
      <c r="AL405" s="9" t="str">
        <f t="shared" si="92"/>
        <v>NO</v>
      </c>
      <c r="AM405" s="9" t="str">
        <f t="shared" si="93"/>
        <v>NO</v>
      </c>
      <c r="AN405" s="9" t="str">
        <f t="shared" si="94"/>
        <v>Less than 10% better than Standard</v>
      </c>
      <c r="AO405" s="9" t="str">
        <f t="shared" si="95"/>
        <v>5A_Less than 10% better than Standard</v>
      </c>
      <c r="AP405" s="9" t="str">
        <f t="shared" si="96"/>
        <v>5A_NO</v>
      </c>
    </row>
    <row r="406" spans="1:42">
      <c r="A406">
        <v>84911</v>
      </c>
      <c r="B406" t="s">
        <v>4424</v>
      </c>
      <c r="C406" t="s">
        <v>176</v>
      </c>
      <c r="D406" t="s">
        <v>1374</v>
      </c>
      <c r="E406" t="s">
        <v>4109</v>
      </c>
      <c r="F406" t="s">
        <v>162</v>
      </c>
      <c r="G406" t="s">
        <v>4105</v>
      </c>
      <c r="H406"/>
      <c r="I406" t="s">
        <v>4170</v>
      </c>
      <c r="J406" t="b">
        <v>0</v>
      </c>
      <c r="K406" t="b">
        <v>0</v>
      </c>
      <c r="L406" t="b">
        <v>1</v>
      </c>
      <c r="M406" t="b">
        <v>1</v>
      </c>
      <c r="N406" t="b">
        <v>1</v>
      </c>
      <c r="O406" t="s">
        <v>4099</v>
      </c>
      <c r="P406">
        <v>16.100000000000001</v>
      </c>
      <c r="Q406">
        <v>6.5</v>
      </c>
      <c r="R406">
        <v>22.6</v>
      </c>
      <c r="S406">
        <v>70</v>
      </c>
      <c r="T406">
        <v>36</v>
      </c>
      <c r="U406">
        <v>32</v>
      </c>
      <c r="V406">
        <v>665</v>
      </c>
      <c r="W406" s="281">
        <v>41814</v>
      </c>
      <c r="X406" s="282"/>
      <c r="Z406" s="9" t="b">
        <f t="shared" si="85"/>
        <v>0</v>
      </c>
      <c r="AA406" s="9" t="str">
        <f t="shared" si="84"/>
        <v>5A</v>
      </c>
      <c r="AB406" s="196">
        <f t="shared" si="86"/>
        <v>27.54</v>
      </c>
      <c r="AC406" s="9">
        <f>VLOOKUP(AA406,'Federal Standards'!$N$9:$P$50,2,FALSE)</f>
        <v>9.25</v>
      </c>
      <c r="AD406" s="44">
        <f>VLOOKUP(AA406,'Federal Standards'!$N$9:$P$50,3,FALSE)</f>
        <v>475.4</v>
      </c>
      <c r="AE406" s="44">
        <f t="shared" si="87"/>
        <v>730.14499999999998</v>
      </c>
      <c r="AF406" s="283">
        <f t="shared" si="88"/>
        <v>65.144999999999982</v>
      </c>
      <c r="AG406" s="291">
        <f t="shared" si="97"/>
        <v>8.9222003848550613E-2</v>
      </c>
      <c r="AH406" s="184" t="str">
        <f t="shared" si="89"/>
        <v>YES</v>
      </c>
      <c r="AJ406" s="9" t="str">
        <f t="shared" si="90"/>
        <v>NO</v>
      </c>
      <c r="AK406" s="9" t="str">
        <f t="shared" si="91"/>
        <v>NO</v>
      </c>
      <c r="AL406" s="9" t="str">
        <f t="shared" si="92"/>
        <v>NO</v>
      </c>
      <c r="AM406" s="9" t="str">
        <f t="shared" si="93"/>
        <v>NO</v>
      </c>
      <c r="AN406" s="9" t="str">
        <f t="shared" si="94"/>
        <v>Less than 10% better than Standard</v>
      </c>
      <c r="AO406" s="9" t="str">
        <f t="shared" si="95"/>
        <v>5A_Less than 10% better than Standard</v>
      </c>
      <c r="AP406" s="9" t="str">
        <f t="shared" si="96"/>
        <v>5A_NO</v>
      </c>
    </row>
    <row r="407" spans="1:42">
      <c r="A407">
        <v>85172</v>
      </c>
      <c r="B407" t="s">
        <v>4424</v>
      </c>
      <c r="C407" t="s">
        <v>176</v>
      </c>
      <c r="D407" t="s">
        <v>1376</v>
      </c>
      <c r="E407" t="s">
        <v>4109</v>
      </c>
      <c r="F407" t="s">
        <v>162</v>
      </c>
      <c r="G407" t="s">
        <v>4105</v>
      </c>
      <c r="H407"/>
      <c r="I407" t="s">
        <v>4170</v>
      </c>
      <c r="J407" t="b">
        <v>0</v>
      </c>
      <c r="K407" t="b">
        <v>0</v>
      </c>
      <c r="L407" t="b">
        <v>1</v>
      </c>
      <c r="M407" t="b">
        <v>1</v>
      </c>
      <c r="N407" t="b">
        <v>1</v>
      </c>
      <c r="O407" t="s">
        <v>4099</v>
      </c>
      <c r="P407">
        <v>15.63</v>
      </c>
      <c r="Q407">
        <v>6.87</v>
      </c>
      <c r="R407">
        <v>22.5</v>
      </c>
      <c r="S407">
        <v>70</v>
      </c>
      <c r="T407">
        <v>36</v>
      </c>
      <c r="U407">
        <v>32</v>
      </c>
      <c r="V407">
        <v>699</v>
      </c>
      <c r="W407" s="281">
        <v>41828</v>
      </c>
      <c r="X407" s="282"/>
      <c r="Z407" s="9" t="b">
        <f t="shared" si="85"/>
        <v>0</v>
      </c>
      <c r="AA407" s="9" t="str">
        <f t="shared" si="84"/>
        <v>5A</v>
      </c>
      <c r="AB407" s="196">
        <f t="shared" si="86"/>
        <v>27.721200000000003</v>
      </c>
      <c r="AC407" s="9">
        <f>VLOOKUP(AA407,'Federal Standards'!$N$9:$P$50,2,FALSE)</f>
        <v>9.25</v>
      </c>
      <c r="AD407" s="44">
        <f>VLOOKUP(AA407,'Federal Standards'!$N$9:$P$50,3,FALSE)</f>
        <v>475.4</v>
      </c>
      <c r="AE407" s="44">
        <f t="shared" si="87"/>
        <v>731.8211</v>
      </c>
      <c r="AF407" s="283">
        <f t="shared" si="88"/>
        <v>32.821100000000001</v>
      </c>
      <c r="AG407" s="291">
        <f t="shared" si="97"/>
        <v>4.4848529237541797E-2</v>
      </c>
      <c r="AH407" s="184" t="str">
        <f t="shared" si="89"/>
        <v>YES</v>
      </c>
      <c r="AJ407" s="9" t="str">
        <f t="shared" si="90"/>
        <v>NO</v>
      </c>
      <c r="AK407" s="9" t="str">
        <f t="shared" si="91"/>
        <v>NO</v>
      </c>
      <c r="AL407" s="9" t="str">
        <f t="shared" si="92"/>
        <v>NO</v>
      </c>
      <c r="AM407" s="9" t="str">
        <f t="shared" si="93"/>
        <v>NO</v>
      </c>
      <c r="AN407" s="9" t="str">
        <f t="shared" si="94"/>
        <v>Less than 10% better than Standard</v>
      </c>
      <c r="AO407" s="9" t="str">
        <f t="shared" si="95"/>
        <v>5A_Less than 10% better than Standard</v>
      </c>
      <c r="AP407" s="9" t="str">
        <f t="shared" si="96"/>
        <v>5A_NO</v>
      </c>
    </row>
    <row r="408" spans="1:42">
      <c r="A408">
        <v>84912</v>
      </c>
      <c r="B408" t="s">
        <v>4424</v>
      </c>
      <c r="C408" t="s">
        <v>176</v>
      </c>
      <c r="D408" t="s">
        <v>1392</v>
      </c>
      <c r="E408" t="s">
        <v>4109</v>
      </c>
      <c r="F408" t="s">
        <v>162</v>
      </c>
      <c r="G408" t="s">
        <v>4105</v>
      </c>
      <c r="H408"/>
      <c r="I408" t="s">
        <v>4170</v>
      </c>
      <c r="J408" t="b">
        <v>0</v>
      </c>
      <c r="K408" t="b">
        <v>0</v>
      </c>
      <c r="L408" t="b">
        <v>1</v>
      </c>
      <c r="M408" t="b">
        <v>0</v>
      </c>
      <c r="N408" t="b">
        <v>1</v>
      </c>
      <c r="O408" t="s">
        <v>4099</v>
      </c>
      <c r="P408">
        <v>17.5</v>
      </c>
      <c r="Q408">
        <v>8</v>
      </c>
      <c r="R408">
        <v>25.5</v>
      </c>
      <c r="S408">
        <v>70</v>
      </c>
      <c r="T408">
        <v>36</v>
      </c>
      <c r="U408">
        <v>36</v>
      </c>
      <c r="V408">
        <v>535</v>
      </c>
      <c r="W408" s="281">
        <v>41814</v>
      </c>
      <c r="X408" s="282"/>
      <c r="Z408" s="9" t="b">
        <f t="shared" si="85"/>
        <v>0</v>
      </c>
      <c r="AA408" s="9" t="str">
        <f t="shared" si="84"/>
        <v>5I</v>
      </c>
      <c r="AB408" s="196">
        <f t="shared" si="86"/>
        <v>31.58</v>
      </c>
      <c r="AC408" s="9">
        <f>VLOOKUP(AA408,'Federal Standards'!$N$9:$P$50,2,FALSE)</f>
        <v>8.85</v>
      </c>
      <c r="AD408" s="44">
        <f>VLOOKUP(AA408,'Federal Standards'!$N$9:$P$50,3,FALSE)</f>
        <v>401</v>
      </c>
      <c r="AE408" s="44">
        <f t="shared" si="87"/>
        <v>680.48299999999995</v>
      </c>
      <c r="AF408" s="283">
        <f t="shared" si="88"/>
        <v>145.48299999999995</v>
      </c>
      <c r="AG408" s="291">
        <f t="shared" si="97"/>
        <v>0.213793731805203</v>
      </c>
      <c r="AH408" s="184" t="str">
        <f t="shared" si="89"/>
        <v>YES</v>
      </c>
      <c r="AJ408" s="9" t="str">
        <f t="shared" si="90"/>
        <v>YES</v>
      </c>
      <c r="AK408" s="9" t="str">
        <f t="shared" si="91"/>
        <v>NO</v>
      </c>
      <c r="AL408" s="9" t="str">
        <f t="shared" si="92"/>
        <v>NO</v>
      </c>
      <c r="AM408" s="9" t="str">
        <f t="shared" si="93"/>
        <v>YES</v>
      </c>
      <c r="AN408" s="9" t="str">
        <f t="shared" si="94"/>
        <v>Tier 3 - 20%  or better than Standard</v>
      </c>
      <c r="AO408" s="9" t="str">
        <f t="shared" si="95"/>
        <v>5I_Tier 3 - 20%  or better than Standard</v>
      </c>
      <c r="AP408" s="9" t="str">
        <f t="shared" si="96"/>
        <v>5I_YES</v>
      </c>
    </row>
    <row r="409" spans="1:42">
      <c r="A409">
        <v>84913</v>
      </c>
      <c r="B409" t="s">
        <v>4424</v>
      </c>
      <c r="C409" t="s">
        <v>176</v>
      </c>
      <c r="D409" t="s">
        <v>1394</v>
      </c>
      <c r="E409" t="s">
        <v>4109</v>
      </c>
      <c r="F409" t="s">
        <v>162</v>
      </c>
      <c r="G409" t="s">
        <v>4105</v>
      </c>
      <c r="H409"/>
      <c r="I409" t="s">
        <v>4170</v>
      </c>
      <c r="J409" t="b">
        <v>0</v>
      </c>
      <c r="K409" t="b">
        <v>0</v>
      </c>
      <c r="L409" t="b">
        <v>1</v>
      </c>
      <c r="M409" t="b">
        <v>1</v>
      </c>
      <c r="N409" t="b">
        <v>1</v>
      </c>
      <c r="O409" t="s">
        <v>4099</v>
      </c>
      <c r="P409">
        <v>18.899999999999999</v>
      </c>
      <c r="Q409">
        <v>8.9</v>
      </c>
      <c r="R409">
        <v>27.8</v>
      </c>
      <c r="S409">
        <v>70</v>
      </c>
      <c r="T409">
        <v>36</v>
      </c>
      <c r="U409">
        <v>36</v>
      </c>
      <c r="V409">
        <v>724</v>
      </c>
      <c r="W409" s="281">
        <v>41814</v>
      </c>
      <c r="X409" s="282"/>
      <c r="Z409" s="9" t="b">
        <f t="shared" si="85"/>
        <v>0</v>
      </c>
      <c r="AA409" s="9" t="str">
        <f t="shared" si="84"/>
        <v>5A</v>
      </c>
      <c r="AB409" s="196">
        <f t="shared" si="86"/>
        <v>34.564</v>
      </c>
      <c r="AC409" s="9">
        <f>VLOOKUP(AA409,'Federal Standards'!$N$9:$P$50,2,FALSE)</f>
        <v>9.25</v>
      </c>
      <c r="AD409" s="44">
        <f>VLOOKUP(AA409,'Federal Standards'!$N$9:$P$50,3,FALSE)</f>
        <v>475.4</v>
      </c>
      <c r="AE409" s="44">
        <f t="shared" si="87"/>
        <v>795.11699999999996</v>
      </c>
      <c r="AF409" s="283">
        <f t="shared" si="88"/>
        <v>71.116999999999962</v>
      </c>
      <c r="AG409" s="291">
        <f t="shared" si="97"/>
        <v>8.9442182722794208E-2</v>
      </c>
      <c r="AH409" s="184" t="str">
        <f t="shared" si="89"/>
        <v>YES</v>
      </c>
      <c r="AJ409" s="9" t="str">
        <f t="shared" si="90"/>
        <v>NO</v>
      </c>
      <c r="AK409" s="9" t="str">
        <f t="shared" si="91"/>
        <v>NO</v>
      </c>
      <c r="AL409" s="9" t="str">
        <f t="shared" si="92"/>
        <v>NO</v>
      </c>
      <c r="AM409" s="9" t="str">
        <f t="shared" si="93"/>
        <v>NO</v>
      </c>
      <c r="AN409" s="9" t="str">
        <f t="shared" si="94"/>
        <v>Less than 10% better than Standard</v>
      </c>
      <c r="AO409" s="9" t="str">
        <f t="shared" si="95"/>
        <v>5A_Less than 10% better than Standard</v>
      </c>
      <c r="AP409" s="9" t="str">
        <f t="shared" si="96"/>
        <v>5A_NO</v>
      </c>
    </row>
    <row r="410" spans="1:42">
      <c r="A410">
        <v>84915</v>
      </c>
      <c r="B410" t="s">
        <v>4424</v>
      </c>
      <c r="C410" t="s">
        <v>176</v>
      </c>
      <c r="D410" t="s">
        <v>1400</v>
      </c>
      <c r="E410" t="s">
        <v>4109</v>
      </c>
      <c r="F410" t="s">
        <v>162</v>
      </c>
      <c r="G410" t="s">
        <v>4105</v>
      </c>
      <c r="H410"/>
      <c r="I410" t="s">
        <v>4170</v>
      </c>
      <c r="J410" t="b">
        <v>0</v>
      </c>
      <c r="K410" t="b">
        <v>0</v>
      </c>
      <c r="L410" t="b">
        <v>1</v>
      </c>
      <c r="M410" t="b">
        <v>1</v>
      </c>
      <c r="N410" t="b">
        <v>1</v>
      </c>
      <c r="O410" t="s">
        <v>4099</v>
      </c>
      <c r="P410">
        <v>19.14</v>
      </c>
      <c r="Q410">
        <v>8.93</v>
      </c>
      <c r="R410">
        <v>28.07</v>
      </c>
      <c r="S410">
        <v>70</v>
      </c>
      <c r="T410">
        <v>36</v>
      </c>
      <c r="U410">
        <v>36</v>
      </c>
      <c r="V410">
        <v>725</v>
      </c>
      <c r="W410" s="281">
        <v>41814</v>
      </c>
      <c r="X410" s="282"/>
      <c r="Z410" s="9" t="b">
        <f t="shared" si="85"/>
        <v>0</v>
      </c>
      <c r="AA410" s="9" t="str">
        <f t="shared" si="84"/>
        <v>5A</v>
      </c>
      <c r="AB410" s="196">
        <f t="shared" si="86"/>
        <v>34.8568</v>
      </c>
      <c r="AC410" s="9">
        <f>VLOOKUP(AA410,'Federal Standards'!$N$9:$P$50,2,FALSE)</f>
        <v>9.25</v>
      </c>
      <c r="AD410" s="44">
        <f>VLOOKUP(AA410,'Federal Standards'!$N$9:$P$50,3,FALSE)</f>
        <v>475.4</v>
      </c>
      <c r="AE410" s="44">
        <f t="shared" si="87"/>
        <v>797.82539999999995</v>
      </c>
      <c r="AF410" s="283">
        <f t="shared" si="88"/>
        <v>72.825399999999945</v>
      </c>
      <c r="AG410" s="291">
        <f t="shared" si="97"/>
        <v>9.1279871510733995E-2</v>
      </c>
      <c r="AH410" s="184" t="str">
        <f t="shared" si="89"/>
        <v>YES</v>
      </c>
      <c r="AJ410" s="9" t="str">
        <f t="shared" si="90"/>
        <v>NO</v>
      </c>
      <c r="AK410" s="9" t="str">
        <f t="shared" si="91"/>
        <v>NO</v>
      </c>
      <c r="AL410" s="9" t="str">
        <f t="shared" si="92"/>
        <v>NO</v>
      </c>
      <c r="AM410" s="9" t="str">
        <f t="shared" si="93"/>
        <v>NO</v>
      </c>
      <c r="AN410" s="9" t="str">
        <f t="shared" si="94"/>
        <v>Less than 10% better than Standard</v>
      </c>
      <c r="AO410" s="9" t="str">
        <f t="shared" si="95"/>
        <v>5A_Less than 10% better than Standard</v>
      </c>
      <c r="AP410" s="9" t="str">
        <f t="shared" si="96"/>
        <v>5A_NO</v>
      </c>
    </row>
    <row r="411" spans="1:42">
      <c r="A411">
        <v>84916</v>
      </c>
      <c r="B411" t="s">
        <v>4424</v>
      </c>
      <c r="C411" t="s">
        <v>176</v>
      </c>
      <c r="D411" t="s">
        <v>1402</v>
      </c>
      <c r="E411" t="s">
        <v>4109</v>
      </c>
      <c r="F411" t="s">
        <v>162</v>
      </c>
      <c r="G411" t="s">
        <v>4105</v>
      </c>
      <c r="H411"/>
      <c r="I411" t="s">
        <v>4170</v>
      </c>
      <c r="J411" t="b">
        <v>0</v>
      </c>
      <c r="K411" t="b">
        <v>0</v>
      </c>
      <c r="L411" t="b">
        <v>1</v>
      </c>
      <c r="M411" t="b">
        <v>1</v>
      </c>
      <c r="N411" t="b">
        <v>1</v>
      </c>
      <c r="O411" t="s">
        <v>4099</v>
      </c>
      <c r="P411">
        <v>19.14</v>
      </c>
      <c r="Q411">
        <v>8.93</v>
      </c>
      <c r="R411">
        <v>28.07</v>
      </c>
      <c r="S411">
        <v>70</v>
      </c>
      <c r="T411">
        <v>36</v>
      </c>
      <c r="U411">
        <v>36</v>
      </c>
      <c r="V411">
        <v>619</v>
      </c>
      <c r="W411" s="281">
        <v>41814</v>
      </c>
      <c r="X411" s="282"/>
      <c r="Z411" s="9" t="b">
        <f t="shared" si="85"/>
        <v>0</v>
      </c>
      <c r="AA411" s="9" t="str">
        <f t="shared" si="84"/>
        <v>5A</v>
      </c>
      <c r="AB411" s="196">
        <f t="shared" si="86"/>
        <v>34.8568</v>
      </c>
      <c r="AC411" s="9">
        <f>VLOOKUP(AA411,'Federal Standards'!$N$9:$P$50,2,FALSE)</f>
        <v>9.25</v>
      </c>
      <c r="AD411" s="44">
        <f>VLOOKUP(AA411,'Federal Standards'!$N$9:$P$50,3,FALSE)</f>
        <v>475.4</v>
      </c>
      <c r="AE411" s="44">
        <f t="shared" si="87"/>
        <v>797.82539999999995</v>
      </c>
      <c r="AF411" s="283">
        <f t="shared" si="88"/>
        <v>178.82539999999995</v>
      </c>
      <c r="AG411" s="291">
        <f t="shared" si="97"/>
        <v>0.22414102133123356</v>
      </c>
      <c r="AH411" s="184" t="str">
        <f t="shared" si="89"/>
        <v>YES</v>
      </c>
      <c r="AJ411" s="9" t="str">
        <f t="shared" si="90"/>
        <v>YES</v>
      </c>
      <c r="AK411" s="9" t="str">
        <f t="shared" si="91"/>
        <v>NO</v>
      </c>
      <c r="AL411" s="9" t="str">
        <f t="shared" si="92"/>
        <v>NO</v>
      </c>
      <c r="AM411" s="9" t="str">
        <f t="shared" si="93"/>
        <v>YES</v>
      </c>
      <c r="AN411" s="9" t="str">
        <f t="shared" si="94"/>
        <v>Tier 3 - 20%  or better than Standard</v>
      </c>
      <c r="AO411" s="9" t="str">
        <f t="shared" si="95"/>
        <v>5A_Tier 3 - 20%  or better than Standard</v>
      </c>
      <c r="AP411" s="9" t="str">
        <f t="shared" si="96"/>
        <v>5A_YES</v>
      </c>
    </row>
    <row r="412" spans="1:42">
      <c r="A412">
        <v>84917</v>
      </c>
      <c r="B412" t="s">
        <v>4424</v>
      </c>
      <c r="C412" t="s">
        <v>176</v>
      </c>
      <c r="D412" t="s">
        <v>1406</v>
      </c>
      <c r="E412" t="s">
        <v>4109</v>
      </c>
      <c r="F412" t="s">
        <v>162</v>
      </c>
      <c r="G412" t="s">
        <v>4105</v>
      </c>
      <c r="H412"/>
      <c r="I412" t="s">
        <v>4170</v>
      </c>
      <c r="J412" t="b">
        <v>0</v>
      </c>
      <c r="K412" t="b">
        <v>0</v>
      </c>
      <c r="L412" t="b">
        <v>1</v>
      </c>
      <c r="M412" t="b">
        <v>1</v>
      </c>
      <c r="N412" t="b">
        <v>1</v>
      </c>
      <c r="O412" t="s">
        <v>4099</v>
      </c>
      <c r="P412">
        <v>19.8</v>
      </c>
      <c r="Q412">
        <v>8.35</v>
      </c>
      <c r="R412">
        <v>28.15</v>
      </c>
      <c r="S412">
        <v>70</v>
      </c>
      <c r="T412">
        <v>36</v>
      </c>
      <c r="U412">
        <v>37</v>
      </c>
      <c r="V412">
        <v>722</v>
      </c>
      <c r="W412" s="281">
        <v>41814</v>
      </c>
      <c r="X412" s="282"/>
      <c r="Z412" s="9" t="b">
        <f t="shared" si="85"/>
        <v>0</v>
      </c>
      <c r="AA412" s="9" t="str">
        <f t="shared" si="84"/>
        <v>5A</v>
      </c>
      <c r="AB412" s="196">
        <f t="shared" si="86"/>
        <v>34.496000000000002</v>
      </c>
      <c r="AC412" s="9">
        <f>VLOOKUP(AA412,'Federal Standards'!$N$9:$P$50,2,FALSE)</f>
        <v>9.25</v>
      </c>
      <c r="AD412" s="44">
        <f>VLOOKUP(AA412,'Federal Standards'!$N$9:$P$50,3,FALSE)</f>
        <v>475.4</v>
      </c>
      <c r="AE412" s="44">
        <f t="shared" si="87"/>
        <v>794.48800000000006</v>
      </c>
      <c r="AF412" s="283">
        <f t="shared" si="88"/>
        <v>72.488000000000056</v>
      </c>
      <c r="AG412" s="291">
        <f t="shared" si="97"/>
        <v>9.1238634189566181E-2</v>
      </c>
      <c r="AH412" s="184" t="str">
        <f t="shared" si="89"/>
        <v>YES</v>
      </c>
      <c r="AJ412" s="9" t="str">
        <f t="shared" si="90"/>
        <v>NO</v>
      </c>
      <c r="AK412" s="9" t="str">
        <f t="shared" si="91"/>
        <v>NO</v>
      </c>
      <c r="AL412" s="9" t="str">
        <f t="shared" si="92"/>
        <v>NO</v>
      </c>
      <c r="AM412" s="9" t="str">
        <f t="shared" si="93"/>
        <v>NO</v>
      </c>
      <c r="AN412" s="9" t="str">
        <f t="shared" si="94"/>
        <v>Less than 10% better than Standard</v>
      </c>
      <c r="AO412" s="9" t="str">
        <f t="shared" si="95"/>
        <v>5A_Less than 10% better than Standard</v>
      </c>
      <c r="AP412" s="9" t="str">
        <f t="shared" si="96"/>
        <v>5A_NO</v>
      </c>
    </row>
    <row r="413" spans="1:42">
      <c r="A413">
        <v>84918</v>
      </c>
      <c r="B413" t="s">
        <v>4424</v>
      </c>
      <c r="C413" t="s">
        <v>176</v>
      </c>
      <c r="D413" t="s">
        <v>1408</v>
      </c>
      <c r="E413" t="s">
        <v>4109</v>
      </c>
      <c r="F413" t="s">
        <v>162</v>
      </c>
      <c r="G413" t="s">
        <v>4105</v>
      </c>
      <c r="H413"/>
      <c r="I413" t="s">
        <v>4170</v>
      </c>
      <c r="J413" t="b">
        <v>0</v>
      </c>
      <c r="K413" t="b">
        <v>0</v>
      </c>
      <c r="L413" t="b">
        <v>1</v>
      </c>
      <c r="M413" t="b">
        <v>1</v>
      </c>
      <c r="N413" t="b">
        <v>1</v>
      </c>
      <c r="O413" t="s">
        <v>4099</v>
      </c>
      <c r="P413">
        <v>20.5</v>
      </c>
      <c r="Q413">
        <v>9</v>
      </c>
      <c r="R413">
        <v>29.5</v>
      </c>
      <c r="S413">
        <v>70</v>
      </c>
      <c r="T413">
        <v>36</v>
      </c>
      <c r="U413">
        <v>38</v>
      </c>
      <c r="V413">
        <v>738</v>
      </c>
      <c r="W413" s="281">
        <v>41814</v>
      </c>
      <c r="X413" s="282"/>
      <c r="Z413" s="9" t="b">
        <f t="shared" si="85"/>
        <v>0</v>
      </c>
      <c r="AA413" s="9" t="str">
        <f t="shared" si="84"/>
        <v>5A</v>
      </c>
      <c r="AB413" s="196">
        <f t="shared" si="86"/>
        <v>36.340000000000003</v>
      </c>
      <c r="AC413" s="9">
        <f>VLOOKUP(AA413,'Federal Standards'!$N$9:$P$50,2,FALSE)</f>
        <v>9.25</v>
      </c>
      <c r="AD413" s="44">
        <f>VLOOKUP(AA413,'Federal Standards'!$N$9:$P$50,3,FALSE)</f>
        <v>475.4</v>
      </c>
      <c r="AE413" s="44">
        <f t="shared" si="87"/>
        <v>811.54500000000007</v>
      </c>
      <c r="AF413" s="283">
        <f t="shared" si="88"/>
        <v>73.545000000000073</v>
      </c>
      <c r="AG413" s="291">
        <f t="shared" si="97"/>
        <v>9.0623440474650291E-2</v>
      </c>
      <c r="AH413" s="184" t="str">
        <f t="shared" si="89"/>
        <v>YES</v>
      </c>
      <c r="AJ413" s="9" t="str">
        <f t="shared" si="90"/>
        <v>NO</v>
      </c>
      <c r="AK413" s="9" t="str">
        <f t="shared" si="91"/>
        <v>NO</v>
      </c>
      <c r="AL413" s="9" t="str">
        <f t="shared" si="92"/>
        <v>NO</v>
      </c>
      <c r="AM413" s="9" t="str">
        <f t="shared" si="93"/>
        <v>NO</v>
      </c>
      <c r="AN413" s="9" t="str">
        <f t="shared" si="94"/>
        <v>Less than 10% better than Standard</v>
      </c>
      <c r="AO413" s="9" t="str">
        <f t="shared" si="95"/>
        <v>5A_Less than 10% better than Standard</v>
      </c>
      <c r="AP413" s="9" t="str">
        <f t="shared" si="96"/>
        <v>5A_NO</v>
      </c>
    </row>
    <row r="414" spans="1:42">
      <c r="A414">
        <v>84919</v>
      </c>
      <c r="B414" t="s">
        <v>4424</v>
      </c>
      <c r="C414" t="s">
        <v>176</v>
      </c>
      <c r="D414" t="s">
        <v>1410</v>
      </c>
      <c r="E414" t="s">
        <v>4109</v>
      </c>
      <c r="F414" t="s">
        <v>162</v>
      </c>
      <c r="G414" t="s">
        <v>4105</v>
      </c>
      <c r="H414"/>
      <c r="I414" t="s">
        <v>4170</v>
      </c>
      <c r="J414" t="b">
        <v>0</v>
      </c>
      <c r="K414" t="b">
        <v>0</v>
      </c>
      <c r="L414" t="b">
        <v>1</v>
      </c>
      <c r="M414" t="b">
        <v>1</v>
      </c>
      <c r="N414" t="b">
        <v>1</v>
      </c>
      <c r="O414" t="s">
        <v>4099</v>
      </c>
      <c r="P414">
        <v>20.2</v>
      </c>
      <c r="Q414">
        <v>10</v>
      </c>
      <c r="R414">
        <v>30.2</v>
      </c>
      <c r="S414">
        <v>70</v>
      </c>
      <c r="T414">
        <v>36</v>
      </c>
      <c r="U414">
        <v>38</v>
      </c>
      <c r="V414">
        <v>751</v>
      </c>
      <c r="W414" s="281">
        <v>41814</v>
      </c>
      <c r="X414" s="282"/>
      <c r="Z414" s="9" t="b">
        <f t="shared" si="85"/>
        <v>0</v>
      </c>
      <c r="AA414" s="9" t="str">
        <f t="shared" si="84"/>
        <v>5A</v>
      </c>
      <c r="AB414" s="196">
        <f t="shared" si="86"/>
        <v>37.799999999999997</v>
      </c>
      <c r="AC414" s="9">
        <f>VLOOKUP(AA414,'Federal Standards'!$N$9:$P$50,2,FALSE)</f>
        <v>9.25</v>
      </c>
      <c r="AD414" s="44">
        <f>VLOOKUP(AA414,'Federal Standards'!$N$9:$P$50,3,FALSE)</f>
        <v>475.4</v>
      </c>
      <c r="AE414" s="44">
        <f t="shared" si="87"/>
        <v>825.05</v>
      </c>
      <c r="AF414" s="283">
        <f t="shared" si="88"/>
        <v>74.049999999999955</v>
      </c>
      <c r="AG414" s="291">
        <f t="shared" si="97"/>
        <v>8.975213623416757E-2</v>
      </c>
      <c r="AH414" s="184" t="str">
        <f t="shared" si="89"/>
        <v>YES</v>
      </c>
      <c r="AJ414" s="9" t="str">
        <f t="shared" si="90"/>
        <v>NO</v>
      </c>
      <c r="AK414" s="9" t="str">
        <f t="shared" si="91"/>
        <v>NO</v>
      </c>
      <c r="AL414" s="9" t="str">
        <f t="shared" si="92"/>
        <v>NO</v>
      </c>
      <c r="AM414" s="9" t="str">
        <f t="shared" si="93"/>
        <v>NO</v>
      </c>
      <c r="AN414" s="9" t="str">
        <f t="shared" si="94"/>
        <v>Less than 10% better than Standard</v>
      </c>
      <c r="AO414" s="9" t="str">
        <f t="shared" si="95"/>
        <v>5A_Less than 10% better than Standard</v>
      </c>
      <c r="AP414" s="9" t="str">
        <f t="shared" si="96"/>
        <v>5A_NO</v>
      </c>
    </row>
    <row r="415" spans="1:42">
      <c r="A415">
        <v>84920</v>
      </c>
      <c r="B415" t="s">
        <v>4424</v>
      </c>
      <c r="C415" t="s">
        <v>176</v>
      </c>
      <c r="D415" t="s">
        <v>1420</v>
      </c>
      <c r="E415" t="s">
        <v>4109</v>
      </c>
      <c r="F415" t="s">
        <v>162</v>
      </c>
      <c r="G415" t="s">
        <v>4105</v>
      </c>
      <c r="H415"/>
      <c r="I415" t="s">
        <v>4170</v>
      </c>
      <c r="J415" t="b">
        <v>0</v>
      </c>
      <c r="K415" t="b">
        <v>0</v>
      </c>
      <c r="L415" t="b">
        <v>1</v>
      </c>
      <c r="M415" t="b">
        <v>1</v>
      </c>
      <c r="N415" t="b">
        <v>1</v>
      </c>
      <c r="O415" t="s">
        <v>4099</v>
      </c>
      <c r="P415">
        <v>19.02</v>
      </c>
      <c r="Q415">
        <v>15.28</v>
      </c>
      <c r="R415">
        <v>34.299999999999997</v>
      </c>
      <c r="S415">
        <v>73</v>
      </c>
      <c r="T415">
        <v>36</v>
      </c>
      <c r="U415">
        <v>36</v>
      </c>
      <c r="V415">
        <v>855</v>
      </c>
      <c r="W415" s="281">
        <v>41814</v>
      </c>
      <c r="X415" s="282"/>
      <c r="Z415" s="9" t="b">
        <f t="shared" si="85"/>
        <v>0</v>
      </c>
      <c r="AA415" s="9" t="str">
        <f t="shared" si="84"/>
        <v>5A</v>
      </c>
      <c r="AB415" s="196">
        <f t="shared" si="86"/>
        <v>45.912799999999997</v>
      </c>
      <c r="AC415" s="9">
        <f>VLOOKUP(AA415,'Federal Standards'!$N$9:$P$50,2,FALSE)</f>
        <v>9.25</v>
      </c>
      <c r="AD415" s="44">
        <f>VLOOKUP(AA415,'Federal Standards'!$N$9:$P$50,3,FALSE)</f>
        <v>475.4</v>
      </c>
      <c r="AE415" s="44">
        <f t="shared" si="87"/>
        <v>900.09339999999997</v>
      </c>
      <c r="AF415" s="283">
        <f t="shared" si="88"/>
        <v>45.093399999999974</v>
      </c>
      <c r="AG415" s="291">
        <f t="shared" si="97"/>
        <v>5.0098578658614737E-2</v>
      </c>
      <c r="AH415" s="184" t="str">
        <f t="shared" si="89"/>
        <v>YES</v>
      </c>
      <c r="AJ415" s="9" t="str">
        <f t="shared" si="90"/>
        <v>NO</v>
      </c>
      <c r="AK415" s="9" t="str">
        <f t="shared" si="91"/>
        <v>NO</v>
      </c>
      <c r="AL415" s="9" t="str">
        <f t="shared" si="92"/>
        <v>NO</v>
      </c>
      <c r="AM415" s="9" t="str">
        <f t="shared" si="93"/>
        <v>NO</v>
      </c>
      <c r="AN415" s="9" t="str">
        <f t="shared" si="94"/>
        <v>Less than 10% better than Standard</v>
      </c>
      <c r="AO415" s="9" t="str">
        <f t="shared" si="95"/>
        <v>5A_Less than 10% better than Standard</v>
      </c>
      <c r="AP415" s="9" t="str">
        <f t="shared" si="96"/>
        <v>5A_NO</v>
      </c>
    </row>
    <row r="416" spans="1:42">
      <c r="A416">
        <v>84922</v>
      </c>
      <c r="B416" t="s">
        <v>4424</v>
      </c>
      <c r="C416" t="s">
        <v>176</v>
      </c>
      <c r="D416" t="s">
        <v>4427</v>
      </c>
      <c r="E416" t="s">
        <v>4179</v>
      </c>
      <c r="F416" t="s">
        <v>162</v>
      </c>
      <c r="G416" t="s">
        <v>4105</v>
      </c>
      <c r="H416"/>
      <c r="I416" t="s">
        <v>4098</v>
      </c>
      <c r="J416" t="b">
        <v>0</v>
      </c>
      <c r="K416" t="b">
        <v>0</v>
      </c>
      <c r="L416" t="b">
        <v>1</v>
      </c>
      <c r="M416" t="b">
        <v>1</v>
      </c>
      <c r="N416" t="b">
        <v>1</v>
      </c>
      <c r="O416" t="s">
        <v>4099</v>
      </c>
      <c r="P416">
        <v>14.3</v>
      </c>
      <c r="Q416">
        <v>7.2</v>
      </c>
      <c r="R416">
        <v>21.5</v>
      </c>
      <c r="S416">
        <v>70</v>
      </c>
      <c r="T416">
        <v>36</v>
      </c>
      <c r="U416">
        <v>29</v>
      </c>
      <c r="V416">
        <v>663</v>
      </c>
      <c r="W416" s="281">
        <v>41814</v>
      </c>
      <c r="X416" s="282"/>
      <c r="Z416" s="9" t="b">
        <f t="shared" si="85"/>
        <v>0</v>
      </c>
      <c r="AA416" s="9" t="str">
        <f t="shared" si="84"/>
        <v>7</v>
      </c>
      <c r="AB416" s="196">
        <f t="shared" si="86"/>
        <v>26.972000000000001</v>
      </c>
      <c r="AC416" s="9">
        <f>VLOOKUP(AA416,'Federal Standards'!$N$9:$P$50,2,FALSE)</f>
        <v>8.5399999999999991</v>
      </c>
      <c r="AD416" s="44">
        <f>VLOOKUP(AA416,'Federal Standards'!$N$9:$P$50,3,FALSE)</f>
        <v>432.8</v>
      </c>
      <c r="AE416" s="44">
        <f t="shared" si="87"/>
        <v>663.14088000000004</v>
      </c>
      <c r="AF416" s="283">
        <f t="shared" si="88"/>
        <v>0.14088000000003831</v>
      </c>
      <c r="AG416" s="291">
        <f t="shared" si="97"/>
        <v>2.1244354593256005E-4</v>
      </c>
      <c r="AH416" s="184" t="str">
        <f t="shared" si="89"/>
        <v>YES</v>
      </c>
      <c r="AJ416" s="9" t="str">
        <f t="shared" si="90"/>
        <v>NO</v>
      </c>
      <c r="AK416" s="9" t="str">
        <f t="shared" si="91"/>
        <v>NO</v>
      </c>
      <c r="AL416" s="9" t="str">
        <f t="shared" si="92"/>
        <v>NO</v>
      </c>
      <c r="AM416" s="9" t="str">
        <f t="shared" si="93"/>
        <v>NO</v>
      </c>
      <c r="AN416" s="9" t="str">
        <f t="shared" si="94"/>
        <v>Less than 10% better than Standard</v>
      </c>
      <c r="AO416" s="9" t="str">
        <f t="shared" si="95"/>
        <v>7_Less than 10% better than Standard</v>
      </c>
      <c r="AP416" s="9" t="str">
        <f t="shared" si="96"/>
        <v>7_NO</v>
      </c>
    </row>
    <row r="417" spans="1:42">
      <c r="A417">
        <v>84923</v>
      </c>
      <c r="B417" t="s">
        <v>4424</v>
      </c>
      <c r="C417" t="s">
        <v>176</v>
      </c>
      <c r="D417" t="s">
        <v>4428</v>
      </c>
      <c r="E417" t="s">
        <v>4179</v>
      </c>
      <c r="F417" t="s">
        <v>162</v>
      </c>
      <c r="G417" t="s">
        <v>4105</v>
      </c>
      <c r="H417"/>
      <c r="I417" t="s">
        <v>4098</v>
      </c>
      <c r="J417" t="b">
        <v>0</v>
      </c>
      <c r="K417" t="b">
        <v>0</v>
      </c>
      <c r="L417" t="b">
        <v>1</v>
      </c>
      <c r="M417" t="b">
        <v>1</v>
      </c>
      <c r="N417" t="b">
        <v>1</v>
      </c>
      <c r="O417" t="s">
        <v>4099</v>
      </c>
      <c r="P417">
        <v>14.3</v>
      </c>
      <c r="Q417">
        <v>7.2</v>
      </c>
      <c r="R417">
        <v>21.5</v>
      </c>
      <c r="S417">
        <v>70</v>
      </c>
      <c r="T417">
        <v>36</v>
      </c>
      <c r="U417">
        <v>29</v>
      </c>
      <c r="V417">
        <v>635</v>
      </c>
      <c r="W417" s="281">
        <v>41814</v>
      </c>
      <c r="X417" s="282"/>
      <c r="Z417" s="9" t="b">
        <f t="shared" si="85"/>
        <v>0</v>
      </c>
      <c r="AA417" s="9" t="str">
        <f t="shared" si="84"/>
        <v>7</v>
      </c>
      <c r="AB417" s="196">
        <f t="shared" si="86"/>
        <v>26.972000000000001</v>
      </c>
      <c r="AC417" s="9">
        <f>VLOOKUP(AA417,'Federal Standards'!$N$9:$P$50,2,FALSE)</f>
        <v>8.5399999999999991</v>
      </c>
      <c r="AD417" s="44">
        <f>VLOOKUP(AA417,'Federal Standards'!$N$9:$P$50,3,FALSE)</f>
        <v>432.8</v>
      </c>
      <c r="AE417" s="44">
        <f t="shared" si="87"/>
        <v>663.14088000000004</v>
      </c>
      <c r="AF417" s="283">
        <f t="shared" si="88"/>
        <v>28.140880000000038</v>
      </c>
      <c r="AG417" s="291">
        <f t="shared" si="97"/>
        <v>4.2435749097537216E-2</v>
      </c>
      <c r="AH417" s="184" t="str">
        <f t="shared" si="89"/>
        <v>YES</v>
      </c>
      <c r="AJ417" s="9" t="str">
        <f t="shared" si="90"/>
        <v>NO</v>
      </c>
      <c r="AK417" s="9" t="str">
        <f t="shared" si="91"/>
        <v>NO</v>
      </c>
      <c r="AL417" s="9" t="str">
        <f t="shared" si="92"/>
        <v>NO</v>
      </c>
      <c r="AM417" s="9" t="str">
        <f t="shared" si="93"/>
        <v>NO</v>
      </c>
      <c r="AN417" s="9" t="str">
        <f t="shared" si="94"/>
        <v>Less than 10% better than Standard</v>
      </c>
      <c r="AO417" s="9" t="str">
        <f t="shared" si="95"/>
        <v>7_Less than 10% better than Standard</v>
      </c>
      <c r="AP417" s="9" t="str">
        <f t="shared" si="96"/>
        <v>7_NO</v>
      </c>
    </row>
    <row r="418" spans="1:42">
      <c r="A418">
        <v>84924</v>
      </c>
      <c r="B418" t="s">
        <v>4424</v>
      </c>
      <c r="C418" t="s">
        <v>176</v>
      </c>
      <c r="D418" t="s">
        <v>4429</v>
      </c>
      <c r="E418" t="s">
        <v>4179</v>
      </c>
      <c r="F418" t="s">
        <v>162</v>
      </c>
      <c r="G418" t="s">
        <v>4105</v>
      </c>
      <c r="H418"/>
      <c r="I418" t="s">
        <v>4098</v>
      </c>
      <c r="J418" t="b">
        <v>0</v>
      </c>
      <c r="K418" t="b">
        <v>0</v>
      </c>
      <c r="L418" t="b">
        <v>1</v>
      </c>
      <c r="M418" t="b">
        <v>1</v>
      </c>
      <c r="N418" t="b">
        <v>1</v>
      </c>
      <c r="O418" t="s">
        <v>4099</v>
      </c>
      <c r="P418">
        <v>18.399999999999999</v>
      </c>
      <c r="Q418">
        <v>10.1</v>
      </c>
      <c r="R418">
        <v>28.5</v>
      </c>
      <c r="S418">
        <v>70</v>
      </c>
      <c r="T418">
        <v>36</v>
      </c>
      <c r="U418">
        <v>36</v>
      </c>
      <c r="V418">
        <v>741</v>
      </c>
      <c r="W418" s="281">
        <v>41814</v>
      </c>
      <c r="X418" s="282"/>
      <c r="Z418" s="9" t="b">
        <f t="shared" si="85"/>
        <v>0</v>
      </c>
      <c r="AA418" s="9" t="str">
        <f t="shared" si="84"/>
        <v>7</v>
      </c>
      <c r="AB418" s="196">
        <f t="shared" si="86"/>
        <v>36.176000000000002</v>
      </c>
      <c r="AC418" s="9">
        <f>VLOOKUP(AA418,'Federal Standards'!$N$9:$P$50,2,FALSE)</f>
        <v>8.5399999999999991</v>
      </c>
      <c r="AD418" s="44">
        <f>VLOOKUP(AA418,'Federal Standards'!$N$9:$P$50,3,FALSE)</f>
        <v>432.8</v>
      </c>
      <c r="AE418" s="44">
        <f t="shared" si="87"/>
        <v>741.74304000000006</v>
      </c>
      <c r="AF418" s="283">
        <f t="shared" si="88"/>
        <v>0.74304000000006454</v>
      </c>
      <c r="AG418" s="291">
        <f t="shared" si="97"/>
        <v>1.0017485300570727E-3</v>
      </c>
      <c r="AH418" s="184" t="str">
        <f t="shared" si="89"/>
        <v>YES</v>
      </c>
      <c r="AJ418" s="9" t="str">
        <f t="shared" si="90"/>
        <v>NO</v>
      </c>
      <c r="AK418" s="9" t="str">
        <f t="shared" si="91"/>
        <v>NO</v>
      </c>
      <c r="AL418" s="9" t="str">
        <f t="shared" si="92"/>
        <v>NO</v>
      </c>
      <c r="AM418" s="9" t="str">
        <f t="shared" si="93"/>
        <v>NO</v>
      </c>
      <c r="AN418" s="9" t="str">
        <f t="shared" si="94"/>
        <v>Less than 10% better than Standard</v>
      </c>
      <c r="AO418" s="9" t="str">
        <f t="shared" si="95"/>
        <v>7_Less than 10% better than Standard</v>
      </c>
      <c r="AP418" s="9" t="str">
        <f t="shared" si="96"/>
        <v>7_NO</v>
      </c>
    </row>
    <row r="419" spans="1:42">
      <c r="A419">
        <v>84925</v>
      </c>
      <c r="B419" t="s">
        <v>4424</v>
      </c>
      <c r="C419" t="s">
        <v>176</v>
      </c>
      <c r="D419" t="s">
        <v>1426</v>
      </c>
      <c r="E419" t="s">
        <v>4179</v>
      </c>
      <c r="F419" t="s">
        <v>162</v>
      </c>
      <c r="G419" t="s">
        <v>4105</v>
      </c>
      <c r="H419"/>
      <c r="I419" t="s">
        <v>4098</v>
      </c>
      <c r="J419" t="b">
        <v>0</v>
      </c>
      <c r="K419" t="b">
        <v>0</v>
      </c>
      <c r="L419" t="b">
        <v>1</v>
      </c>
      <c r="M419" t="b">
        <v>1</v>
      </c>
      <c r="N419" t="b">
        <v>1</v>
      </c>
      <c r="O419" t="s">
        <v>4099</v>
      </c>
      <c r="P419">
        <v>18.399999999999999</v>
      </c>
      <c r="Q419">
        <v>10.1</v>
      </c>
      <c r="R419">
        <v>28.5</v>
      </c>
      <c r="S419">
        <v>70</v>
      </c>
      <c r="T419">
        <v>36</v>
      </c>
      <c r="U419">
        <v>36</v>
      </c>
      <c r="V419">
        <v>709</v>
      </c>
      <c r="W419" s="281">
        <v>41814</v>
      </c>
      <c r="X419" s="282"/>
      <c r="Z419" s="9" t="b">
        <f t="shared" si="85"/>
        <v>0</v>
      </c>
      <c r="AA419" s="9" t="str">
        <f t="shared" si="84"/>
        <v>7</v>
      </c>
      <c r="AB419" s="196">
        <f t="shared" si="86"/>
        <v>36.176000000000002</v>
      </c>
      <c r="AC419" s="9">
        <f>VLOOKUP(AA419,'Federal Standards'!$N$9:$P$50,2,FALSE)</f>
        <v>8.5399999999999991</v>
      </c>
      <c r="AD419" s="44">
        <f>VLOOKUP(AA419,'Federal Standards'!$N$9:$P$50,3,FALSE)</f>
        <v>432.8</v>
      </c>
      <c r="AE419" s="44">
        <f t="shared" si="87"/>
        <v>741.74304000000006</v>
      </c>
      <c r="AF419" s="283">
        <f t="shared" si="88"/>
        <v>32.743040000000065</v>
      </c>
      <c r="AG419" s="291">
        <f t="shared" si="97"/>
        <v>4.4143373424845429E-2</v>
      </c>
      <c r="AH419" s="184" t="str">
        <f t="shared" si="89"/>
        <v>YES</v>
      </c>
      <c r="AJ419" s="9" t="str">
        <f t="shared" si="90"/>
        <v>NO</v>
      </c>
      <c r="AK419" s="9" t="str">
        <f t="shared" si="91"/>
        <v>NO</v>
      </c>
      <c r="AL419" s="9" t="str">
        <f t="shared" si="92"/>
        <v>NO</v>
      </c>
      <c r="AM419" s="9" t="str">
        <f t="shared" si="93"/>
        <v>NO</v>
      </c>
      <c r="AN419" s="9" t="str">
        <f t="shared" si="94"/>
        <v>Less than 10% better than Standard</v>
      </c>
      <c r="AO419" s="9" t="str">
        <f t="shared" si="95"/>
        <v>7_Less than 10% better than Standard</v>
      </c>
      <c r="AP419" s="9" t="str">
        <f t="shared" si="96"/>
        <v>7_NO</v>
      </c>
    </row>
    <row r="420" spans="1:42">
      <c r="A420">
        <v>84926</v>
      </c>
      <c r="B420" t="s">
        <v>4424</v>
      </c>
      <c r="C420" t="s">
        <v>176</v>
      </c>
      <c r="D420" t="s">
        <v>1432</v>
      </c>
      <c r="E420" t="s">
        <v>4179</v>
      </c>
      <c r="F420" t="s">
        <v>162</v>
      </c>
      <c r="G420" t="s">
        <v>4105</v>
      </c>
      <c r="H420"/>
      <c r="I420" t="s">
        <v>4098</v>
      </c>
      <c r="J420" t="b">
        <v>0</v>
      </c>
      <c r="K420" t="b">
        <v>0</v>
      </c>
      <c r="L420" t="b">
        <v>1</v>
      </c>
      <c r="M420" t="b">
        <v>1</v>
      </c>
      <c r="N420" t="b">
        <v>1</v>
      </c>
      <c r="O420" t="s">
        <v>4099</v>
      </c>
      <c r="P420">
        <v>14.4</v>
      </c>
      <c r="Q420">
        <v>7.9</v>
      </c>
      <c r="R420">
        <v>22.3</v>
      </c>
      <c r="S420">
        <v>71</v>
      </c>
      <c r="T420">
        <v>36</v>
      </c>
      <c r="U420">
        <v>30</v>
      </c>
      <c r="V420">
        <v>646</v>
      </c>
      <c r="W420" s="281">
        <v>41814</v>
      </c>
      <c r="X420" s="282"/>
      <c r="Z420" s="9" t="b">
        <f t="shared" si="85"/>
        <v>0</v>
      </c>
      <c r="AA420" s="9" t="str">
        <f t="shared" si="84"/>
        <v>7</v>
      </c>
      <c r="AB420" s="196">
        <f t="shared" si="86"/>
        <v>28.304000000000002</v>
      </c>
      <c r="AC420" s="9">
        <f>VLOOKUP(AA420,'Federal Standards'!$N$9:$P$50,2,FALSE)</f>
        <v>8.5399999999999991</v>
      </c>
      <c r="AD420" s="44">
        <f>VLOOKUP(AA420,'Federal Standards'!$N$9:$P$50,3,FALSE)</f>
        <v>432.8</v>
      </c>
      <c r="AE420" s="44">
        <f t="shared" si="87"/>
        <v>674.51616000000001</v>
      </c>
      <c r="AF420" s="283">
        <f t="shared" si="88"/>
        <v>28.516160000000013</v>
      </c>
      <c r="AG420" s="291">
        <f t="shared" si="97"/>
        <v>4.227646673431814E-2</v>
      </c>
      <c r="AH420" s="184" t="str">
        <f t="shared" si="89"/>
        <v>YES</v>
      </c>
      <c r="AJ420" s="9" t="str">
        <f t="shared" si="90"/>
        <v>NO</v>
      </c>
      <c r="AK420" s="9" t="str">
        <f t="shared" si="91"/>
        <v>NO</v>
      </c>
      <c r="AL420" s="9" t="str">
        <f t="shared" si="92"/>
        <v>NO</v>
      </c>
      <c r="AM420" s="9" t="str">
        <f t="shared" si="93"/>
        <v>NO</v>
      </c>
      <c r="AN420" s="9" t="str">
        <f t="shared" si="94"/>
        <v>Less than 10% better than Standard</v>
      </c>
      <c r="AO420" s="9" t="str">
        <f t="shared" si="95"/>
        <v>7_Less than 10% better than Standard</v>
      </c>
      <c r="AP420" s="9" t="str">
        <f t="shared" si="96"/>
        <v>7_NO</v>
      </c>
    </row>
    <row r="421" spans="1:42">
      <c r="A421">
        <v>84927</v>
      </c>
      <c r="B421" t="s">
        <v>4424</v>
      </c>
      <c r="C421" t="s">
        <v>176</v>
      </c>
      <c r="D421" t="s">
        <v>4430</v>
      </c>
      <c r="E421" t="s">
        <v>4179</v>
      </c>
      <c r="F421" t="s">
        <v>162</v>
      </c>
      <c r="G421" t="s">
        <v>4105</v>
      </c>
      <c r="H421"/>
      <c r="I421" t="s">
        <v>4098</v>
      </c>
      <c r="J421" t="b">
        <v>0</v>
      </c>
      <c r="K421" t="b">
        <v>0</v>
      </c>
      <c r="L421" t="b">
        <v>1</v>
      </c>
      <c r="M421" t="b">
        <v>1</v>
      </c>
      <c r="N421" t="b">
        <v>1</v>
      </c>
      <c r="O421" t="s">
        <v>4099</v>
      </c>
      <c r="P421">
        <v>15.72</v>
      </c>
      <c r="Q421">
        <v>8.8000000000000007</v>
      </c>
      <c r="R421">
        <v>24.52</v>
      </c>
      <c r="S421">
        <v>70</v>
      </c>
      <c r="T421">
        <v>37</v>
      </c>
      <c r="U421">
        <v>37</v>
      </c>
      <c r="V421">
        <v>695</v>
      </c>
      <c r="W421" s="281">
        <v>41814</v>
      </c>
      <c r="X421" s="282"/>
      <c r="Z421" s="9" t="b">
        <f t="shared" si="85"/>
        <v>0</v>
      </c>
      <c r="AA421" s="9" t="str">
        <f t="shared" ref="AA421:AA484" si="98">GetFridgeClass(E421,F421,G421,J421,Z421,L421,M421)</f>
        <v>7</v>
      </c>
      <c r="AB421" s="196">
        <f t="shared" si="86"/>
        <v>31.208000000000002</v>
      </c>
      <c r="AC421" s="9">
        <f>VLOOKUP(AA421,'Federal Standards'!$N$9:$P$50,2,FALSE)</f>
        <v>8.5399999999999991</v>
      </c>
      <c r="AD421" s="44">
        <f>VLOOKUP(AA421,'Federal Standards'!$N$9:$P$50,3,FALSE)</f>
        <v>432.8</v>
      </c>
      <c r="AE421" s="44">
        <f t="shared" si="87"/>
        <v>699.31632000000002</v>
      </c>
      <c r="AF421" s="283">
        <f t="shared" si="88"/>
        <v>4.3163200000000188</v>
      </c>
      <c r="AG421" s="291">
        <f t="shared" si="97"/>
        <v>6.1721997278713853E-3</v>
      </c>
      <c r="AH421" s="184" t="str">
        <f t="shared" si="89"/>
        <v>YES</v>
      </c>
      <c r="AJ421" s="9" t="str">
        <f t="shared" si="90"/>
        <v>NO</v>
      </c>
      <c r="AK421" s="9" t="str">
        <f t="shared" si="91"/>
        <v>NO</v>
      </c>
      <c r="AL421" s="9" t="str">
        <f t="shared" si="92"/>
        <v>NO</v>
      </c>
      <c r="AM421" s="9" t="str">
        <f t="shared" si="93"/>
        <v>NO</v>
      </c>
      <c r="AN421" s="9" t="str">
        <f t="shared" si="94"/>
        <v>Less than 10% better than Standard</v>
      </c>
      <c r="AO421" s="9" t="str">
        <f t="shared" si="95"/>
        <v>7_Less than 10% better than Standard</v>
      </c>
      <c r="AP421" s="9" t="str">
        <f t="shared" si="96"/>
        <v>7_NO</v>
      </c>
    </row>
    <row r="422" spans="1:42">
      <c r="A422">
        <v>84928</v>
      </c>
      <c r="B422" t="s">
        <v>4424</v>
      </c>
      <c r="C422" t="s">
        <v>176</v>
      </c>
      <c r="D422" t="s">
        <v>1434</v>
      </c>
      <c r="E422" t="s">
        <v>4179</v>
      </c>
      <c r="F422" t="s">
        <v>162</v>
      </c>
      <c r="G422" t="s">
        <v>4105</v>
      </c>
      <c r="H422"/>
      <c r="I422" t="s">
        <v>4098</v>
      </c>
      <c r="J422" t="b">
        <v>0</v>
      </c>
      <c r="K422" t="b">
        <v>0</v>
      </c>
      <c r="L422" t="b">
        <v>1</v>
      </c>
      <c r="M422" t="b">
        <v>1</v>
      </c>
      <c r="N422" t="b">
        <v>1</v>
      </c>
      <c r="O422" t="s">
        <v>4099</v>
      </c>
      <c r="P422">
        <v>15.32</v>
      </c>
      <c r="Q422">
        <v>9.18</v>
      </c>
      <c r="R422">
        <v>24.5</v>
      </c>
      <c r="S422">
        <v>70</v>
      </c>
      <c r="T422">
        <v>36</v>
      </c>
      <c r="U422">
        <v>37</v>
      </c>
      <c r="V422">
        <v>634</v>
      </c>
      <c r="W422" s="281">
        <v>41814</v>
      </c>
      <c r="X422" s="282"/>
      <c r="Z422" s="9" t="b">
        <f t="shared" si="85"/>
        <v>0</v>
      </c>
      <c r="AA422" s="9" t="str">
        <f t="shared" si="98"/>
        <v>7</v>
      </c>
      <c r="AB422" s="196">
        <f t="shared" si="86"/>
        <v>31.476800000000001</v>
      </c>
      <c r="AC422" s="9">
        <f>VLOOKUP(AA422,'Federal Standards'!$N$9:$P$50,2,FALSE)</f>
        <v>8.5399999999999991</v>
      </c>
      <c r="AD422" s="44">
        <f>VLOOKUP(AA422,'Federal Standards'!$N$9:$P$50,3,FALSE)</f>
        <v>432.8</v>
      </c>
      <c r="AE422" s="44">
        <f t="shared" si="87"/>
        <v>701.61187199999995</v>
      </c>
      <c r="AF422" s="283">
        <f t="shared" si="88"/>
        <v>67.611871999999948</v>
      </c>
      <c r="AG422" s="291">
        <f t="shared" si="97"/>
        <v>9.6366487937649889E-2</v>
      </c>
      <c r="AH422" s="184" t="str">
        <f t="shared" si="89"/>
        <v>YES</v>
      </c>
      <c r="AJ422" s="9" t="str">
        <f t="shared" si="90"/>
        <v>NO</v>
      </c>
      <c r="AK422" s="9" t="str">
        <f t="shared" si="91"/>
        <v>NO</v>
      </c>
      <c r="AL422" s="9" t="str">
        <f t="shared" si="92"/>
        <v>NO</v>
      </c>
      <c r="AM422" s="9" t="str">
        <f t="shared" si="93"/>
        <v>NO</v>
      </c>
      <c r="AN422" s="9" t="str">
        <f t="shared" si="94"/>
        <v>Less than 10% better than Standard</v>
      </c>
      <c r="AO422" s="9" t="str">
        <f t="shared" si="95"/>
        <v>7_Less than 10% better than Standard</v>
      </c>
      <c r="AP422" s="9" t="str">
        <f t="shared" si="96"/>
        <v>7_NO</v>
      </c>
    </row>
    <row r="423" spans="1:42">
      <c r="A423">
        <v>83204</v>
      </c>
      <c r="B423" t="s">
        <v>4431</v>
      </c>
      <c r="C423" t="s">
        <v>1448</v>
      </c>
      <c r="D423" t="s">
        <v>4432</v>
      </c>
      <c r="E423" t="s">
        <v>4119</v>
      </c>
      <c r="F423" t="s">
        <v>162</v>
      </c>
      <c r="G423" t="s">
        <v>184</v>
      </c>
      <c r="H423"/>
      <c r="I423"/>
      <c r="J423"/>
      <c r="K423"/>
      <c r="L423"/>
      <c r="M423"/>
      <c r="N423" t="b">
        <v>0</v>
      </c>
      <c r="O423"/>
      <c r="P423">
        <v>2.08</v>
      </c>
      <c r="Q423"/>
      <c r="R423">
        <v>2.08</v>
      </c>
      <c r="S423">
        <v>35</v>
      </c>
      <c r="T423">
        <v>12</v>
      </c>
      <c r="U423">
        <v>25</v>
      </c>
      <c r="V423">
        <v>182.5</v>
      </c>
      <c r="W423" s="281">
        <v>41702</v>
      </c>
      <c r="X423" s="282"/>
      <c r="Z423" s="9" t="b">
        <f t="shared" si="85"/>
        <v>1</v>
      </c>
      <c r="AA423" s="9" t="str">
        <f t="shared" si="98"/>
        <v>[Wine Chiller - exempt]</v>
      </c>
      <c r="AB423" s="196">
        <f t="shared" si="86"/>
        <v>2.08</v>
      </c>
      <c r="AC423" s="9" t="e">
        <f>VLOOKUP(AA423,'Federal Standards'!$N$9:$P$50,2,FALSE)</f>
        <v>#N/A</v>
      </c>
      <c r="AD423" s="44" t="e">
        <f>VLOOKUP(AA423,'Federal Standards'!$N$9:$P$50,3,FALSE)</f>
        <v>#N/A</v>
      </c>
      <c r="AE423" s="44" t="e">
        <f t="shared" si="87"/>
        <v>#N/A</v>
      </c>
      <c r="AF423" s="283" t="e">
        <f t="shared" si="88"/>
        <v>#N/A</v>
      </c>
      <c r="AG423" s="291" t="e">
        <f t="shared" si="97"/>
        <v>#N/A</v>
      </c>
      <c r="AH423" s="184" t="e">
        <f t="shared" si="89"/>
        <v>#N/A</v>
      </c>
      <c r="AJ423" s="9" t="e">
        <f t="shared" si="90"/>
        <v>#N/A</v>
      </c>
      <c r="AK423" s="9" t="e">
        <f t="shared" si="91"/>
        <v>#N/A</v>
      </c>
      <c r="AL423" s="9" t="e">
        <f t="shared" si="92"/>
        <v>#N/A</v>
      </c>
      <c r="AM423" s="9" t="e">
        <f t="shared" si="93"/>
        <v>#N/A</v>
      </c>
      <c r="AN423" s="9" t="e">
        <f t="shared" si="94"/>
        <v>#N/A</v>
      </c>
      <c r="AO423" s="9" t="e">
        <f t="shared" si="95"/>
        <v>#N/A</v>
      </c>
      <c r="AP423" s="9" t="e">
        <f t="shared" si="96"/>
        <v>#N/A</v>
      </c>
    </row>
    <row r="424" spans="1:42">
      <c r="A424">
        <v>83491</v>
      </c>
      <c r="B424" t="s">
        <v>4433</v>
      </c>
      <c r="C424" t="s">
        <v>4434</v>
      </c>
      <c r="D424" t="s">
        <v>4435</v>
      </c>
      <c r="E424" t="s">
        <v>4115</v>
      </c>
      <c r="F424" t="s">
        <v>162</v>
      </c>
      <c r="G424" t="s">
        <v>184</v>
      </c>
      <c r="H424"/>
      <c r="I424" t="s">
        <v>4106</v>
      </c>
      <c r="J424"/>
      <c r="K424"/>
      <c r="L424"/>
      <c r="M424"/>
      <c r="N424" t="b">
        <v>0</v>
      </c>
      <c r="O424" t="s">
        <v>4099</v>
      </c>
      <c r="P424">
        <v>5.3</v>
      </c>
      <c r="Q424"/>
      <c r="R424">
        <v>5.3</v>
      </c>
      <c r="S424">
        <v>34</v>
      </c>
      <c r="T424">
        <v>24</v>
      </c>
      <c r="U424">
        <v>24</v>
      </c>
      <c r="V424">
        <v>299</v>
      </c>
      <c r="W424" s="281">
        <v>41743</v>
      </c>
      <c r="X424" s="282"/>
      <c r="Z424" s="9" t="b">
        <f t="shared" si="85"/>
        <v>1</v>
      </c>
      <c r="AA424" s="9" t="str">
        <f t="shared" si="98"/>
        <v>13A</v>
      </c>
      <c r="AB424" s="196">
        <f t="shared" si="86"/>
        <v>5.3</v>
      </c>
      <c r="AC424" s="9">
        <f>VLOOKUP(AA424,'Federal Standards'!$N$9:$P$50,2,FALSE)</f>
        <v>9.17</v>
      </c>
      <c r="AD424" s="44">
        <f>VLOOKUP(AA424,'Federal Standards'!$N$9:$P$50,3,FALSE)</f>
        <v>259.3</v>
      </c>
      <c r="AE424" s="44">
        <f t="shared" si="87"/>
        <v>307.90100000000001</v>
      </c>
      <c r="AF424" s="283">
        <f t="shared" si="88"/>
        <v>8.9010000000000105</v>
      </c>
      <c r="AG424" s="291">
        <f t="shared" si="97"/>
        <v>2.8908642713079885E-2</v>
      </c>
      <c r="AH424" s="184" t="str">
        <f t="shared" si="89"/>
        <v>YES</v>
      </c>
      <c r="AJ424" s="9" t="str">
        <f t="shared" si="90"/>
        <v>NO</v>
      </c>
      <c r="AK424" s="9" t="str">
        <f t="shared" si="91"/>
        <v>NO</v>
      </c>
      <c r="AL424" s="9" t="str">
        <f t="shared" si="92"/>
        <v>NO</v>
      </c>
      <c r="AM424" s="9" t="str">
        <f t="shared" si="93"/>
        <v>NO</v>
      </c>
      <c r="AN424" s="9" t="str">
        <f t="shared" si="94"/>
        <v>Less than 10% better than Standard</v>
      </c>
      <c r="AO424" s="9" t="str">
        <f t="shared" si="95"/>
        <v>13A_Less than 10% better than Standard</v>
      </c>
      <c r="AP424" s="9" t="str">
        <f t="shared" si="96"/>
        <v>13A_NO</v>
      </c>
    </row>
    <row r="425" spans="1:42">
      <c r="A425">
        <v>85970</v>
      </c>
      <c r="B425" t="s">
        <v>4433</v>
      </c>
      <c r="C425" t="s">
        <v>4434</v>
      </c>
      <c r="D425" t="s">
        <v>4436</v>
      </c>
      <c r="E425" t="s">
        <v>4115</v>
      </c>
      <c r="F425" t="s">
        <v>162</v>
      </c>
      <c r="G425" t="s">
        <v>184</v>
      </c>
      <c r="H425"/>
      <c r="I425"/>
      <c r="J425"/>
      <c r="K425"/>
      <c r="L425"/>
      <c r="M425"/>
      <c r="N425" t="b">
        <v>0</v>
      </c>
      <c r="O425"/>
      <c r="P425">
        <v>5.4</v>
      </c>
      <c r="Q425"/>
      <c r="R425">
        <v>5.4</v>
      </c>
      <c r="S425">
        <v>34</v>
      </c>
      <c r="T425">
        <v>24</v>
      </c>
      <c r="U425">
        <v>24</v>
      </c>
      <c r="V425">
        <v>305</v>
      </c>
      <c r="W425" s="281">
        <v>41865</v>
      </c>
      <c r="X425" s="282"/>
      <c r="Z425" s="9" t="b">
        <f t="shared" si="85"/>
        <v>1</v>
      </c>
      <c r="AA425" s="9" t="str">
        <f t="shared" si="98"/>
        <v>13A</v>
      </c>
      <c r="AB425" s="196">
        <f t="shared" si="86"/>
        <v>5.4</v>
      </c>
      <c r="AC425" s="9">
        <f>VLOOKUP(AA425,'Federal Standards'!$N$9:$P$50,2,FALSE)</f>
        <v>9.17</v>
      </c>
      <c r="AD425" s="44">
        <f>VLOOKUP(AA425,'Federal Standards'!$N$9:$P$50,3,FALSE)</f>
        <v>259.3</v>
      </c>
      <c r="AE425" s="44">
        <f t="shared" si="87"/>
        <v>308.81799999999998</v>
      </c>
      <c r="AF425" s="283">
        <f t="shared" si="88"/>
        <v>3.8179999999999836</v>
      </c>
      <c r="AG425" s="291">
        <f t="shared" si="97"/>
        <v>1.2363268980435027E-2</v>
      </c>
      <c r="AH425" s="184" t="str">
        <f t="shared" si="89"/>
        <v>YES</v>
      </c>
      <c r="AJ425" s="9" t="str">
        <f t="shared" si="90"/>
        <v>NO</v>
      </c>
      <c r="AK425" s="9" t="str">
        <f t="shared" si="91"/>
        <v>NO</v>
      </c>
      <c r="AL425" s="9" t="str">
        <f t="shared" si="92"/>
        <v>NO</v>
      </c>
      <c r="AM425" s="9" t="str">
        <f t="shared" si="93"/>
        <v>NO</v>
      </c>
      <c r="AN425" s="9" t="str">
        <f t="shared" si="94"/>
        <v>Less than 10% better than Standard</v>
      </c>
      <c r="AO425" s="9" t="str">
        <f t="shared" si="95"/>
        <v>13A_Less than 10% better than Standard</v>
      </c>
      <c r="AP425" s="9" t="str">
        <f t="shared" si="96"/>
        <v>13A_NO</v>
      </c>
    </row>
    <row r="426" spans="1:42">
      <c r="A426">
        <v>86054</v>
      </c>
      <c r="B426" t="s">
        <v>4433</v>
      </c>
      <c r="C426" t="s">
        <v>4434</v>
      </c>
      <c r="D426" t="s">
        <v>4437</v>
      </c>
      <c r="E426" t="s">
        <v>4119</v>
      </c>
      <c r="F426" t="s">
        <v>162</v>
      </c>
      <c r="G426" t="s">
        <v>184</v>
      </c>
      <c r="H426"/>
      <c r="I426"/>
      <c r="J426"/>
      <c r="K426"/>
      <c r="L426"/>
      <c r="M426"/>
      <c r="N426" t="b">
        <v>0</v>
      </c>
      <c r="O426"/>
      <c r="P426">
        <v>5.2</v>
      </c>
      <c r="Q426"/>
      <c r="R426">
        <v>5.2</v>
      </c>
      <c r="S426">
        <v>34</v>
      </c>
      <c r="T426">
        <v>24</v>
      </c>
      <c r="U426">
        <v>24</v>
      </c>
      <c r="V426">
        <v>250</v>
      </c>
      <c r="W426" s="281">
        <v>41865</v>
      </c>
      <c r="X426" s="282"/>
      <c r="Z426" s="9" t="b">
        <f t="shared" si="85"/>
        <v>1</v>
      </c>
      <c r="AA426" s="9" t="str">
        <f t="shared" si="98"/>
        <v>[Wine Chiller - exempt]</v>
      </c>
      <c r="AB426" s="196">
        <f t="shared" si="86"/>
        <v>5.2</v>
      </c>
      <c r="AC426" s="9" t="e">
        <f>VLOOKUP(AA426,'Federal Standards'!$N$9:$P$50,2,FALSE)</f>
        <v>#N/A</v>
      </c>
      <c r="AD426" s="44" t="e">
        <f>VLOOKUP(AA426,'Federal Standards'!$N$9:$P$50,3,FALSE)</f>
        <v>#N/A</v>
      </c>
      <c r="AE426" s="44" t="e">
        <f t="shared" si="87"/>
        <v>#N/A</v>
      </c>
      <c r="AF426" s="283" t="e">
        <f t="shared" si="88"/>
        <v>#N/A</v>
      </c>
      <c r="AG426" s="291" t="e">
        <f t="shared" si="97"/>
        <v>#N/A</v>
      </c>
      <c r="AH426" s="184" t="e">
        <f t="shared" si="89"/>
        <v>#N/A</v>
      </c>
      <c r="AJ426" s="9" t="e">
        <f t="shared" si="90"/>
        <v>#N/A</v>
      </c>
      <c r="AK426" s="9" t="e">
        <f t="shared" si="91"/>
        <v>#N/A</v>
      </c>
      <c r="AL426" s="9" t="e">
        <f t="shared" si="92"/>
        <v>#N/A</v>
      </c>
      <c r="AM426" s="9" t="e">
        <f t="shared" si="93"/>
        <v>#N/A</v>
      </c>
      <c r="AN426" s="9" t="e">
        <f t="shared" si="94"/>
        <v>#N/A</v>
      </c>
      <c r="AO426" s="9" t="e">
        <f t="shared" si="95"/>
        <v>#N/A</v>
      </c>
      <c r="AP426" s="9" t="e">
        <f t="shared" si="96"/>
        <v>#N/A</v>
      </c>
    </row>
    <row r="427" spans="1:42">
      <c r="A427">
        <v>85971</v>
      </c>
      <c r="B427" t="s">
        <v>4433</v>
      </c>
      <c r="C427" t="s">
        <v>4434</v>
      </c>
      <c r="D427" t="s">
        <v>4438</v>
      </c>
      <c r="E427" t="s">
        <v>4115</v>
      </c>
      <c r="F427" t="s">
        <v>162</v>
      </c>
      <c r="G427" t="s">
        <v>184</v>
      </c>
      <c r="H427"/>
      <c r="I427"/>
      <c r="J427"/>
      <c r="K427"/>
      <c r="L427"/>
      <c r="M427"/>
      <c r="N427" t="b">
        <v>0</v>
      </c>
      <c r="O427"/>
      <c r="P427">
        <v>2.9</v>
      </c>
      <c r="Q427"/>
      <c r="R427">
        <v>2.9</v>
      </c>
      <c r="S427">
        <v>34</v>
      </c>
      <c r="T427">
        <v>15</v>
      </c>
      <c r="U427">
        <v>24</v>
      </c>
      <c r="V427">
        <v>225</v>
      </c>
      <c r="W427" s="281">
        <v>41865</v>
      </c>
      <c r="X427" s="282"/>
      <c r="Z427" s="9" t="b">
        <f t="shared" si="85"/>
        <v>1</v>
      </c>
      <c r="AA427" s="9" t="str">
        <f t="shared" si="98"/>
        <v>13A</v>
      </c>
      <c r="AB427" s="196">
        <f t="shared" si="86"/>
        <v>2.9</v>
      </c>
      <c r="AC427" s="9">
        <f>VLOOKUP(AA427,'Federal Standards'!$N$9:$P$50,2,FALSE)</f>
        <v>9.17</v>
      </c>
      <c r="AD427" s="44">
        <f>VLOOKUP(AA427,'Federal Standards'!$N$9:$P$50,3,FALSE)</f>
        <v>259.3</v>
      </c>
      <c r="AE427" s="44">
        <f t="shared" si="87"/>
        <v>285.89300000000003</v>
      </c>
      <c r="AF427" s="283">
        <f t="shared" si="88"/>
        <v>60.893000000000029</v>
      </c>
      <c r="AG427" s="291">
        <f t="shared" si="97"/>
        <v>0.21299227333303028</v>
      </c>
      <c r="AH427" s="184" t="str">
        <f t="shared" si="89"/>
        <v>YES</v>
      </c>
      <c r="AJ427" s="9" t="str">
        <f t="shared" si="90"/>
        <v>YES</v>
      </c>
      <c r="AK427" s="9" t="str">
        <f t="shared" si="91"/>
        <v>NO</v>
      </c>
      <c r="AL427" s="9" t="str">
        <f t="shared" si="92"/>
        <v>NO</v>
      </c>
      <c r="AM427" s="9" t="str">
        <f t="shared" si="93"/>
        <v>YES</v>
      </c>
      <c r="AN427" s="9" t="str">
        <f t="shared" si="94"/>
        <v>Tier 3 - 20%  or better than Standard</v>
      </c>
      <c r="AO427" s="9" t="str">
        <f t="shared" si="95"/>
        <v>13A_Tier 3 - 20%  or better than Standard</v>
      </c>
      <c r="AP427" s="9" t="str">
        <f t="shared" si="96"/>
        <v>13A_YES</v>
      </c>
    </row>
    <row r="428" spans="1:42">
      <c r="A428">
        <v>86055</v>
      </c>
      <c r="B428" t="s">
        <v>4433</v>
      </c>
      <c r="C428" t="s">
        <v>4434</v>
      </c>
      <c r="D428" t="s">
        <v>4439</v>
      </c>
      <c r="E428" t="s">
        <v>4119</v>
      </c>
      <c r="F428" t="s">
        <v>162</v>
      </c>
      <c r="G428" t="s">
        <v>184</v>
      </c>
      <c r="H428"/>
      <c r="I428"/>
      <c r="J428"/>
      <c r="K428"/>
      <c r="L428"/>
      <c r="M428"/>
      <c r="N428" t="b">
        <v>0</v>
      </c>
      <c r="O428"/>
      <c r="P428">
        <v>2.9</v>
      </c>
      <c r="Q428"/>
      <c r="R428">
        <v>2.9</v>
      </c>
      <c r="S428">
        <v>34</v>
      </c>
      <c r="T428">
        <v>15</v>
      </c>
      <c r="U428">
        <v>24</v>
      </c>
      <c r="V428">
        <v>250</v>
      </c>
      <c r="W428" s="281">
        <v>41865</v>
      </c>
      <c r="X428" s="282"/>
      <c r="Z428" s="9" t="b">
        <f t="shared" si="85"/>
        <v>1</v>
      </c>
      <c r="AA428" s="9" t="str">
        <f t="shared" si="98"/>
        <v>[Wine Chiller - exempt]</v>
      </c>
      <c r="AB428" s="196">
        <f t="shared" si="86"/>
        <v>2.9</v>
      </c>
      <c r="AC428" s="9" t="e">
        <f>VLOOKUP(AA428,'Federal Standards'!$N$9:$P$50,2,FALSE)</f>
        <v>#N/A</v>
      </c>
      <c r="AD428" s="44" t="e">
        <f>VLOOKUP(AA428,'Federal Standards'!$N$9:$P$50,3,FALSE)</f>
        <v>#N/A</v>
      </c>
      <c r="AE428" s="44" t="e">
        <f t="shared" si="87"/>
        <v>#N/A</v>
      </c>
      <c r="AF428" s="283" t="e">
        <f t="shared" si="88"/>
        <v>#N/A</v>
      </c>
      <c r="AG428" s="291" t="e">
        <f t="shared" si="97"/>
        <v>#N/A</v>
      </c>
      <c r="AH428" s="184" t="e">
        <f t="shared" si="89"/>
        <v>#N/A</v>
      </c>
      <c r="AJ428" s="9" t="e">
        <f t="shared" si="90"/>
        <v>#N/A</v>
      </c>
      <c r="AK428" s="9" t="e">
        <f t="shared" si="91"/>
        <v>#N/A</v>
      </c>
      <c r="AL428" s="9" t="e">
        <f t="shared" si="92"/>
        <v>#N/A</v>
      </c>
      <c r="AM428" s="9" t="e">
        <f t="shared" si="93"/>
        <v>#N/A</v>
      </c>
      <c r="AN428" s="9" t="e">
        <f t="shared" si="94"/>
        <v>#N/A</v>
      </c>
      <c r="AO428" s="9" t="e">
        <f t="shared" si="95"/>
        <v>#N/A</v>
      </c>
      <c r="AP428" s="9" t="e">
        <f t="shared" si="96"/>
        <v>#N/A</v>
      </c>
    </row>
    <row r="429" spans="1:42">
      <c r="A429">
        <v>85979</v>
      </c>
      <c r="B429" t="s">
        <v>4433</v>
      </c>
      <c r="C429" t="s">
        <v>4434</v>
      </c>
      <c r="D429" t="s">
        <v>4440</v>
      </c>
      <c r="E429" t="s">
        <v>4115</v>
      </c>
      <c r="F429" t="s">
        <v>162</v>
      </c>
      <c r="G429" t="s">
        <v>184</v>
      </c>
      <c r="H429"/>
      <c r="I429"/>
      <c r="J429"/>
      <c r="K429"/>
      <c r="L429"/>
      <c r="M429"/>
      <c r="N429" t="b">
        <v>0</v>
      </c>
      <c r="O429"/>
      <c r="P429">
        <v>5.2</v>
      </c>
      <c r="Q429"/>
      <c r="R429">
        <v>5.2</v>
      </c>
      <c r="S429">
        <v>34</v>
      </c>
      <c r="T429">
        <v>24</v>
      </c>
      <c r="U429">
        <v>24</v>
      </c>
      <c r="V429">
        <v>240</v>
      </c>
      <c r="W429" s="281">
        <v>41865</v>
      </c>
      <c r="X429" s="282"/>
      <c r="Z429" s="9" t="b">
        <f t="shared" si="85"/>
        <v>1</v>
      </c>
      <c r="AA429" s="9" t="str">
        <f t="shared" si="98"/>
        <v>13A</v>
      </c>
      <c r="AB429" s="196">
        <f t="shared" si="86"/>
        <v>5.2</v>
      </c>
      <c r="AC429" s="9">
        <f>VLOOKUP(AA429,'Federal Standards'!$N$9:$P$50,2,FALSE)</f>
        <v>9.17</v>
      </c>
      <c r="AD429" s="44">
        <f>VLOOKUP(AA429,'Federal Standards'!$N$9:$P$50,3,FALSE)</f>
        <v>259.3</v>
      </c>
      <c r="AE429" s="44">
        <f t="shared" si="87"/>
        <v>306.98400000000004</v>
      </c>
      <c r="AF429" s="283">
        <f t="shared" si="88"/>
        <v>66.984000000000037</v>
      </c>
      <c r="AG429" s="291">
        <f t="shared" si="97"/>
        <v>0.21820029708388719</v>
      </c>
      <c r="AH429" s="184" t="str">
        <f t="shared" si="89"/>
        <v>YES</v>
      </c>
      <c r="AJ429" s="9" t="str">
        <f t="shared" si="90"/>
        <v>YES</v>
      </c>
      <c r="AK429" s="9" t="str">
        <f t="shared" si="91"/>
        <v>NO</v>
      </c>
      <c r="AL429" s="9" t="str">
        <f t="shared" si="92"/>
        <v>NO</v>
      </c>
      <c r="AM429" s="9" t="str">
        <f t="shared" si="93"/>
        <v>YES</v>
      </c>
      <c r="AN429" s="9" t="str">
        <f t="shared" si="94"/>
        <v>Tier 3 - 20%  or better than Standard</v>
      </c>
      <c r="AO429" s="9" t="str">
        <f t="shared" si="95"/>
        <v>13A_Tier 3 - 20%  or better than Standard</v>
      </c>
      <c r="AP429" s="9" t="str">
        <f t="shared" si="96"/>
        <v>13A_YES</v>
      </c>
    </row>
    <row r="430" spans="1:42">
      <c r="A430">
        <v>85984</v>
      </c>
      <c r="B430" t="s">
        <v>4433</v>
      </c>
      <c r="C430" t="s">
        <v>4434</v>
      </c>
      <c r="D430" t="s">
        <v>4441</v>
      </c>
      <c r="E430" t="s">
        <v>4115</v>
      </c>
      <c r="F430" t="s">
        <v>162</v>
      </c>
      <c r="G430" t="s">
        <v>184</v>
      </c>
      <c r="H430"/>
      <c r="I430"/>
      <c r="J430"/>
      <c r="K430"/>
      <c r="L430"/>
      <c r="M430"/>
      <c r="N430" t="b">
        <v>0</v>
      </c>
      <c r="O430"/>
      <c r="P430">
        <v>3.5</v>
      </c>
      <c r="Q430"/>
      <c r="R430">
        <v>3.5</v>
      </c>
      <c r="S430">
        <v>34</v>
      </c>
      <c r="T430">
        <v>18</v>
      </c>
      <c r="U430">
        <v>24</v>
      </c>
      <c r="V430">
        <v>290</v>
      </c>
      <c r="W430" s="281">
        <v>41865</v>
      </c>
      <c r="X430" s="282"/>
      <c r="Z430" s="9" t="b">
        <f t="shared" si="85"/>
        <v>1</v>
      </c>
      <c r="AA430" s="9" t="str">
        <f t="shared" si="98"/>
        <v>13A</v>
      </c>
      <c r="AB430" s="196">
        <f t="shared" si="86"/>
        <v>3.5</v>
      </c>
      <c r="AC430" s="9">
        <f>VLOOKUP(AA430,'Federal Standards'!$N$9:$P$50,2,FALSE)</f>
        <v>9.17</v>
      </c>
      <c r="AD430" s="44">
        <f>VLOOKUP(AA430,'Federal Standards'!$N$9:$P$50,3,FALSE)</f>
        <v>259.3</v>
      </c>
      <c r="AE430" s="44">
        <f t="shared" si="87"/>
        <v>291.39499999999998</v>
      </c>
      <c r="AF430" s="283">
        <f t="shared" si="88"/>
        <v>1.3949999999999818</v>
      </c>
      <c r="AG430" s="291">
        <f t="shared" si="97"/>
        <v>4.7873161859331211E-3</v>
      </c>
      <c r="AH430" s="184" t="str">
        <f t="shared" si="89"/>
        <v>YES</v>
      </c>
      <c r="AJ430" s="9" t="str">
        <f t="shared" si="90"/>
        <v>NO</v>
      </c>
      <c r="AK430" s="9" t="str">
        <f t="shared" si="91"/>
        <v>NO</v>
      </c>
      <c r="AL430" s="9" t="str">
        <f t="shared" si="92"/>
        <v>NO</v>
      </c>
      <c r="AM430" s="9" t="str">
        <f t="shared" si="93"/>
        <v>NO</v>
      </c>
      <c r="AN430" s="9" t="str">
        <f t="shared" si="94"/>
        <v>Less than 10% better than Standard</v>
      </c>
      <c r="AO430" s="9" t="str">
        <f t="shared" si="95"/>
        <v>13A_Less than 10% better than Standard</v>
      </c>
      <c r="AP430" s="9" t="str">
        <f t="shared" si="96"/>
        <v>13A_NO</v>
      </c>
    </row>
    <row r="431" spans="1:42">
      <c r="A431">
        <v>85986</v>
      </c>
      <c r="B431" t="s">
        <v>4433</v>
      </c>
      <c r="C431" t="s">
        <v>4434</v>
      </c>
      <c r="D431" t="s">
        <v>4442</v>
      </c>
      <c r="E431" t="s">
        <v>4115</v>
      </c>
      <c r="F431" t="s">
        <v>162</v>
      </c>
      <c r="G431" t="s">
        <v>184</v>
      </c>
      <c r="H431"/>
      <c r="I431"/>
      <c r="J431"/>
      <c r="K431"/>
      <c r="L431"/>
      <c r="M431"/>
      <c r="N431" t="b">
        <v>0</v>
      </c>
      <c r="O431"/>
      <c r="P431">
        <v>3.6</v>
      </c>
      <c r="Q431"/>
      <c r="R431">
        <v>3.6</v>
      </c>
      <c r="S431">
        <v>34</v>
      </c>
      <c r="T431">
        <v>18</v>
      </c>
      <c r="U431">
        <v>24</v>
      </c>
      <c r="V431">
        <v>290</v>
      </c>
      <c r="W431" s="281">
        <v>41865</v>
      </c>
      <c r="X431" s="282"/>
      <c r="Z431" s="9" t="b">
        <f t="shared" si="85"/>
        <v>1</v>
      </c>
      <c r="AA431" s="9" t="str">
        <f t="shared" si="98"/>
        <v>13A</v>
      </c>
      <c r="AB431" s="196">
        <f t="shared" si="86"/>
        <v>3.6</v>
      </c>
      <c r="AC431" s="9">
        <f>VLOOKUP(AA431,'Federal Standards'!$N$9:$P$50,2,FALSE)</f>
        <v>9.17</v>
      </c>
      <c r="AD431" s="44">
        <f>VLOOKUP(AA431,'Federal Standards'!$N$9:$P$50,3,FALSE)</f>
        <v>259.3</v>
      </c>
      <c r="AE431" s="44">
        <f t="shared" si="87"/>
        <v>292.31200000000001</v>
      </c>
      <c r="AF431" s="283">
        <f t="shared" si="88"/>
        <v>2.3120000000000118</v>
      </c>
      <c r="AG431" s="291">
        <f t="shared" si="97"/>
        <v>7.9093571252634581E-3</v>
      </c>
      <c r="AH431" s="184" t="str">
        <f t="shared" si="89"/>
        <v>YES</v>
      </c>
      <c r="AJ431" s="9" t="str">
        <f t="shared" si="90"/>
        <v>NO</v>
      </c>
      <c r="AK431" s="9" t="str">
        <f t="shared" si="91"/>
        <v>NO</v>
      </c>
      <c r="AL431" s="9" t="str">
        <f t="shared" si="92"/>
        <v>NO</v>
      </c>
      <c r="AM431" s="9" t="str">
        <f t="shared" si="93"/>
        <v>NO</v>
      </c>
      <c r="AN431" s="9" t="str">
        <f t="shared" si="94"/>
        <v>Less than 10% better than Standard</v>
      </c>
      <c r="AO431" s="9" t="str">
        <f t="shared" si="95"/>
        <v>13A_Less than 10% better than Standard</v>
      </c>
      <c r="AP431" s="9" t="str">
        <f t="shared" si="96"/>
        <v>13A_NO</v>
      </c>
    </row>
    <row r="432" spans="1:42">
      <c r="A432">
        <v>85988</v>
      </c>
      <c r="B432" t="s">
        <v>4433</v>
      </c>
      <c r="C432" t="s">
        <v>4434</v>
      </c>
      <c r="D432" t="s">
        <v>4443</v>
      </c>
      <c r="E432" t="s">
        <v>4115</v>
      </c>
      <c r="F432" t="s">
        <v>162</v>
      </c>
      <c r="G432" t="s">
        <v>184</v>
      </c>
      <c r="H432"/>
      <c r="I432"/>
      <c r="J432"/>
      <c r="K432"/>
      <c r="L432"/>
      <c r="M432"/>
      <c r="N432" t="b">
        <v>0</v>
      </c>
      <c r="O432"/>
      <c r="P432">
        <v>3.5</v>
      </c>
      <c r="Q432"/>
      <c r="R432">
        <v>3.5</v>
      </c>
      <c r="S432">
        <v>34</v>
      </c>
      <c r="T432">
        <v>18</v>
      </c>
      <c r="U432">
        <v>24</v>
      </c>
      <c r="V432">
        <v>230</v>
      </c>
      <c r="W432" s="281">
        <v>41865</v>
      </c>
      <c r="X432" s="282"/>
      <c r="Z432" s="9" t="b">
        <f t="shared" si="85"/>
        <v>1</v>
      </c>
      <c r="AA432" s="9" t="str">
        <f t="shared" si="98"/>
        <v>13A</v>
      </c>
      <c r="AB432" s="196">
        <f t="shared" si="86"/>
        <v>3.5</v>
      </c>
      <c r="AC432" s="9">
        <f>VLOOKUP(AA432,'Federal Standards'!$N$9:$P$50,2,FALSE)</f>
        <v>9.17</v>
      </c>
      <c r="AD432" s="44">
        <f>VLOOKUP(AA432,'Federal Standards'!$N$9:$P$50,3,FALSE)</f>
        <v>259.3</v>
      </c>
      <c r="AE432" s="44">
        <f t="shared" si="87"/>
        <v>291.39499999999998</v>
      </c>
      <c r="AF432" s="283">
        <f t="shared" si="88"/>
        <v>61.394999999999982</v>
      </c>
      <c r="AG432" s="291">
        <f t="shared" si="97"/>
        <v>0.21069338869918833</v>
      </c>
      <c r="AH432" s="184" t="str">
        <f t="shared" si="89"/>
        <v>YES</v>
      </c>
      <c r="AJ432" s="9" t="str">
        <f t="shared" si="90"/>
        <v>YES</v>
      </c>
      <c r="AK432" s="9" t="str">
        <f t="shared" si="91"/>
        <v>NO</v>
      </c>
      <c r="AL432" s="9" t="str">
        <f t="shared" si="92"/>
        <v>NO</v>
      </c>
      <c r="AM432" s="9" t="str">
        <f t="shared" si="93"/>
        <v>YES</v>
      </c>
      <c r="AN432" s="9" t="str">
        <f t="shared" si="94"/>
        <v>Tier 3 - 20%  or better than Standard</v>
      </c>
      <c r="AO432" s="9" t="str">
        <f t="shared" si="95"/>
        <v>13A_Tier 3 - 20%  or better than Standard</v>
      </c>
      <c r="AP432" s="9" t="str">
        <f t="shared" si="96"/>
        <v>13A_YES</v>
      </c>
    </row>
    <row r="433" spans="1:42">
      <c r="A433">
        <v>86063</v>
      </c>
      <c r="B433" t="s">
        <v>4433</v>
      </c>
      <c r="C433" t="s">
        <v>4434</v>
      </c>
      <c r="D433" t="s">
        <v>4444</v>
      </c>
      <c r="E433" t="s">
        <v>4119</v>
      </c>
      <c r="F433" t="s">
        <v>162</v>
      </c>
      <c r="G433" t="s">
        <v>184</v>
      </c>
      <c r="H433"/>
      <c r="I433"/>
      <c r="J433"/>
      <c r="K433"/>
      <c r="L433"/>
      <c r="M433"/>
      <c r="N433" t="b">
        <v>0</v>
      </c>
      <c r="O433"/>
      <c r="P433">
        <v>3.6</v>
      </c>
      <c r="Q433"/>
      <c r="R433">
        <v>3.6</v>
      </c>
      <c r="S433">
        <v>34</v>
      </c>
      <c r="T433">
        <v>18</v>
      </c>
      <c r="U433">
        <v>24</v>
      </c>
      <c r="V433">
        <v>250</v>
      </c>
      <c r="W433" s="281">
        <v>41865</v>
      </c>
      <c r="X433" s="282"/>
      <c r="Z433" s="9" t="b">
        <f t="shared" si="85"/>
        <v>1</v>
      </c>
      <c r="AA433" s="9" t="str">
        <f t="shared" si="98"/>
        <v>[Wine Chiller - exempt]</v>
      </c>
      <c r="AB433" s="196">
        <f t="shared" si="86"/>
        <v>3.6</v>
      </c>
      <c r="AC433" s="9" t="e">
        <f>VLOOKUP(AA433,'Federal Standards'!$N$9:$P$50,2,FALSE)</f>
        <v>#N/A</v>
      </c>
      <c r="AD433" s="44" t="e">
        <f>VLOOKUP(AA433,'Federal Standards'!$N$9:$P$50,3,FALSE)</f>
        <v>#N/A</v>
      </c>
      <c r="AE433" s="44" t="e">
        <f t="shared" si="87"/>
        <v>#N/A</v>
      </c>
      <c r="AF433" s="283" t="e">
        <f t="shared" si="88"/>
        <v>#N/A</v>
      </c>
      <c r="AG433" s="291" t="e">
        <f t="shared" si="97"/>
        <v>#N/A</v>
      </c>
      <c r="AH433" s="184" t="e">
        <f t="shared" si="89"/>
        <v>#N/A</v>
      </c>
      <c r="AJ433" s="9" t="e">
        <f t="shared" si="90"/>
        <v>#N/A</v>
      </c>
      <c r="AK433" s="9" t="e">
        <f t="shared" si="91"/>
        <v>#N/A</v>
      </c>
      <c r="AL433" s="9" t="e">
        <f t="shared" si="92"/>
        <v>#N/A</v>
      </c>
      <c r="AM433" s="9" t="e">
        <f t="shared" si="93"/>
        <v>#N/A</v>
      </c>
      <c r="AN433" s="9" t="e">
        <f t="shared" si="94"/>
        <v>#N/A</v>
      </c>
      <c r="AO433" s="9" t="e">
        <f t="shared" si="95"/>
        <v>#N/A</v>
      </c>
      <c r="AP433" s="9" t="e">
        <f t="shared" si="96"/>
        <v>#N/A</v>
      </c>
    </row>
    <row r="434" spans="1:42">
      <c r="A434">
        <v>85992</v>
      </c>
      <c r="B434" t="s">
        <v>4433</v>
      </c>
      <c r="C434" t="s">
        <v>4434</v>
      </c>
      <c r="D434" t="s">
        <v>4445</v>
      </c>
      <c r="E434" t="s">
        <v>4115</v>
      </c>
      <c r="F434" t="s">
        <v>162</v>
      </c>
      <c r="G434" t="s">
        <v>184</v>
      </c>
      <c r="H434"/>
      <c r="I434"/>
      <c r="J434"/>
      <c r="K434"/>
      <c r="L434"/>
      <c r="M434"/>
      <c r="N434" t="b">
        <v>0</v>
      </c>
      <c r="O434"/>
      <c r="P434">
        <v>4.8</v>
      </c>
      <c r="Q434"/>
      <c r="R434">
        <v>4.8</v>
      </c>
      <c r="S434">
        <v>34</v>
      </c>
      <c r="T434">
        <v>24</v>
      </c>
      <c r="U434">
        <v>24</v>
      </c>
      <c r="V434">
        <v>300</v>
      </c>
      <c r="W434" s="281">
        <v>41865</v>
      </c>
      <c r="X434" s="282"/>
      <c r="Z434" s="9" t="b">
        <f t="shared" si="85"/>
        <v>1</v>
      </c>
      <c r="AA434" s="9" t="str">
        <f t="shared" si="98"/>
        <v>13A</v>
      </c>
      <c r="AB434" s="196">
        <f t="shared" si="86"/>
        <v>4.8</v>
      </c>
      <c r="AC434" s="9">
        <f>VLOOKUP(AA434,'Federal Standards'!$N$9:$P$50,2,FALSE)</f>
        <v>9.17</v>
      </c>
      <c r="AD434" s="44">
        <f>VLOOKUP(AA434,'Federal Standards'!$N$9:$P$50,3,FALSE)</f>
        <v>259.3</v>
      </c>
      <c r="AE434" s="44">
        <f t="shared" si="87"/>
        <v>303.31600000000003</v>
      </c>
      <c r="AF434" s="283">
        <f t="shared" si="88"/>
        <v>3.3160000000000309</v>
      </c>
      <c r="AG434" s="291">
        <f t="shared" si="97"/>
        <v>1.0932492845745132E-2</v>
      </c>
      <c r="AH434" s="184" t="str">
        <f t="shared" si="89"/>
        <v>YES</v>
      </c>
      <c r="AJ434" s="9" t="str">
        <f t="shared" si="90"/>
        <v>NO</v>
      </c>
      <c r="AK434" s="9" t="str">
        <f t="shared" si="91"/>
        <v>NO</v>
      </c>
      <c r="AL434" s="9" t="str">
        <f t="shared" si="92"/>
        <v>NO</v>
      </c>
      <c r="AM434" s="9" t="str">
        <f t="shared" si="93"/>
        <v>NO</v>
      </c>
      <c r="AN434" s="9" t="str">
        <f t="shared" si="94"/>
        <v>Less than 10% better than Standard</v>
      </c>
      <c r="AO434" s="9" t="str">
        <f t="shared" si="95"/>
        <v>13A_Less than 10% better than Standard</v>
      </c>
      <c r="AP434" s="9" t="str">
        <f t="shared" si="96"/>
        <v>13A_NO</v>
      </c>
    </row>
    <row r="435" spans="1:42">
      <c r="A435">
        <v>85996</v>
      </c>
      <c r="B435" t="s">
        <v>4433</v>
      </c>
      <c r="C435" t="s">
        <v>4434</v>
      </c>
      <c r="D435" t="s">
        <v>4446</v>
      </c>
      <c r="E435" t="s">
        <v>4115</v>
      </c>
      <c r="F435" t="s">
        <v>162</v>
      </c>
      <c r="G435" t="s">
        <v>184</v>
      </c>
      <c r="H435"/>
      <c r="I435"/>
      <c r="J435"/>
      <c r="K435"/>
      <c r="L435"/>
      <c r="M435"/>
      <c r="N435" t="b">
        <v>0</v>
      </c>
      <c r="O435"/>
      <c r="P435">
        <v>5.0999999999999996</v>
      </c>
      <c r="Q435"/>
      <c r="R435">
        <v>5.0999999999999996</v>
      </c>
      <c r="S435">
        <v>34</v>
      </c>
      <c r="T435">
        <v>24</v>
      </c>
      <c r="U435">
        <v>24</v>
      </c>
      <c r="V435">
        <v>300</v>
      </c>
      <c r="W435" s="281">
        <v>41865</v>
      </c>
      <c r="X435" s="282"/>
      <c r="Z435" s="9" t="b">
        <f t="shared" si="85"/>
        <v>1</v>
      </c>
      <c r="AA435" s="9" t="str">
        <f t="shared" si="98"/>
        <v>13A</v>
      </c>
      <c r="AB435" s="196">
        <f t="shared" si="86"/>
        <v>5.0999999999999996</v>
      </c>
      <c r="AC435" s="9">
        <f>VLOOKUP(AA435,'Federal Standards'!$N$9:$P$50,2,FALSE)</f>
        <v>9.17</v>
      </c>
      <c r="AD435" s="44">
        <f>VLOOKUP(AA435,'Federal Standards'!$N$9:$P$50,3,FALSE)</f>
        <v>259.3</v>
      </c>
      <c r="AE435" s="44">
        <f t="shared" si="87"/>
        <v>306.06700000000001</v>
      </c>
      <c r="AF435" s="283">
        <f t="shared" si="88"/>
        <v>6.0670000000000073</v>
      </c>
      <c r="AG435" s="291">
        <f t="shared" si="97"/>
        <v>1.9822457174409547E-2</v>
      </c>
      <c r="AH435" s="184" t="str">
        <f t="shared" si="89"/>
        <v>YES</v>
      </c>
      <c r="AJ435" s="9" t="str">
        <f t="shared" si="90"/>
        <v>NO</v>
      </c>
      <c r="AK435" s="9" t="str">
        <f t="shared" si="91"/>
        <v>NO</v>
      </c>
      <c r="AL435" s="9" t="str">
        <f t="shared" si="92"/>
        <v>NO</v>
      </c>
      <c r="AM435" s="9" t="str">
        <f t="shared" si="93"/>
        <v>NO</v>
      </c>
      <c r="AN435" s="9" t="str">
        <f t="shared" si="94"/>
        <v>Less than 10% better than Standard</v>
      </c>
      <c r="AO435" s="9" t="str">
        <f t="shared" si="95"/>
        <v>13A_Less than 10% better than Standard</v>
      </c>
      <c r="AP435" s="9" t="str">
        <f t="shared" si="96"/>
        <v>13A_NO</v>
      </c>
    </row>
    <row r="436" spans="1:42">
      <c r="A436">
        <v>86004</v>
      </c>
      <c r="B436" t="s">
        <v>4433</v>
      </c>
      <c r="C436" t="s">
        <v>4434</v>
      </c>
      <c r="D436" t="s">
        <v>4447</v>
      </c>
      <c r="E436" t="s">
        <v>4115</v>
      </c>
      <c r="F436" t="s">
        <v>162</v>
      </c>
      <c r="G436" t="s">
        <v>184</v>
      </c>
      <c r="H436"/>
      <c r="I436"/>
      <c r="J436"/>
      <c r="K436"/>
      <c r="L436"/>
      <c r="M436"/>
      <c r="N436" t="b">
        <v>0</v>
      </c>
      <c r="O436"/>
      <c r="P436">
        <v>4.8</v>
      </c>
      <c r="Q436"/>
      <c r="R436">
        <v>4.8</v>
      </c>
      <c r="S436">
        <v>34</v>
      </c>
      <c r="T436">
        <v>24</v>
      </c>
      <c r="U436">
        <v>24</v>
      </c>
      <c r="V436">
        <v>240</v>
      </c>
      <c r="W436" s="281">
        <v>41865</v>
      </c>
      <c r="X436" s="282"/>
      <c r="Z436" s="9" t="b">
        <f t="shared" si="85"/>
        <v>1</v>
      </c>
      <c r="AA436" s="9" t="str">
        <f t="shared" si="98"/>
        <v>13A</v>
      </c>
      <c r="AB436" s="196">
        <f t="shared" si="86"/>
        <v>4.8</v>
      </c>
      <c r="AC436" s="9">
        <f>VLOOKUP(AA436,'Federal Standards'!$N$9:$P$50,2,FALSE)</f>
        <v>9.17</v>
      </c>
      <c r="AD436" s="44">
        <f>VLOOKUP(AA436,'Federal Standards'!$N$9:$P$50,3,FALSE)</f>
        <v>259.3</v>
      </c>
      <c r="AE436" s="44">
        <f t="shared" si="87"/>
        <v>303.31600000000003</v>
      </c>
      <c r="AF436" s="283">
        <f t="shared" si="88"/>
        <v>63.316000000000031</v>
      </c>
      <c r="AG436" s="291">
        <f t="shared" si="97"/>
        <v>0.2087459942765961</v>
      </c>
      <c r="AH436" s="184" t="str">
        <f t="shared" si="89"/>
        <v>YES</v>
      </c>
      <c r="AJ436" s="9" t="str">
        <f t="shared" si="90"/>
        <v>YES</v>
      </c>
      <c r="AK436" s="9" t="str">
        <f t="shared" si="91"/>
        <v>NO</v>
      </c>
      <c r="AL436" s="9" t="str">
        <f t="shared" si="92"/>
        <v>NO</v>
      </c>
      <c r="AM436" s="9" t="str">
        <f t="shared" si="93"/>
        <v>YES</v>
      </c>
      <c r="AN436" s="9" t="str">
        <f t="shared" si="94"/>
        <v>Tier 3 - 20%  or better than Standard</v>
      </c>
      <c r="AO436" s="9" t="str">
        <f t="shared" si="95"/>
        <v>13A_Tier 3 - 20%  or better than Standard</v>
      </c>
      <c r="AP436" s="9" t="str">
        <f t="shared" si="96"/>
        <v>13A_YES</v>
      </c>
    </row>
    <row r="437" spans="1:42">
      <c r="A437">
        <v>86067</v>
      </c>
      <c r="B437" t="s">
        <v>4433</v>
      </c>
      <c r="C437" t="s">
        <v>4434</v>
      </c>
      <c r="D437" t="s">
        <v>4448</v>
      </c>
      <c r="E437" t="s">
        <v>4119</v>
      </c>
      <c r="F437" t="s">
        <v>162</v>
      </c>
      <c r="G437" t="s">
        <v>184</v>
      </c>
      <c r="H437"/>
      <c r="I437"/>
      <c r="J437"/>
      <c r="K437"/>
      <c r="L437"/>
      <c r="M437"/>
      <c r="N437" t="b">
        <v>0</v>
      </c>
      <c r="O437"/>
      <c r="P437">
        <v>4.8</v>
      </c>
      <c r="Q437"/>
      <c r="R437">
        <v>4.8</v>
      </c>
      <c r="S437">
        <v>34</v>
      </c>
      <c r="T437">
        <v>24</v>
      </c>
      <c r="U437">
        <v>24</v>
      </c>
      <c r="V437">
        <v>250</v>
      </c>
      <c r="W437" s="281">
        <v>41865</v>
      </c>
      <c r="X437" s="282"/>
      <c r="Z437" s="9" t="b">
        <f t="shared" si="85"/>
        <v>1</v>
      </c>
      <c r="AA437" s="9" t="str">
        <f t="shared" si="98"/>
        <v>[Wine Chiller - exempt]</v>
      </c>
      <c r="AB437" s="196">
        <f t="shared" si="86"/>
        <v>4.8</v>
      </c>
      <c r="AC437" s="9" t="e">
        <f>VLOOKUP(AA437,'Federal Standards'!$N$9:$P$50,2,FALSE)</f>
        <v>#N/A</v>
      </c>
      <c r="AD437" s="44" t="e">
        <f>VLOOKUP(AA437,'Federal Standards'!$N$9:$P$50,3,FALSE)</f>
        <v>#N/A</v>
      </c>
      <c r="AE437" s="44" t="e">
        <f t="shared" si="87"/>
        <v>#N/A</v>
      </c>
      <c r="AF437" s="283" t="e">
        <f t="shared" si="88"/>
        <v>#N/A</v>
      </c>
      <c r="AG437" s="291" t="e">
        <f t="shared" si="97"/>
        <v>#N/A</v>
      </c>
      <c r="AH437" s="184" t="e">
        <f t="shared" si="89"/>
        <v>#N/A</v>
      </c>
      <c r="AJ437" s="9" t="e">
        <f t="shared" si="90"/>
        <v>#N/A</v>
      </c>
      <c r="AK437" s="9" t="e">
        <f t="shared" si="91"/>
        <v>#N/A</v>
      </c>
      <c r="AL437" s="9" t="e">
        <f t="shared" si="92"/>
        <v>#N/A</v>
      </c>
      <c r="AM437" s="9" t="e">
        <f t="shared" si="93"/>
        <v>#N/A</v>
      </c>
      <c r="AN437" s="9" t="e">
        <f t="shared" si="94"/>
        <v>#N/A</v>
      </c>
      <c r="AO437" s="9" t="e">
        <f t="shared" si="95"/>
        <v>#N/A</v>
      </c>
      <c r="AP437" s="9" t="e">
        <f t="shared" si="96"/>
        <v>#N/A</v>
      </c>
    </row>
    <row r="438" spans="1:42">
      <c r="A438">
        <v>86008</v>
      </c>
      <c r="B438" t="s">
        <v>4433</v>
      </c>
      <c r="C438" t="s">
        <v>4434</v>
      </c>
      <c r="D438" t="s">
        <v>4449</v>
      </c>
      <c r="E438" t="s">
        <v>4115</v>
      </c>
      <c r="F438" t="s">
        <v>162</v>
      </c>
      <c r="G438" t="s">
        <v>184</v>
      </c>
      <c r="H438"/>
      <c r="I438"/>
      <c r="J438"/>
      <c r="K438"/>
      <c r="L438"/>
      <c r="M438"/>
      <c r="N438" t="b">
        <v>0</v>
      </c>
      <c r="O438"/>
      <c r="P438">
        <v>3.3</v>
      </c>
      <c r="Q438"/>
      <c r="R438">
        <v>3.3</v>
      </c>
      <c r="S438">
        <v>29</v>
      </c>
      <c r="T438">
        <v>21</v>
      </c>
      <c r="U438">
        <v>23</v>
      </c>
      <c r="V438">
        <v>230</v>
      </c>
      <c r="W438" s="281">
        <v>41865</v>
      </c>
      <c r="X438" s="282"/>
      <c r="Z438" s="9" t="b">
        <f t="shared" si="85"/>
        <v>1</v>
      </c>
      <c r="AA438" s="9" t="str">
        <f t="shared" si="98"/>
        <v>13A</v>
      </c>
      <c r="AB438" s="196">
        <f t="shared" si="86"/>
        <v>3.3</v>
      </c>
      <c r="AC438" s="9">
        <f>VLOOKUP(AA438,'Federal Standards'!$N$9:$P$50,2,FALSE)</f>
        <v>9.17</v>
      </c>
      <c r="AD438" s="44">
        <f>VLOOKUP(AA438,'Federal Standards'!$N$9:$P$50,3,FALSE)</f>
        <v>259.3</v>
      </c>
      <c r="AE438" s="44">
        <f t="shared" si="87"/>
        <v>289.56100000000004</v>
      </c>
      <c r="AF438" s="283">
        <f t="shared" si="88"/>
        <v>59.561000000000035</v>
      </c>
      <c r="AG438" s="291">
        <f t="shared" si="97"/>
        <v>0.20569413698667993</v>
      </c>
      <c r="AH438" s="184" t="str">
        <f t="shared" si="89"/>
        <v>YES</v>
      </c>
      <c r="AJ438" s="9" t="str">
        <f t="shared" si="90"/>
        <v>YES</v>
      </c>
      <c r="AK438" s="9" t="str">
        <f t="shared" si="91"/>
        <v>NO</v>
      </c>
      <c r="AL438" s="9" t="str">
        <f t="shared" si="92"/>
        <v>NO</v>
      </c>
      <c r="AM438" s="9" t="str">
        <f t="shared" si="93"/>
        <v>YES</v>
      </c>
      <c r="AN438" s="9" t="str">
        <f t="shared" si="94"/>
        <v>Tier 3 - 20%  or better than Standard</v>
      </c>
      <c r="AO438" s="9" t="str">
        <f t="shared" si="95"/>
        <v>13A_Tier 3 - 20%  or better than Standard</v>
      </c>
      <c r="AP438" s="9" t="str">
        <f t="shared" si="96"/>
        <v>13A_YES</v>
      </c>
    </row>
    <row r="439" spans="1:42">
      <c r="A439">
        <v>86020</v>
      </c>
      <c r="B439" t="s">
        <v>4433</v>
      </c>
      <c r="C439" t="s">
        <v>4434</v>
      </c>
      <c r="D439" t="s">
        <v>4450</v>
      </c>
      <c r="E439" t="s">
        <v>4115</v>
      </c>
      <c r="F439" t="s">
        <v>162</v>
      </c>
      <c r="G439" t="s">
        <v>184</v>
      </c>
      <c r="H439"/>
      <c r="I439"/>
      <c r="J439"/>
      <c r="K439"/>
      <c r="L439"/>
      <c r="M439"/>
      <c r="N439" t="b">
        <v>0</v>
      </c>
      <c r="O439"/>
      <c r="P439">
        <v>3.5</v>
      </c>
      <c r="Q439"/>
      <c r="R439">
        <v>3.5</v>
      </c>
      <c r="S439">
        <v>34</v>
      </c>
      <c r="T439">
        <v>18</v>
      </c>
      <c r="U439">
        <v>24</v>
      </c>
      <c r="V439">
        <v>245</v>
      </c>
      <c r="W439" s="281">
        <v>41865</v>
      </c>
      <c r="X439" s="282"/>
      <c r="Z439" s="9" t="b">
        <f t="shared" si="85"/>
        <v>1</v>
      </c>
      <c r="AA439" s="9" t="str">
        <f t="shared" si="98"/>
        <v>13A</v>
      </c>
      <c r="AB439" s="196">
        <f t="shared" si="86"/>
        <v>3.5</v>
      </c>
      <c r="AC439" s="9">
        <f>VLOOKUP(AA439,'Federal Standards'!$N$9:$P$50,2,FALSE)</f>
        <v>9.17</v>
      </c>
      <c r="AD439" s="44">
        <f>VLOOKUP(AA439,'Federal Standards'!$N$9:$P$50,3,FALSE)</f>
        <v>259.3</v>
      </c>
      <c r="AE439" s="44">
        <f t="shared" si="87"/>
        <v>291.39499999999998</v>
      </c>
      <c r="AF439" s="283">
        <f t="shared" si="88"/>
        <v>46.394999999999982</v>
      </c>
      <c r="AG439" s="291">
        <f t="shared" si="97"/>
        <v>0.15921687057087452</v>
      </c>
      <c r="AH439" s="184" t="str">
        <f t="shared" si="89"/>
        <v>YES</v>
      </c>
      <c r="AJ439" s="9" t="str">
        <f t="shared" si="90"/>
        <v>YES</v>
      </c>
      <c r="AK439" s="9" t="str">
        <f t="shared" si="91"/>
        <v>NO</v>
      </c>
      <c r="AL439" s="9" t="str">
        <f t="shared" si="92"/>
        <v>YES</v>
      </c>
      <c r="AM439" s="9" t="str">
        <f t="shared" si="93"/>
        <v>NO</v>
      </c>
      <c r="AN439" s="9" t="str">
        <f t="shared" si="94"/>
        <v>Tier 2 - 15% to 20% better than Standard</v>
      </c>
      <c r="AO439" s="9" t="str">
        <f t="shared" si="95"/>
        <v>13A_Tier 2 - 15% to 20% better than Standard</v>
      </c>
      <c r="AP439" s="9" t="str">
        <f t="shared" si="96"/>
        <v>13A_YES</v>
      </c>
    </row>
    <row r="440" spans="1:42">
      <c r="A440">
        <v>86075</v>
      </c>
      <c r="B440" t="s">
        <v>4433</v>
      </c>
      <c r="C440" t="s">
        <v>4434</v>
      </c>
      <c r="D440" t="s">
        <v>4451</v>
      </c>
      <c r="E440" t="s">
        <v>4119</v>
      </c>
      <c r="F440" t="s">
        <v>162</v>
      </c>
      <c r="G440" t="s">
        <v>184</v>
      </c>
      <c r="H440"/>
      <c r="I440"/>
      <c r="J440"/>
      <c r="K440"/>
      <c r="L440"/>
      <c r="M440"/>
      <c r="N440" t="b">
        <v>0</v>
      </c>
      <c r="O440"/>
      <c r="P440">
        <v>3.5</v>
      </c>
      <c r="Q440"/>
      <c r="R440">
        <v>3.5</v>
      </c>
      <c r="S440">
        <v>34</v>
      </c>
      <c r="T440">
        <v>18</v>
      </c>
      <c r="U440">
        <v>24</v>
      </c>
      <c r="V440">
        <v>250</v>
      </c>
      <c r="W440" s="281">
        <v>41865</v>
      </c>
      <c r="X440" s="282"/>
      <c r="Z440" s="9" t="b">
        <f t="shared" si="85"/>
        <v>1</v>
      </c>
      <c r="AA440" s="9" t="str">
        <f t="shared" si="98"/>
        <v>[Wine Chiller - exempt]</v>
      </c>
      <c r="AB440" s="196">
        <f t="shared" si="86"/>
        <v>3.5</v>
      </c>
      <c r="AC440" s="9" t="e">
        <f>VLOOKUP(AA440,'Federal Standards'!$N$9:$P$50,2,FALSE)</f>
        <v>#N/A</v>
      </c>
      <c r="AD440" s="44" t="e">
        <f>VLOOKUP(AA440,'Federal Standards'!$N$9:$P$50,3,FALSE)</f>
        <v>#N/A</v>
      </c>
      <c r="AE440" s="44" t="e">
        <f t="shared" si="87"/>
        <v>#N/A</v>
      </c>
      <c r="AF440" s="283" t="e">
        <f t="shared" si="88"/>
        <v>#N/A</v>
      </c>
      <c r="AG440" s="291" t="e">
        <f t="shared" si="97"/>
        <v>#N/A</v>
      </c>
      <c r="AH440" s="184" t="e">
        <f t="shared" si="89"/>
        <v>#N/A</v>
      </c>
      <c r="AJ440" s="9" t="e">
        <f t="shared" si="90"/>
        <v>#N/A</v>
      </c>
      <c r="AK440" s="9" t="e">
        <f t="shared" si="91"/>
        <v>#N/A</v>
      </c>
      <c r="AL440" s="9" t="e">
        <f t="shared" si="92"/>
        <v>#N/A</v>
      </c>
      <c r="AM440" s="9" t="e">
        <f t="shared" si="93"/>
        <v>#N/A</v>
      </c>
      <c r="AN440" s="9" t="e">
        <f t="shared" si="94"/>
        <v>#N/A</v>
      </c>
      <c r="AO440" s="9" t="e">
        <f t="shared" si="95"/>
        <v>#N/A</v>
      </c>
      <c r="AP440" s="9" t="e">
        <f t="shared" si="96"/>
        <v>#N/A</v>
      </c>
    </row>
    <row r="441" spans="1:42">
      <c r="A441">
        <v>86024</v>
      </c>
      <c r="B441" t="s">
        <v>4433</v>
      </c>
      <c r="C441" t="s">
        <v>4434</v>
      </c>
      <c r="D441" t="s">
        <v>4452</v>
      </c>
      <c r="E441" t="s">
        <v>4115</v>
      </c>
      <c r="F441" t="s">
        <v>162</v>
      </c>
      <c r="G441" t="s">
        <v>184</v>
      </c>
      <c r="H441"/>
      <c r="I441"/>
      <c r="J441"/>
      <c r="K441"/>
      <c r="L441"/>
      <c r="M441"/>
      <c r="N441" t="b">
        <v>0</v>
      </c>
      <c r="O441"/>
      <c r="P441">
        <v>4.7</v>
      </c>
      <c r="Q441"/>
      <c r="R441">
        <v>4.7</v>
      </c>
      <c r="S441">
        <v>34</v>
      </c>
      <c r="T441">
        <v>24</v>
      </c>
      <c r="U441">
        <v>24</v>
      </c>
      <c r="V441">
        <v>300</v>
      </c>
      <c r="W441" s="281">
        <v>41865</v>
      </c>
      <c r="X441" s="282"/>
      <c r="Z441" s="9" t="b">
        <f t="shared" si="85"/>
        <v>1</v>
      </c>
      <c r="AA441" s="9" t="str">
        <f t="shared" si="98"/>
        <v>13A</v>
      </c>
      <c r="AB441" s="196">
        <f t="shared" si="86"/>
        <v>4.7</v>
      </c>
      <c r="AC441" s="9">
        <f>VLOOKUP(AA441,'Federal Standards'!$N$9:$P$50,2,FALSE)</f>
        <v>9.17</v>
      </c>
      <c r="AD441" s="44">
        <f>VLOOKUP(AA441,'Federal Standards'!$N$9:$P$50,3,FALSE)</f>
        <v>259.3</v>
      </c>
      <c r="AE441" s="44">
        <f t="shared" si="87"/>
        <v>302.399</v>
      </c>
      <c r="AF441" s="283">
        <f t="shared" si="88"/>
        <v>2.3990000000000009</v>
      </c>
      <c r="AG441" s="291">
        <f t="shared" si="97"/>
        <v>7.9332272924182972E-3</v>
      </c>
      <c r="AH441" s="184" t="str">
        <f t="shared" si="89"/>
        <v>YES</v>
      </c>
      <c r="AJ441" s="9" t="str">
        <f t="shared" si="90"/>
        <v>NO</v>
      </c>
      <c r="AK441" s="9" t="str">
        <f t="shared" si="91"/>
        <v>NO</v>
      </c>
      <c r="AL441" s="9" t="str">
        <f t="shared" si="92"/>
        <v>NO</v>
      </c>
      <c r="AM441" s="9" t="str">
        <f t="shared" si="93"/>
        <v>NO</v>
      </c>
      <c r="AN441" s="9" t="str">
        <f t="shared" si="94"/>
        <v>Less than 10% better than Standard</v>
      </c>
      <c r="AO441" s="9" t="str">
        <f t="shared" si="95"/>
        <v>13A_Less than 10% better than Standard</v>
      </c>
      <c r="AP441" s="9" t="str">
        <f t="shared" si="96"/>
        <v>13A_NO</v>
      </c>
    </row>
    <row r="442" spans="1:42">
      <c r="A442">
        <v>86028</v>
      </c>
      <c r="B442" t="s">
        <v>4433</v>
      </c>
      <c r="C442" t="s">
        <v>4434</v>
      </c>
      <c r="D442" t="s">
        <v>4453</v>
      </c>
      <c r="E442" t="s">
        <v>4115</v>
      </c>
      <c r="F442" t="s">
        <v>162</v>
      </c>
      <c r="G442" t="s">
        <v>184</v>
      </c>
      <c r="H442"/>
      <c r="I442"/>
      <c r="J442"/>
      <c r="K442"/>
      <c r="L442"/>
      <c r="M442"/>
      <c r="N442" t="b">
        <v>0</v>
      </c>
      <c r="O442"/>
      <c r="P442">
        <v>4.9000000000000004</v>
      </c>
      <c r="Q442"/>
      <c r="R442">
        <v>4.9000000000000004</v>
      </c>
      <c r="S442">
        <v>34</v>
      </c>
      <c r="T442">
        <v>24</v>
      </c>
      <c r="U442">
        <v>24</v>
      </c>
      <c r="V442">
        <v>300</v>
      </c>
      <c r="W442" s="281">
        <v>41865</v>
      </c>
      <c r="X442" s="282"/>
      <c r="Z442" s="9" t="b">
        <f t="shared" si="85"/>
        <v>1</v>
      </c>
      <c r="AA442" s="9" t="str">
        <f t="shared" si="98"/>
        <v>13A</v>
      </c>
      <c r="AB442" s="196">
        <f t="shared" si="86"/>
        <v>4.9000000000000004</v>
      </c>
      <c r="AC442" s="9">
        <f>VLOOKUP(AA442,'Federal Standards'!$N$9:$P$50,2,FALSE)</f>
        <v>9.17</v>
      </c>
      <c r="AD442" s="44">
        <f>VLOOKUP(AA442,'Federal Standards'!$N$9:$P$50,3,FALSE)</f>
        <v>259.3</v>
      </c>
      <c r="AE442" s="44">
        <f t="shared" si="87"/>
        <v>304.233</v>
      </c>
      <c r="AF442" s="283">
        <f t="shared" si="88"/>
        <v>4.2330000000000041</v>
      </c>
      <c r="AG442" s="291">
        <f t="shared" si="97"/>
        <v>1.3913678003372428E-2</v>
      </c>
      <c r="AH442" s="184" t="str">
        <f t="shared" si="89"/>
        <v>YES</v>
      </c>
      <c r="AJ442" s="9" t="str">
        <f t="shared" si="90"/>
        <v>NO</v>
      </c>
      <c r="AK442" s="9" t="str">
        <f t="shared" si="91"/>
        <v>NO</v>
      </c>
      <c r="AL442" s="9" t="str">
        <f t="shared" si="92"/>
        <v>NO</v>
      </c>
      <c r="AM442" s="9" t="str">
        <f t="shared" si="93"/>
        <v>NO</v>
      </c>
      <c r="AN442" s="9" t="str">
        <f t="shared" si="94"/>
        <v>Less than 10% better than Standard</v>
      </c>
      <c r="AO442" s="9" t="str">
        <f t="shared" si="95"/>
        <v>13A_Less than 10% better than Standard</v>
      </c>
      <c r="AP442" s="9" t="str">
        <f t="shared" si="96"/>
        <v>13A_NO</v>
      </c>
    </row>
    <row r="443" spans="1:42">
      <c r="A443">
        <v>86042</v>
      </c>
      <c r="B443" t="s">
        <v>4433</v>
      </c>
      <c r="C443" t="s">
        <v>4434</v>
      </c>
      <c r="D443" t="s">
        <v>4454</v>
      </c>
      <c r="E443" t="s">
        <v>4115</v>
      </c>
      <c r="F443" t="s">
        <v>162</v>
      </c>
      <c r="G443" t="s">
        <v>184</v>
      </c>
      <c r="H443"/>
      <c r="I443"/>
      <c r="J443"/>
      <c r="K443"/>
      <c r="L443"/>
      <c r="M443"/>
      <c r="N443" t="b">
        <v>0</v>
      </c>
      <c r="O443"/>
      <c r="P443">
        <v>6.8</v>
      </c>
      <c r="Q443"/>
      <c r="R443">
        <v>6.8</v>
      </c>
      <c r="S443">
        <v>34</v>
      </c>
      <c r="T443">
        <v>36</v>
      </c>
      <c r="U443">
        <v>24</v>
      </c>
      <c r="V443">
        <v>320</v>
      </c>
      <c r="W443" s="281">
        <v>41865</v>
      </c>
      <c r="X443" s="282"/>
      <c r="Z443" s="9" t="b">
        <f t="shared" si="85"/>
        <v>1</v>
      </c>
      <c r="AA443" s="9" t="str">
        <f t="shared" si="98"/>
        <v>13A</v>
      </c>
      <c r="AB443" s="196">
        <f t="shared" si="86"/>
        <v>6.8</v>
      </c>
      <c r="AC443" s="9">
        <f>VLOOKUP(AA443,'Federal Standards'!$N$9:$P$50,2,FALSE)</f>
        <v>9.17</v>
      </c>
      <c r="AD443" s="44">
        <f>VLOOKUP(AA443,'Federal Standards'!$N$9:$P$50,3,FALSE)</f>
        <v>259.3</v>
      </c>
      <c r="AE443" s="44">
        <f t="shared" si="87"/>
        <v>321.65600000000001</v>
      </c>
      <c r="AF443" s="283">
        <f t="shared" si="88"/>
        <v>1.6560000000000059</v>
      </c>
      <c r="AG443" s="291">
        <f t="shared" si="97"/>
        <v>5.148357251224929E-3</v>
      </c>
      <c r="AH443" s="184" t="str">
        <f t="shared" si="89"/>
        <v>YES</v>
      </c>
      <c r="AJ443" s="9" t="str">
        <f t="shared" si="90"/>
        <v>NO</v>
      </c>
      <c r="AK443" s="9" t="str">
        <f t="shared" si="91"/>
        <v>NO</v>
      </c>
      <c r="AL443" s="9" t="str">
        <f t="shared" si="92"/>
        <v>NO</v>
      </c>
      <c r="AM443" s="9" t="str">
        <f t="shared" si="93"/>
        <v>NO</v>
      </c>
      <c r="AN443" s="9" t="str">
        <f t="shared" si="94"/>
        <v>Less than 10% better than Standard</v>
      </c>
      <c r="AO443" s="9" t="str">
        <f t="shared" si="95"/>
        <v>13A_Less than 10% better than Standard</v>
      </c>
      <c r="AP443" s="9" t="str">
        <f t="shared" si="96"/>
        <v>13A_NO</v>
      </c>
    </row>
    <row r="444" spans="1:42">
      <c r="A444">
        <v>86044</v>
      </c>
      <c r="B444" t="s">
        <v>4433</v>
      </c>
      <c r="C444" t="s">
        <v>4434</v>
      </c>
      <c r="D444" t="s">
        <v>4455</v>
      </c>
      <c r="E444" t="s">
        <v>4115</v>
      </c>
      <c r="F444" t="s">
        <v>162</v>
      </c>
      <c r="G444" t="s">
        <v>184</v>
      </c>
      <c r="H444"/>
      <c r="I444"/>
      <c r="J444"/>
      <c r="K444"/>
      <c r="L444"/>
      <c r="M444"/>
      <c r="N444" t="b">
        <v>0</v>
      </c>
      <c r="O444"/>
      <c r="P444">
        <v>7</v>
      </c>
      <c r="Q444"/>
      <c r="R444">
        <v>7</v>
      </c>
      <c r="S444">
        <v>34</v>
      </c>
      <c r="T444">
        <v>36</v>
      </c>
      <c r="U444">
        <v>24</v>
      </c>
      <c r="V444">
        <v>323</v>
      </c>
      <c r="W444" s="281">
        <v>41865</v>
      </c>
      <c r="X444" s="282"/>
      <c r="Z444" s="9" t="b">
        <f t="shared" si="85"/>
        <v>1</v>
      </c>
      <c r="AA444" s="9" t="str">
        <f t="shared" si="98"/>
        <v>13A</v>
      </c>
      <c r="AB444" s="196">
        <f t="shared" si="86"/>
        <v>7</v>
      </c>
      <c r="AC444" s="9">
        <f>VLOOKUP(AA444,'Federal Standards'!$N$9:$P$50,2,FALSE)</f>
        <v>9.17</v>
      </c>
      <c r="AD444" s="44">
        <f>VLOOKUP(AA444,'Federal Standards'!$N$9:$P$50,3,FALSE)</f>
        <v>259.3</v>
      </c>
      <c r="AE444" s="44">
        <f t="shared" si="87"/>
        <v>323.49</v>
      </c>
      <c r="AF444" s="283">
        <f t="shared" si="88"/>
        <v>0.49000000000000909</v>
      </c>
      <c r="AG444" s="291">
        <f t="shared" si="97"/>
        <v>1.5147299761971284E-3</v>
      </c>
      <c r="AH444" s="184" t="str">
        <f t="shared" si="89"/>
        <v>YES</v>
      </c>
      <c r="AJ444" s="9" t="str">
        <f t="shared" si="90"/>
        <v>NO</v>
      </c>
      <c r="AK444" s="9" t="str">
        <f t="shared" si="91"/>
        <v>NO</v>
      </c>
      <c r="AL444" s="9" t="str">
        <f t="shared" si="92"/>
        <v>NO</v>
      </c>
      <c r="AM444" s="9" t="str">
        <f t="shared" si="93"/>
        <v>NO</v>
      </c>
      <c r="AN444" s="9" t="str">
        <f t="shared" si="94"/>
        <v>Less than 10% better than Standard</v>
      </c>
      <c r="AO444" s="9" t="str">
        <f t="shared" si="95"/>
        <v>13A_Less than 10% better than Standard</v>
      </c>
      <c r="AP444" s="9" t="str">
        <f t="shared" si="96"/>
        <v>13A_NO</v>
      </c>
    </row>
    <row r="445" spans="1:42">
      <c r="A445">
        <v>86046</v>
      </c>
      <c r="B445" t="s">
        <v>4433</v>
      </c>
      <c r="C445" t="s">
        <v>4434</v>
      </c>
      <c r="D445" t="s">
        <v>4456</v>
      </c>
      <c r="E445" t="s">
        <v>4115</v>
      </c>
      <c r="F445" t="s">
        <v>162</v>
      </c>
      <c r="G445" t="s">
        <v>184</v>
      </c>
      <c r="H445"/>
      <c r="I445"/>
      <c r="J445"/>
      <c r="K445"/>
      <c r="L445"/>
      <c r="M445"/>
      <c r="N445" t="b">
        <v>0</v>
      </c>
      <c r="O445"/>
      <c r="P445">
        <v>6.9</v>
      </c>
      <c r="Q445"/>
      <c r="R445">
        <v>6.9</v>
      </c>
      <c r="S445">
        <v>34</v>
      </c>
      <c r="T445">
        <v>36</v>
      </c>
      <c r="U445">
        <v>24</v>
      </c>
      <c r="V445">
        <v>320</v>
      </c>
      <c r="W445" s="281">
        <v>41865</v>
      </c>
      <c r="X445" s="282"/>
      <c r="Z445" s="9" t="b">
        <f t="shared" si="85"/>
        <v>1</v>
      </c>
      <c r="AA445" s="9" t="str">
        <f t="shared" si="98"/>
        <v>13A</v>
      </c>
      <c r="AB445" s="196">
        <f t="shared" si="86"/>
        <v>6.9</v>
      </c>
      <c r="AC445" s="9">
        <f>VLOOKUP(AA445,'Federal Standards'!$N$9:$P$50,2,FALSE)</f>
        <v>9.17</v>
      </c>
      <c r="AD445" s="44">
        <f>VLOOKUP(AA445,'Federal Standards'!$N$9:$P$50,3,FALSE)</f>
        <v>259.3</v>
      </c>
      <c r="AE445" s="44">
        <f t="shared" si="87"/>
        <v>322.57300000000004</v>
      </c>
      <c r="AF445" s="283">
        <f t="shared" si="88"/>
        <v>2.5730000000000359</v>
      </c>
      <c r="AG445" s="291">
        <f t="shared" si="97"/>
        <v>7.9764890427904238E-3</v>
      </c>
      <c r="AH445" s="184" t="str">
        <f t="shared" si="89"/>
        <v>YES</v>
      </c>
      <c r="AJ445" s="9" t="str">
        <f t="shared" si="90"/>
        <v>NO</v>
      </c>
      <c r="AK445" s="9" t="str">
        <f t="shared" si="91"/>
        <v>NO</v>
      </c>
      <c r="AL445" s="9" t="str">
        <f t="shared" si="92"/>
        <v>NO</v>
      </c>
      <c r="AM445" s="9" t="str">
        <f t="shared" si="93"/>
        <v>NO</v>
      </c>
      <c r="AN445" s="9" t="str">
        <f t="shared" si="94"/>
        <v>Less than 10% better than Standard</v>
      </c>
      <c r="AO445" s="9" t="str">
        <f t="shared" si="95"/>
        <v>13A_Less than 10% better than Standard</v>
      </c>
      <c r="AP445" s="9" t="str">
        <f t="shared" si="96"/>
        <v>13A_NO</v>
      </c>
    </row>
    <row r="446" spans="1:42">
      <c r="A446">
        <v>86091</v>
      </c>
      <c r="B446" t="s">
        <v>4433</v>
      </c>
      <c r="C446" t="s">
        <v>4434</v>
      </c>
      <c r="D446" t="s">
        <v>4457</v>
      </c>
      <c r="E446" t="s">
        <v>4119</v>
      </c>
      <c r="F446" t="s">
        <v>162</v>
      </c>
      <c r="G446" t="s">
        <v>184</v>
      </c>
      <c r="H446"/>
      <c r="I446"/>
      <c r="J446"/>
      <c r="K446"/>
      <c r="L446"/>
      <c r="M446"/>
      <c r="N446" t="b">
        <v>0</v>
      </c>
      <c r="O446"/>
      <c r="P446">
        <v>7</v>
      </c>
      <c r="Q446"/>
      <c r="R446">
        <v>7</v>
      </c>
      <c r="S446">
        <v>34</v>
      </c>
      <c r="T446">
        <v>36</v>
      </c>
      <c r="U446">
        <v>24</v>
      </c>
      <c r="V446">
        <v>445</v>
      </c>
      <c r="W446" s="281">
        <v>41865</v>
      </c>
      <c r="X446" s="282"/>
      <c r="Z446" s="9" t="b">
        <f t="shared" si="85"/>
        <v>1</v>
      </c>
      <c r="AA446" s="9" t="str">
        <f t="shared" si="98"/>
        <v>[Wine Chiller - exempt]</v>
      </c>
      <c r="AB446" s="196">
        <f t="shared" si="86"/>
        <v>7</v>
      </c>
      <c r="AC446" s="9" t="e">
        <f>VLOOKUP(AA446,'Federal Standards'!$N$9:$P$50,2,FALSE)</f>
        <v>#N/A</v>
      </c>
      <c r="AD446" s="44" t="e">
        <f>VLOOKUP(AA446,'Federal Standards'!$N$9:$P$50,3,FALSE)</f>
        <v>#N/A</v>
      </c>
      <c r="AE446" s="44" t="e">
        <f t="shared" si="87"/>
        <v>#N/A</v>
      </c>
      <c r="AF446" s="283" t="e">
        <f t="shared" si="88"/>
        <v>#N/A</v>
      </c>
      <c r="AG446" s="291" t="e">
        <f t="shared" si="97"/>
        <v>#N/A</v>
      </c>
      <c r="AH446" s="184" t="e">
        <f t="shared" si="89"/>
        <v>#N/A</v>
      </c>
      <c r="AJ446" s="9" t="e">
        <f t="shared" si="90"/>
        <v>#N/A</v>
      </c>
      <c r="AK446" s="9" t="e">
        <f t="shared" si="91"/>
        <v>#N/A</v>
      </c>
      <c r="AL446" s="9" t="e">
        <f t="shared" si="92"/>
        <v>#N/A</v>
      </c>
      <c r="AM446" s="9" t="e">
        <f t="shared" si="93"/>
        <v>#N/A</v>
      </c>
      <c r="AN446" s="9" t="e">
        <f t="shared" si="94"/>
        <v>#N/A</v>
      </c>
      <c r="AO446" s="9" t="e">
        <f t="shared" si="95"/>
        <v>#N/A</v>
      </c>
      <c r="AP446" s="9" t="e">
        <f t="shared" si="96"/>
        <v>#N/A</v>
      </c>
    </row>
    <row r="447" spans="1:42">
      <c r="A447">
        <v>86048</v>
      </c>
      <c r="B447" t="s">
        <v>4433</v>
      </c>
      <c r="C447" t="s">
        <v>4434</v>
      </c>
      <c r="D447" t="s">
        <v>4458</v>
      </c>
      <c r="E447" t="s">
        <v>4115</v>
      </c>
      <c r="F447" t="s">
        <v>162</v>
      </c>
      <c r="G447" t="s">
        <v>184</v>
      </c>
      <c r="H447"/>
      <c r="I447"/>
      <c r="J447"/>
      <c r="K447"/>
      <c r="L447"/>
      <c r="M447"/>
      <c r="N447" t="b">
        <v>0</v>
      </c>
      <c r="O447"/>
      <c r="P447">
        <v>5.3</v>
      </c>
      <c r="Q447"/>
      <c r="R447">
        <v>5.3</v>
      </c>
      <c r="S447">
        <v>32</v>
      </c>
      <c r="T447">
        <v>24</v>
      </c>
      <c r="U447">
        <v>24</v>
      </c>
      <c r="V447">
        <v>240</v>
      </c>
      <c r="W447" s="281">
        <v>41865</v>
      </c>
      <c r="X447" s="282"/>
      <c r="Z447" s="9" t="b">
        <f t="shared" si="85"/>
        <v>1</v>
      </c>
      <c r="AA447" s="9" t="str">
        <f t="shared" si="98"/>
        <v>13A</v>
      </c>
      <c r="AB447" s="196">
        <f t="shared" si="86"/>
        <v>5.3</v>
      </c>
      <c r="AC447" s="9">
        <f>VLOOKUP(AA447,'Federal Standards'!$N$9:$P$50,2,FALSE)</f>
        <v>9.17</v>
      </c>
      <c r="AD447" s="44">
        <f>VLOOKUP(AA447,'Federal Standards'!$N$9:$P$50,3,FALSE)</f>
        <v>259.3</v>
      </c>
      <c r="AE447" s="44">
        <f t="shared" si="87"/>
        <v>307.90100000000001</v>
      </c>
      <c r="AF447" s="283">
        <f t="shared" si="88"/>
        <v>67.90100000000001</v>
      </c>
      <c r="AG447" s="291">
        <f t="shared" si="97"/>
        <v>0.22052867642521462</v>
      </c>
      <c r="AH447" s="184" t="str">
        <f t="shared" si="89"/>
        <v>YES</v>
      </c>
      <c r="AJ447" s="9" t="str">
        <f t="shared" si="90"/>
        <v>YES</v>
      </c>
      <c r="AK447" s="9" t="str">
        <f t="shared" si="91"/>
        <v>NO</v>
      </c>
      <c r="AL447" s="9" t="str">
        <f t="shared" si="92"/>
        <v>NO</v>
      </c>
      <c r="AM447" s="9" t="str">
        <f t="shared" si="93"/>
        <v>YES</v>
      </c>
      <c r="AN447" s="9" t="str">
        <f t="shared" si="94"/>
        <v>Tier 3 - 20%  or better than Standard</v>
      </c>
      <c r="AO447" s="9" t="str">
        <f t="shared" si="95"/>
        <v>13A_Tier 3 - 20%  or better than Standard</v>
      </c>
      <c r="AP447" s="9" t="str">
        <f t="shared" si="96"/>
        <v>13A_YES</v>
      </c>
    </row>
    <row r="448" spans="1:42">
      <c r="A448">
        <v>86049</v>
      </c>
      <c r="B448" t="s">
        <v>4433</v>
      </c>
      <c r="C448" t="s">
        <v>4434</v>
      </c>
      <c r="D448" t="s">
        <v>4459</v>
      </c>
      <c r="E448" t="s">
        <v>4115</v>
      </c>
      <c r="F448" t="s">
        <v>162</v>
      </c>
      <c r="G448" t="s">
        <v>184</v>
      </c>
      <c r="H448"/>
      <c r="I448"/>
      <c r="J448"/>
      <c r="K448"/>
      <c r="L448"/>
      <c r="M448"/>
      <c r="N448" t="b">
        <v>0</v>
      </c>
      <c r="O448"/>
      <c r="P448">
        <v>5.4</v>
      </c>
      <c r="Q448"/>
      <c r="R448">
        <v>5.4</v>
      </c>
      <c r="S448">
        <v>32</v>
      </c>
      <c r="T448">
        <v>24</v>
      </c>
      <c r="U448">
        <v>24</v>
      </c>
      <c r="V448">
        <v>300</v>
      </c>
      <c r="W448" s="281">
        <v>41865</v>
      </c>
      <c r="X448" s="282"/>
      <c r="Z448" s="9" t="b">
        <f t="shared" si="85"/>
        <v>1</v>
      </c>
      <c r="AA448" s="9" t="str">
        <f t="shared" si="98"/>
        <v>13A</v>
      </c>
      <c r="AB448" s="196">
        <f t="shared" si="86"/>
        <v>5.4</v>
      </c>
      <c r="AC448" s="9">
        <f>VLOOKUP(AA448,'Federal Standards'!$N$9:$P$50,2,FALSE)</f>
        <v>9.17</v>
      </c>
      <c r="AD448" s="44">
        <f>VLOOKUP(AA448,'Federal Standards'!$N$9:$P$50,3,FALSE)</f>
        <v>259.3</v>
      </c>
      <c r="AE448" s="44">
        <f t="shared" si="87"/>
        <v>308.81799999999998</v>
      </c>
      <c r="AF448" s="283">
        <f t="shared" si="88"/>
        <v>8.8179999999999836</v>
      </c>
      <c r="AG448" s="291">
        <f t="shared" si="97"/>
        <v>2.8554035062722978E-2</v>
      </c>
      <c r="AH448" s="184" t="str">
        <f t="shared" si="89"/>
        <v>YES</v>
      </c>
      <c r="AJ448" s="9" t="str">
        <f t="shared" si="90"/>
        <v>NO</v>
      </c>
      <c r="AK448" s="9" t="str">
        <f t="shared" si="91"/>
        <v>NO</v>
      </c>
      <c r="AL448" s="9" t="str">
        <f t="shared" si="92"/>
        <v>NO</v>
      </c>
      <c r="AM448" s="9" t="str">
        <f t="shared" si="93"/>
        <v>NO</v>
      </c>
      <c r="AN448" s="9" t="str">
        <f t="shared" si="94"/>
        <v>Less than 10% better than Standard</v>
      </c>
      <c r="AO448" s="9" t="str">
        <f t="shared" si="95"/>
        <v>13A_Less than 10% better than Standard</v>
      </c>
      <c r="AP448" s="9" t="str">
        <f t="shared" si="96"/>
        <v>13A_NO</v>
      </c>
    </row>
    <row r="449" spans="1:42">
      <c r="A449">
        <v>88042</v>
      </c>
      <c r="B449" t="s">
        <v>4460</v>
      </c>
      <c r="C449" t="s">
        <v>1488</v>
      </c>
      <c r="D449" t="s">
        <v>4461</v>
      </c>
      <c r="E449" t="s">
        <v>4097</v>
      </c>
      <c r="F449" t="s">
        <v>162</v>
      </c>
      <c r="G449" t="s">
        <v>184</v>
      </c>
      <c r="H449"/>
      <c r="I449" t="s">
        <v>4098</v>
      </c>
      <c r="J449" t="b">
        <v>0</v>
      </c>
      <c r="K449" t="b">
        <v>1</v>
      </c>
      <c r="L449"/>
      <c r="M449"/>
      <c r="N449" t="b">
        <v>0</v>
      </c>
      <c r="O449" t="s">
        <v>4099</v>
      </c>
      <c r="P449">
        <v>3</v>
      </c>
      <c r="Q449"/>
      <c r="R449">
        <v>3</v>
      </c>
      <c r="S449">
        <v>35</v>
      </c>
      <c r="T449">
        <v>15</v>
      </c>
      <c r="U449">
        <v>25</v>
      </c>
      <c r="V449">
        <v>255</v>
      </c>
      <c r="W449" s="281">
        <v>41904</v>
      </c>
      <c r="X449" s="282"/>
      <c r="Z449" s="9" t="b">
        <f t="shared" si="85"/>
        <v>1</v>
      </c>
      <c r="AA449" s="9" t="str">
        <f t="shared" si="98"/>
        <v>13A</v>
      </c>
      <c r="AB449" s="196">
        <f t="shared" si="86"/>
        <v>3</v>
      </c>
      <c r="AC449" s="9">
        <f>VLOOKUP(AA449,'Federal Standards'!$N$9:$P$50,2,FALSE)</f>
        <v>9.17</v>
      </c>
      <c r="AD449" s="44">
        <f>VLOOKUP(AA449,'Federal Standards'!$N$9:$P$50,3,FALSE)</f>
        <v>259.3</v>
      </c>
      <c r="AE449" s="44">
        <f t="shared" si="87"/>
        <v>286.81</v>
      </c>
      <c r="AF449" s="283">
        <f t="shared" si="88"/>
        <v>31.810000000000002</v>
      </c>
      <c r="AG449" s="291">
        <f t="shared" si="97"/>
        <v>0.1109096614483456</v>
      </c>
      <c r="AH449" s="184" t="str">
        <f t="shared" si="89"/>
        <v>YES</v>
      </c>
      <c r="AJ449" s="9" t="str">
        <f t="shared" si="90"/>
        <v>YES</v>
      </c>
      <c r="AK449" s="9" t="str">
        <f t="shared" si="91"/>
        <v>YES</v>
      </c>
      <c r="AL449" s="9" t="str">
        <f t="shared" si="92"/>
        <v>NO</v>
      </c>
      <c r="AM449" s="9" t="str">
        <f t="shared" si="93"/>
        <v>NO</v>
      </c>
      <c r="AN449" s="9" t="str">
        <f t="shared" si="94"/>
        <v>Tier 1 - 10% to 15% better than Standard</v>
      </c>
      <c r="AO449" s="9" t="str">
        <f t="shared" si="95"/>
        <v>13A_Tier 1 - 10% to 15% better than Standard</v>
      </c>
      <c r="AP449" s="9" t="str">
        <f t="shared" si="96"/>
        <v>13A_YES</v>
      </c>
    </row>
    <row r="450" spans="1:42">
      <c r="A450">
        <v>83625</v>
      </c>
      <c r="B450" t="s">
        <v>4460</v>
      </c>
      <c r="C450" t="s">
        <v>1488</v>
      </c>
      <c r="D450" t="s">
        <v>4462</v>
      </c>
      <c r="E450" t="s">
        <v>4115</v>
      </c>
      <c r="F450" t="s">
        <v>162</v>
      </c>
      <c r="G450" t="s">
        <v>184</v>
      </c>
      <c r="H450"/>
      <c r="I450" t="s">
        <v>4106</v>
      </c>
      <c r="J450"/>
      <c r="K450"/>
      <c r="L450"/>
      <c r="M450"/>
      <c r="N450" t="b">
        <v>0</v>
      </c>
      <c r="O450" t="s">
        <v>4099</v>
      </c>
      <c r="P450">
        <v>3</v>
      </c>
      <c r="Q450"/>
      <c r="R450">
        <v>3</v>
      </c>
      <c r="S450">
        <v>34</v>
      </c>
      <c r="T450">
        <v>15</v>
      </c>
      <c r="U450">
        <v>25</v>
      </c>
      <c r="V450">
        <v>255</v>
      </c>
      <c r="W450" s="281">
        <v>41759</v>
      </c>
      <c r="X450" s="282"/>
      <c r="Z450" s="9" t="b">
        <f t="shared" si="85"/>
        <v>1</v>
      </c>
      <c r="AA450" s="9" t="str">
        <f t="shared" si="98"/>
        <v>13A</v>
      </c>
      <c r="AB450" s="196">
        <f t="shared" si="86"/>
        <v>3</v>
      </c>
      <c r="AC450" s="9">
        <f>VLOOKUP(AA450,'Federal Standards'!$N$9:$P$50,2,FALSE)</f>
        <v>9.17</v>
      </c>
      <c r="AD450" s="44">
        <f>VLOOKUP(AA450,'Federal Standards'!$N$9:$P$50,3,FALSE)</f>
        <v>259.3</v>
      </c>
      <c r="AE450" s="44">
        <f t="shared" si="87"/>
        <v>286.81</v>
      </c>
      <c r="AF450" s="283">
        <f t="shared" si="88"/>
        <v>31.810000000000002</v>
      </c>
      <c r="AG450" s="291">
        <f t="shared" si="97"/>
        <v>0.1109096614483456</v>
      </c>
      <c r="AH450" s="184" t="str">
        <f t="shared" si="89"/>
        <v>YES</v>
      </c>
      <c r="AJ450" s="9" t="str">
        <f t="shared" si="90"/>
        <v>YES</v>
      </c>
      <c r="AK450" s="9" t="str">
        <f t="shared" si="91"/>
        <v>YES</v>
      </c>
      <c r="AL450" s="9" t="str">
        <f t="shared" si="92"/>
        <v>NO</v>
      </c>
      <c r="AM450" s="9" t="str">
        <f t="shared" si="93"/>
        <v>NO</v>
      </c>
      <c r="AN450" s="9" t="str">
        <f t="shared" si="94"/>
        <v>Tier 1 - 10% to 15% better than Standard</v>
      </c>
      <c r="AO450" s="9" t="str">
        <f t="shared" si="95"/>
        <v>13A_Tier 1 - 10% to 15% better than Standard</v>
      </c>
      <c r="AP450" s="9" t="str">
        <f t="shared" si="96"/>
        <v>13A_YES</v>
      </c>
    </row>
    <row r="451" spans="1:42">
      <c r="A451">
        <v>88048</v>
      </c>
      <c r="B451" t="s">
        <v>4460</v>
      </c>
      <c r="C451" t="s">
        <v>1488</v>
      </c>
      <c r="D451" t="s">
        <v>4463</v>
      </c>
      <c r="E451" t="s">
        <v>4097</v>
      </c>
      <c r="F451" t="s">
        <v>162</v>
      </c>
      <c r="G451" t="s">
        <v>184</v>
      </c>
      <c r="H451"/>
      <c r="I451" t="s">
        <v>4247</v>
      </c>
      <c r="J451" t="b">
        <v>0</v>
      </c>
      <c r="K451" t="b">
        <v>1</v>
      </c>
      <c r="L451"/>
      <c r="M451"/>
      <c r="N451" t="b">
        <v>0</v>
      </c>
      <c r="O451" t="s">
        <v>4099</v>
      </c>
      <c r="P451">
        <v>3.4</v>
      </c>
      <c r="Q451"/>
      <c r="R451">
        <v>3.4</v>
      </c>
      <c r="S451">
        <v>35</v>
      </c>
      <c r="T451">
        <v>24</v>
      </c>
      <c r="U451">
        <v>26</v>
      </c>
      <c r="V451">
        <v>275</v>
      </c>
      <c r="W451" s="281">
        <v>41904</v>
      </c>
      <c r="X451" s="282"/>
      <c r="Z451" s="9" t="b">
        <f t="shared" si="85"/>
        <v>1</v>
      </c>
      <c r="AA451" s="9" t="str">
        <f t="shared" si="98"/>
        <v>13A</v>
      </c>
      <c r="AB451" s="196">
        <f t="shared" si="86"/>
        <v>3.4</v>
      </c>
      <c r="AC451" s="9">
        <f>VLOOKUP(AA451,'Federal Standards'!$N$9:$P$50,2,FALSE)</f>
        <v>9.17</v>
      </c>
      <c r="AD451" s="44">
        <f>VLOOKUP(AA451,'Federal Standards'!$N$9:$P$50,3,FALSE)</f>
        <v>259.3</v>
      </c>
      <c r="AE451" s="44">
        <f t="shared" si="87"/>
        <v>290.47800000000001</v>
      </c>
      <c r="AF451" s="283">
        <f t="shared" si="88"/>
        <v>15.478000000000009</v>
      </c>
      <c r="AG451" s="291">
        <f t="shared" si="97"/>
        <v>5.3284586096021068E-2</v>
      </c>
      <c r="AH451" s="184" t="str">
        <f t="shared" si="89"/>
        <v>YES</v>
      </c>
      <c r="AJ451" s="9" t="str">
        <f t="shared" si="90"/>
        <v>NO</v>
      </c>
      <c r="AK451" s="9" t="str">
        <f t="shared" si="91"/>
        <v>NO</v>
      </c>
      <c r="AL451" s="9" t="str">
        <f t="shared" si="92"/>
        <v>NO</v>
      </c>
      <c r="AM451" s="9" t="str">
        <f t="shared" si="93"/>
        <v>NO</v>
      </c>
      <c r="AN451" s="9" t="str">
        <f t="shared" si="94"/>
        <v>Less than 10% better than Standard</v>
      </c>
      <c r="AO451" s="9" t="str">
        <f t="shared" si="95"/>
        <v>13A_Less than 10% better than Standard</v>
      </c>
      <c r="AP451" s="9" t="str">
        <f t="shared" si="96"/>
        <v>13A_NO</v>
      </c>
    </row>
    <row r="452" spans="1:42">
      <c r="A452">
        <v>88045</v>
      </c>
      <c r="B452" t="s">
        <v>4460</v>
      </c>
      <c r="C452" t="s">
        <v>1488</v>
      </c>
      <c r="D452" t="s">
        <v>4464</v>
      </c>
      <c r="E452" t="s">
        <v>4097</v>
      </c>
      <c r="F452" t="s">
        <v>162</v>
      </c>
      <c r="G452" t="s">
        <v>184</v>
      </c>
      <c r="H452"/>
      <c r="I452" t="s">
        <v>4098</v>
      </c>
      <c r="J452" t="b">
        <v>0</v>
      </c>
      <c r="K452" t="b">
        <v>1</v>
      </c>
      <c r="L452"/>
      <c r="M452"/>
      <c r="N452" t="b">
        <v>0</v>
      </c>
      <c r="O452" t="s">
        <v>4099</v>
      </c>
      <c r="P452">
        <v>4.5999999999999996</v>
      </c>
      <c r="Q452"/>
      <c r="R452">
        <v>4.5999999999999996</v>
      </c>
      <c r="S452">
        <v>35</v>
      </c>
      <c r="T452">
        <v>24</v>
      </c>
      <c r="U452">
        <v>26</v>
      </c>
      <c r="V452">
        <v>250</v>
      </c>
      <c r="W452" s="281">
        <v>41904</v>
      </c>
      <c r="X452" s="282"/>
      <c r="Z452" s="9" t="b">
        <f t="shared" si="85"/>
        <v>1</v>
      </c>
      <c r="AA452" s="9" t="str">
        <f t="shared" si="98"/>
        <v>13A</v>
      </c>
      <c r="AB452" s="196">
        <f t="shared" si="86"/>
        <v>4.5999999999999996</v>
      </c>
      <c r="AC452" s="9">
        <f>VLOOKUP(AA452,'Federal Standards'!$N$9:$P$50,2,FALSE)</f>
        <v>9.17</v>
      </c>
      <c r="AD452" s="44">
        <f>VLOOKUP(AA452,'Federal Standards'!$N$9:$P$50,3,FALSE)</f>
        <v>259.3</v>
      </c>
      <c r="AE452" s="44">
        <f t="shared" si="87"/>
        <v>301.48200000000003</v>
      </c>
      <c r="AF452" s="283">
        <f t="shared" si="88"/>
        <v>51.482000000000028</v>
      </c>
      <c r="AG452" s="291">
        <f t="shared" si="97"/>
        <v>0.17076309696764658</v>
      </c>
      <c r="AH452" s="184" t="str">
        <f t="shared" si="89"/>
        <v>YES</v>
      </c>
      <c r="AJ452" s="9" t="str">
        <f t="shared" si="90"/>
        <v>YES</v>
      </c>
      <c r="AK452" s="9" t="str">
        <f t="shared" si="91"/>
        <v>NO</v>
      </c>
      <c r="AL452" s="9" t="str">
        <f t="shared" si="92"/>
        <v>YES</v>
      </c>
      <c r="AM452" s="9" t="str">
        <f t="shared" si="93"/>
        <v>NO</v>
      </c>
      <c r="AN452" s="9" t="str">
        <f t="shared" si="94"/>
        <v>Tier 2 - 15% to 20% better than Standard</v>
      </c>
      <c r="AO452" s="9" t="str">
        <f t="shared" si="95"/>
        <v>13A_Tier 2 - 15% to 20% better than Standard</v>
      </c>
      <c r="AP452" s="9" t="str">
        <f t="shared" si="96"/>
        <v>13A_YES</v>
      </c>
    </row>
    <row r="453" spans="1:42">
      <c r="A453">
        <v>88049</v>
      </c>
      <c r="B453" t="s">
        <v>4460</v>
      </c>
      <c r="C453" t="s">
        <v>1488</v>
      </c>
      <c r="D453" t="s">
        <v>4465</v>
      </c>
      <c r="E453" t="s">
        <v>187</v>
      </c>
      <c r="F453" t="s">
        <v>162</v>
      </c>
      <c r="G453" t="s">
        <v>189</v>
      </c>
      <c r="H453"/>
      <c r="I453" t="s">
        <v>4098</v>
      </c>
      <c r="J453" t="b">
        <v>0</v>
      </c>
      <c r="K453" t="b">
        <v>1</v>
      </c>
      <c r="L453" t="b">
        <v>0</v>
      </c>
      <c r="M453"/>
      <c r="N453" t="b">
        <v>0</v>
      </c>
      <c r="O453" t="s">
        <v>4099</v>
      </c>
      <c r="P453"/>
      <c r="Q453">
        <v>2.4</v>
      </c>
      <c r="R453">
        <v>2.4</v>
      </c>
      <c r="S453">
        <v>35</v>
      </c>
      <c r="T453">
        <v>15</v>
      </c>
      <c r="U453">
        <v>25</v>
      </c>
      <c r="V453">
        <v>320</v>
      </c>
      <c r="W453" s="281">
        <v>41904</v>
      </c>
      <c r="X453" s="282"/>
      <c r="Z453" s="9" t="b">
        <f t="shared" si="85"/>
        <v>1</v>
      </c>
      <c r="AA453" s="9" t="str">
        <f t="shared" si="98"/>
        <v>17</v>
      </c>
      <c r="AB453" s="196">
        <f t="shared" si="86"/>
        <v>4.2240000000000002</v>
      </c>
      <c r="AC453" s="9">
        <f>VLOOKUP(AA453,'Federal Standards'!$N$9:$P$50,2,FALSE)</f>
        <v>10.17</v>
      </c>
      <c r="AD453" s="44">
        <f>VLOOKUP(AA453,'Federal Standards'!$N$9:$P$50,3,FALSE)</f>
        <v>351.9</v>
      </c>
      <c r="AE453" s="44">
        <f t="shared" si="87"/>
        <v>394.85807999999997</v>
      </c>
      <c r="AF453" s="283">
        <f t="shared" si="88"/>
        <v>74.858079999999973</v>
      </c>
      <c r="AG453" s="291">
        <f t="shared" si="97"/>
        <v>0.18958224180191521</v>
      </c>
      <c r="AH453" s="184" t="str">
        <f t="shared" si="89"/>
        <v>YES</v>
      </c>
      <c r="AJ453" s="9" t="str">
        <f t="shared" si="90"/>
        <v>YES</v>
      </c>
      <c r="AK453" s="9" t="str">
        <f t="shared" si="91"/>
        <v>NO</v>
      </c>
      <c r="AL453" s="9" t="str">
        <f t="shared" si="92"/>
        <v>YES</v>
      </c>
      <c r="AM453" s="9" t="str">
        <f t="shared" si="93"/>
        <v>NO</v>
      </c>
      <c r="AN453" s="9" t="str">
        <f t="shared" si="94"/>
        <v>Tier 2 - 15% to 20% better than Standard</v>
      </c>
      <c r="AO453" s="9" t="str">
        <f t="shared" si="95"/>
        <v>17_Tier 2 - 15% to 20% better than Standard</v>
      </c>
      <c r="AP453" s="9" t="str">
        <f t="shared" si="96"/>
        <v>17_YES</v>
      </c>
    </row>
    <row r="454" spans="1:42">
      <c r="A454">
        <v>83626</v>
      </c>
      <c r="B454" t="s">
        <v>4460</v>
      </c>
      <c r="C454" t="s">
        <v>1488</v>
      </c>
      <c r="D454" t="s">
        <v>4466</v>
      </c>
      <c r="E454" t="s">
        <v>187</v>
      </c>
      <c r="F454" t="s">
        <v>162</v>
      </c>
      <c r="G454" t="s">
        <v>189</v>
      </c>
      <c r="H454"/>
      <c r="I454" t="s">
        <v>4106</v>
      </c>
      <c r="J454"/>
      <c r="K454"/>
      <c r="L454"/>
      <c r="M454"/>
      <c r="N454" t="b">
        <v>0</v>
      </c>
      <c r="O454" t="s">
        <v>4099</v>
      </c>
      <c r="P454"/>
      <c r="Q454">
        <v>2.4</v>
      </c>
      <c r="R454"/>
      <c r="S454">
        <v>35</v>
      </c>
      <c r="T454">
        <v>24</v>
      </c>
      <c r="U454">
        <v>25</v>
      </c>
      <c r="V454">
        <v>320</v>
      </c>
      <c r="W454" s="281">
        <v>41759</v>
      </c>
      <c r="X454" s="282"/>
      <c r="Z454" s="9" t="b">
        <f t="shared" si="85"/>
        <v>1</v>
      </c>
      <c r="AA454" s="9" t="str">
        <f t="shared" si="98"/>
        <v>17</v>
      </c>
      <c r="AB454" s="196">
        <f t="shared" si="86"/>
        <v>4.2240000000000002</v>
      </c>
      <c r="AC454" s="9">
        <f>VLOOKUP(AA454,'Federal Standards'!$N$9:$P$50,2,FALSE)</f>
        <v>10.17</v>
      </c>
      <c r="AD454" s="44">
        <f>VLOOKUP(AA454,'Federal Standards'!$N$9:$P$50,3,FALSE)</f>
        <v>351.9</v>
      </c>
      <c r="AE454" s="44">
        <f t="shared" si="87"/>
        <v>394.85807999999997</v>
      </c>
      <c r="AF454" s="283">
        <f t="shared" si="88"/>
        <v>74.858079999999973</v>
      </c>
      <c r="AG454" s="291">
        <f t="shared" si="97"/>
        <v>0.18958224180191521</v>
      </c>
      <c r="AH454" s="184" t="str">
        <f t="shared" si="89"/>
        <v>YES</v>
      </c>
      <c r="AJ454" s="9" t="str">
        <f t="shared" si="90"/>
        <v>YES</v>
      </c>
      <c r="AK454" s="9" t="str">
        <f t="shared" si="91"/>
        <v>NO</v>
      </c>
      <c r="AL454" s="9" t="str">
        <f t="shared" si="92"/>
        <v>YES</v>
      </c>
      <c r="AM454" s="9" t="str">
        <f t="shared" si="93"/>
        <v>NO</v>
      </c>
      <c r="AN454" s="9" t="str">
        <f t="shared" si="94"/>
        <v>Tier 2 - 15% to 20% better than Standard</v>
      </c>
      <c r="AO454" s="9" t="str">
        <f t="shared" si="95"/>
        <v>17_Tier 2 - 15% to 20% better than Standard</v>
      </c>
      <c r="AP454" s="9" t="str">
        <f t="shared" si="96"/>
        <v>17_YES</v>
      </c>
    </row>
    <row r="455" spans="1:42">
      <c r="A455">
        <v>83627</v>
      </c>
      <c r="B455" t="s">
        <v>4460</v>
      </c>
      <c r="C455" t="s">
        <v>1488</v>
      </c>
      <c r="D455" t="s">
        <v>4467</v>
      </c>
      <c r="E455" t="s">
        <v>187</v>
      </c>
      <c r="F455" t="s">
        <v>162</v>
      </c>
      <c r="G455" t="s">
        <v>189</v>
      </c>
      <c r="H455"/>
      <c r="I455" t="s">
        <v>4106</v>
      </c>
      <c r="J455"/>
      <c r="K455"/>
      <c r="L455"/>
      <c r="M455"/>
      <c r="N455" t="b">
        <v>0</v>
      </c>
      <c r="O455" t="s">
        <v>4099</v>
      </c>
      <c r="P455"/>
      <c r="Q455">
        <v>4.7</v>
      </c>
      <c r="R455"/>
      <c r="S455">
        <v>35</v>
      </c>
      <c r="T455">
        <v>24</v>
      </c>
      <c r="U455">
        <v>26</v>
      </c>
      <c r="V455">
        <v>390</v>
      </c>
      <c r="W455" s="281">
        <v>41759</v>
      </c>
      <c r="X455" s="282"/>
      <c r="Z455" s="9" t="b">
        <f t="shared" si="85"/>
        <v>1</v>
      </c>
      <c r="AA455" s="9" t="str">
        <f t="shared" si="98"/>
        <v>17</v>
      </c>
      <c r="AB455" s="196">
        <f t="shared" si="86"/>
        <v>8.2720000000000002</v>
      </c>
      <c r="AC455" s="9">
        <f>VLOOKUP(AA455,'Federal Standards'!$N$9:$P$50,2,FALSE)</f>
        <v>10.17</v>
      </c>
      <c r="AD455" s="44">
        <f>VLOOKUP(AA455,'Federal Standards'!$N$9:$P$50,3,FALSE)</f>
        <v>351.9</v>
      </c>
      <c r="AE455" s="44">
        <f t="shared" si="87"/>
        <v>436.02623999999997</v>
      </c>
      <c r="AF455" s="283">
        <f t="shared" si="88"/>
        <v>46.026239999999973</v>
      </c>
      <c r="AG455" s="291">
        <f t="shared" si="97"/>
        <v>0.10555841776861864</v>
      </c>
      <c r="AH455" s="184" t="str">
        <f t="shared" si="89"/>
        <v>YES</v>
      </c>
      <c r="AJ455" s="9" t="str">
        <f t="shared" si="90"/>
        <v>YES</v>
      </c>
      <c r="AK455" s="9" t="str">
        <f t="shared" si="91"/>
        <v>YES</v>
      </c>
      <c r="AL455" s="9" t="str">
        <f t="shared" si="92"/>
        <v>NO</v>
      </c>
      <c r="AM455" s="9" t="str">
        <f t="shared" si="93"/>
        <v>NO</v>
      </c>
      <c r="AN455" s="9" t="str">
        <f t="shared" si="94"/>
        <v>Tier 1 - 10% to 15% better than Standard</v>
      </c>
      <c r="AO455" s="9" t="str">
        <f t="shared" si="95"/>
        <v>17_Tier 1 - 10% to 15% better than Standard</v>
      </c>
      <c r="AP455" s="9" t="str">
        <f t="shared" si="96"/>
        <v>17_YES</v>
      </c>
    </row>
    <row r="456" spans="1:42">
      <c r="A456">
        <v>83628</v>
      </c>
      <c r="B456" t="s">
        <v>4460</v>
      </c>
      <c r="C456" t="s">
        <v>1488</v>
      </c>
      <c r="D456" t="s">
        <v>4468</v>
      </c>
      <c r="E456" t="s">
        <v>4469</v>
      </c>
      <c r="F456" t="s">
        <v>162</v>
      </c>
      <c r="G456" t="s">
        <v>189</v>
      </c>
      <c r="H456"/>
      <c r="I456" t="s">
        <v>4173</v>
      </c>
      <c r="J456"/>
      <c r="K456"/>
      <c r="L456"/>
      <c r="M456"/>
      <c r="N456" t="b">
        <v>0</v>
      </c>
      <c r="O456" t="s">
        <v>4099</v>
      </c>
      <c r="P456"/>
      <c r="Q456">
        <v>3.4</v>
      </c>
      <c r="R456"/>
      <c r="S456">
        <v>35</v>
      </c>
      <c r="T456">
        <v>24</v>
      </c>
      <c r="U456">
        <v>26</v>
      </c>
      <c r="V456">
        <v>405</v>
      </c>
      <c r="W456" s="281">
        <v>41759</v>
      </c>
      <c r="X456" s="282"/>
      <c r="Z456" s="9" t="b">
        <f t="shared" si="85"/>
        <v>1</v>
      </c>
      <c r="AA456" s="9" t="str">
        <f t="shared" si="98"/>
        <v>13</v>
      </c>
      <c r="AB456" s="196">
        <f t="shared" si="86"/>
        <v>5.984</v>
      </c>
      <c r="AC456" s="9">
        <f>VLOOKUP(AA456,'Federal Standards'!$N$9:$P$50,2,FALSE)</f>
        <v>11.8</v>
      </c>
      <c r="AD456" s="44">
        <f>VLOOKUP(AA456,'Federal Standards'!$N$9:$P$50,3,FALSE)</f>
        <v>339.2</v>
      </c>
      <c r="AE456" s="44">
        <f t="shared" si="87"/>
        <v>409.81119999999999</v>
      </c>
      <c r="AF456" s="283">
        <f t="shared" si="88"/>
        <v>4.8111999999999853</v>
      </c>
      <c r="AG456" s="291">
        <f t="shared" si="97"/>
        <v>1.1740040291724544E-2</v>
      </c>
      <c r="AH456" s="184" t="str">
        <f t="shared" si="89"/>
        <v>YES</v>
      </c>
      <c r="AJ456" s="9" t="str">
        <f t="shared" si="90"/>
        <v>NO</v>
      </c>
      <c r="AK456" s="9" t="str">
        <f t="shared" si="91"/>
        <v>NO</v>
      </c>
      <c r="AL456" s="9" t="str">
        <f t="shared" si="92"/>
        <v>NO</v>
      </c>
      <c r="AM456" s="9" t="str">
        <f t="shared" si="93"/>
        <v>NO</v>
      </c>
      <c r="AN456" s="9" t="str">
        <f t="shared" si="94"/>
        <v>Less than 10% better than Standard</v>
      </c>
      <c r="AO456" s="9" t="str">
        <f t="shared" si="95"/>
        <v>13_Less than 10% better than Standard</v>
      </c>
      <c r="AP456" s="9" t="str">
        <f t="shared" si="96"/>
        <v>13_NO</v>
      </c>
    </row>
    <row r="457" spans="1:42">
      <c r="A457">
        <v>88051</v>
      </c>
      <c r="B457" t="s">
        <v>4460</v>
      </c>
      <c r="C457" t="s">
        <v>1488</v>
      </c>
      <c r="D457" t="s">
        <v>4470</v>
      </c>
      <c r="E457" t="s">
        <v>187</v>
      </c>
      <c r="F457" t="s">
        <v>162</v>
      </c>
      <c r="G457" t="s">
        <v>189</v>
      </c>
      <c r="H457"/>
      <c r="I457" t="s">
        <v>4098</v>
      </c>
      <c r="J457" t="b">
        <v>0</v>
      </c>
      <c r="K457" t="b">
        <v>1</v>
      </c>
      <c r="L457" t="b">
        <v>0</v>
      </c>
      <c r="M457"/>
      <c r="N457" t="b">
        <v>0</v>
      </c>
      <c r="O457" t="s">
        <v>4099</v>
      </c>
      <c r="P457"/>
      <c r="Q457">
        <v>4.7</v>
      </c>
      <c r="R457">
        <v>4.7</v>
      </c>
      <c r="S457">
        <v>35</v>
      </c>
      <c r="T457">
        <v>24</v>
      </c>
      <c r="U457">
        <v>26</v>
      </c>
      <c r="V457">
        <v>390</v>
      </c>
      <c r="W457" s="281">
        <v>41904</v>
      </c>
      <c r="X457" s="282"/>
      <c r="Z457" s="9" t="b">
        <f t="shared" si="85"/>
        <v>1</v>
      </c>
      <c r="AA457" s="9" t="str">
        <f t="shared" si="98"/>
        <v>17</v>
      </c>
      <c r="AB457" s="196">
        <f t="shared" si="86"/>
        <v>8.2720000000000002</v>
      </c>
      <c r="AC457" s="9">
        <f>VLOOKUP(AA457,'Federal Standards'!$N$9:$P$50,2,FALSE)</f>
        <v>10.17</v>
      </c>
      <c r="AD457" s="44">
        <f>VLOOKUP(AA457,'Federal Standards'!$N$9:$P$50,3,FALSE)</f>
        <v>351.9</v>
      </c>
      <c r="AE457" s="44">
        <f t="shared" si="87"/>
        <v>436.02623999999997</v>
      </c>
      <c r="AF457" s="283">
        <f t="shared" si="88"/>
        <v>46.026239999999973</v>
      </c>
      <c r="AG457" s="291">
        <f t="shared" si="97"/>
        <v>0.10555841776861864</v>
      </c>
      <c r="AH457" s="184" t="str">
        <f t="shared" si="89"/>
        <v>YES</v>
      </c>
      <c r="AJ457" s="9" t="str">
        <f t="shared" si="90"/>
        <v>YES</v>
      </c>
      <c r="AK457" s="9" t="str">
        <f t="shared" si="91"/>
        <v>YES</v>
      </c>
      <c r="AL457" s="9" t="str">
        <f t="shared" si="92"/>
        <v>NO</v>
      </c>
      <c r="AM457" s="9" t="str">
        <f t="shared" si="93"/>
        <v>NO</v>
      </c>
      <c r="AN457" s="9" t="str">
        <f t="shared" si="94"/>
        <v>Tier 1 - 10% to 15% better than Standard</v>
      </c>
      <c r="AO457" s="9" t="str">
        <f t="shared" si="95"/>
        <v>17_Tier 1 - 10% to 15% better than Standard</v>
      </c>
      <c r="AP457" s="9" t="str">
        <f t="shared" si="96"/>
        <v>17_YES</v>
      </c>
    </row>
    <row r="458" spans="1:42">
      <c r="A458">
        <v>88055</v>
      </c>
      <c r="B458" t="s">
        <v>4460</v>
      </c>
      <c r="C458" t="s">
        <v>1488</v>
      </c>
      <c r="D458" t="s">
        <v>4471</v>
      </c>
      <c r="E458" t="s">
        <v>187</v>
      </c>
      <c r="F458" t="s">
        <v>162</v>
      </c>
      <c r="G458" t="s">
        <v>189</v>
      </c>
      <c r="H458"/>
      <c r="I458" t="s">
        <v>4247</v>
      </c>
      <c r="J458" t="b">
        <v>0</v>
      </c>
      <c r="K458" t="b">
        <v>1</v>
      </c>
      <c r="L458" t="b">
        <v>0</v>
      </c>
      <c r="M458"/>
      <c r="N458" t="b">
        <v>0</v>
      </c>
      <c r="O458" t="s">
        <v>4099</v>
      </c>
      <c r="P458"/>
      <c r="Q458">
        <v>3.4</v>
      </c>
      <c r="R458">
        <v>3.4</v>
      </c>
      <c r="S458">
        <v>35</v>
      </c>
      <c r="T458">
        <v>24</v>
      </c>
      <c r="U458">
        <v>26</v>
      </c>
      <c r="V458">
        <v>405</v>
      </c>
      <c r="W458" s="281">
        <v>41904</v>
      </c>
      <c r="X458" s="282"/>
      <c r="Z458" s="9" t="b">
        <f t="shared" ref="Z458:Z521" si="99">IF(R458&lt;7.75,TRUE, FALSE)</f>
        <v>1</v>
      </c>
      <c r="AA458" s="9" t="str">
        <f t="shared" si="98"/>
        <v>17</v>
      </c>
      <c r="AB458" s="196">
        <f t="shared" ref="AB458:AB521" si="100">IF(OR(E458="Internal Freezer",E458 = "Single Door"),P458 + Q458*1.47,P458 + Q458*1.76)</f>
        <v>5.984</v>
      </c>
      <c r="AC458" s="9">
        <f>VLOOKUP(AA458,'Federal Standards'!$N$9:$P$50,2,FALSE)</f>
        <v>10.17</v>
      </c>
      <c r="AD458" s="44">
        <f>VLOOKUP(AA458,'Federal Standards'!$N$9:$P$50,3,FALSE)</f>
        <v>351.9</v>
      </c>
      <c r="AE458" s="44">
        <f t="shared" ref="AE458:AE521" si="101">AB458*AC458+AD458</f>
        <v>412.75727999999998</v>
      </c>
      <c r="AF458" s="283">
        <f t="shared" ref="AF458:AF521" si="102">IF($AF$2,AE458-V458,MAX(0,AE458-V458))</f>
        <v>7.7572799999999802</v>
      </c>
      <c r="AG458" s="291">
        <f t="shared" si="97"/>
        <v>1.8793805405443075E-2</v>
      </c>
      <c r="AH458" s="184" t="str">
        <f t="shared" ref="AH458:AH521" si="103">IF(AF458&gt;=0,"YES","NO")</f>
        <v>YES</v>
      </c>
      <c r="AJ458" s="9" t="str">
        <f t="shared" ref="AJ458:AJ521" si="104">IF(AG458&gt;=0.1,"YES","NO")</f>
        <v>NO</v>
      </c>
      <c r="AK458" s="9" t="str">
        <f t="shared" ref="AK458:AK521" si="105">IF(AND($AG458&gt;=0.1,$AG458&lt;0.15),"YES","NO")</f>
        <v>NO</v>
      </c>
      <c r="AL458" s="9" t="str">
        <f t="shared" ref="AL458:AL521" si="106">IF(AND($AG458&gt;=0.15,$AG458&lt;0.2),"YES","NO")</f>
        <v>NO</v>
      </c>
      <c r="AM458" s="9" t="str">
        <f t="shared" ref="AM458:AM521" si="107">IF($AG458&gt;=0.2,"YES","NO")</f>
        <v>NO</v>
      </c>
      <c r="AN458" s="9" t="str">
        <f t="shared" ref="AN458:AN521" si="108">VLOOKUP(AG458,$AO$2:$AP$6,2,TRUE)</f>
        <v>Less than 10% better than Standard</v>
      </c>
      <c r="AO458" s="9" t="str">
        <f t="shared" ref="AO458:AO521" si="109">AA458&amp;"_"&amp;AN458</f>
        <v>17_Less than 10% better than Standard</v>
      </c>
      <c r="AP458" s="9" t="str">
        <f t="shared" ref="AP458:AP521" si="110">CONCATENATE(AA458,"_",AJ458)</f>
        <v>17_NO</v>
      </c>
    </row>
    <row r="459" spans="1:42">
      <c r="A459">
        <v>83632</v>
      </c>
      <c r="B459" t="s">
        <v>4460</v>
      </c>
      <c r="C459" t="s">
        <v>1488</v>
      </c>
      <c r="D459" t="s">
        <v>4472</v>
      </c>
      <c r="E459" t="s">
        <v>4119</v>
      </c>
      <c r="F459" t="s">
        <v>162</v>
      </c>
      <c r="G459" t="s">
        <v>4383</v>
      </c>
      <c r="H459"/>
      <c r="I459" t="s">
        <v>4106</v>
      </c>
      <c r="J459"/>
      <c r="K459"/>
      <c r="L459"/>
      <c r="M459"/>
      <c r="N459" t="b">
        <v>0</v>
      </c>
      <c r="O459" t="s">
        <v>4099</v>
      </c>
      <c r="P459">
        <v>10.14</v>
      </c>
      <c r="Q459"/>
      <c r="R459">
        <v>10.14</v>
      </c>
      <c r="S459">
        <v>59</v>
      </c>
      <c r="T459">
        <v>24</v>
      </c>
      <c r="U459">
        <v>25</v>
      </c>
      <c r="V459">
        <v>330</v>
      </c>
      <c r="W459" s="281">
        <v>41759</v>
      </c>
      <c r="X459" s="282"/>
      <c r="Z459" s="9" t="b">
        <f t="shared" si="99"/>
        <v>0</v>
      </c>
      <c r="AA459" s="9" t="str">
        <f t="shared" si="98"/>
        <v>[NOT FOUND]</v>
      </c>
      <c r="AB459" s="196">
        <f t="shared" si="100"/>
        <v>10.14</v>
      </c>
      <c r="AC459" s="9" t="e">
        <f>VLOOKUP(AA459,'Federal Standards'!$N$9:$P$50,2,FALSE)</f>
        <v>#N/A</v>
      </c>
      <c r="AD459" s="44" t="e">
        <f>VLOOKUP(AA459,'Federal Standards'!$N$9:$P$50,3,FALSE)</f>
        <v>#N/A</v>
      </c>
      <c r="AE459" s="44" t="e">
        <f t="shared" si="101"/>
        <v>#N/A</v>
      </c>
      <c r="AF459" s="283" t="e">
        <f t="shared" si="102"/>
        <v>#N/A</v>
      </c>
      <c r="AG459" s="291" t="e">
        <f t="shared" si="97"/>
        <v>#N/A</v>
      </c>
      <c r="AH459" s="184" t="e">
        <f t="shared" si="103"/>
        <v>#N/A</v>
      </c>
      <c r="AJ459" s="9" t="e">
        <f t="shared" si="104"/>
        <v>#N/A</v>
      </c>
      <c r="AK459" s="9" t="e">
        <f t="shared" si="105"/>
        <v>#N/A</v>
      </c>
      <c r="AL459" s="9" t="e">
        <f t="shared" si="106"/>
        <v>#N/A</v>
      </c>
      <c r="AM459" s="9" t="e">
        <f t="shared" si="107"/>
        <v>#N/A</v>
      </c>
      <c r="AN459" s="9" t="e">
        <f t="shared" si="108"/>
        <v>#N/A</v>
      </c>
      <c r="AO459" s="9" t="e">
        <f t="shared" si="109"/>
        <v>#N/A</v>
      </c>
      <c r="AP459" s="9" t="e">
        <f t="shared" si="110"/>
        <v>#N/A</v>
      </c>
    </row>
    <row r="460" spans="1:42">
      <c r="A460">
        <v>83633</v>
      </c>
      <c r="B460" t="s">
        <v>4460</v>
      </c>
      <c r="C460" t="s">
        <v>1488</v>
      </c>
      <c r="D460" t="s">
        <v>4473</v>
      </c>
      <c r="E460" t="s">
        <v>4119</v>
      </c>
      <c r="F460" t="s">
        <v>162</v>
      </c>
      <c r="G460" t="s">
        <v>4383</v>
      </c>
      <c r="H460"/>
      <c r="I460" t="s">
        <v>4106</v>
      </c>
      <c r="J460"/>
      <c r="K460"/>
      <c r="L460"/>
      <c r="M460"/>
      <c r="N460" t="b">
        <v>0</v>
      </c>
      <c r="O460" t="s">
        <v>4099</v>
      </c>
      <c r="P460">
        <v>3.18</v>
      </c>
      <c r="Q460"/>
      <c r="R460">
        <v>3.18</v>
      </c>
      <c r="S460">
        <v>34</v>
      </c>
      <c r="T460">
        <v>15</v>
      </c>
      <c r="U460">
        <v>25</v>
      </c>
      <c r="V460">
        <v>195</v>
      </c>
      <c r="W460" s="281">
        <v>41759</v>
      </c>
      <c r="X460" s="282"/>
      <c r="Z460" s="9" t="b">
        <f t="shared" si="99"/>
        <v>1</v>
      </c>
      <c r="AA460" s="9" t="str">
        <f t="shared" si="98"/>
        <v>[Wine Chiller - exempt]</v>
      </c>
      <c r="AB460" s="196">
        <f t="shared" si="100"/>
        <v>3.18</v>
      </c>
      <c r="AC460" s="9" t="e">
        <f>VLOOKUP(AA460,'Federal Standards'!$N$9:$P$50,2,FALSE)</f>
        <v>#N/A</v>
      </c>
      <c r="AD460" s="44" t="e">
        <f>VLOOKUP(AA460,'Federal Standards'!$N$9:$P$50,3,FALSE)</f>
        <v>#N/A</v>
      </c>
      <c r="AE460" s="44" t="e">
        <f t="shared" si="101"/>
        <v>#N/A</v>
      </c>
      <c r="AF460" s="283" t="e">
        <f t="shared" si="102"/>
        <v>#N/A</v>
      </c>
      <c r="AG460" s="291" t="e">
        <f t="shared" ref="AG460:AG523" si="111">AF460/AE460</f>
        <v>#N/A</v>
      </c>
      <c r="AH460" s="184" t="e">
        <f t="shared" si="103"/>
        <v>#N/A</v>
      </c>
      <c r="AJ460" s="9" t="e">
        <f t="shared" si="104"/>
        <v>#N/A</v>
      </c>
      <c r="AK460" s="9" t="e">
        <f t="shared" si="105"/>
        <v>#N/A</v>
      </c>
      <c r="AL460" s="9" t="e">
        <f t="shared" si="106"/>
        <v>#N/A</v>
      </c>
      <c r="AM460" s="9" t="e">
        <f t="shared" si="107"/>
        <v>#N/A</v>
      </c>
      <c r="AN460" s="9" t="e">
        <f t="shared" si="108"/>
        <v>#N/A</v>
      </c>
      <c r="AO460" s="9" t="e">
        <f t="shared" si="109"/>
        <v>#N/A</v>
      </c>
      <c r="AP460" s="9" t="e">
        <f t="shared" si="110"/>
        <v>#N/A</v>
      </c>
    </row>
    <row r="461" spans="1:42">
      <c r="A461">
        <v>83634</v>
      </c>
      <c r="B461" t="s">
        <v>4460</v>
      </c>
      <c r="C461" t="s">
        <v>1488</v>
      </c>
      <c r="D461" t="s">
        <v>4474</v>
      </c>
      <c r="E461" t="s">
        <v>4119</v>
      </c>
      <c r="F461" t="s">
        <v>162</v>
      </c>
      <c r="G461" t="s">
        <v>4383</v>
      </c>
      <c r="H461"/>
      <c r="I461" t="s">
        <v>4106</v>
      </c>
      <c r="J461"/>
      <c r="K461"/>
      <c r="L461"/>
      <c r="M461"/>
      <c r="N461" t="b">
        <v>0</v>
      </c>
      <c r="O461" t="s">
        <v>4099</v>
      </c>
      <c r="P461">
        <v>12.19</v>
      </c>
      <c r="Q461"/>
      <c r="R461">
        <v>12.19</v>
      </c>
      <c r="S461">
        <v>70</v>
      </c>
      <c r="T461">
        <v>24</v>
      </c>
      <c r="U461">
        <v>25</v>
      </c>
      <c r="V461">
        <v>500</v>
      </c>
      <c r="W461" s="281">
        <v>41759</v>
      </c>
      <c r="X461" s="282"/>
      <c r="Z461" s="9" t="b">
        <f t="shared" si="99"/>
        <v>0</v>
      </c>
      <c r="AA461" s="9" t="str">
        <f t="shared" si="98"/>
        <v>[NOT FOUND]</v>
      </c>
      <c r="AB461" s="196">
        <f t="shared" si="100"/>
        <v>12.19</v>
      </c>
      <c r="AC461" s="9" t="e">
        <f>VLOOKUP(AA461,'Federal Standards'!$N$9:$P$50,2,FALSE)</f>
        <v>#N/A</v>
      </c>
      <c r="AD461" s="44" t="e">
        <f>VLOOKUP(AA461,'Federal Standards'!$N$9:$P$50,3,FALSE)</f>
        <v>#N/A</v>
      </c>
      <c r="AE461" s="44" t="e">
        <f t="shared" si="101"/>
        <v>#N/A</v>
      </c>
      <c r="AF461" s="283" t="e">
        <f t="shared" si="102"/>
        <v>#N/A</v>
      </c>
      <c r="AG461" s="291" t="e">
        <f t="shared" si="111"/>
        <v>#N/A</v>
      </c>
      <c r="AH461" s="184" t="e">
        <f t="shared" si="103"/>
        <v>#N/A</v>
      </c>
      <c r="AJ461" s="9" t="e">
        <f t="shared" si="104"/>
        <v>#N/A</v>
      </c>
      <c r="AK461" s="9" t="e">
        <f t="shared" si="105"/>
        <v>#N/A</v>
      </c>
      <c r="AL461" s="9" t="e">
        <f t="shared" si="106"/>
        <v>#N/A</v>
      </c>
      <c r="AM461" s="9" t="e">
        <f t="shared" si="107"/>
        <v>#N/A</v>
      </c>
      <c r="AN461" s="9" t="e">
        <f t="shared" si="108"/>
        <v>#N/A</v>
      </c>
      <c r="AO461" s="9" t="e">
        <f t="shared" si="109"/>
        <v>#N/A</v>
      </c>
      <c r="AP461" s="9" t="e">
        <f t="shared" si="110"/>
        <v>#N/A</v>
      </c>
    </row>
    <row r="462" spans="1:42">
      <c r="A462">
        <v>83931</v>
      </c>
      <c r="B462" t="s">
        <v>4460</v>
      </c>
      <c r="C462" t="s">
        <v>1488</v>
      </c>
      <c r="D462" t="s">
        <v>4475</v>
      </c>
      <c r="E462" t="s">
        <v>4119</v>
      </c>
      <c r="F462" t="s">
        <v>162</v>
      </c>
      <c r="G462" t="s">
        <v>184</v>
      </c>
      <c r="H462"/>
      <c r="I462" t="s">
        <v>4106</v>
      </c>
      <c r="J462"/>
      <c r="K462"/>
      <c r="L462"/>
      <c r="M462"/>
      <c r="N462" t="b">
        <v>0</v>
      </c>
      <c r="O462" t="s">
        <v>4099</v>
      </c>
      <c r="P462">
        <v>15.19</v>
      </c>
      <c r="Q462"/>
      <c r="R462">
        <v>15.19</v>
      </c>
      <c r="S462">
        <v>70</v>
      </c>
      <c r="T462">
        <v>24</v>
      </c>
      <c r="U462">
        <v>29</v>
      </c>
      <c r="V462">
        <v>500</v>
      </c>
      <c r="W462" s="281">
        <v>41768</v>
      </c>
      <c r="X462" s="282"/>
      <c r="Z462" s="9" t="b">
        <f t="shared" si="99"/>
        <v>0</v>
      </c>
      <c r="AA462" s="9" t="str">
        <f t="shared" si="98"/>
        <v>[NOT FOUND]</v>
      </c>
      <c r="AB462" s="196">
        <f t="shared" si="100"/>
        <v>15.19</v>
      </c>
      <c r="AC462" s="9" t="e">
        <f>VLOOKUP(AA462,'Federal Standards'!$N$9:$P$50,2,FALSE)</f>
        <v>#N/A</v>
      </c>
      <c r="AD462" s="44" t="e">
        <f>VLOOKUP(AA462,'Federal Standards'!$N$9:$P$50,3,FALSE)</f>
        <v>#N/A</v>
      </c>
      <c r="AE462" s="44" t="e">
        <f t="shared" si="101"/>
        <v>#N/A</v>
      </c>
      <c r="AF462" s="283" t="e">
        <f t="shared" si="102"/>
        <v>#N/A</v>
      </c>
      <c r="AG462" s="291" t="e">
        <f t="shared" si="111"/>
        <v>#N/A</v>
      </c>
      <c r="AH462" s="184" t="e">
        <f t="shared" si="103"/>
        <v>#N/A</v>
      </c>
      <c r="AJ462" s="9" t="e">
        <f t="shared" si="104"/>
        <v>#N/A</v>
      </c>
      <c r="AK462" s="9" t="e">
        <f t="shared" si="105"/>
        <v>#N/A</v>
      </c>
      <c r="AL462" s="9" t="e">
        <f t="shared" si="106"/>
        <v>#N/A</v>
      </c>
      <c r="AM462" s="9" t="e">
        <f t="shared" si="107"/>
        <v>#N/A</v>
      </c>
      <c r="AN462" s="9" t="e">
        <f t="shared" si="108"/>
        <v>#N/A</v>
      </c>
      <c r="AO462" s="9" t="e">
        <f t="shared" si="109"/>
        <v>#N/A</v>
      </c>
      <c r="AP462" s="9" t="e">
        <f t="shared" si="110"/>
        <v>#N/A</v>
      </c>
    </row>
    <row r="463" spans="1:42">
      <c r="A463">
        <v>83932</v>
      </c>
      <c r="B463" t="s">
        <v>4460</v>
      </c>
      <c r="C463" t="s">
        <v>1488</v>
      </c>
      <c r="D463" t="s">
        <v>4476</v>
      </c>
      <c r="E463" t="s">
        <v>4119</v>
      </c>
      <c r="F463" t="s">
        <v>162</v>
      </c>
      <c r="G463" t="s">
        <v>184</v>
      </c>
      <c r="H463"/>
      <c r="I463" t="s">
        <v>4106</v>
      </c>
      <c r="J463"/>
      <c r="K463"/>
      <c r="L463"/>
      <c r="M463"/>
      <c r="N463" t="b">
        <v>0</v>
      </c>
      <c r="O463" t="s">
        <v>4099</v>
      </c>
      <c r="P463">
        <v>14.77</v>
      </c>
      <c r="Q463"/>
      <c r="R463">
        <v>14.77</v>
      </c>
      <c r="S463">
        <v>70</v>
      </c>
      <c r="T463">
        <v>24</v>
      </c>
      <c r="U463">
        <v>29</v>
      </c>
      <c r="V463">
        <v>530</v>
      </c>
      <c r="W463" s="281">
        <v>41768</v>
      </c>
      <c r="X463" s="282"/>
      <c r="Z463" s="9" t="b">
        <f t="shared" si="99"/>
        <v>0</v>
      </c>
      <c r="AA463" s="9" t="str">
        <f t="shared" si="98"/>
        <v>[NOT FOUND]</v>
      </c>
      <c r="AB463" s="196">
        <f t="shared" si="100"/>
        <v>14.77</v>
      </c>
      <c r="AC463" s="9" t="e">
        <f>VLOOKUP(AA463,'Federal Standards'!$N$9:$P$50,2,FALSE)</f>
        <v>#N/A</v>
      </c>
      <c r="AD463" s="44" t="e">
        <f>VLOOKUP(AA463,'Federal Standards'!$N$9:$P$50,3,FALSE)</f>
        <v>#N/A</v>
      </c>
      <c r="AE463" s="44" t="e">
        <f t="shared" si="101"/>
        <v>#N/A</v>
      </c>
      <c r="AF463" s="283" t="e">
        <f t="shared" si="102"/>
        <v>#N/A</v>
      </c>
      <c r="AG463" s="291" t="e">
        <f t="shared" si="111"/>
        <v>#N/A</v>
      </c>
      <c r="AH463" s="184" t="e">
        <f t="shared" si="103"/>
        <v>#N/A</v>
      </c>
      <c r="AJ463" s="9" t="e">
        <f t="shared" si="104"/>
        <v>#N/A</v>
      </c>
      <c r="AK463" s="9" t="e">
        <f t="shared" si="105"/>
        <v>#N/A</v>
      </c>
      <c r="AL463" s="9" t="e">
        <f t="shared" si="106"/>
        <v>#N/A</v>
      </c>
      <c r="AM463" s="9" t="e">
        <f t="shared" si="107"/>
        <v>#N/A</v>
      </c>
      <c r="AN463" s="9" t="e">
        <f t="shared" si="108"/>
        <v>#N/A</v>
      </c>
      <c r="AO463" s="9" t="e">
        <f t="shared" si="109"/>
        <v>#N/A</v>
      </c>
      <c r="AP463" s="9" t="e">
        <f t="shared" si="110"/>
        <v>#N/A</v>
      </c>
    </row>
    <row r="464" spans="1:42">
      <c r="A464">
        <v>83635</v>
      </c>
      <c r="B464" t="s">
        <v>4460</v>
      </c>
      <c r="C464" t="s">
        <v>1488</v>
      </c>
      <c r="D464" t="s">
        <v>4477</v>
      </c>
      <c r="E464" t="s">
        <v>4119</v>
      </c>
      <c r="F464" t="s">
        <v>162</v>
      </c>
      <c r="G464" t="s">
        <v>4383</v>
      </c>
      <c r="H464"/>
      <c r="I464" t="s">
        <v>4106</v>
      </c>
      <c r="J464"/>
      <c r="K464"/>
      <c r="L464"/>
      <c r="M464"/>
      <c r="N464" t="b">
        <v>0</v>
      </c>
      <c r="O464" t="s">
        <v>4099</v>
      </c>
      <c r="P464">
        <v>2.2200000000000002</v>
      </c>
      <c r="Q464"/>
      <c r="R464">
        <v>2.2200000000000002</v>
      </c>
      <c r="S464">
        <v>18</v>
      </c>
      <c r="T464">
        <v>24</v>
      </c>
      <c r="U464">
        <v>24</v>
      </c>
      <c r="V464">
        <v>300</v>
      </c>
      <c r="W464" s="281">
        <v>41759</v>
      </c>
      <c r="X464" s="282"/>
      <c r="Z464" s="9" t="b">
        <f t="shared" si="99"/>
        <v>1</v>
      </c>
      <c r="AA464" s="9" t="str">
        <f t="shared" si="98"/>
        <v>[Wine Chiller - exempt]</v>
      </c>
      <c r="AB464" s="196">
        <f t="shared" si="100"/>
        <v>2.2200000000000002</v>
      </c>
      <c r="AC464" s="9" t="e">
        <f>VLOOKUP(AA464,'Federal Standards'!$N$9:$P$50,2,FALSE)</f>
        <v>#N/A</v>
      </c>
      <c r="AD464" s="44" t="e">
        <f>VLOOKUP(AA464,'Federal Standards'!$N$9:$P$50,3,FALSE)</f>
        <v>#N/A</v>
      </c>
      <c r="AE464" s="44" t="e">
        <f t="shared" si="101"/>
        <v>#N/A</v>
      </c>
      <c r="AF464" s="283" t="e">
        <f t="shared" si="102"/>
        <v>#N/A</v>
      </c>
      <c r="AG464" s="291" t="e">
        <f t="shared" si="111"/>
        <v>#N/A</v>
      </c>
      <c r="AH464" s="184" t="e">
        <f t="shared" si="103"/>
        <v>#N/A</v>
      </c>
      <c r="AJ464" s="9" t="e">
        <f t="shared" si="104"/>
        <v>#N/A</v>
      </c>
      <c r="AK464" s="9" t="e">
        <f t="shared" si="105"/>
        <v>#N/A</v>
      </c>
      <c r="AL464" s="9" t="e">
        <f t="shared" si="106"/>
        <v>#N/A</v>
      </c>
      <c r="AM464" s="9" t="e">
        <f t="shared" si="107"/>
        <v>#N/A</v>
      </c>
      <c r="AN464" s="9" t="e">
        <f t="shared" si="108"/>
        <v>#N/A</v>
      </c>
      <c r="AO464" s="9" t="e">
        <f t="shared" si="109"/>
        <v>#N/A</v>
      </c>
      <c r="AP464" s="9" t="e">
        <f t="shared" si="110"/>
        <v>#N/A</v>
      </c>
    </row>
    <row r="465" spans="1:42">
      <c r="A465">
        <v>83636</v>
      </c>
      <c r="B465" t="s">
        <v>4460</v>
      </c>
      <c r="C465" t="s">
        <v>1488</v>
      </c>
      <c r="D465" t="s">
        <v>4478</v>
      </c>
      <c r="E465" t="s">
        <v>4119</v>
      </c>
      <c r="F465" t="s">
        <v>162</v>
      </c>
      <c r="G465" t="s">
        <v>4383</v>
      </c>
      <c r="H465"/>
      <c r="I465" t="s">
        <v>4106</v>
      </c>
      <c r="J465"/>
      <c r="K465"/>
      <c r="L465"/>
      <c r="M465"/>
      <c r="N465" t="b">
        <v>0</v>
      </c>
      <c r="O465" t="s">
        <v>4099</v>
      </c>
      <c r="P465">
        <v>5.12</v>
      </c>
      <c r="Q465"/>
      <c r="R465">
        <v>5.12</v>
      </c>
      <c r="S465">
        <v>35</v>
      </c>
      <c r="T465">
        <v>24</v>
      </c>
      <c r="U465">
        <v>24</v>
      </c>
      <c r="V465">
        <v>410</v>
      </c>
      <c r="W465" s="281">
        <v>41759</v>
      </c>
      <c r="X465" s="282"/>
      <c r="Z465" s="9" t="b">
        <f t="shared" si="99"/>
        <v>1</v>
      </c>
      <c r="AA465" s="9" t="str">
        <f t="shared" si="98"/>
        <v>[Wine Chiller - exempt]</v>
      </c>
      <c r="AB465" s="196">
        <f t="shared" si="100"/>
        <v>5.12</v>
      </c>
      <c r="AC465" s="9" t="e">
        <f>VLOOKUP(AA465,'Federal Standards'!$N$9:$P$50,2,FALSE)</f>
        <v>#N/A</v>
      </c>
      <c r="AD465" s="44" t="e">
        <f>VLOOKUP(AA465,'Federal Standards'!$N$9:$P$50,3,FALSE)</f>
        <v>#N/A</v>
      </c>
      <c r="AE465" s="44" t="e">
        <f t="shared" si="101"/>
        <v>#N/A</v>
      </c>
      <c r="AF465" s="283" t="e">
        <f t="shared" si="102"/>
        <v>#N/A</v>
      </c>
      <c r="AG465" s="291" t="e">
        <f t="shared" si="111"/>
        <v>#N/A</v>
      </c>
      <c r="AH465" s="184" t="e">
        <f t="shared" si="103"/>
        <v>#N/A</v>
      </c>
      <c r="AJ465" s="9" t="e">
        <f t="shared" si="104"/>
        <v>#N/A</v>
      </c>
      <c r="AK465" s="9" t="e">
        <f t="shared" si="105"/>
        <v>#N/A</v>
      </c>
      <c r="AL465" s="9" t="e">
        <f t="shared" si="106"/>
        <v>#N/A</v>
      </c>
      <c r="AM465" s="9" t="e">
        <f t="shared" si="107"/>
        <v>#N/A</v>
      </c>
      <c r="AN465" s="9" t="e">
        <f t="shared" si="108"/>
        <v>#N/A</v>
      </c>
      <c r="AO465" s="9" t="e">
        <f t="shared" si="109"/>
        <v>#N/A</v>
      </c>
      <c r="AP465" s="9" t="e">
        <f t="shared" si="110"/>
        <v>#N/A</v>
      </c>
    </row>
    <row r="466" spans="1:42">
      <c r="A466">
        <v>84617</v>
      </c>
      <c r="B466" t="s">
        <v>177</v>
      </c>
      <c r="C466" t="s">
        <v>174</v>
      </c>
      <c r="D466" t="s">
        <v>4479</v>
      </c>
      <c r="E466" t="s">
        <v>4109</v>
      </c>
      <c r="F466" t="s">
        <v>162</v>
      </c>
      <c r="G466" t="s">
        <v>4105</v>
      </c>
      <c r="H466"/>
      <c r="I466"/>
      <c r="J466" t="b">
        <v>0</v>
      </c>
      <c r="K466" t="b">
        <v>0</v>
      </c>
      <c r="L466" t="b">
        <v>0</v>
      </c>
      <c r="M466"/>
      <c r="N466" t="b">
        <v>0</v>
      </c>
      <c r="O466" t="s">
        <v>4099</v>
      </c>
      <c r="P466">
        <v>12.94</v>
      </c>
      <c r="Q466">
        <v>5.73</v>
      </c>
      <c r="R466">
        <v>18.670000000000002</v>
      </c>
      <c r="S466">
        <v>66</v>
      </c>
      <c r="T466">
        <v>30</v>
      </c>
      <c r="U466">
        <v>31</v>
      </c>
      <c r="V466">
        <v>521</v>
      </c>
      <c r="W466" s="281">
        <v>41799</v>
      </c>
      <c r="X466" s="282"/>
      <c r="Z466" s="9" t="b">
        <f t="shared" si="99"/>
        <v>0</v>
      </c>
      <c r="AA466" s="9" t="str">
        <f t="shared" si="98"/>
        <v>5</v>
      </c>
      <c r="AB466" s="196">
        <f t="shared" si="100"/>
        <v>23.024799999999999</v>
      </c>
      <c r="AC466" s="9">
        <f>VLOOKUP(AA466,'Federal Standards'!$N$9:$P$50,2,FALSE)</f>
        <v>8.85</v>
      </c>
      <c r="AD466" s="44">
        <f>VLOOKUP(AA466,'Federal Standards'!$N$9:$P$50,3,FALSE)</f>
        <v>317</v>
      </c>
      <c r="AE466" s="44">
        <f t="shared" si="101"/>
        <v>520.76947999999993</v>
      </c>
      <c r="AF466" s="283">
        <f t="shared" si="102"/>
        <v>-0.23052000000006956</v>
      </c>
      <c r="AG466" s="291">
        <f t="shared" si="111"/>
        <v>-4.4265266850904855E-4</v>
      </c>
      <c r="AH466" s="184" t="str">
        <f t="shared" si="103"/>
        <v>NO</v>
      </c>
      <c r="AJ466" s="9" t="str">
        <f t="shared" si="104"/>
        <v>NO</v>
      </c>
      <c r="AK466" s="9" t="str">
        <f t="shared" si="105"/>
        <v>NO</v>
      </c>
      <c r="AL466" s="9" t="str">
        <f t="shared" si="106"/>
        <v>NO</v>
      </c>
      <c r="AM466" s="9" t="str">
        <f t="shared" si="107"/>
        <v>NO</v>
      </c>
      <c r="AN466" s="9" t="str">
        <f t="shared" si="108"/>
        <v>Doesn't meet Standard</v>
      </c>
      <c r="AO466" s="9" t="str">
        <f t="shared" si="109"/>
        <v>5_Doesn't meet Standard</v>
      </c>
      <c r="AP466" s="9" t="str">
        <f t="shared" si="110"/>
        <v>5_NO</v>
      </c>
    </row>
    <row r="467" spans="1:42">
      <c r="A467">
        <v>84637</v>
      </c>
      <c r="B467" t="s">
        <v>177</v>
      </c>
      <c r="C467" t="s">
        <v>174</v>
      </c>
      <c r="D467" t="s">
        <v>4480</v>
      </c>
      <c r="E467" t="s">
        <v>4109</v>
      </c>
      <c r="F467" t="s">
        <v>162</v>
      </c>
      <c r="G467" t="s">
        <v>4105</v>
      </c>
      <c r="H467"/>
      <c r="I467"/>
      <c r="J467" t="b">
        <v>0</v>
      </c>
      <c r="K467" t="b">
        <v>0</v>
      </c>
      <c r="L467" t="b">
        <v>0</v>
      </c>
      <c r="M467"/>
      <c r="N467" t="b">
        <v>0</v>
      </c>
      <c r="O467" t="s">
        <v>4099</v>
      </c>
      <c r="P467">
        <v>15.62</v>
      </c>
      <c r="Q467">
        <v>6.45</v>
      </c>
      <c r="R467">
        <v>22.07</v>
      </c>
      <c r="S467">
        <v>69</v>
      </c>
      <c r="T467">
        <v>33</v>
      </c>
      <c r="U467">
        <v>32</v>
      </c>
      <c r="V467">
        <v>556</v>
      </c>
      <c r="W467" s="281">
        <v>41799</v>
      </c>
      <c r="X467" s="282"/>
      <c r="Z467" s="9" t="b">
        <f t="shared" si="99"/>
        <v>0</v>
      </c>
      <c r="AA467" s="9" t="str">
        <f t="shared" si="98"/>
        <v>5</v>
      </c>
      <c r="AB467" s="196">
        <f t="shared" si="100"/>
        <v>26.972000000000001</v>
      </c>
      <c r="AC467" s="9">
        <f>VLOOKUP(AA467,'Federal Standards'!$N$9:$P$50,2,FALSE)</f>
        <v>8.85</v>
      </c>
      <c r="AD467" s="44">
        <f>VLOOKUP(AA467,'Federal Standards'!$N$9:$P$50,3,FALSE)</f>
        <v>317</v>
      </c>
      <c r="AE467" s="44">
        <f t="shared" si="101"/>
        <v>555.70219999999995</v>
      </c>
      <c r="AF467" s="283">
        <f t="shared" si="102"/>
        <v>-0.29780000000005202</v>
      </c>
      <c r="AG467" s="291">
        <f t="shared" si="111"/>
        <v>-5.3589854422036131E-4</v>
      </c>
      <c r="AH467" s="184" t="str">
        <f t="shared" si="103"/>
        <v>NO</v>
      </c>
      <c r="AJ467" s="9" t="str">
        <f t="shared" si="104"/>
        <v>NO</v>
      </c>
      <c r="AK467" s="9" t="str">
        <f t="shared" si="105"/>
        <v>NO</v>
      </c>
      <c r="AL467" s="9" t="str">
        <f t="shared" si="106"/>
        <v>NO</v>
      </c>
      <c r="AM467" s="9" t="str">
        <f t="shared" si="107"/>
        <v>NO</v>
      </c>
      <c r="AN467" s="9" t="str">
        <f t="shared" si="108"/>
        <v>Doesn't meet Standard</v>
      </c>
      <c r="AO467" s="9" t="str">
        <f t="shared" si="109"/>
        <v>5_Doesn't meet Standard</v>
      </c>
      <c r="AP467" s="9" t="str">
        <f t="shared" si="110"/>
        <v>5_NO</v>
      </c>
    </row>
    <row r="468" spans="1:42">
      <c r="A468">
        <v>87887</v>
      </c>
      <c r="B468" t="s">
        <v>177</v>
      </c>
      <c r="C468" t="s">
        <v>174</v>
      </c>
      <c r="D468" t="s">
        <v>4481</v>
      </c>
      <c r="E468" t="s">
        <v>4108</v>
      </c>
      <c r="F468" t="s">
        <v>162</v>
      </c>
      <c r="G468" t="s">
        <v>4105</v>
      </c>
      <c r="H468"/>
      <c r="I468" t="s">
        <v>4098</v>
      </c>
      <c r="J468" t="b">
        <v>0</v>
      </c>
      <c r="K468" t="b">
        <v>0</v>
      </c>
      <c r="L468" t="b">
        <v>0</v>
      </c>
      <c r="M468"/>
      <c r="N468" t="b">
        <v>0</v>
      </c>
      <c r="O468" t="s">
        <v>4099</v>
      </c>
      <c r="P468">
        <v>13.06</v>
      </c>
      <c r="Q468">
        <v>5.09</v>
      </c>
      <c r="R468">
        <v>18.149999999999999</v>
      </c>
      <c r="S468">
        <v>66</v>
      </c>
      <c r="T468">
        <v>30</v>
      </c>
      <c r="U468">
        <v>32</v>
      </c>
      <c r="V468">
        <v>411</v>
      </c>
      <c r="W468" s="281">
        <v>41894</v>
      </c>
      <c r="X468" s="282"/>
      <c r="Z468" s="9" t="b">
        <f t="shared" si="99"/>
        <v>0</v>
      </c>
      <c r="AA468" s="9" t="str">
        <f t="shared" si="98"/>
        <v>3</v>
      </c>
      <c r="AB468" s="196">
        <f t="shared" si="100"/>
        <v>22.0184</v>
      </c>
      <c r="AC468" s="9">
        <f>VLOOKUP(AA468,'Federal Standards'!$N$9:$P$50,2,FALSE)</f>
        <v>8.07</v>
      </c>
      <c r="AD468" s="44">
        <f>VLOOKUP(AA468,'Federal Standards'!$N$9:$P$50,3,FALSE)</f>
        <v>233.7</v>
      </c>
      <c r="AE468" s="44">
        <f t="shared" si="101"/>
        <v>411.388488</v>
      </c>
      <c r="AF468" s="283">
        <f t="shared" si="102"/>
        <v>0.38848799999999528</v>
      </c>
      <c r="AG468" s="291">
        <f t="shared" si="111"/>
        <v>9.4433366837429655E-4</v>
      </c>
      <c r="AH468" s="184" t="str">
        <f t="shared" si="103"/>
        <v>YES</v>
      </c>
      <c r="AJ468" s="9" t="str">
        <f t="shared" si="104"/>
        <v>NO</v>
      </c>
      <c r="AK468" s="9" t="str">
        <f t="shared" si="105"/>
        <v>NO</v>
      </c>
      <c r="AL468" s="9" t="str">
        <f t="shared" si="106"/>
        <v>NO</v>
      </c>
      <c r="AM468" s="9" t="str">
        <f t="shared" si="107"/>
        <v>NO</v>
      </c>
      <c r="AN468" s="9" t="str">
        <f t="shared" si="108"/>
        <v>Less than 10% better than Standard</v>
      </c>
      <c r="AO468" s="9" t="str">
        <f t="shared" si="109"/>
        <v>3_Less than 10% better than Standard</v>
      </c>
      <c r="AP468" s="9" t="str">
        <f t="shared" si="110"/>
        <v>3_NO</v>
      </c>
    </row>
    <row r="469" spans="1:42">
      <c r="A469">
        <v>87541</v>
      </c>
      <c r="B469" t="s">
        <v>177</v>
      </c>
      <c r="C469" t="s">
        <v>174</v>
      </c>
      <c r="D469" t="s">
        <v>4482</v>
      </c>
      <c r="E469" t="s">
        <v>4108</v>
      </c>
      <c r="F469" t="s">
        <v>162</v>
      </c>
      <c r="G469" t="s">
        <v>4105</v>
      </c>
      <c r="H469"/>
      <c r="I469" t="s">
        <v>4098</v>
      </c>
      <c r="J469" t="b">
        <v>0</v>
      </c>
      <c r="K469" t="b">
        <v>0</v>
      </c>
      <c r="L469" t="b">
        <v>0</v>
      </c>
      <c r="M469"/>
      <c r="N469" t="b">
        <v>0</v>
      </c>
      <c r="O469" t="s">
        <v>4099</v>
      </c>
      <c r="P469">
        <v>11.95</v>
      </c>
      <c r="Q469">
        <v>4.03</v>
      </c>
      <c r="R469">
        <v>15.98</v>
      </c>
      <c r="S469">
        <v>66</v>
      </c>
      <c r="T469">
        <v>28</v>
      </c>
      <c r="U469">
        <v>30</v>
      </c>
      <c r="V469">
        <v>387</v>
      </c>
      <c r="W469" s="281">
        <v>41892</v>
      </c>
      <c r="X469" s="282"/>
      <c r="Z469" s="9" t="b">
        <f t="shared" si="99"/>
        <v>0</v>
      </c>
      <c r="AA469" s="9" t="str">
        <f t="shared" si="98"/>
        <v>3</v>
      </c>
      <c r="AB469" s="196">
        <f t="shared" si="100"/>
        <v>19.0428</v>
      </c>
      <c r="AC469" s="9">
        <f>VLOOKUP(AA469,'Federal Standards'!$N$9:$P$50,2,FALSE)</f>
        <v>8.07</v>
      </c>
      <c r="AD469" s="44">
        <f>VLOOKUP(AA469,'Federal Standards'!$N$9:$P$50,3,FALSE)</f>
        <v>233.7</v>
      </c>
      <c r="AE469" s="44">
        <f t="shared" si="101"/>
        <v>387.37539600000002</v>
      </c>
      <c r="AF469" s="283">
        <f t="shared" si="102"/>
        <v>0.37539600000002338</v>
      </c>
      <c r="AG469" s="291">
        <f t="shared" si="111"/>
        <v>9.6907548563054155E-4</v>
      </c>
      <c r="AH469" s="184" t="str">
        <f t="shared" si="103"/>
        <v>YES</v>
      </c>
      <c r="AJ469" s="9" t="str">
        <f t="shared" si="104"/>
        <v>NO</v>
      </c>
      <c r="AK469" s="9" t="str">
        <f t="shared" si="105"/>
        <v>NO</v>
      </c>
      <c r="AL469" s="9" t="str">
        <f t="shared" si="106"/>
        <v>NO</v>
      </c>
      <c r="AM469" s="9" t="str">
        <f t="shared" si="107"/>
        <v>NO</v>
      </c>
      <c r="AN469" s="9" t="str">
        <f t="shared" si="108"/>
        <v>Less than 10% better than Standard</v>
      </c>
      <c r="AO469" s="9" t="str">
        <f t="shared" si="109"/>
        <v>3_Less than 10% better than Standard</v>
      </c>
      <c r="AP469" s="9" t="str">
        <f t="shared" si="110"/>
        <v>3_NO</v>
      </c>
    </row>
    <row r="470" spans="1:42">
      <c r="A470">
        <v>87544</v>
      </c>
      <c r="B470" t="s">
        <v>177</v>
      </c>
      <c r="C470" t="s">
        <v>174</v>
      </c>
      <c r="D470" t="s">
        <v>4483</v>
      </c>
      <c r="E470" t="s">
        <v>4179</v>
      </c>
      <c r="F470" t="s">
        <v>162</v>
      </c>
      <c r="G470" t="s">
        <v>4105</v>
      </c>
      <c r="H470"/>
      <c r="I470" t="s">
        <v>4098</v>
      </c>
      <c r="J470" t="b">
        <v>0</v>
      </c>
      <c r="K470" t="b">
        <v>0</v>
      </c>
      <c r="L470" t="b">
        <v>1</v>
      </c>
      <c r="M470" t="b">
        <v>1</v>
      </c>
      <c r="N470" t="b">
        <v>0</v>
      </c>
      <c r="O470" t="s">
        <v>4099</v>
      </c>
      <c r="P470">
        <v>14.45</v>
      </c>
      <c r="Q470">
        <v>6.77</v>
      </c>
      <c r="R470">
        <v>21.22</v>
      </c>
      <c r="S470">
        <v>67</v>
      </c>
      <c r="T470">
        <v>33</v>
      </c>
      <c r="U470">
        <v>33</v>
      </c>
      <c r="V470">
        <v>658</v>
      </c>
      <c r="W470" s="281">
        <v>41892</v>
      </c>
      <c r="X470" s="282"/>
      <c r="Z470" s="9" t="b">
        <f t="shared" si="99"/>
        <v>0</v>
      </c>
      <c r="AA470" s="9" t="str">
        <f t="shared" si="98"/>
        <v>7</v>
      </c>
      <c r="AB470" s="196">
        <f t="shared" si="100"/>
        <v>26.365199999999998</v>
      </c>
      <c r="AC470" s="9">
        <f>VLOOKUP(AA470,'Federal Standards'!$N$9:$P$50,2,FALSE)</f>
        <v>8.5399999999999991</v>
      </c>
      <c r="AD470" s="44">
        <f>VLOOKUP(AA470,'Federal Standards'!$N$9:$P$50,3,FALSE)</f>
        <v>432.8</v>
      </c>
      <c r="AE470" s="44">
        <f t="shared" si="101"/>
        <v>657.95880799999998</v>
      </c>
      <c r="AF470" s="283">
        <f t="shared" si="102"/>
        <v>-4.1192000000023654E-2</v>
      </c>
      <c r="AG470" s="291">
        <f t="shared" si="111"/>
        <v>-6.2605742941925416E-5</v>
      </c>
      <c r="AH470" s="184" t="str">
        <f t="shared" si="103"/>
        <v>NO</v>
      </c>
      <c r="AJ470" s="9" t="str">
        <f t="shared" si="104"/>
        <v>NO</v>
      </c>
      <c r="AK470" s="9" t="str">
        <f t="shared" si="105"/>
        <v>NO</v>
      </c>
      <c r="AL470" s="9" t="str">
        <f t="shared" si="106"/>
        <v>NO</v>
      </c>
      <c r="AM470" s="9" t="str">
        <f t="shared" si="107"/>
        <v>NO</v>
      </c>
      <c r="AN470" s="9" t="str">
        <f t="shared" si="108"/>
        <v>Doesn't meet Standard</v>
      </c>
      <c r="AO470" s="9" t="str">
        <f t="shared" si="109"/>
        <v>7_Doesn't meet Standard</v>
      </c>
      <c r="AP470" s="9" t="str">
        <f t="shared" si="110"/>
        <v>7_NO</v>
      </c>
    </row>
    <row r="471" spans="1:42">
      <c r="A471">
        <v>87877</v>
      </c>
      <c r="B471" t="s">
        <v>177</v>
      </c>
      <c r="C471" t="s">
        <v>174</v>
      </c>
      <c r="D471" t="s">
        <v>4484</v>
      </c>
      <c r="E471" t="s">
        <v>4179</v>
      </c>
      <c r="F471" t="s">
        <v>162</v>
      </c>
      <c r="G471" t="s">
        <v>4105</v>
      </c>
      <c r="H471"/>
      <c r="I471" t="s">
        <v>4098</v>
      </c>
      <c r="J471" t="b">
        <v>0</v>
      </c>
      <c r="K471" t="b">
        <v>0</v>
      </c>
      <c r="L471" t="b">
        <v>1</v>
      </c>
      <c r="M471" t="b">
        <v>1</v>
      </c>
      <c r="N471" t="b">
        <v>0</v>
      </c>
      <c r="O471" t="s">
        <v>4099</v>
      </c>
      <c r="P471">
        <v>15.32</v>
      </c>
      <c r="Q471">
        <v>9.17</v>
      </c>
      <c r="R471">
        <v>24.49</v>
      </c>
      <c r="S471">
        <v>70</v>
      </c>
      <c r="T471">
        <v>36</v>
      </c>
      <c r="U471">
        <v>33</v>
      </c>
      <c r="V471">
        <v>701</v>
      </c>
      <c r="W471" s="281">
        <v>41894</v>
      </c>
      <c r="X471" s="282"/>
      <c r="Z471" s="9" t="b">
        <f t="shared" si="99"/>
        <v>0</v>
      </c>
      <c r="AA471" s="9" t="str">
        <f t="shared" si="98"/>
        <v>7</v>
      </c>
      <c r="AB471" s="196">
        <f t="shared" si="100"/>
        <v>31.459199999999999</v>
      </c>
      <c r="AC471" s="9">
        <f>VLOOKUP(AA471,'Federal Standards'!$N$9:$P$50,2,FALSE)</f>
        <v>8.5399999999999991</v>
      </c>
      <c r="AD471" s="44">
        <f>VLOOKUP(AA471,'Federal Standards'!$N$9:$P$50,3,FALSE)</f>
        <v>432.8</v>
      </c>
      <c r="AE471" s="44">
        <f t="shared" si="101"/>
        <v>701.46156799999994</v>
      </c>
      <c r="AF471" s="283">
        <f t="shared" si="102"/>
        <v>0.46156799999994291</v>
      </c>
      <c r="AG471" s="291">
        <f t="shared" si="111"/>
        <v>6.580089645052984E-4</v>
      </c>
      <c r="AH471" s="184" t="str">
        <f t="shared" si="103"/>
        <v>YES</v>
      </c>
      <c r="AJ471" s="9" t="str">
        <f t="shared" si="104"/>
        <v>NO</v>
      </c>
      <c r="AK471" s="9" t="str">
        <f t="shared" si="105"/>
        <v>NO</v>
      </c>
      <c r="AL471" s="9" t="str">
        <f t="shared" si="106"/>
        <v>NO</v>
      </c>
      <c r="AM471" s="9" t="str">
        <f t="shared" si="107"/>
        <v>NO</v>
      </c>
      <c r="AN471" s="9" t="str">
        <f t="shared" si="108"/>
        <v>Less than 10% better than Standard</v>
      </c>
      <c r="AO471" s="9" t="str">
        <f t="shared" si="109"/>
        <v>7_Less than 10% better than Standard</v>
      </c>
      <c r="AP471" s="9" t="str">
        <f t="shared" si="110"/>
        <v>7_NO</v>
      </c>
    </row>
    <row r="472" spans="1:42">
      <c r="A472">
        <v>87599</v>
      </c>
      <c r="B472" t="s">
        <v>177</v>
      </c>
      <c r="C472" t="s">
        <v>174</v>
      </c>
      <c r="D472" t="s">
        <v>4485</v>
      </c>
      <c r="E472" t="s">
        <v>190</v>
      </c>
      <c r="F472" t="s">
        <v>188</v>
      </c>
      <c r="G472" t="s">
        <v>189</v>
      </c>
      <c r="H472"/>
      <c r="I472" t="s">
        <v>4098</v>
      </c>
      <c r="J472" t="b">
        <v>0</v>
      </c>
      <c r="K472" t="b">
        <v>0</v>
      </c>
      <c r="L472"/>
      <c r="M472"/>
      <c r="N472" t="b">
        <v>0</v>
      </c>
      <c r="O472" t="s">
        <v>4099</v>
      </c>
      <c r="P472"/>
      <c r="Q472">
        <v>14.8</v>
      </c>
      <c r="R472">
        <v>14.8</v>
      </c>
      <c r="S472">
        <v>34</v>
      </c>
      <c r="T472">
        <v>48</v>
      </c>
      <c r="U472">
        <v>31</v>
      </c>
      <c r="V472">
        <v>297</v>
      </c>
      <c r="W472" s="281">
        <v>41892</v>
      </c>
      <c r="X472" s="282"/>
      <c r="Z472" s="9" t="b">
        <f t="shared" si="99"/>
        <v>0</v>
      </c>
      <c r="AA472" s="9" t="str">
        <f t="shared" si="98"/>
        <v>10</v>
      </c>
      <c r="AB472" s="196">
        <f t="shared" si="100"/>
        <v>26.048000000000002</v>
      </c>
      <c r="AC472" s="9">
        <f>VLOOKUP(AA472,'Federal Standards'!$N$9:$P$50,2,FALSE)</f>
        <v>7.29</v>
      </c>
      <c r="AD472" s="44">
        <f>VLOOKUP(AA472,'Federal Standards'!$N$9:$P$50,3,FALSE)</f>
        <v>107.8</v>
      </c>
      <c r="AE472" s="44">
        <f t="shared" si="101"/>
        <v>297.68992000000003</v>
      </c>
      <c r="AF472" s="283">
        <f t="shared" si="102"/>
        <v>0.68992000000002918</v>
      </c>
      <c r="AG472" s="291">
        <f t="shared" si="111"/>
        <v>2.3175793120574226E-3</v>
      </c>
      <c r="AH472" s="184" t="str">
        <f t="shared" si="103"/>
        <v>YES</v>
      </c>
      <c r="AJ472" s="9" t="str">
        <f t="shared" si="104"/>
        <v>NO</v>
      </c>
      <c r="AK472" s="9" t="str">
        <f t="shared" si="105"/>
        <v>NO</v>
      </c>
      <c r="AL472" s="9" t="str">
        <f t="shared" si="106"/>
        <v>NO</v>
      </c>
      <c r="AM472" s="9" t="str">
        <f t="shared" si="107"/>
        <v>NO</v>
      </c>
      <c r="AN472" s="9" t="str">
        <f t="shared" si="108"/>
        <v>Less than 10% better than Standard</v>
      </c>
      <c r="AO472" s="9" t="str">
        <f t="shared" si="109"/>
        <v>10_Less than 10% better than Standard</v>
      </c>
      <c r="AP472" s="9" t="str">
        <f t="shared" si="110"/>
        <v>10_NO</v>
      </c>
    </row>
    <row r="473" spans="1:42">
      <c r="A473">
        <v>87899</v>
      </c>
      <c r="B473" t="s">
        <v>177</v>
      </c>
      <c r="C473" t="s">
        <v>174</v>
      </c>
      <c r="D473" t="s">
        <v>4486</v>
      </c>
      <c r="E473" t="s">
        <v>190</v>
      </c>
      <c r="F473" t="s">
        <v>188</v>
      </c>
      <c r="G473" t="s">
        <v>189</v>
      </c>
      <c r="H473"/>
      <c r="I473" t="s">
        <v>4098</v>
      </c>
      <c r="J473" t="b">
        <v>0</v>
      </c>
      <c r="K473" t="b">
        <v>0</v>
      </c>
      <c r="L473"/>
      <c r="M473"/>
      <c r="N473" t="b">
        <v>0</v>
      </c>
      <c r="O473" t="s">
        <v>4099</v>
      </c>
      <c r="P473"/>
      <c r="Q473">
        <v>21.7</v>
      </c>
      <c r="R473">
        <v>21.7</v>
      </c>
      <c r="S473">
        <v>34</v>
      </c>
      <c r="T473">
        <v>67</v>
      </c>
      <c r="U473">
        <v>31</v>
      </c>
      <c r="V473">
        <v>386</v>
      </c>
      <c r="W473" s="281">
        <v>41894</v>
      </c>
      <c r="X473" s="282"/>
      <c r="Z473" s="9" t="b">
        <f t="shared" si="99"/>
        <v>0</v>
      </c>
      <c r="AA473" s="9" t="str">
        <f t="shared" si="98"/>
        <v>10</v>
      </c>
      <c r="AB473" s="196">
        <f t="shared" si="100"/>
        <v>38.192</v>
      </c>
      <c r="AC473" s="9">
        <f>VLOOKUP(AA473,'Federal Standards'!$N$9:$P$50,2,FALSE)</f>
        <v>7.29</v>
      </c>
      <c r="AD473" s="44">
        <f>VLOOKUP(AA473,'Federal Standards'!$N$9:$P$50,3,FALSE)</f>
        <v>107.8</v>
      </c>
      <c r="AE473" s="44">
        <f t="shared" si="101"/>
        <v>386.21968000000004</v>
      </c>
      <c r="AF473" s="283">
        <f t="shared" si="102"/>
        <v>0.2196800000000394</v>
      </c>
      <c r="AG473" s="291">
        <f t="shared" si="111"/>
        <v>5.6879545858470849E-4</v>
      </c>
      <c r="AH473" s="184" t="str">
        <f t="shared" si="103"/>
        <v>YES</v>
      </c>
      <c r="AJ473" s="9" t="str">
        <f t="shared" si="104"/>
        <v>NO</v>
      </c>
      <c r="AK473" s="9" t="str">
        <f t="shared" si="105"/>
        <v>NO</v>
      </c>
      <c r="AL473" s="9" t="str">
        <f t="shared" si="106"/>
        <v>NO</v>
      </c>
      <c r="AM473" s="9" t="str">
        <f t="shared" si="107"/>
        <v>NO</v>
      </c>
      <c r="AN473" s="9" t="str">
        <f t="shared" si="108"/>
        <v>Less than 10% better than Standard</v>
      </c>
      <c r="AO473" s="9" t="str">
        <f t="shared" si="109"/>
        <v>10_Less than 10% better than Standard</v>
      </c>
      <c r="AP473" s="9" t="str">
        <f t="shared" si="110"/>
        <v>10_NO</v>
      </c>
    </row>
    <row r="474" spans="1:42">
      <c r="A474">
        <v>87605</v>
      </c>
      <c r="B474" t="s">
        <v>177</v>
      </c>
      <c r="C474" t="s">
        <v>174</v>
      </c>
      <c r="D474" t="s">
        <v>4487</v>
      </c>
      <c r="E474" t="s">
        <v>187</v>
      </c>
      <c r="F474" t="s">
        <v>162</v>
      </c>
      <c r="G474" t="s">
        <v>189</v>
      </c>
      <c r="H474"/>
      <c r="I474" t="s">
        <v>4098</v>
      </c>
      <c r="J474" t="b">
        <v>0</v>
      </c>
      <c r="K474" t="b">
        <v>0</v>
      </c>
      <c r="L474" t="b">
        <v>0</v>
      </c>
      <c r="M474"/>
      <c r="N474" t="b">
        <v>0</v>
      </c>
      <c r="O474" t="s">
        <v>4099</v>
      </c>
      <c r="P474"/>
      <c r="Q474">
        <v>17.7</v>
      </c>
      <c r="R474">
        <v>17.7</v>
      </c>
      <c r="S474">
        <v>70</v>
      </c>
      <c r="T474">
        <v>31</v>
      </c>
      <c r="U474">
        <v>30</v>
      </c>
      <c r="V474">
        <v>496</v>
      </c>
      <c r="W474" s="281">
        <v>41892</v>
      </c>
      <c r="X474" s="282"/>
      <c r="Z474" s="9" t="b">
        <f t="shared" si="99"/>
        <v>0</v>
      </c>
      <c r="AA474" s="9" t="str">
        <f t="shared" si="98"/>
        <v>9</v>
      </c>
      <c r="AB474" s="196">
        <f t="shared" si="100"/>
        <v>31.151999999999997</v>
      </c>
      <c r="AC474" s="9">
        <f>VLOOKUP(AA474,'Federal Standards'!$N$9:$P$50,2,FALSE)</f>
        <v>8.6199999999999992</v>
      </c>
      <c r="AD474" s="44">
        <f>VLOOKUP(AA474,'Federal Standards'!$N$9:$P$50,3,FALSE)</f>
        <v>228.3</v>
      </c>
      <c r="AE474" s="44">
        <f t="shared" si="101"/>
        <v>496.83023999999995</v>
      </c>
      <c r="AF474" s="283">
        <f t="shared" si="102"/>
        <v>0.83023999999994658</v>
      </c>
      <c r="AG474" s="291">
        <f t="shared" si="111"/>
        <v>1.6710738058133231E-3</v>
      </c>
      <c r="AH474" s="184" t="str">
        <f t="shared" si="103"/>
        <v>YES</v>
      </c>
      <c r="AJ474" s="9" t="str">
        <f t="shared" si="104"/>
        <v>NO</v>
      </c>
      <c r="AK474" s="9" t="str">
        <f t="shared" si="105"/>
        <v>NO</v>
      </c>
      <c r="AL474" s="9" t="str">
        <f t="shared" si="106"/>
        <v>NO</v>
      </c>
      <c r="AM474" s="9" t="str">
        <f t="shared" si="107"/>
        <v>NO</v>
      </c>
      <c r="AN474" s="9" t="str">
        <f t="shared" si="108"/>
        <v>Less than 10% better than Standard</v>
      </c>
      <c r="AO474" s="9" t="str">
        <f t="shared" si="109"/>
        <v>9_Less than 10% better than Standard</v>
      </c>
      <c r="AP474" s="9" t="str">
        <f t="shared" si="110"/>
        <v>9_NO</v>
      </c>
    </row>
    <row r="475" spans="1:42">
      <c r="A475">
        <v>87909</v>
      </c>
      <c r="B475" t="s">
        <v>177</v>
      </c>
      <c r="C475" t="s">
        <v>174</v>
      </c>
      <c r="D475" t="s">
        <v>4488</v>
      </c>
      <c r="E475" t="s">
        <v>187</v>
      </c>
      <c r="F475" t="s">
        <v>162</v>
      </c>
      <c r="G475" t="s">
        <v>189</v>
      </c>
      <c r="H475"/>
      <c r="I475" t="s">
        <v>4098</v>
      </c>
      <c r="J475" t="b">
        <v>0</v>
      </c>
      <c r="K475" t="b">
        <v>0</v>
      </c>
      <c r="L475" t="b">
        <v>0</v>
      </c>
      <c r="M475"/>
      <c r="N475" t="b">
        <v>0</v>
      </c>
      <c r="O475" t="s">
        <v>4099</v>
      </c>
      <c r="P475"/>
      <c r="Q475">
        <v>19.649999999999999</v>
      </c>
      <c r="R475">
        <v>19.649999999999999</v>
      </c>
      <c r="S475">
        <v>67</v>
      </c>
      <c r="T475">
        <v>34</v>
      </c>
      <c r="U475">
        <v>30</v>
      </c>
      <c r="V475">
        <v>525</v>
      </c>
      <c r="W475" s="281">
        <v>41894</v>
      </c>
      <c r="X475" s="282"/>
      <c r="Z475" s="9" t="b">
        <f t="shared" si="99"/>
        <v>0</v>
      </c>
      <c r="AA475" s="9" t="str">
        <f t="shared" si="98"/>
        <v>9</v>
      </c>
      <c r="AB475" s="196">
        <f t="shared" si="100"/>
        <v>34.583999999999996</v>
      </c>
      <c r="AC475" s="9">
        <f>VLOOKUP(AA475,'Federal Standards'!$N$9:$P$50,2,FALSE)</f>
        <v>8.6199999999999992</v>
      </c>
      <c r="AD475" s="44">
        <f>VLOOKUP(AA475,'Federal Standards'!$N$9:$P$50,3,FALSE)</f>
        <v>228.3</v>
      </c>
      <c r="AE475" s="44">
        <f t="shared" si="101"/>
        <v>526.41408000000001</v>
      </c>
      <c r="AF475" s="283">
        <f t="shared" si="102"/>
        <v>1.4140800000000127</v>
      </c>
      <c r="AG475" s="291">
        <f t="shared" si="111"/>
        <v>2.6862503373770181E-3</v>
      </c>
      <c r="AH475" s="184" t="str">
        <f t="shared" si="103"/>
        <v>YES</v>
      </c>
      <c r="AJ475" s="9" t="str">
        <f t="shared" si="104"/>
        <v>NO</v>
      </c>
      <c r="AK475" s="9" t="str">
        <f t="shared" si="105"/>
        <v>NO</v>
      </c>
      <c r="AL475" s="9" t="str">
        <f t="shared" si="106"/>
        <v>NO</v>
      </c>
      <c r="AM475" s="9" t="str">
        <f t="shared" si="107"/>
        <v>NO</v>
      </c>
      <c r="AN475" s="9" t="str">
        <f t="shared" si="108"/>
        <v>Less than 10% better than Standard</v>
      </c>
      <c r="AO475" s="9" t="str">
        <f t="shared" si="109"/>
        <v>9_Less than 10% better than Standard</v>
      </c>
      <c r="AP475" s="9" t="str">
        <f t="shared" si="110"/>
        <v>9_NO</v>
      </c>
    </row>
    <row r="476" spans="1:42">
      <c r="A476">
        <v>87897</v>
      </c>
      <c r="B476" t="s">
        <v>177</v>
      </c>
      <c r="C476" t="s">
        <v>174</v>
      </c>
      <c r="D476" t="s">
        <v>4489</v>
      </c>
      <c r="E476" t="s">
        <v>187</v>
      </c>
      <c r="F476" t="s">
        <v>188</v>
      </c>
      <c r="G476" t="s">
        <v>189</v>
      </c>
      <c r="H476"/>
      <c r="I476" t="s">
        <v>4098</v>
      </c>
      <c r="J476" t="b">
        <v>0</v>
      </c>
      <c r="K476" t="b">
        <v>0</v>
      </c>
      <c r="L476" t="b">
        <v>0</v>
      </c>
      <c r="M476"/>
      <c r="N476" t="b">
        <v>0</v>
      </c>
      <c r="O476" t="s">
        <v>4099</v>
      </c>
      <c r="P476"/>
      <c r="Q476">
        <v>16.600000000000001</v>
      </c>
      <c r="R476">
        <v>16.600000000000001</v>
      </c>
      <c r="S476">
        <v>67</v>
      </c>
      <c r="T476">
        <v>31</v>
      </c>
      <c r="U476">
        <v>31</v>
      </c>
      <c r="V476">
        <v>356</v>
      </c>
      <c r="W476" s="281">
        <v>41894</v>
      </c>
      <c r="X476" s="282"/>
      <c r="Z476" s="9" t="b">
        <f t="shared" si="99"/>
        <v>0</v>
      </c>
      <c r="AA476" s="9" t="str">
        <f t="shared" si="98"/>
        <v>8</v>
      </c>
      <c r="AB476" s="196">
        <f t="shared" si="100"/>
        <v>29.216000000000001</v>
      </c>
      <c r="AC476" s="9">
        <f>VLOOKUP(AA476,'Federal Standards'!$N$9:$P$50,2,FALSE)</f>
        <v>5.57</v>
      </c>
      <c r="AD476" s="44">
        <f>VLOOKUP(AA476,'Federal Standards'!$N$9:$P$50,3,FALSE)</f>
        <v>193.7</v>
      </c>
      <c r="AE476" s="44">
        <f t="shared" si="101"/>
        <v>356.43312000000003</v>
      </c>
      <c r="AF476" s="283">
        <f t="shared" si="102"/>
        <v>0.43312000000003081</v>
      </c>
      <c r="AG476" s="291">
        <f t="shared" si="111"/>
        <v>1.2151508254901531E-3</v>
      </c>
      <c r="AH476" s="184" t="str">
        <f t="shared" si="103"/>
        <v>YES</v>
      </c>
      <c r="AJ476" s="9" t="str">
        <f t="shared" si="104"/>
        <v>NO</v>
      </c>
      <c r="AK476" s="9" t="str">
        <f t="shared" si="105"/>
        <v>NO</v>
      </c>
      <c r="AL476" s="9" t="str">
        <f t="shared" si="106"/>
        <v>NO</v>
      </c>
      <c r="AM476" s="9" t="str">
        <f t="shared" si="107"/>
        <v>NO</v>
      </c>
      <c r="AN476" s="9" t="str">
        <f t="shared" si="108"/>
        <v>Less than 10% better than Standard</v>
      </c>
      <c r="AO476" s="9" t="str">
        <f t="shared" si="109"/>
        <v>8_Less than 10% better than Standard</v>
      </c>
      <c r="AP476" s="9" t="str">
        <f t="shared" si="110"/>
        <v>8_NO</v>
      </c>
    </row>
    <row r="477" spans="1:42">
      <c r="A477">
        <v>84658</v>
      </c>
      <c r="B477" t="s">
        <v>177</v>
      </c>
      <c r="C477" t="s">
        <v>165</v>
      </c>
      <c r="D477" t="s">
        <v>4490</v>
      </c>
      <c r="E477" t="s">
        <v>4109</v>
      </c>
      <c r="F477" t="s">
        <v>162</v>
      </c>
      <c r="G477" t="s">
        <v>4105</v>
      </c>
      <c r="H477"/>
      <c r="I477"/>
      <c r="J477" t="b">
        <v>0</v>
      </c>
      <c r="K477" t="b">
        <v>0</v>
      </c>
      <c r="L477" t="b">
        <v>1</v>
      </c>
      <c r="M477" t="b">
        <v>0</v>
      </c>
      <c r="N477" t="b">
        <v>1</v>
      </c>
      <c r="O477" t="s">
        <v>4099</v>
      </c>
      <c r="P477">
        <v>16.350000000000001</v>
      </c>
      <c r="Q477">
        <v>5.59</v>
      </c>
      <c r="R477">
        <v>21.94</v>
      </c>
      <c r="S477">
        <v>72</v>
      </c>
      <c r="T477">
        <v>36</v>
      </c>
      <c r="U477">
        <v>31</v>
      </c>
      <c r="V477">
        <v>633</v>
      </c>
      <c r="W477" s="281">
        <v>41799</v>
      </c>
      <c r="X477" s="282"/>
      <c r="Z477" s="9" t="b">
        <f t="shared" si="99"/>
        <v>0</v>
      </c>
      <c r="AA477" s="9" t="str">
        <f t="shared" si="98"/>
        <v>5I</v>
      </c>
      <c r="AB477" s="196">
        <f t="shared" si="100"/>
        <v>26.188400000000001</v>
      </c>
      <c r="AC477" s="9">
        <f>VLOOKUP(AA477,'Federal Standards'!$N$9:$P$50,2,FALSE)</f>
        <v>8.85</v>
      </c>
      <c r="AD477" s="44">
        <f>VLOOKUP(AA477,'Federal Standards'!$N$9:$P$50,3,FALSE)</f>
        <v>401</v>
      </c>
      <c r="AE477" s="44">
        <f t="shared" si="101"/>
        <v>632.76733999999999</v>
      </c>
      <c r="AF477" s="283">
        <f t="shared" si="102"/>
        <v>-0.23266000000000986</v>
      </c>
      <c r="AG477" s="291">
        <f t="shared" si="111"/>
        <v>-3.6768648647385918E-4</v>
      </c>
      <c r="AH477" s="184" t="str">
        <f t="shared" si="103"/>
        <v>NO</v>
      </c>
      <c r="AJ477" s="9" t="str">
        <f t="shared" si="104"/>
        <v>NO</v>
      </c>
      <c r="AK477" s="9" t="str">
        <f t="shared" si="105"/>
        <v>NO</v>
      </c>
      <c r="AL477" s="9" t="str">
        <f t="shared" si="106"/>
        <v>NO</v>
      </c>
      <c r="AM477" s="9" t="str">
        <f t="shared" si="107"/>
        <v>NO</v>
      </c>
      <c r="AN477" s="9" t="str">
        <f t="shared" si="108"/>
        <v>Doesn't meet Standard</v>
      </c>
      <c r="AO477" s="9" t="str">
        <f t="shared" si="109"/>
        <v>5I_Doesn't meet Standard</v>
      </c>
      <c r="AP477" s="9" t="str">
        <f t="shared" si="110"/>
        <v>5I_NO</v>
      </c>
    </row>
    <row r="478" spans="1:42">
      <c r="A478">
        <v>84660</v>
      </c>
      <c r="B478" t="s">
        <v>177</v>
      </c>
      <c r="C478" t="s">
        <v>165</v>
      </c>
      <c r="D478" t="s">
        <v>4491</v>
      </c>
      <c r="E478" t="s">
        <v>4109</v>
      </c>
      <c r="F478" t="s">
        <v>162</v>
      </c>
      <c r="G478" t="s">
        <v>4105</v>
      </c>
      <c r="H478"/>
      <c r="I478"/>
      <c r="J478" t="b">
        <v>0</v>
      </c>
      <c r="K478" t="b">
        <v>0</v>
      </c>
      <c r="L478" t="b">
        <v>1</v>
      </c>
      <c r="M478" t="b">
        <v>0</v>
      </c>
      <c r="N478" t="b">
        <v>1</v>
      </c>
      <c r="O478" t="s">
        <v>4099</v>
      </c>
      <c r="P478">
        <v>15.66</v>
      </c>
      <c r="Q478">
        <v>6.45</v>
      </c>
      <c r="R478">
        <v>22.11</v>
      </c>
      <c r="S478">
        <v>69</v>
      </c>
      <c r="T478">
        <v>33</v>
      </c>
      <c r="U478">
        <v>32</v>
      </c>
      <c r="V478">
        <v>640</v>
      </c>
      <c r="W478" s="281">
        <v>41799</v>
      </c>
      <c r="X478" s="282"/>
      <c r="Z478" s="9" t="b">
        <f t="shared" si="99"/>
        <v>0</v>
      </c>
      <c r="AA478" s="9" t="str">
        <f t="shared" si="98"/>
        <v>5I</v>
      </c>
      <c r="AB478" s="196">
        <f t="shared" si="100"/>
        <v>27.012</v>
      </c>
      <c r="AC478" s="9">
        <f>VLOOKUP(AA478,'Federal Standards'!$N$9:$P$50,2,FALSE)</f>
        <v>8.85</v>
      </c>
      <c r="AD478" s="44">
        <f>VLOOKUP(AA478,'Federal Standards'!$N$9:$P$50,3,FALSE)</f>
        <v>401</v>
      </c>
      <c r="AE478" s="44">
        <f t="shared" si="101"/>
        <v>640.05619999999999</v>
      </c>
      <c r="AF478" s="283">
        <f t="shared" si="102"/>
        <v>5.6199999999989814E-2</v>
      </c>
      <c r="AG478" s="291">
        <f t="shared" si="111"/>
        <v>8.7804789641893663E-5</v>
      </c>
      <c r="AH478" s="184" t="str">
        <f t="shared" si="103"/>
        <v>YES</v>
      </c>
      <c r="AJ478" s="9" t="str">
        <f t="shared" si="104"/>
        <v>NO</v>
      </c>
      <c r="AK478" s="9" t="str">
        <f t="shared" si="105"/>
        <v>NO</v>
      </c>
      <c r="AL478" s="9" t="str">
        <f t="shared" si="106"/>
        <v>NO</v>
      </c>
      <c r="AM478" s="9" t="str">
        <f t="shared" si="107"/>
        <v>NO</v>
      </c>
      <c r="AN478" s="9" t="str">
        <f t="shared" si="108"/>
        <v>Less than 10% better than Standard</v>
      </c>
      <c r="AO478" s="9" t="str">
        <f t="shared" si="109"/>
        <v>5I_Less than 10% better than Standard</v>
      </c>
      <c r="AP478" s="9" t="str">
        <f t="shared" si="110"/>
        <v>5I_NO</v>
      </c>
    </row>
    <row r="479" spans="1:42">
      <c r="A479">
        <v>87581</v>
      </c>
      <c r="B479" t="s">
        <v>177</v>
      </c>
      <c r="C479" t="s">
        <v>634</v>
      </c>
      <c r="D479" t="s">
        <v>4492</v>
      </c>
      <c r="E479" t="s">
        <v>4179</v>
      </c>
      <c r="F479" t="s">
        <v>162</v>
      </c>
      <c r="G479" t="s">
        <v>4105</v>
      </c>
      <c r="H479"/>
      <c r="I479" t="s">
        <v>4098</v>
      </c>
      <c r="J479" t="b">
        <v>1</v>
      </c>
      <c r="K479" t="b">
        <v>0</v>
      </c>
      <c r="L479" t="b">
        <v>1</v>
      </c>
      <c r="M479" t="b">
        <v>1</v>
      </c>
      <c r="N479" t="b">
        <v>0</v>
      </c>
      <c r="O479" t="s">
        <v>4099</v>
      </c>
      <c r="P479">
        <v>16.41</v>
      </c>
      <c r="Q479">
        <v>8.61</v>
      </c>
      <c r="R479">
        <v>25.02</v>
      </c>
      <c r="S479">
        <v>83</v>
      </c>
      <c r="T479">
        <v>42</v>
      </c>
      <c r="U479">
        <v>26</v>
      </c>
      <c r="V479">
        <v>826</v>
      </c>
      <c r="W479" s="281">
        <v>41892</v>
      </c>
      <c r="X479" s="282"/>
      <c r="Z479" s="9" t="b">
        <f t="shared" si="99"/>
        <v>0</v>
      </c>
      <c r="AA479" s="9" t="str">
        <f t="shared" si="98"/>
        <v>7-BI</v>
      </c>
      <c r="AB479" s="196">
        <f t="shared" si="100"/>
        <v>31.563600000000001</v>
      </c>
      <c r="AC479" s="9">
        <f>VLOOKUP(AA479,'Federal Standards'!$N$9:$P$50,2,FALSE)</f>
        <v>10.25</v>
      </c>
      <c r="AD479" s="44">
        <f>VLOOKUP(AA479,'Federal Standards'!$N$9:$P$50,3,FALSE)</f>
        <v>502.6</v>
      </c>
      <c r="AE479" s="44">
        <f t="shared" si="101"/>
        <v>826.12689999999998</v>
      </c>
      <c r="AF479" s="283">
        <f t="shared" si="102"/>
        <v>0.12689999999997781</v>
      </c>
      <c r="AG479" s="291">
        <f t="shared" si="111"/>
        <v>1.5360836210511703E-4</v>
      </c>
      <c r="AH479" s="184" t="str">
        <f t="shared" si="103"/>
        <v>YES</v>
      </c>
      <c r="AJ479" s="9" t="str">
        <f t="shared" si="104"/>
        <v>NO</v>
      </c>
      <c r="AK479" s="9" t="str">
        <f t="shared" si="105"/>
        <v>NO</v>
      </c>
      <c r="AL479" s="9" t="str">
        <f t="shared" si="106"/>
        <v>NO</v>
      </c>
      <c r="AM479" s="9" t="str">
        <f t="shared" si="107"/>
        <v>NO</v>
      </c>
      <c r="AN479" s="9" t="str">
        <f t="shared" si="108"/>
        <v>Less than 10% better than Standard</v>
      </c>
      <c r="AO479" s="9" t="str">
        <f t="shared" si="109"/>
        <v>7-BI_Less than 10% better than Standard</v>
      </c>
      <c r="AP479" s="9" t="str">
        <f t="shared" si="110"/>
        <v>7-BI_NO</v>
      </c>
    </row>
    <row r="480" spans="1:42">
      <c r="A480">
        <v>87558</v>
      </c>
      <c r="B480" t="s">
        <v>177</v>
      </c>
      <c r="C480" t="s">
        <v>634</v>
      </c>
      <c r="D480" t="s">
        <v>4493</v>
      </c>
      <c r="E480" t="s">
        <v>4179</v>
      </c>
      <c r="F480" t="s">
        <v>162</v>
      </c>
      <c r="G480" t="s">
        <v>4105</v>
      </c>
      <c r="H480"/>
      <c r="I480"/>
      <c r="J480" t="b">
        <v>1</v>
      </c>
      <c r="K480" t="b">
        <v>0</v>
      </c>
      <c r="L480" t="b">
        <v>1</v>
      </c>
      <c r="M480" t="b">
        <v>0</v>
      </c>
      <c r="N480" t="b">
        <v>0</v>
      </c>
      <c r="O480" t="s">
        <v>4099</v>
      </c>
      <c r="P480">
        <v>16.41</v>
      </c>
      <c r="Q480">
        <v>9.07</v>
      </c>
      <c r="R480">
        <v>25.48</v>
      </c>
      <c r="S480">
        <v>83</v>
      </c>
      <c r="T480">
        <v>42</v>
      </c>
      <c r="U480">
        <v>26</v>
      </c>
      <c r="V480">
        <v>772</v>
      </c>
      <c r="W480" s="281">
        <v>41892</v>
      </c>
      <c r="X480" s="282"/>
      <c r="Z480" s="9" t="b">
        <f t="shared" si="99"/>
        <v>0</v>
      </c>
      <c r="AA480" s="9" t="str">
        <f t="shared" si="98"/>
        <v>4I-BI</v>
      </c>
      <c r="AB480" s="196">
        <f t="shared" si="100"/>
        <v>32.373199999999997</v>
      </c>
      <c r="AC480" s="9">
        <f>VLOOKUP(AA480,'Federal Standards'!$N$9:$P$50,2,FALSE)</f>
        <v>10.220000000000001</v>
      </c>
      <c r="AD480" s="44">
        <f>VLOOKUP(AA480,'Federal Standards'!$N$9:$P$50,3,FALSE)</f>
        <v>441.4</v>
      </c>
      <c r="AE480" s="44">
        <f t="shared" si="101"/>
        <v>772.25410399999998</v>
      </c>
      <c r="AF480" s="283">
        <f t="shared" si="102"/>
        <v>0.2541039999999839</v>
      </c>
      <c r="AG480" s="291">
        <f t="shared" si="111"/>
        <v>3.2904195482266274E-4</v>
      </c>
      <c r="AH480" s="184" t="str">
        <f t="shared" si="103"/>
        <v>YES</v>
      </c>
      <c r="AJ480" s="9" t="str">
        <f t="shared" si="104"/>
        <v>NO</v>
      </c>
      <c r="AK480" s="9" t="str">
        <f t="shared" si="105"/>
        <v>NO</v>
      </c>
      <c r="AL480" s="9" t="str">
        <f t="shared" si="106"/>
        <v>NO</v>
      </c>
      <c r="AM480" s="9" t="str">
        <f t="shared" si="107"/>
        <v>NO</v>
      </c>
      <c r="AN480" s="9" t="str">
        <f t="shared" si="108"/>
        <v>Less than 10% better than Standard</v>
      </c>
      <c r="AO480" s="9" t="str">
        <f t="shared" si="109"/>
        <v>4I-BI_Less than 10% better than Standard</v>
      </c>
      <c r="AP480" s="9" t="str">
        <f t="shared" si="110"/>
        <v>4I-BI_NO</v>
      </c>
    </row>
    <row r="481" spans="1:42">
      <c r="A481">
        <v>87577</v>
      </c>
      <c r="B481" t="s">
        <v>177</v>
      </c>
      <c r="C481" t="s">
        <v>634</v>
      </c>
      <c r="D481" t="s">
        <v>4494</v>
      </c>
      <c r="E481" t="s">
        <v>4179</v>
      </c>
      <c r="F481" t="s">
        <v>162</v>
      </c>
      <c r="G481" t="s">
        <v>4105</v>
      </c>
      <c r="H481"/>
      <c r="I481" t="s">
        <v>4098</v>
      </c>
      <c r="J481" t="b">
        <v>1</v>
      </c>
      <c r="K481" t="b">
        <v>0</v>
      </c>
      <c r="L481" t="b">
        <v>1</v>
      </c>
      <c r="M481" t="b">
        <v>1</v>
      </c>
      <c r="N481" t="b">
        <v>0</v>
      </c>
      <c r="O481" t="s">
        <v>4099</v>
      </c>
      <c r="P481">
        <v>19.22</v>
      </c>
      <c r="Q481">
        <v>10.3</v>
      </c>
      <c r="R481">
        <v>29.52</v>
      </c>
      <c r="S481">
        <v>83</v>
      </c>
      <c r="T481">
        <v>48</v>
      </c>
      <c r="U481">
        <v>26</v>
      </c>
      <c r="V481">
        <v>885</v>
      </c>
      <c r="W481" s="281">
        <v>41892</v>
      </c>
      <c r="X481" s="282"/>
      <c r="Z481" s="9" t="b">
        <f t="shared" si="99"/>
        <v>0</v>
      </c>
      <c r="AA481" s="9" t="str">
        <f t="shared" si="98"/>
        <v>7-BI</v>
      </c>
      <c r="AB481" s="196">
        <f t="shared" si="100"/>
        <v>37.347999999999999</v>
      </c>
      <c r="AC481" s="9">
        <f>VLOOKUP(AA481,'Federal Standards'!$N$9:$P$50,2,FALSE)</f>
        <v>10.25</v>
      </c>
      <c r="AD481" s="44">
        <f>VLOOKUP(AA481,'Federal Standards'!$N$9:$P$50,3,FALSE)</f>
        <v>502.6</v>
      </c>
      <c r="AE481" s="44">
        <f t="shared" si="101"/>
        <v>885.41700000000003</v>
      </c>
      <c r="AF481" s="283">
        <f t="shared" si="102"/>
        <v>0.41700000000003001</v>
      </c>
      <c r="AG481" s="291">
        <f t="shared" si="111"/>
        <v>4.7096452857809372E-4</v>
      </c>
      <c r="AH481" s="184" t="str">
        <f t="shared" si="103"/>
        <v>YES</v>
      </c>
      <c r="AJ481" s="9" t="str">
        <f t="shared" si="104"/>
        <v>NO</v>
      </c>
      <c r="AK481" s="9" t="str">
        <f t="shared" si="105"/>
        <v>NO</v>
      </c>
      <c r="AL481" s="9" t="str">
        <f t="shared" si="106"/>
        <v>NO</v>
      </c>
      <c r="AM481" s="9" t="str">
        <f t="shared" si="107"/>
        <v>NO</v>
      </c>
      <c r="AN481" s="9" t="str">
        <f t="shared" si="108"/>
        <v>Less than 10% better than Standard</v>
      </c>
      <c r="AO481" s="9" t="str">
        <f t="shared" si="109"/>
        <v>7-BI_Less than 10% better than Standard</v>
      </c>
      <c r="AP481" s="9" t="str">
        <f t="shared" si="110"/>
        <v>7-BI_NO</v>
      </c>
    </row>
    <row r="482" spans="1:42">
      <c r="A482">
        <v>87555</v>
      </c>
      <c r="B482" t="s">
        <v>177</v>
      </c>
      <c r="C482" t="s">
        <v>634</v>
      </c>
      <c r="D482" t="s">
        <v>4495</v>
      </c>
      <c r="E482" t="s">
        <v>4179</v>
      </c>
      <c r="F482" t="s">
        <v>162</v>
      </c>
      <c r="G482" t="s">
        <v>4105</v>
      </c>
      <c r="H482"/>
      <c r="I482"/>
      <c r="J482" t="b">
        <v>1</v>
      </c>
      <c r="K482" t="b">
        <v>0</v>
      </c>
      <c r="L482" t="b">
        <v>1</v>
      </c>
      <c r="M482" t="b">
        <v>0</v>
      </c>
      <c r="N482" t="b">
        <v>0</v>
      </c>
      <c r="O482" t="s">
        <v>4099</v>
      </c>
      <c r="P482">
        <v>19.22</v>
      </c>
      <c r="Q482">
        <v>10.79</v>
      </c>
      <c r="R482">
        <v>30.01</v>
      </c>
      <c r="S482">
        <v>83</v>
      </c>
      <c r="T482">
        <v>48</v>
      </c>
      <c r="U482">
        <v>26</v>
      </c>
      <c r="V482">
        <v>832</v>
      </c>
      <c r="W482" s="281">
        <v>41892</v>
      </c>
      <c r="X482" s="282"/>
      <c r="Z482" s="9" t="b">
        <f t="shared" si="99"/>
        <v>0</v>
      </c>
      <c r="AA482" s="9" t="str">
        <f t="shared" si="98"/>
        <v>4I-BI</v>
      </c>
      <c r="AB482" s="196">
        <f t="shared" si="100"/>
        <v>38.210399999999993</v>
      </c>
      <c r="AC482" s="9">
        <f>VLOOKUP(AA482,'Federal Standards'!$N$9:$P$50,2,FALSE)</f>
        <v>10.220000000000001</v>
      </c>
      <c r="AD482" s="44">
        <f>VLOOKUP(AA482,'Federal Standards'!$N$9:$P$50,3,FALSE)</f>
        <v>441.4</v>
      </c>
      <c r="AE482" s="44">
        <f t="shared" si="101"/>
        <v>831.91028799999992</v>
      </c>
      <c r="AF482" s="283">
        <f t="shared" si="102"/>
        <v>-8.9712000000076841E-2</v>
      </c>
      <c r="AG482" s="291">
        <f t="shared" si="111"/>
        <v>-1.0783855097615628E-4</v>
      </c>
      <c r="AH482" s="184" t="str">
        <f t="shared" si="103"/>
        <v>NO</v>
      </c>
      <c r="AJ482" s="9" t="str">
        <f t="shared" si="104"/>
        <v>NO</v>
      </c>
      <c r="AK482" s="9" t="str">
        <f t="shared" si="105"/>
        <v>NO</v>
      </c>
      <c r="AL482" s="9" t="str">
        <f t="shared" si="106"/>
        <v>NO</v>
      </c>
      <c r="AM482" s="9" t="str">
        <f t="shared" si="107"/>
        <v>NO</v>
      </c>
      <c r="AN482" s="9" t="str">
        <f t="shared" si="108"/>
        <v>Doesn't meet Standard</v>
      </c>
      <c r="AO482" s="9" t="str">
        <f t="shared" si="109"/>
        <v>4I-BI_Doesn't meet Standard</v>
      </c>
      <c r="AP482" s="9" t="str">
        <f t="shared" si="110"/>
        <v>4I-BI_NO</v>
      </c>
    </row>
    <row r="483" spans="1:42">
      <c r="A483">
        <v>87590</v>
      </c>
      <c r="B483" t="s">
        <v>177</v>
      </c>
      <c r="C483" t="s">
        <v>634</v>
      </c>
      <c r="D483" t="s">
        <v>4496</v>
      </c>
      <c r="E483" t="s">
        <v>4109</v>
      </c>
      <c r="F483" t="s">
        <v>162</v>
      </c>
      <c r="G483" t="s">
        <v>4105</v>
      </c>
      <c r="H483"/>
      <c r="I483" t="s">
        <v>4170</v>
      </c>
      <c r="J483" t="b">
        <v>0</v>
      </c>
      <c r="K483" t="b">
        <v>0</v>
      </c>
      <c r="L483" t="b">
        <v>1</v>
      </c>
      <c r="M483" t="b">
        <v>1</v>
      </c>
      <c r="N483" t="b">
        <v>1</v>
      </c>
      <c r="O483" t="s">
        <v>4099</v>
      </c>
      <c r="P483">
        <v>14.68</v>
      </c>
      <c r="Q483">
        <v>5.04</v>
      </c>
      <c r="R483">
        <v>19.72</v>
      </c>
      <c r="S483">
        <v>70</v>
      </c>
      <c r="T483">
        <v>36</v>
      </c>
      <c r="U483">
        <v>30</v>
      </c>
      <c r="V483">
        <v>693</v>
      </c>
      <c r="W483" s="281">
        <v>41892</v>
      </c>
      <c r="X483" s="282"/>
      <c r="Z483" s="9" t="b">
        <f t="shared" si="99"/>
        <v>0</v>
      </c>
      <c r="AA483" s="9" t="str">
        <f t="shared" si="98"/>
        <v>5A</v>
      </c>
      <c r="AB483" s="196">
        <f t="shared" si="100"/>
        <v>23.5504</v>
      </c>
      <c r="AC483" s="9">
        <f>VLOOKUP(AA483,'Federal Standards'!$N$9:$P$50,2,FALSE)</f>
        <v>9.25</v>
      </c>
      <c r="AD483" s="44">
        <f>VLOOKUP(AA483,'Federal Standards'!$N$9:$P$50,3,FALSE)</f>
        <v>475.4</v>
      </c>
      <c r="AE483" s="44">
        <f t="shared" si="101"/>
        <v>693.24119999999994</v>
      </c>
      <c r="AF483" s="283">
        <f t="shared" si="102"/>
        <v>0.24119999999993524</v>
      </c>
      <c r="AG483" s="291">
        <f t="shared" si="111"/>
        <v>3.4793085004171024E-4</v>
      </c>
      <c r="AH483" s="184" t="str">
        <f t="shared" si="103"/>
        <v>YES</v>
      </c>
      <c r="AJ483" s="9" t="str">
        <f t="shared" si="104"/>
        <v>NO</v>
      </c>
      <c r="AK483" s="9" t="str">
        <f t="shared" si="105"/>
        <v>NO</v>
      </c>
      <c r="AL483" s="9" t="str">
        <f t="shared" si="106"/>
        <v>NO</v>
      </c>
      <c r="AM483" s="9" t="str">
        <f t="shared" si="107"/>
        <v>NO</v>
      </c>
      <c r="AN483" s="9" t="str">
        <f t="shared" si="108"/>
        <v>Less than 10% better than Standard</v>
      </c>
      <c r="AO483" s="9" t="str">
        <f t="shared" si="109"/>
        <v>5A_Less than 10% better than Standard</v>
      </c>
      <c r="AP483" s="9" t="str">
        <f t="shared" si="110"/>
        <v>5A_NO</v>
      </c>
    </row>
    <row r="484" spans="1:42">
      <c r="A484">
        <v>84653</v>
      </c>
      <c r="B484" t="s">
        <v>177</v>
      </c>
      <c r="C484" t="s">
        <v>634</v>
      </c>
      <c r="D484" t="s">
        <v>635</v>
      </c>
      <c r="E484" t="s">
        <v>4109</v>
      </c>
      <c r="F484" t="s">
        <v>162</v>
      </c>
      <c r="G484" t="s">
        <v>4105</v>
      </c>
      <c r="H484"/>
      <c r="I484"/>
      <c r="J484" t="b">
        <v>0</v>
      </c>
      <c r="K484" t="b">
        <v>0</v>
      </c>
      <c r="L484" t="b">
        <v>1</v>
      </c>
      <c r="M484" t="b">
        <v>0</v>
      </c>
      <c r="N484" t="b">
        <v>1</v>
      </c>
      <c r="O484" t="s">
        <v>4099</v>
      </c>
      <c r="P484">
        <v>14.38</v>
      </c>
      <c r="Q484">
        <v>5.62</v>
      </c>
      <c r="R484">
        <v>20</v>
      </c>
      <c r="S484">
        <v>69</v>
      </c>
      <c r="T484">
        <v>36</v>
      </c>
      <c r="U484">
        <v>28</v>
      </c>
      <c r="V484">
        <v>563</v>
      </c>
      <c r="W484" s="281">
        <v>41799</v>
      </c>
      <c r="X484" s="282"/>
      <c r="Z484" s="9" t="b">
        <f t="shared" si="99"/>
        <v>0</v>
      </c>
      <c r="AA484" s="9" t="str">
        <f t="shared" si="98"/>
        <v>5I</v>
      </c>
      <c r="AB484" s="196">
        <f t="shared" si="100"/>
        <v>24.2712</v>
      </c>
      <c r="AC484" s="9">
        <f>VLOOKUP(AA484,'Federal Standards'!$N$9:$P$50,2,FALSE)</f>
        <v>8.85</v>
      </c>
      <c r="AD484" s="44">
        <f>VLOOKUP(AA484,'Federal Standards'!$N$9:$P$50,3,FALSE)</f>
        <v>401</v>
      </c>
      <c r="AE484" s="44">
        <f t="shared" si="101"/>
        <v>615.80011999999999</v>
      </c>
      <c r="AF484" s="283">
        <f t="shared" si="102"/>
        <v>52.800119999999993</v>
      </c>
      <c r="AG484" s="291">
        <f t="shared" si="111"/>
        <v>8.5742302226248332E-2</v>
      </c>
      <c r="AH484" s="184" t="str">
        <f t="shared" si="103"/>
        <v>YES</v>
      </c>
      <c r="AJ484" s="9" t="str">
        <f t="shared" si="104"/>
        <v>NO</v>
      </c>
      <c r="AK484" s="9" t="str">
        <f t="shared" si="105"/>
        <v>NO</v>
      </c>
      <c r="AL484" s="9" t="str">
        <f t="shared" si="106"/>
        <v>NO</v>
      </c>
      <c r="AM484" s="9" t="str">
        <f t="shared" si="107"/>
        <v>NO</v>
      </c>
      <c r="AN484" s="9" t="str">
        <f t="shared" si="108"/>
        <v>Less than 10% better than Standard</v>
      </c>
      <c r="AO484" s="9" t="str">
        <f t="shared" si="109"/>
        <v>5I_Less than 10% better than Standard</v>
      </c>
      <c r="AP484" s="9" t="str">
        <f t="shared" si="110"/>
        <v>5I_NO</v>
      </c>
    </row>
    <row r="485" spans="1:42">
      <c r="A485">
        <v>87611</v>
      </c>
      <c r="B485" t="s">
        <v>177</v>
      </c>
      <c r="C485" t="s">
        <v>167</v>
      </c>
      <c r="D485" t="s">
        <v>4497</v>
      </c>
      <c r="E485" t="s">
        <v>4097</v>
      </c>
      <c r="F485" t="s">
        <v>162</v>
      </c>
      <c r="G485" t="s">
        <v>184</v>
      </c>
      <c r="H485"/>
      <c r="I485" t="s">
        <v>4098</v>
      </c>
      <c r="J485" t="b">
        <v>0</v>
      </c>
      <c r="K485" t="b">
        <v>0</v>
      </c>
      <c r="L485"/>
      <c r="M485"/>
      <c r="N485" t="b">
        <v>0</v>
      </c>
      <c r="O485" t="s">
        <v>4099</v>
      </c>
      <c r="P485">
        <v>17.7</v>
      </c>
      <c r="Q485"/>
      <c r="R485">
        <v>17.7</v>
      </c>
      <c r="S485">
        <v>67</v>
      </c>
      <c r="T485">
        <v>32</v>
      </c>
      <c r="U485">
        <v>31</v>
      </c>
      <c r="V485">
        <v>326</v>
      </c>
      <c r="W485" s="281">
        <v>41892</v>
      </c>
      <c r="X485" s="282"/>
      <c r="Z485" s="9" t="b">
        <f t="shared" si="99"/>
        <v>0</v>
      </c>
      <c r="AA485" s="9" t="str">
        <f t="shared" ref="AA485:AA548" si="112">GetFridgeClass(E485,F485,G485,J485,Z485,L485,M485)</f>
        <v>3A</v>
      </c>
      <c r="AB485" s="196">
        <f t="shared" si="100"/>
        <v>17.7</v>
      </c>
      <c r="AC485" s="9">
        <f>VLOOKUP(AA485,'Federal Standards'!$N$9:$P$50,2,FALSE)</f>
        <v>7.07</v>
      </c>
      <c r="AD485" s="44">
        <f>VLOOKUP(AA485,'Federal Standards'!$N$9:$P$50,3,FALSE)</f>
        <v>201.6</v>
      </c>
      <c r="AE485" s="44">
        <f t="shared" si="101"/>
        <v>326.73899999999998</v>
      </c>
      <c r="AF485" s="283">
        <f t="shared" si="102"/>
        <v>0.7389999999999759</v>
      </c>
      <c r="AG485" s="291">
        <f t="shared" si="111"/>
        <v>2.2617440831978306E-3</v>
      </c>
      <c r="AH485" s="184" t="str">
        <f t="shared" si="103"/>
        <v>YES</v>
      </c>
      <c r="AJ485" s="9" t="str">
        <f t="shared" si="104"/>
        <v>NO</v>
      </c>
      <c r="AK485" s="9" t="str">
        <f t="shared" si="105"/>
        <v>NO</v>
      </c>
      <c r="AL485" s="9" t="str">
        <f t="shared" si="106"/>
        <v>NO</v>
      </c>
      <c r="AM485" s="9" t="str">
        <f t="shared" si="107"/>
        <v>NO</v>
      </c>
      <c r="AN485" s="9" t="str">
        <f t="shared" si="108"/>
        <v>Less than 10% better than Standard</v>
      </c>
      <c r="AO485" s="9" t="str">
        <f t="shared" si="109"/>
        <v>3A_Less than 10% better than Standard</v>
      </c>
      <c r="AP485" s="9" t="str">
        <f t="shared" si="110"/>
        <v>3A_NO</v>
      </c>
    </row>
    <row r="486" spans="1:42">
      <c r="A486">
        <v>87856</v>
      </c>
      <c r="B486" t="s">
        <v>177</v>
      </c>
      <c r="C486" t="s">
        <v>766</v>
      </c>
      <c r="D486" t="s">
        <v>4498</v>
      </c>
      <c r="E486" t="s">
        <v>4108</v>
      </c>
      <c r="F486" t="s">
        <v>162</v>
      </c>
      <c r="G486" t="s">
        <v>4105</v>
      </c>
      <c r="H486"/>
      <c r="I486" t="s">
        <v>4098</v>
      </c>
      <c r="J486" t="b">
        <v>0</v>
      </c>
      <c r="K486" t="b">
        <v>0</v>
      </c>
      <c r="L486" t="b">
        <v>1</v>
      </c>
      <c r="M486" t="b">
        <v>0</v>
      </c>
      <c r="N486" t="b">
        <v>0</v>
      </c>
      <c r="O486" t="s">
        <v>4099</v>
      </c>
      <c r="P486">
        <v>13.06</v>
      </c>
      <c r="Q486">
        <v>5.09</v>
      </c>
      <c r="R486">
        <v>18.149999999999999</v>
      </c>
      <c r="S486">
        <v>66</v>
      </c>
      <c r="T486">
        <v>30</v>
      </c>
      <c r="U486">
        <v>32</v>
      </c>
      <c r="V486">
        <v>495</v>
      </c>
      <c r="W486" s="281">
        <v>41894</v>
      </c>
      <c r="X486" s="282"/>
      <c r="Z486" s="9" t="b">
        <f t="shared" si="99"/>
        <v>0</v>
      </c>
      <c r="AA486" s="9" t="str">
        <f t="shared" si="112"/>
        <v>3I</v>
      </c>
      <c r="AB486" s="196">
        <f t="shared" si="100"/>
        <v>22.0184</v>
      </c>
      <c r="AC486" s="9">
        <f>VLOOKUP(AA486,'Federal Standards'!$N$9:$P$50,2,FALSE)</f>
        <v>8.07</v>
      </c>
      <c r="AD486" s="44">
        <f>VLOOKUP(AA486,'Federal Standards'!$N$9:$P$50,3,FALSE)</f>
        <v>317.7</v>
      </c>
      <c r="AE486" s="44">
        <f t="shared" si="101"/>
        <v>495.388488</v>
      </c>
      <c r="AF486" s="283">
        <f t="shared" si="102"/>
        <v>0.38848799999999528</v>
      </c>
      <c r="AG486" s="291">
        <f t="shared" si="111"/>
        <v>7.8420877636541943E-4</v>
      </c>
      <c r="AH486" s="184" t="str">
        <f t="shared" si="103"/>
        <v>YES</v>
      </c>
      <c r="AJ486" s="9" t="str">
        <f t="shared" si="104"/>
        <v>NO</v>
      </c>
      <c r="AK486" s="9" t="str">
        <f t="shared" si="105"/>
        <v>NO</v>
      </c>
      <c r="AL486" s="9" t="str">
        <f t="shared" si="106"/>
        <v>NO</v>
      </c>
      <c r="AM486" s="9" t="str">
        <f t="shared" si="107"/>
        <v>NO</v>
      </c>
      <c r="AN486" s="9" t="str">
        <f t="shared" si="108"/>
        <v>Less than 10% better than Standard</v>
      </c>
      <c r="AO486" s="9" t="str">
        <f t="shared" si="109"/>
        <v>3I_Less than 10% better than Standard</v>
      </c>
      <c r="AP486" s="9" t="str">
        <f t="shared" si="110"/>
        <v>3I_NO</v>
      </c>
    </row>
    <row r="487" spans="1:42">
      <c r="A487">
        <v>87878</v>
      </c>
      <c r="B487" t="s">
        <v>177</v>
      </c>
      <c r="C487" t="s">
        <v>766</v>
      </c>
      <c r="D487" t="s">
        <v>4499</v>
      </c>
      <c r="E487" t="s">
        <v>4179</v>
      </c>
      <c r="F487" t="s">
        <v>162</v>
      </c>
      <c r="G487" t="s">
        <v>4105</v>
      </c>
      <c r="H487"/>
      <c r="I487" t="s">
        <v>4098</v>
      </c>
      <c r="J487" t="b">
        <v>0</v>
      </c>
      <c r="K487" t="b">
        <v>0</v>
      </c>
      <c r="L487" t="b">
        <v>1</v>
      </c>
      <c r="M487" t="b">
        <v>1</v>
      </c>
      <c r="N487" t="b">
        <v>0</v>
      </c>
      <c r="O487" t="s">
        <v>4099</v>
      </c>
      <c r="P487">
        <v>13.62</v>
      </c>
      <c r="Q487">
        <v>6.97</v>
      </c>
      <c r="R487">
        <v>20.59</v>
      </c>
      <c r="S487">
        <v>69</v>
      </c>
      <c r="T487">
        <v>36</v>
      </c>
      <c r="U487">
        <v>28</v>
      </c>
      <c r="V487">
        <v>654</v>
      </c>
      <c r="W487" s="281">
        <v>41894</v>
      </c>
      <c r="X487" s="282"/>
      <c r="Z487" s="9" t="b">
        <f t="shared" si="99"/>
        <v>0</v>
      </c>
      <c r="AA487" s="9" t="str">
        <f t="shared" si="112"/>
        <v>7</v>
      </c>
      <c r="AB487" s="196">
        <f t="shared" si="100"/>
        <v>25.8872</v>
      </c>
      <c r="AC487" s="9">
        <f>VLOOKUP(AA487,'Federal Standards'!$N$9:$P$50,2,FALSE)</f>
        <v>8.5399999999999991</v>
      </c>
      <c r="AD487" s="44">
        <f>VLOOKUP(AA487,'Federal Standards'!$N$9:$P$50,3,FALSE)</f>
        <v>432.8</v>
      </c>
      <c r="AE487" s="44">
        <f t="shared" si="101"/>
        <v>653.87668800000006</v>
      </c>
      <c r="AF487" s="283">
        <f t="shared" si="102"/>
        <v>-0.12331199999994169</v>
      </c>
      <c r="AG487" s="291">
        <f t="shared" si="111"/>
        <v>-1.8858601669546242E-4</v>
      </c>
      <c r="AH487" s="184" t="str">
        <f t="shared" si="103"/>
        <v>NO</v>
      </c>
      <c r="AJ487" s="9" t="str">
        <f t="shared" si="104"/>
        <v>NO</v>
      </c>
      <c r="AK487" s="9" t="str">
        <f t="shared" si="105"/>
        <v>NO</v>
      </c>
      <c r="AL487" s="9" t="str">
        <f t="shared" si="106"/>
        <v>NO</v>
      </c>
      <c r="AM487" s="9" t="str">
        <f t="shared" si="107"/>
        <v>NO</v>
      </c>
      <c r="AN487" s="9" t="str">
        <f t="shared" si="108"/>
        <v>Doesn't meet Standard</v>
      </c>
      <c r="AO487" s="9" t="str">
        <f t="shared" si="109"/>
        <v>7_Doesn't meet Standard</v>
      </c>
      <c r="AP487" s="9" t="str">
        <f t="shared" si="110"/>
        <v>7_NO</v>
      </c>
    </row>
    <row r="488" spans="1:42">
      <c r="A488">
        <v>87537</v>
      </c>
      <c r="B488" t="s">
        <v>177</v>
      </c>
      <c r="C488" t="s">
        <v>766</v>
      </c>
      <c r="D488" t="s">
        <v>767</v>
      </c>
      <c r="E488" t="s">
        <v>4109</v>
      </c>
      <c r="F488" t="s">
        <v>162</v>
      </c>
      <c r="G488" t="s">
        <v>4105</v>
      </c>
      <c r="H488"/>
      <c r="I488"/>
      <c r="J488" t="b">
        <v>0</v>
      </c>
      <c r="K488" t="b">
        <v>0</v>
      </c>
      <c r="L488" t="b">
        <v>0</v>
      </c>
      <c r="M488"/>
      <c r="N488" t="b">
        <v>0</v>
      </c>
      <c r="O488" t="s">
        <v>4099</v>
      </c>
      <c r="P488">
        <v>12.94</v>
      </c>
      <c r="Q488">
        <v>5.73</v>
      </c>
      <c r="R488">
        <v>18.670000000000002</v>
      </c>
      <c r="S488">
        <v>66</v>
      </c>
      <c r="T488">
        <v>30</v>
      </c>
      <c r="U488">
        <v>31</v>
      </c>
      <c r="V488">
        <v>469</v>
      </c>
      <c r="W488" s="281">
        <v>41892</v>
      </c>
      <c r="X488" s="282"/>
      <c r="Z488" s="9" t="b">
        <f t="shared" si="99"/>
        <v>0</v>
      </c>
      <c r="AA488" s="9" t="str">
        <f t="shared" si="112"/>
        <v>5</v>
      </c>
      <c r="AB488" s="196">
        <f t="shared" si="100"/>
        <v>23.024799999999999</v>
      </c>
      <c r="AC488" s="9">
        <f>VLOOKUP(AA488,'Federal Standards'!$N$9:$P$50,2,FALSE)</f>
        <v>8.85</v>
      </c>
      <c r="AD488" s="44">
        <f>VLOOKUP(AA488,'Federal Standards'!$N$9:$P$50,3,FALSE)</f>
        <v>317</v>
      </c>
      <c r="AE488" s="44">
        <f t="shared" si="101"/>
        <v>520.76947999999993</v>
      </c>
      <c r="AF488" s="283">
        <f t="shared" si="102"/>
        <v>51.76947999999993</v>
      </c>
      <c r="AG488" s="291">
        <f t="shared" si="111"/>
        <v>9.9409589056562872E-2</v>
      </c>
      <c r="AH488" s="184" t="str">
        <f t="shared" si="103"/>
        <v>YES</v>
      </c>
      <c r="AJ488" s="9" t="str">
        <f t="shared" si="104"/>
        <v>NO</v>
      </c>
      <c r="AK488" s="9" t="str">
        <f t="shared" si="105"/>
        <v>NO</v>
      </c>
      <c r="AL488" s="9" t="str">
        <f t="shared" si="106"/>
        <v>NO</v>
      </c>
      <c r="AM488" s="9" t="str">
        <f t="shared" si="107"/>
        <v>NO</v>
      </c>
      <c r="AN488" s="9" t="str">
        <f t="shared" si="108"/>
        <v>Less than 10% better than Standard</v>
      </c>
      <c r="AO488" s="9" t="str">
        <f t="shared" si="109"/>
        <v>5_Less than 10% better than Standard</v>
      </c>
      <c r="AP488" s="9" t="str">
        <f t="shared" si="110"/>
        <v>5_NO</v>
      </c>
    </row>
    <row r="489" spans="1:42">
      <c r="A489">
        <v>87542</v>
      </c>
      <c r="B489" t="s">
        <v>177</v>
      </c>
      <c r="C489" t="s">
        <v>766</v>
      </c>
      <c r="D489" t="s">
        <v>4500</v>
      </c>
      <c r="E489" t="s">
        <v>4109</v>
      </c>
      <c r="F489" t="s">
        <v>162</v>
      </c>
      <c r="G489" t="s">
        <v>4105</v>
      </c>
      <c r="H489"/>
      <c r="I489" t="s">
        <v>4170</v>
      </c>
      <c r="J489" t="b">
        <v>0</v>
      </c>
      <c r="K489" t="b">
        <v>0</v>
      </c>
      <c r="L489" t="b">
        <v>1</v>
      </c>
      <c r="M489" t="b">
        <v>0</v>
      </c>
      <c r="N489" t="b">
        <v>1</v>
      </c>
      <c r="O489" t="s">
        <v>4099</v>
      </c>
      <c r="P489">
        <v>13.34</v>
      </c>
      <c r="Q489">
        <v>6.34</v>
      </c>
      <c r="R489">
        <v>19.68</v>
      </c>
      <c r="S489">
        <v>67</v>
      </c>
      <c r="T489">
        <v>31</v>
      </c>
      <c r="U489">
        <v>35</v>
      </c>
      <c r="V489">
        <v>618</v>
      </c>
      <c r="W489" s="281">
        <v>41892</v>
      </c>
      <c r="X489" s="282"/>
      <c r="Z489" s="9" t="b">
        <f t="shared" si="99"/>
        <v>0</v>
      </c>
      <c r="AA489" s="9" t="str">
        <f t="shared" si="112"/>
        <v>5I</v>
      </c>
      <c r="AB489" s="196">
        <f t="shared" si="100"/>
        <v>24.4984</v>
      </c>
      <c r="AC489" s="9">
        <f>VLOOKUP(AA489,'Federal Standards'!$N$9:$P$50,2,FALSE)</f>
        <v>8.85</v>
      </c>
      <c r="AD489" s="44">
        <f>VLOOKUP(AA489,'Federal Standards'!$N$9:$P$50,3,FALSE)</f>
        <v>401</v>
      </c>
      <c r="AE489" s="44">
        <f t="shared" si="101"/>
        <v>617.81083999999998</v>
      </c>
      <c r="AF489" s="283">
        <f t="shared" si="102"/>
        <v>-0.18916000000001532</v>
      </c>
      <c r="AG489" s="291">
        <f t="shared" si="111"/>
        <v>-3.061778585821112E-4</v>
      </c>
      <c r="AH489" s="184" t="str">
        <f t="shared" si="103"/>
        <v>NO</v>
      </c>
      <c r="AJ489" s="9" t="str">
        <f t="shared" si="104"/>
        <v>NO</v>
      </c>
      <c r="AK489" s="9" t="str">
        <f t="shared" si="105"/>
        <v>NO</v>
      </c>
      <c r="AL489" s="9" t="str">
        <f t="shared" si="106"/>
        <v>NO</v>
      </c>
      <c r="AM489" s="9" t="str">
        <f t="shared" si="107"/>
        <v>NO</v>
      </c>
      <c r="AN489" s="9" t="str">
        <f t="shared" si="108"/>
        <v>Doesn't meet Standard</v>
      </c>
      <c r="AO489" s="9" t="str">
        <f t="shared" si="109"/>
        <v>5I_Doesn't meet Standard</v>
      </c>
      <c r="AP489" s="9" t="str">
        <f t="shared" si="110"/>
        <v>5I_NO</v>
      </c>
    </row>
    <row r="490" spans="1:42">
      <c r="A490">
        <v>87571</v>
      </c>
      <c r="B490" t="s">
        <v>177</v>
      </c>
      <c r="C490" t="s">
        <v>766</v>
      </c>
      <c r="D490" t="s">
        <v>771</v>
      </c>
      <c r="E490" t="s">
        <v>4109</v>
      </c>
      <c r="F490" t="s">
        <v>162</v>
      </c>
      <c r="G490" t="s">
        <v>4105</v>
      </c>
      <c r="H490"/>
      <c r="I490" t="s">
        <v>4170</v>
      </c>
      <c r="J490" t="b">
        <v>0</v>
      </c>
      <c r="K490" t="b">
        <v>0</v>
      </c>
      <c r="L490" t="b">
        <v>1</v>
      </c>
      <c r="M490" t="b">
        <v>1</v>
      </c>
      <c r="N490" t="b">
        <v>0</v>
      </c>
      <c r="O490" t="s">
        <v>4099</v>
      </c>
      <c r="P490">
        <v>17.97</v>
      </c>
      <c r="Q490">
        <v>6.72</v>
      </c>
      <c r="R490">
        <v>24.69</v>
      </c>
      <c r="S490">
        <v>71</v>
      </c>
      <c r="T490">
        <v>36</v>
      </c>
      <c r="U490">
        <v>36</v>
      </c>
      <c r="V490">
        <v>685</v>
      </c>
      <c r="W490" s="281">
        <v>41892</v>
      </c>
      <c r="X490" s="282"/>
      <c r="Z490" s="9" t="b">
        <f t="shared" si="99"/>
        <v>0</v>
      </c>
      <c r="AA490" s="9" t="str">
        <f t="shared" si="112"/>
        <v>5A</v>
      </c>
      <c r="AB490" s="196">
        <f t="shared" si="100"/>
        <v>29.797199999999997</v>
      </c>
      <c r="AC490" s="9">
        <f>VLOOKUP(AA490,'Federal Standards'!$N$9:$P$50,2,FALSE)</f>
        <v>9.25</v>
      </c>
      <c r="AD490" s="44">
        <f>VLOOKUP(AA490,'Federal Standards'!$N$9:$P$50,3,FALSE)</f>
        <v>475.4</v>
      </c>
      <c r="AE490" s="44">
        <f t="shared" si="101"/>
        <v>751.02409999999986</v>
      </c>
      <c r="AF490" s="283">
        <f t="shared" si="102"/>
        <v>66.024099999999862</v>
      </c>
      <c r="AG490" s="291">
        <f t="shared" si="111"/>
        <v>8.7912092301698275E-2</v>
      </c>
      <c r="AH490" s="184" t="str">
        <f t="shared" si="103"/>
        <v>YES</v>
      </c>
      <c r="AJ490" s="9" t="str">
        <f t="shared" si="104"/>
        <v>NO</v>
      </c>
      <c r="AK490" s="9" t="str">
        <f t="shared" si="105"/>
        <v>NO</v>
      </c>
      <c r="AL490" s="9" t="str">
        <f t="shared" si="106"/>
        <v>NO</v>
      </c>
      <c r="AM490" s="9" t="str">
        <f t="shared" si="107"/>
        <v>NO</v>
      </c>
      <c r="AN490" s="9" t="str">
        <f t="shared" si="108"/>
        <v>Less than 10% better than Standard</v>
      </c>
      <c r="AO490" s="9" t="str">
        <f t="shared" si="109"/>
        <v>5A_Less than 10% better than Standard</v>
      </c>
      <c r="AP490" s="9" t="str">
        <f t="shared" si="110"/>
        <v>5A_NO</v>
      </c>
    </row>
    <row r="491" spans="1:42">
      <c r="A491">
        <v>87538</v>
      </c>
      <c r="B491" t="s">
        <v>177</v>
      </c>
      <c r="C491" t="s">
        <v>766</v>
      </c>
      <c r="D491" t="s">
        <v>773</v>
      </c>
      <c r="E491" t="s">
        <v>4109</v>
      </c>
      <c r="F491" t="s">
        <v>162</v>
      </c>
      <c r="G491" t="s">
        <v>4105</v>
      </c>
      <c r="H491"/>
      <c r="I491"/>
      <c r="J491" t="b">
        <v>0</v>
      </c>
      <c r="K491" t="b">
        <v>0</v>
      </c>
      <c r="L491" t="b">
        <v>1</v>
      </c>
      <c r="M491" t="b">
        <v>0</v>
      </c>
      <c r="N491" t="b">
        <v>1</v>
      </c>
      <c r="O491" t="s">
        <v>4099</v>
      </c>
      <c r="P491">
        <v>17.75</v>
      </c>
      <c r="Q491">
        <v>7.44</v>
      </c>
      <c r="R491">
        <v>25.19</v>
      </c>
      <c r="S491">
        <v>69</v>
      </c>
      <c r="T491">
        <v>36</v>
      </c>
      <c r="U491">
        <v>33</v>
      </c>
      <c r="V491">
        <v>615</v>
      </c>
      <c r="W491" s="281">
        <v>41892</v>
      </c>
      <c r="X491" s="282"/>
      <c r="Z491" s="9" t="b">
        <f t="shared" si="99"/>
        <v>0</v>
      </c>
      <c r="AA491" s="9" t="str">
        <f t="shared" si="112"/>
        <v>5I</v>
      </c>
      <c r="AB491" s="196">
        <f t="shared" si="100"/>
        <v>30.8444</v>
      </c>
      <c r="AC491" s="9">
        <f>VLOOKUP(AA491,'Federal Standards'!$N$9:$P$50,2,FALSE)</f>
        <v>8.85</v>
      </c>
      <c r="AD491" s="44">
        <f>VLOOKUP(AA491,'Federal Standards'!$N$9:$P$50,3,FALSE)</f>
        <v>401</v>
      </c>
      <c r="AE491" s="44">
        <f t="shared" si="101"/>
        <v>673.97293999999999</v>
      </c>
      <c r="AF491" s="283">
        <f t="shared" si="102"/>
        <v>58.972939999999994</v>
      </c>
      <c r="AG491" s="291">
        <f t="shared" si="111"/>
        <v>8.7500456620706449E-2</v>
      </c>
      <c r="AH491" s="184" t="str">
        <f t="shared" si="103"/>
        <v>YES</v>
      </c>
      <c r="AJ491" s="9" t="str">
        <f t="shared" si="104"/>
        <v>NO</v>
      </c>
      <c r="AK491" s="9" t="str">
        <f t="shared" si="105"/>
        <v>NO</v>
      </c>
      <c r="AL491" s="9" t="str">
        <f t="shared" si="106"/>
        <v>NO</v>
      </c>
      <c r="AM491" s="9" t="str">
        <f t="shared" si="107"/>
        <v>NO</v>
      </c>
      <c r="AN491" s="9" t="str">
        <f t="shared" si="108"/>
        <v>Less than 10% better than Standard</v>
      </c>
      <c r="AO491" s="9" t="str">
        <f t="shared" si="109"/>
        <v>5I_Less than 10% better than Standard</v>
      </c>
      <c r="AP491" s="9" t="str">
        <f t="shared" si="110"/>
        <v>5I_NO</v>
      </c>
    </row>
    <row r="492" spans="1:42">
      <c r="A492">
        <v>87863</v>
      </c>
      <c r="B492" t="s">
        <v>177</v>
      </c>
      <c r="C492" t="s">
        <v>775</v>
      </c>
      <c r="D492" t="s">
        <v>776</v>
      </c>
      <c r="E492" t="s">
        <v>4109</v>
      </c>
      <c r="F492" t="s">
        <v>162</v>
      </c>
      <c r="G492" t="s">
        <v>4105</v>
      </c>
      <c r="H492"/>
      <c r="I492" t="s">
        <v>4098</v>
      </c>
      <c r="J492" t="b">
        <v>1</v>
      </c>
      <c r="K492" t="b">
        <v>0</v>
      </c>
      <c r="L492" t="b">
        <v>1</v>
      </c>
      <c r="M492" t="b">
        <v>0</v>
      </c>
      <c r="N492" t="b">
        <v>0</v>
      </c>
      <c r="O492" t="s">
        <v>4099</v>
      </c>
      <c r="P492">
        <v>15.3</v>
      </c>
      <c r="Q492">
        <v>5.56</v>
      </c>
      <c r="R492">
        <v>20.86</v>
      </c>
      <c r="S492">
        <v>84</v>
      </c>
      <c r="T492">
        <v>37</v>
      </c>
      <c r="U492">
        <v>25</v>
      </c>
      <c r="V492">
        <v>599</v>
      </c>
      <c r="W492" s="281">
        <v>41894</v>
      </c>
      <c r="X492" s="282"/>
      <c r="Z492" s="9" t="b">
        <f t="shared" si="99"/>
        <v>0</v>
      </c>
      <c r="AA492" s="9" t="str">
        <f t="shared" si="112"/>
        <v>5I-BI</v>
      </c>
      <c r="AB492" s="196">
        <f t="shared" si="100"/>
        <v>25.085599999999999</v>
      </c>
      <c r="AC492" s="9">
        <f>VLOOKUP(AA492,'Federal Standards'!$N$9:$P$50,2,FALSE)</f>
        <v>9.4</v>
      </c>
      <c r="AD492" s="44">
        <f>VLOOKUP(AA492,'Federal Standards'!$N$9:$P$50,3,FALSE)</f>
        <v>420.9</v>
      </c>
      <c r="AE492" s="44">
        <f t="shared" si="101"/>
        <v>656.70463999999993</v>
      </c>
      <c r="AF492" s="283">
        <f t="shared" si="102"/>
        <v>57.704639999999927</v>
      </c>
      <c r="AG492" s="291">
        <f t="shared" si="111"/>
        <v>8.7870004999507742E-2</v>
      </c>
      <c r="AH492" s="184" t="str">
        <f t="shared" si="103"/>
        <v>YES</v>
      </c>
      <c r="AJ492" s="9" t="str">
        <f t="shared" si="104"/>
        <v>NO</v>
      </c>
      <c r="AK492" s="9" t="str">
        <f t="shared" si="105"/>
        <v>NO</v>
      </c>
      <c r="AL492" s="9" t="str">
        <f t="shared" si="106"/>
        <v>NO</v>
      </c>
      <c r="AM492" s="9" t="str">
        <f t="shared" si="107"/>
        <v>NO</v>
      </c>
      <c r="AN492" s="9" t="str">
        <f t="shared" si="108"/>
        <v>Less than 10% better than Standard</v>
      </c>
      <c r="AO492" s="9" t="str">
        <f t="shared" si="109"/>
        <v>5I-BI_Less than 10% better than Standard</v>
      </c>
      <c r="AP492" s="9" t="str">
        <f t="shared" si="110"/>
        <v>5I-BI_NO</v>
      </c>
    </row>
    <row r="493" spans="1:42">
      <c r="A493">
        <v>87868</v>
      </c>
      <c r="B493" t="s">
        <v>177</v>
      </c>
      <c r="C493" t="s">
        <v>775</v>
      </c>
      <c r="D493" t="s">
        <v>780</v>
      </c>
      <c r="E493" t="s">
        <v>4109</v>
      </c>
      <c r="F493" t="s">
        <v>162</v>
      </c>
      <c r="G493" t="s">
        <v>4105</v>
      </c>
      <c r="H493"/>
      <c r="I493" t="s">
        <v>4098</v>
      </c>
      <c r="J493" t="b">
        <v>1</v>
      </c>
      <c r="K493" t="b">
        <v>0</v>
      </c>
      <c r="L493" t="b">
        <v>1</v>
      </c>
      <c r="M493" t="b">
        <v>0</v>
      </c>
      <c r="N493" t="b">
        <v>0</v>
      </c>
      <c r="O493" t="s">
        <v>4099</v>
      </c>
      <c r="P493">
        <v>15.5</v>
      </c>
      <c r="Q493">
        <v>5.29</v>
      </c>
      <c r="R493">
        <v>20.8</v>
      </c>
      <c r="S493">
        <v>84</v>
      </c>
      <c r="T493">
        <v>36</v>
      </c>
      <c r="U493">
        <v>28</v>
      </c>
      <c r="V493">
        <v>597</v>
      </c>
      <c r="W493" s="281">
        <v>41894</v>
      </c>
      <c r="X493" s="282"/>
      <c r="Z493" s="9" t="b">
        <f t="shared" si="99"/>
        <v>0</v>
      </c>
      <c r="AA493" s="9" t="str">
        <f t="shared" si="112"/>
        <v>5I-BI</v>
      </c>
      <c r="AB493" s="196">
        <f t="shared" si="100"/>
        <v>24.810400000000001</v>
      </c>
      <c r="AC493" s="9">
        <f>VLOOKUP(AA493,'Federal Standards'!$N$9:$P$50,2,FALSE)</f>
        <v>9.4</v>
      </c>
      <c r="AD493" s="44">
        <f>VLOOKUP(AA493,'Federal Standards'!$N$9:$P$50,3,FALSE)</f>
        <v>420.9</v>
      </c>
      <c r="AE493" s="44">
        <f t="shared" si="101"/>
        <v>654.11775999999998</v>
      </c>
      <c r="AF493" s="283">
        <f t="shared" si="102"/>
        <v>57.117759999999976</v>
      </c>
      <c r="AG493" s="291">
        <f t="shared" si="111"/>
        <v>8.7320301469875974E-2</v>
      </c>
      <c r="AH493" s="184" t="str">
        <f t="shared" si="103"/>
        <v>YES</v>
      </c>
      <c r="AJ493" s="9" t="str">
        <f t="shared" si="104"/>
        <v>NO</v>
      </c>
      <c r="AK493" s="9" t="str">
        <f t="shared" si="105"/>
        <v>NO</v>
      </c>
      <c r="AL493" s="9" t="str">
        <f t="shared" si="106"/>
        <v>NO</v>
      </c>
      <c r="AM493" s="9" t="str">
        <f t="shared" si="107"/>
        <v>NO</v>
      </c>
      <c r="AN493" s="9" t="str">
        <f t="shared" si="108"/>
        <v>Less than 10% better than Standard</v>
      </c>
      <c r="AO493" s="9" t="str">
        <f t="shared" si="109"/>
        <v>5I-BI_Less than 10% better than Standard</v>
      </c>
      <c r="AP493" s="9" t="str">
        <f t="shared" si="110"/>
        <v>5I-BI_NO</v>
      </c>
    </row>
    <row r="494" spans="1:42">
      <c r="A494">
        <v>87862</v>
      </c>
      <c r="B494" t="s">
        <v>177</v>
      </c>
      <c r="C494" t="s">
        <v>775</v>
      </c>
      <c r="D494" t="s">
        <v>4501</v>
      </c>
      <c r="E494" t="s">
        <v>4109</v>
      </c>
      <c r="F494" t="s">
        <v>162</v>
      </c>
      <c r="G494" t="s">
        <v>4105</v>
      </c>
      <c r="H494"/>
      <c r="I494" t="s">
        <v>4170</v>
      </c>
      <c r="J494" t="b">
        <v>1</v>
      </c>
      <c r="K494" t="b">
        <v>0</v>
      </c>
      <c r="L494" t="b">
        <v>1</v>
      </c>
      <c r="M494" t="b">
        <v>0</v>
      </c>
      <c r="N494" t="b">
        <v>0</v>
      </c>
      <c r="O494" t="s">
        <v>4099</v>
      </c>
      <c r="P494">
        <v>15.25</v>
      </c>
      <c r="Q494">
        <v>5.56</v>
      </c>
      <c r="R494">
        <v>20.81</v>
      </c>
      <c r="S494">
        <v>84</v>
      </c>
      <c r="T494">
        <v>37</v>
      </c>
      <c r="U494">
        <v>25</v>
      </c>
      <c r="V494">
        <v>656</v>
      </c>
      <c r="W494" s="281">
        <v>41894</v>
      </c>
      <c r="X494" s="282"/>
      <c r="Z494" s="9" t="b">
        <f t="shared" si="99"/>
        <v>0</v>
      </c>
      <c r="AA494" s="9" t="str">
        <f t="shared" si="112"/>
        <v>5I-BI</v>
      </c>
      <c r="AB494" s="196">
        <f t="shared" si="100"/>
        <v>25.035599999999999</v>
      </c>
      <c r="AC494" s="9">
        <f>VLOOKUP(AA494,'Federal Standards'!$N$9:$P$50,2,FALSE)</f>
        <v>9.4</v>
      </c>
      <c r="AD494" s="44">
        <f>VLOOKUP(AA494,'Federal Standards'!$N$9:$P$50,3,FALSE)</f>
        <v>420.9</v>
      </c>
      <c r="AE494" s="44">
        <f t="shared" si="101"/>
        <v>656.23464000000001</v>
      </c>
      <c r="AF494" s="283">
        <f t="shared" si="102"/>
        <v>0.23464000000001306</v>
      </c>
      <c r="AG494" s="291">
        <f t="shared" si="111"/>
        <v>3.5755503549768884E-4</v>
      </c>
      <c r="AH494" s="184" t="str">
        <f t="shared" si="103"/>
        <v>YES</v>
      </c>
      <c r="AJ494" s="9" t="str">
        <f t="shared" si="104"/>
        <v>NO</v>
      </c>
      <c r="AK494" s="9" t="str">
        <f t="shared" si="105"/>
        <v>NO</v>
      </c>
      <c r="AL494" s="9" t="str">
        <f t="shared" si="106"/>
        <v>NO</v>
      </c>
      <c r="AM494" s="9" t="str">
        <f t="shared" si="107"/>
        <v>NO</v>
      </c>
      <c r="AN494" s="9" t="str">
        <f t="shared" si="108"/>
        <v>Less than 10% better than Standard</v>
      </c>
      <c r="AO494" s="9" t="str">
        <f t="shared" si="109"/>
        <v>5I-BI_Less than 10% better than Standard</v>
      </c>
      <c r="AP494" s="9" t="str">
        <f t="shared" si="110"/>
        <v>5I-BI_NO</v>
      </c>
    </row>
    <row r="495" spans="1:42">
      <c r="A495">
        <v>87859</v>
      </c>
      <c r="B495" t="s">
        <v>177</v>
      </c>
      <c r="C495" t="s">
        <v>775</v>
      </c>
      <c r="D495" t="s">
        <v>4502</v>
      </c>
      <c r="E495" t="s">
        <v>4109</v>
      </c>
      <c r="F495" t="s">
        <v>162</v>
      </c>
      <c r="G495" t="s">
        <v>4105</v>
      </c>
      <c r="H495"/>
      <c r="I495" t="s">
        <v>4170</v>
      </c>
      <c r="J495" t="b">
        <v>1</v>
      </c>
      <c r="K495" t="b">
        <v>0</v>
      </c>
      <c r="L495" t="b">
        <v>1</v>
      </c>
      <c r="M495" t="b">
        <v>0</v>
      </c>
      <c r="N495" t="b">
        <v>0</v>
      </c>
      <c r="O495" t="s">
        <v>4099</v>
      </c>
      <c r="P495">
        <v>17.75</v>
      </c>
      <c r="Q495">
        <v>6.42</v>
      </c>
      <c r="R495">
        <v>24.17</v>
      </c>
      <c r="S495">
        <v>84</v>
      </c>
      <c r="T495">
        <v>43</v>
      </c>
      <c r="U495">
        <v>25</v>
      </c>
      <c r="V495">
        <v>694</v>
      </c>
      <c r="W495" s="281">
        <v>41894</v>
      </c>
      <c r="X495" s="282"/>
      <c r="Z495" s="9" t="b">
        <f t="shared" si="99"/>
        <v>0</v>
      </c>
      <c r="AA495" s="9" t="str">
        <f t="shared" si="112"/>
        <v>5I-BI</v>
      </c>
      <c r="AB495" s="196">
        <f t="shared" si="100"/>
        <v>29.049199999999999</v>
      </c>
      <c r="AC495" s="9">
        <f>VLOOKUP(AA495,'Federal Standards'!$N$9:$P$50,2,FALSE)</f>
        <v>9.4</v>
      </c>
      <c r="AD495" s="44">
        <f>VLOOKUP(AA495,'Federal Standards'!$N$9:$P$50,3,FALSE)</f>
        <v>420.9</v>
      </c>
      <c r="AE495" s="44">
        <f t="shared" si="101"/>
        <v>693.96247999999991</v>
      </c>
      <c r="AF495" s="283">
        <f t="shared" si="102"/>
        <v>-3.7520000000085929E-2</v>
      </c>
      <c r="AG495" s="291">
        <f t="shared" si="111"/>
        <v>-5.4066323585802413E-5</v>
      </c>
      <c r="AH495" s="184" t="str">
        <f t="shared" si="103"/>
        <v>NO</v>
      </c>
      <c r="AJ495" s="9" t="str">
        <f t="shared" si="104"/>
        <v>NO</v>
      </c>
      <c r="AK495" s="9" t="str">
        <f t="shared" si="105"/>
        <v>NO</v>
      </c>
      <c r="AL495" s="9" t="str">
        <f t="shared" si="106"/>
        <v>NO</v>
      </c>
      <c r="AM495" s="9" t="str">
        <f t="shared" si="107"/>
        <v>NO</v>
      </c>
      <c r="AN495" s="9" t="str">
        <f t="shared" si="108"/>
        <v>Doesn't meet Standard</v>
      </c>
      <c r="AO495" s="9" t="str">
        <f t="shared" si="109"/>
        <v>5I-BI_Doesn't meet Standard</v>
      </c>
      <c r="AP495" s="9" t="str">
        <f t="shared" si="110"/>
        <v>5I-BI_NO</v>
      </c>
    </row>
    <row r="496" spans="1:42">
      <c r="A496">
        <v>87867</v>
      </c>
      <c r="B496" t="s">
        <v>177</v>
      </c>
      <c r="C496" t="s">
        <v>775</v>
      </c>
      <c r="D496" t="s">
        <v>4503</v>
      </c>
      <c r="E496" t="s">
        <v>4109</v>
      </c>
      <c r="F496" t="s">
        <v>162</v>
      </c>
      <c r="G496" t="s">
        <v>4105</v>
      </c>
      <c r="H496"/>
      <c r="I496" t="s">
        <v>4170</v>
      </c>
      <c r="J496" t="b">
        <v>1</v>
      </c>
      <c r="K496" t="b">
        <v>0</v>
      </c>
      <c r="L496" t="b">
        <v>1</v>
      </c>
      <c r="M496" t="b">
        <v>0</v>
      </c>
      <c r="N496" t="b">
        <v>1</v>
      </c>
      <c r="O496" t="s">
        <v>4099</v>
      </c>
      <c r="P496">
        <v>18.12</v>
      </c>
      <c r="Q496">
        <v>6.06</v>
      </c>
      <c r="R496">
        <v>24.18</v>
      </c>
      <c r="S496">
        <v>84</v>
      </c>
      <c r="T496">
        <v>42</v>
      </c>
      <c r="U496">
        <v>28</v>
      </c>
      <c r="V496">
        <v>691</v>
      </c>
      <c r="W496" s="281">
        <v>41894</v>
      </c>
      <c r="X496" s="282"/>
      <c r="Z496" s="9" t="b">
        <f t="shared" si="99"/>
        <v>0</v>
      </c>
      <c r="AA496" s="9" t="str">
        <f t="shared" si="112"/>
        <v>5I-BI</v>
      </c>
      <c r="AB496" s="196">
        <f t="shared" si="100"/>
        <v>28.785600000000002</v>
      </c>
      <c r="AC496" s="9">
        <f>VLOOKUP(AA496,'Federal Standards'!$N$9:$P$50,2,FALSE)</f>
        <v>9.4</v>
      </c>
      <c r="AD496" s="44">
        <f>VLOOKUP(AA496,'Federal Standards'!$N$9:$P$50,3,FALSE)</f>
        <v>420.9</v>
      </c>
      <c r="AE496" s="44">
        <f t="shared" si="101"/>
        <v>691.48464000000001</v>
      </c>
      <c r="AF496" s="283">
        <f t="shared" si="102"/>
        <v>0.48464000000001306</v>
      </c>
      <c r="AG496" s="291">
        <f t="shared" si="111"/>
        <v>7.0086878574773988E-4</v>
      </c>
      <c r="AH496" s="184" t="str">
        <f t="shared" si="103"/>
        <v>YES</v>
      </c>
      <c r="AJ496" s="9" t="str">
        <f t="shared" si="104"/>
        <v>NO</v>
      </c>
      <c r="AK496" s="9" t="str">
        <f t="shared" si="105"/>
        <v>NO</v>
      </c>
      <c r="AL496" s="9" t="str">
        <f t="shared" si="106"/>
        <v>NO</v>
      </c>
      <c r="AM496" s="9" t="str">
        <f t="shared" si="107"/>
        <v>NO</v>
      </c>
      <c r="AN496" s="9" t="str">
        <f t="shared" si="108"/>
        <v>Less than 10% better than Standard</v>
      </c>
      <c r="AO496" s="9" t="str">
        <f t="shared" si="109"/>
        <v>5I-BI_Less than 10% better than Standard</v>
      </c>
      <c r="AP496" s="9" t="str">
        <f t="shared" si="110"/>
        <v>5I-BI_NO</v>
      </c>
    </row>
    <row r="497" spans="1:42">
      <c r="A497">
        <v>87595</v>
      </c>
      <c r="B497" t="s">
        <v>177</v>
      </c>
      <c r="C497" t="s">
        <v>775</v>
      </c>
      <c r="D497" t="s">
        <v>784</v>
      </c>
      <c r="E497" t="s">
        <v>4109</v>
      </c>
      <c r="F497" t="s">
        <v>162</v>
      </c>
      <c r="G497" t="s">
        <v>4105</v>
      </c>
      <c r="H497"/>
      <c r="I497" t="s">
        <v>4170</v>
      </c>
      <c r="J497" t="b">
        <v>0</v>
      </c>
      <c r="K497" t="b">
        <v>0</v>
      </c>
      <c r="L497" t="b">
        <v>1</v>
      </c>
      <c r="M497" t="b">
        <v>1</v>
      </c>
      <c r="N497" t="b">
        <v>0</v>
      </c>
      <c r="O497" t="s">
        <v>4099</v>
      </c>
      <c r="P497">
        <v>17.78</v>
      </c>
      <c r="Q497">
        <v>6.73</v>
      </c>
      <c r="R497">
        <v>24.51</v>
      </c>
      <c r="S497">
        <v>71</v>
      </c>
      <c r="T497">
        <v>36</v>
      </c>
      <c r="U497">
        <v>36</v>
      </c>
      <c r="V497">
        <v>680</v>
      </c>
      <c r="W497" s="281">
        <v>41892</v>
      </c>
      <c r="X497" s="282"/>
      <c r="Z497" s="9" t="b">
        <f t="shared" si="99"/>
        <v>0</v>
      </c>
      <c r="AA497" s="9" t="str">
        <f t="shared" si="112"/>
        <v>5A</v>
      </c>
      <c r="AB497" s="196">
        <f t="shared" si="100"/>
        <v>29.6248</v>
      </c>
      <c r="AC497" s="9">
        <f>VLOOKUP(AA497,'Federal Standards'!$N$9:$P$50,2,FALSE)</f>
        <v>9.25</v>
      </c>
      <c r="AD497" s="44">
        <f>VLOOKUP(AA497,'Federal Standards'!$N$9:$P$50,3,FALSE)</f>
        <v>475.4</v>
      </c>
      <c r="AE497" s="44">
        <f t="shared" si="101"/>
        <v>749.42939999999999</v>
      </c>
      <c r="AF497" s="283">
        <f t="shared" si="102"/>
        <v>69.429399999999987</v>
      </c>
      <c r="AG497" s="291">
        <f t="shared" si="111"/>
        <v>9.2643016140012635E-2</v>
      </c>
      <c r="AH497" s="184" t="str">
        <f t="shared" si="103"/>
        <v>YES</v>
      </c>
      <c r="AJ497" s="9" t="str">
        <f t="shared" si="104"/>
        <v>NO</v>
      </c>
      <c r="AK497" s="9" t="str">
        <f t="shared" si="105"/>
        <v>NO</v>
      </c>
      <c r="AL497" s="9" t="str">
        <f t="shared" si="106"/>
        <v>NO</v>
      </c>
      <c r="AM497" s="9" t="str">
        <f t="shared" si="107"/>
        <v>NO</v>
      </c>
      <c r="AN497" s="9" t="str">
        <f t="shared" si="108"/>
        <v>Less than 10% better than Standard</v>
      </c>
      <c r="AO497" s="9" t="str">
        <f t="shared" si="109"/>
        <v>5A_Less than 10% better than Standard</v>
      </c>
      <c r="AP497" s="9" t="str">
        <f t="shared" si="110"/>
        <v>5A_NO</v>
      </c>
    </row>
    <row r="498" spans="1:42">
      <c r="A498">
        <v>87552</v>
      </c>
      <c r="B498" t="s">
        <v>177</v>
      </c>
      <c r="C498" t="s">
        <v>775</v>
      </c>
      <c r="D498" t="s">
        <v>4504</v>
      </c>
      <c r="E498" t="s">
        <v>4179</v>
      </c>
      <c r="F498" t="s">
        <v>162</v>
      </c>
      <c r="G498" t="s">
        <v>4105</v>
      </c>
      <c r="H498"/>
      <c r="I498"/>
      <c r="J498" t="b">
        <v>1</v>
      </c>
      <c r="K498" t="b">
        <v>0</v>
      </c>
      <c r="L498" t="b">
        <v>1</v>
      </c>
      <c r="M498" t="b">
        <v>0</v>
      </c>
      <c r="N498" t="b">
        <v>0</v>
      </c>
      <c r="O498" t="s">
        <v>4099</v>
      </c>
      <c r="P498">
        <v>16.420000000000002</v>
      </c>
      <c r="Q498">
        <v>9.17</v>
      </c>
      <c r="R498">
        <v>25.59</v>
      </c>
      <c r="S498">
        <v>83</v>
      </c>
      <c r="T498">
        <v>42</v>
      </c>
      <c r="U498">
        <v>26</v>
      </c>
      <c r="V498">
        <v>774</v>
      </c>
      <c r="W498" s="281">
        <v>41892</v>
      </c>
      <c r="X498" s="282"/>
      <c r="Z498" s="9" t="b">
        <f t="shared" si="99"/>
        <v>0</v>
      </c>
      <c r="AA498" s="9" t="str">
        <f t="shared" si="112"/>
        <v>4I-BI</v>
      </c>
      <c r="AB498" s="196">
        <f t="shared" si="100"/>
        <v>32.559200000000004</v>
      </c>
      <c r="AC498" s="9">
        <f>VLOOKUP(AA498,'Federal Standards'!$N$9:$P$50,2,FALSE)</f>
        <v>10.220000000000001</v>
      </c>
      <c r="AD498" s="44">
        <f>VLOOKUP(AA498,'Federal Standards'!$N$9:$P$50,3,FALSE)</f>
        <v>441.4</v>
      </c>
      <c r="AE498" s="44">
        <f t="shared" si="101"/>
        <v>774.15502400000003</v>
      </c>
      <c r="AF498" s="283">
        <f t="shared" si="102"/>
        <v>0.15502400000002581</v>
      </c>
      <c r="AG498" s="291">
        <f t="shared" si="111"/>
        <v>2.0024929787192829E-4</v>
      </c>
      <c r="AH498" s="184" t="str">
        <f t="shared" si="103"/>
        <v>YES</v>
      </c>
      <c r="AJ498" s="9" t="str">
        <f t="shared" si="104"/>
        <v>NO</v>
      </c>
      <c r="AK498" s="9" t="str">
        <f t="shared" si="105"/>
        <v>NO</v>
      </c>
      <c r="AL498" s="9" t="str">
        <f t="shared" si="106"/>
        <v>NO</v>
      </c>
      <c r="AM498" s="9" t="str">
        <f t="shared" si="107"/>
        <v>NO</v>
      </c>
      <c r="AN498" s="9" t="str">
        <f t="shared" si="108"/>
        <v>Less than 10% better than Standard</v>
      </c>
      <c r="AO498" s="9" t="str">
        <f t="shared" si="109"/>
        <v>4I-BI_Less than 10% better than Standard</v>
      </c>
      <c r="AP498" s="9" t="str">
        <f t="shared" si="110"/>
        <v>4I-BI_NO</v>
      </c>
    </row>
    <row r="499" spans="1:42">
      <c r="A499">
        <v>87549</v>
      </c>
      <c r="B499" t="s">
        <v>177</v>
      </c>
      <c r="C499" t="s">
        <v>775</v>
      </c>
      <c r="D499" t="s">
        <v>4505</v>
      </c>
      <c r="E499" t="s">
        <v>4179</v>
      </c>
      <c r="F499" t="s">
        <v>162</v>
      </c>
      <c r="G499" t="s">
        <v>4105</v>
      </c>
      <c r="H499"/>
      <c r="I499"/>
      <c r="J499" t="b">
        <v>1</v>
      </c>
      <c r="K499" t="b">
        <v>0</v>
      </c>
      <c r="L499" t="b">
        <v>1</v>
      </c>
      <c r="M499" t="b">
        <v>0</v>
      </c>
      <c r="N499" t="b">
        <v>0</v>
      </c>
      <c r="O499" t="s">
        <v>4099</v>
      </c>
      <c r="P499">
        <v>18.739999999999998</v>
      </c>
      <c r="Q499">
        <v>10.5</v>
      </c>
      <c r="R499">
        <v>29.24</v>
      </c>
      <c r="S499">
        <v>83</v>
      </c>
      <c r="T499">
        <v>48</v>
      </c>
      <c r="U499">
        <v>26</v>
      </c>
      <c r="V499">
        <v>822</v>
      </c>
      <c r="W499" s="281">
        <v>41892</v>
      </c>
      <c r="X499" s="282"/>
      <c r="Z499" s="9" t="b">
        <f t="shared" si="99"/>
        <v>0</v>
      </c>
      <c r="AA499" s="9" t="str">
        <f t="shared" si="112"/>
        <v>4I-BI</v>
      </c>
      <c r="AB499" s="196">
        <f t="shared" si="100"/>
        <v>37.22</v>
      </c>
      <c r="AC499" s="9">
        <f>VLOOKUP(AA499,'Federal Standards'!$N$9:$P$50,2,FALSE)</f>
        <v>10.220000000000001</v>
      </c>
      <c r="AD499" s="44">
        <f>VLOOKUP(AA499,'Federal Standards'!$N$9:$P$50,3,FALSE)</f>
        <v>441.4</v>
      </c>
      <c r="AE499" s="44">
        <f t="shared" si="101"/>
        <v>821.78839999999991</v>
      </c>
      <c r="AF499" s="283">
        <f t="shared" si="102"/>
        <v>-0.21160000000008949</v>
      </c>
      <c r="AG499" s="291">
        <f t="shared" si="111"/>
        <v>-2.5748720716925369E-4</v>
      </c>
      <c r="AH499" s="184" t="str">
        <f t="shared" si="103"/>
        <v>NO</v>
      </c>
      <c r="AJ499" s="9" t="str">
        <f t="shared" si="104"/>
        <v>NO</v>
      </c>
      <c r="AK499" s="9" t="str">
        <f t="shared" si="105"/>
        <v>NO</v>
      </c>
      <c r="AL499" s="9" t="str">
        <f t="shared" si="106"/>
        <v>NO</v>
      </c>
      <c r="AM499" s="9" t="str">
        <f t="shared" si="107"/>
        <v>NO</v>
      </c>
      <c r="AN499" s="9" t="str">
        <f t="shared" si="108"/>
        <v>Doesn't meet Standard</v>
      </c>
      <c r="AO499" s="9" t="str">
        <f t="shared" si="109"/>
        <v>4I-BI_Doesn't meet Standard</v>
      </c>
      <c r="AP499" s="9" t="str">
        <f t="shared" si="110"/>
        <v>4I-BI_NO</v>
      </c>
    </row>
    <row r="500" spans="1:42">
      <c r="A500">
        <v>87908</v>
      </c>
      <c r="B500" t="s">
        <v>177</v>
      </c>
      <c r="C500" t="s">
        <v>170</v>
      </c>
      <c r="D500" t="s">
        <v>4506</v>
      </c>
      <c r="E500" t="s">
        <v>4179</v>
      </c>
      <c r="F500" t="s">
        <v>162</v>
      </c>
      <c r="G500" t="s">
        <v>4105</v>
      </c>
      <c r="H500"/>
      <c r="I500" t="s">
        <v>4098</v>
      </c>
      <c r="J500" t="b">
        <v>0</v>
      </c>
      <c r="K500" t="b">
        <v>0</v>
      </c>
      <c r="L500" t="b">
        <v>0</v>
      </c>
      <c r="M500"/>
      <c r="N500" t="b">
        <v>0</v>
      </c>
      <c r="O500" t="s">
        <v>4099</v>
      </c>
      <c r="P500">
        <v>14.45</v>
      </c>
      <c r="Q500">
        <v>7.1</v>
      </c>
      <c r="R500">
        <v>21.55</v>
      </c>
      <c r="S500">
        <v>67</v>
      </c>
      <c r="T500">
        <v>33</v>
      </c>
      <c r="U500">
        <v>33</v>
      </c>
      <c r="V500">
        <v>527</v>
      </c>
      <c r="W500" s="281">
        <v>41894</v>
      </c>
      <c r="X500" s="282"/>
      <c r="Z500" s="9" t="b">
        <f t="shared" si="99"/>
        <v>0</v>
      </c>
      <c r="AA500" s="9" t="str">
        <f t="shared" si="112"/>
        <v>4</v>
      </c>
      <c r="AB500" s="196">
        <f t="shared" si="100"/>
        <v>26.945999999999998</v>
      </c>
      <c r="AC500" s="9">
        <f>VLOOKUP(AA500,'Federal Standards'!$N$9:$P$50,2,FALSE)</f>
        <v>8.51</v>
      </c>
      <c r="AD500" s="44">
        <f>VLOOKUP(AA500,'Federal Standards'!$N$9:$P$50,3,FALSE)</f>
        <v>297.8</v>
      </c>
      <c r="AE500" s="44">
        <f t="shared" si="101"/>
        <v>527.11045999999999</v>
      </c>
      <c r="AF500" s="283">
        <f t="shared" si="102"/>
        <v>0.11045999999998912</v>
      </c>
      <c r="AG500" s="291">
        <f t="shared" si="111"/>
        <v>2.095575944366369E-4</v>
      </c>
      <c r="AH500" s="184" t="str">
        <f t="shared" si="103"/>
        <v>YES</v>
      </c>
      <c r="AJ500" s="9" t="str">
        <f t="shared" si="104"/>
        <v>NO</v>
      </c>
      <c r="AK500" s="9" t="str">
        <f t="shared" si="105"/>
        <v>NO</v>
      </c>
      <c r="AL500" s="9" t="str">
        <f t="shared" si="106"/>
        <v>NO</v>
      </c>
      <c r="AM500" s="9" t="str">
        <f t="shared" si="107"/>
        <v>NO</v>
      </c>
      <c r="AN500" s="9" t="str">
        <f t="shared" si="108"/>
        <v>Less than 10% better than Standard</v>
      </c>
      <c r="AO500" s="9" t="str">
        <f t="shared" si="109"/>
        <v>4_Less than 10% better than Standard</v>
      </c>
      <c r="AP500" s="9" t="str">
        <f t="shared" si="110"/>
        <v>4_NO</v>
      </c>
    </row>
    <row r="501" spans="1:42">
      <c r="A501">
        <v>87896</v>
      </c>
      <c r="B501" t="s">
        <v>177</v>
      </c>
      <c r="C501" t="s">
        <v>170</v>
      </c>
      <c r="D501" t="s">
        <v>4507</v>
      </c>
      <c r="E501" t="s">
        <v>4179</v>
      </c>
      <c r="F501" t="s">
        <v>162</v>
      </c>
      <c r="G501" t="s">
        <v>4105</v>
      </c>
      <c r="H501"/>
      <c r="I501" t="s">
        <v>4098</v>
      </c>
      <c r="J501" t="b">
        <v>0</v>
      </c>
      <c r="K501" t="b">
        <v>0</v>
      </c>
      <c r="L501" t="b">
        <v>0</v>
      </c>
      <c r="M501"/>
      <c r="N501" t="b">
        <v>0</v>
      </c>
      <c r="O501" t="s">
        <v>4099</v>
      </c>
      <c r="P501">
        <v>15.32</v>
      </c>
      <c r="Q501">
        <v>9.61</v>
      </c>
      <c r="R501">
        <v>24.93</v>
      </c>
      <c r="S501">
        <v>70</v>
      </c>
      <c r="T501">
        <v>36</v>
      </c>
      <c r="U501">
        <v>33</v>
      </c>
      <c r="V501">
        <v>572</v>
      </c>
      <c r="W501" s="281">
        <v>41894</v>
      </c>
      <c r="X501" s="282"/>
      <c r="Z501" s="9" t="b">
        <f t="shared" si="99"/>
        <v>0</v>
      </c>
      <c r="AA501" s="9" t="str">
        <f t="shared" si="112"/>
        <v>4</v>
      </c>
      <c r="AB501" s="196">
        <f t="shared" si="100"/>
        <v>32.233599999999996</v>
      </c>
      <c r="AC501" s="9">
        <f>VLOOKUP(AA501,'Federal Standards'!$N$9:$P$50,2,FALSE)</f>
        <v>8.51</v>
      </c>
      <c r="AD501" s="44">
        <f>VLOOKUP(AA501,'Federal Standards'!$N$9:$P$50,3,FALSE)</f>
        <v>297.8</v>
      </c>
      <c r="AE501" s="44">
        <f t="shared" si="101"/>
        <v>572.107936</v>
      </c>
      <c r="AF501" s="283">
        <f t="shared" si="102"/>
        <v>0.10793599999999515</v>
      </c>
      <c r="AG501" s="291">
        <f t="shared" si="111"/>
        <v>1.8866369999103656E-4</v>
      </c>
      <c r="AH501" s="184" t="str">
        <f t="shared" si="103"/>
        <v>YES</v>
      </c>
      <c r="AJ501" s="9" t="str">
        <f t="shared" si="104"/>
        <v>NO</v>
      </c>
      <c r="AK501" s="9" t="str">
        <f t="shared" si="105"/>
        <v>NO</v>
      </c>
      <c r="AL501" s="9" t="str">
        <f t="shared" si="106"/>
        <v>NO</v>
      </c>
      <c r="AM501" s="9" t="str">
        <f t="shared" si="107"/>
        <v>NO</v>
      </c>
      <c r="AN501" s="9" t="str">
        <f t="shared" si="108"/>
        <v>Less than 10% better than Standard</v>
      </c>
      <c r="AO501" s="9" t="str">
        <f t="shared" si="109"/>
        <v>4_Less than 10% better than Standard</v>
      </c>
      <c r="AP501" s="9" t="str">
        <f t="shared" si="110"/>
        <v>4_NO</v>
      </c>
    </row>
    <row r="502" spans="1:42">
      <c r="A502">
        <v>87545</v>
      </c>
      <c r="B502" t="s">
        <v>177</v>
      </c>
      <c r="C502" t="s">
        <v>170</v>
      </c>
      <c r="D502" t="s">
        <v>4508</v>
      </c>
      <c r="E502" t="s">
        <v>4179</v>
      </c>
      <c r="F502" t="s">
        <v>162</v>
      </c>
      <c r="G502" t="s">
        <v>4105</v>
      </c>
      <c r="H502"/>
      <c r="I502" t="s">
        <v>4098</v>
      </c>
      <c r="J502" t="b">
        <v>0</v>
      </c>
      <c r="K502" t="b">
        <v>0</v>
      </c>
      <c r="L502" t="b">
        <v>1</v>
      </c>
      <c r="M502" t="b">
        <v>1</v>
      </c>
      <c r="N502" t="b">
        <v>0</v>
      </c>
      <c r="O502" t="s">
        <v>4099</v>
      </c>
      <c r="P502">
        <v>16.66</v>
      </c>
      <c r="Q502">
        <v>8.93</v>
      </c>
      <c r="R502">
        <v>25.59</v>
      </c>
      <c r="S502">
        <v>69</v>
      </c>
      <c r="T502">
        <v>36</v>
      </c>
      <c r="U502">
        <v>34</v>
      </c>
      <c r="V502">
        <v>709</v>
      </c>
      <c r="W502" s="281">
        <v>41892</v>
      </c>
      <c r="X502" s="282"/>
      <c r="Z502" s="9" t="b">
        <f t="shared" si="99"/>
        <v>0</v>
      </c>
      <c r="AA502" s="9" t="str">
        <f t="shared" si="112"/>
        <v>7</v>
      </c>
      <c r="AB502" s="196">
        <f t="shared" si="100"/>
        <v>32.376800000000003</v>
      </c>
      <c r="AC502" s="9">
        <f>VLOOKUP(AA502,'Federal Standards'!$N$9:$P$50,2,FALSE)</f>
        <v>8.5399999999999991</v>
      </c>
      <c r="AD502" s="44">
        <f>VLOOKUP(AA502,'Federal Standards'!$N$9:$P$50,3,FALSE)</f>
        <v>432.8</v>
      </c>
      <c r="AE502" s="44">
        <f t="shared" si="101"/>
        <v>709.29787199999998</v>
      </c>
      <c r="AF502" s="283">
        <f t="shared" si="102"/>
        <v>0.29787199999998393</v>
      </c>
      <c r="AG502" s="291">
        <f t="shared" si="111"/>
        <v>4.1995332533576802E-4</v>
      </c>
      <c r="AH502" s="184" t="str">
        <f t="shared" si="103"/>
        <v>YES</v>
      </c>
      <c r="AJ502" s="9" t="str">
        <f t="shared" si="104"/>
        <v>NO</v>
      </c>
      <c r="AK502" s="9" t="str">
        <f t="shared" si="105"/>
        <v>NO</v>
      </c>
      <c r="AL502" s="9" t="str">
        <f t="shared" si="106"/>
        <v>NO</v>
      </c>
      <c r="AM502" s="9" t="str">
        <f t="shared" si="107"/>
        <v>NO</v>
      </c>
      <c r="AN502" s="9" t="str">
        <f t="shared" si="108"/>
        <v>Less than 10% better than Standard</v>
      </c>
      <c r="AO502" s="9" t="str">
        <f t="shared" si="109"/>
        <v>7_Less than 10% better than Standard</v>
      </c>
      <c r="AP502" s="9" t="str">
        <f t="shared" si="110"/>
        <v>7_NO</v>
      </c>
    </row>
    <row r="503" spans="1:42">
      <c r="A503">
        <v>84646</v>
      </c>
      <c r="B503" t="s">
        <v>177</v>
      </c>
      <c r="C503" t="s">
        <v>170</v>
      </c>
      <c r="D503" t="s">
        <v>4509</v>
      </c>
      <c r="E503" t="s">
        <v>4179</v>
      </c>
      <c r="F503" t="s">
        <v>162</v>
      </c>
      <c r="G503" t="s">
        <v>4105</v>
      </c>
      <c r="H503"/>
      <c r="I503"/>
      <c r="J503" t="b">
        <v>0</v>
      </c>
      <c r="K503" t="b">
        <v>0</v>
      </c>
      <c r="L503" t="b">
        <v>1</v>
      </c>
      <c r="M503" t="b">
        <v>1</v>
      </c>
      <c r="N503" t="b">
        <v>0</v>
      </c>
      <c r="O503" t="s">
        <v>4099</v>
      </c>
      <c r="P503">
        <v>13.62</v>
      </c>
      <c r="Q503">
        <v>6.98</v>
      </c>
      <c r="R503">
        <v>20.6</v>
      </c>
      <c r="S503">
        <v>69</v>
      </c>
      <c r="T503">
        <v>36</v>
      </c>
      <c r="U503">
        <v>24</v>
      </c>
      <c r="V503">
        <v>654</v>
      </c>
      <c r="W503" s="281">
        <v>41799</v>
      </c>
      <c r="X503" s="282"/>
      <c r="Z503" s="9" t="b">
        <f t="shared" si="99"/>
        <v>0</v>
      </c>
      <c r="AA503" s="9" t="str">
        <f t="shared" si="112"/>
        <v>7</v>
      </c>
      <c r="AB503" s="196">
        <f t="shared" si="100"/>
        <v>25.904800000000002</v>
      </c>
      <c r="AC503" s="9">
        <f>VLOOKUP(AA503,'Federal Standards'!$N$9:$P$50,2,FALSE)</f>
        <v>8.5399999999999991</v>
      </c>
      <c r="AD503" s="44">
        <f>VLOOKUP(AA503,'Federal Standards'!$N$9:$P$50,3,FALSE)</f>
        <v>432.8</v>
      </c>
      <c r="AE503" s="44">
        <f t="shared" si="101"/>
        <v>654.02699200000006</v>
      </c>
      <c r="AF503" s="283">
        <f t="shared" si="102"/>
        <v>2.6992000000063854E-2</v>
      </c>
      <c r="AG503" s="291">
        <f t="shared" si="111"/>
        <v>4.127046793210004E-5</v>
      </c>
      <c r="AH503" s="184" t="str">
        <f t="shared" si="103"/>
        <v>YES</v>
      </c>
      <c r="AJ503" s="9" t="str">
        <f t="shared" si="104"/>
        <v>NO</v>
      </c>
      <c r="AK503" s="9" t="str">
        <f t="shared" si="105"/>
        <v>NO</v>
      </c>
      <c r="AL503" s="9" t="str">
        <f t="shared" si="106"/>
        <v>NO</v>
      </c>
      <c r="AM503" s="9" t="str">
        <f t="shared" si="107"/>
        <v>NO</v>
      </c>
      <c r="AN503" s="9" t="str">
        <f t="shared" si="108"/>
        <v>Less than 10% better than Standard</v>
      </c>
      <c r="AO503" s="9" t="str">
        <f t="shared" si="109"/>
        <v>7_Less than 10% better than Standard</v>
      </c>
      <c r="AP503" s="9" t="str">
        <f t="shared" si="110"/>
        <v>7_NO</v>
      </c>
    </row>
    <row r="504" spans="1:42">
      <c r="A504">
        <v>87904</v>
      </c>
      <c r="B504" t="s">
        <v>177</v>
      </c>
      <c r="C504" t="s">
        <v>170</v>
      </c>
      <c r="D504" t="s">
        <v>4510</v>
      </c>
      <c r="E504" t="s">
        <v>4108</v>
      </c>
      <c r="F504" t="s">
        <v>162</v>
      </c>
      <c r="G504" t="s">
        <v>4105</v>
      </c>
      <c r="H504"/>
      <c r="I504" t="s">
        <v>4098</v>
      </c>
      <c r="J504" t="b">
        <v>0</v>
      </c>
      <c r="K504" t="b">
        <v>0</v>
      </c>
      <c r="L504" t="b">
        <v>0</v>
      </c>
      <c r="M504"/>
      <c r="N504" t="b">
        <v>0</v>
      </c>
      <c r="O504" t="s">
        <v>4099</v>
      </c>
      <c r="P504">
        <v>14.42</v>
      </c>
      <c r="Q504">
        <v>6.09</v>
      </c>
      <c r="R504">
        <v>20.51</v>
      </c>
      <c r="S504">
        <v>65</v>
      </c>
      <c r="T504">
        <v>33</v>
      </c>
      <c r="U504">
        <v>31</v>
      </c>
      <c r="V504">
        <v>436</v>
      </c>
      <c r="W504" s="281">
        <v>41894</v>
      </c>
      <c r="X504" s="282"/>
      <c r="Z504" s="9" t="b">
        <f t="shared" si="99"/>
        <v>0</v>
      </c>
      <c r="AA504" s="9" t="str">
        <f t="shared" si="112"/>
        <v>3</v>
      </c>
      <c r="AB504" s="196">
        <f t="shared" si="100"/>
        <v>25.138399999999997</v>
      </c>
      <c r="AC504" s="9">
        <f>VLOOKUP(AA504,'Federal Standards'!$N$9:$P$50,2,FALSE)</f>
        <v>8.07</v>
      </c>
      <c r="AD504" s="44">
        <f>VLOOKUP(AA504,'Federal Standards'!$N$9:$P$50,3,FALSE)</f>
        <v>233.7</v>
      </c>
      <c r="AE504" s="44">
        <f t="shared" si="101"/>
        <v>436.56688799999995</v>
      </c>
      <c r="AF504" s="283">
        <f t="shared" si="102"/>
        <v>0.56688799999994899</v>
      </c>
      <c r="AG504" s="291">
        <f t="shared" si="111"/>
        <v>1.2985135052201876E-3</v>
      </c>
      <c r="AH504" s="184" t="str">
        <f t="shared" si="103"/>
        <v>YES</v>
      </c>
      <c r="AJ504" s="9" t="str">
        <f t="shared" si="104"/>
        <v>NO</v>
      </c>
      <c r="AK504" s="9" t="str">
        <f t="shared" si="105"/>
        <v>NO</v>
      </c>
      <c r="AL504" s="9" t="str">
        <f t="shared" si="106"/>
        <v>NO</v>
      </c>
      <c r="AM504" s="9" t="str">
        <f t="shared" si="107"/>
        <v>NO</v>
      </c>
      <c r="AN504" s="9" t="str">
        <f t="shared" si="108"/>
        <v>Less than 10% better than Standard</v>
      </c>
      <c r="AO504" s="9" t="str">
        <f t="shared" si="109"/>
        <v>3_Less than 10% better than Standard</v>
      </c>
      <c r="AP504" s="9" t="str">
        <f t="shared" si="110"/>
        <v>3_NO</v>
      </c>
    </row>
    <row r="505" spans="1:42">
      <c r="A505">
        <v>82884</v>
      </c>
      <c r="B505" t="s">
        <v>177</v>
      </c>
      <c r="C505" t="s">
        <v>170</v>
      </c>
      <c r="D505" t="s">
        <v>4961</v>
      </c>
      <c r="E505" t="s">
        <v>4198</v>
      </c>
      <c r="F505" t="s">
        <v>162</v>
      </c>
      <c r="G505" t="s">
        <v>4105</v>
      </c>
      <c r="H505"/>
      <c r="I505" t="s">
        <v>4106</v>
      </c>
      <c r="J505"/>
      <c r="K505"/>
      <c r="L505"/>
      <c r="M505"/>
      <c r="N505" t="b">
        <v>0</v>
      </c>
      <c r="O505" t="s">
        <v>4099</v>
      </c>
      <c r="P505">
        <v>12.93</v>
      </c>
      <c r="Q505">
        <v>5.58</v>
      </c>
      <c r="R505">
        <v>18.510000000000002</v>
      </c>
      <c r="S505">
        <v>66</v>
      </c>
      <c r="T505">
        <v>30</v>
      </c>
      <c r="U505">
        <v>33</v>
      </c>
      <c r="V505">
        <v>448</v>
      </c>
      <c r="W505" s="281">
        <v>41555</v>
      </c>
      <c r="X505" s="282"/>
      <c r="Z505" s="9" t="b">
        <f t="shared" si="99"/>
        <v>0</v>
      </c>
      <c r="AA505" s="9" t="str">
        <f t="shared" si="112"/>
        <v>5</v>
      </c>
      <c r="AB505" s="196">
        <f t="shared" si="100"/>
        <v>22.750799999999998</v>
      </c>
      <c r="AC505" s="9">
        <f>VLOOKUP(AA505,'Federal Standards'!$N$9:$P$50,2,FALSE)</f>
        <v>8.85</v>
      </c>
      <c r="AD505" s="44">
        <f>VLOOKUP(AA505,'Federal Standards'!$N$9:$P$50,3,FALSE)</f>
        <v>317</v>
      </c>
      <c r="AE505" s="44">
        <f t="shared" si="101"/>
        <v>518.34457999999995</v>
      </c>
      <c r="AF505" s="283">
        <f t="shared" si="102"/>
        <v>70.344579999999951</v>
      </c>
      <c r="AG505" s="291">
        <f t="shared" si="111"/>
        <v>0.1357100714740761</v>
      </c>
      <c r="AH505" s="184" t="str">
        <f t="shared" si="103"/>
        <v>YES</v>
      </c>
      <c r="AJ505" s="9" t="str">
        <f t="shared" si="104"/>
        <v>YES</v>
      </c>
      <c r="AK505" s="9" t="str">
        <f t="shared" si="105"/>
        <v>YES</v>
      </c>
      <c r="AL505" s="9" t="str">
        <f t="shared" si="106"/>
        <v>NO</v>
      </c>
      <c r="AM505" s="9" t="str">
        <f t="shared" si="107"/>
        <v>NO</v>
      </c>
      <c r="AN505" s="9" t="str">
        <f t="shared" si="108"/>
        <v>Tier 1 - 10% to 15% better than Standard</v>
      </c>
      <c r="AO505" s="9" t="str">
        <f t="shared" si="109"/>
        <v>5_Tier 1 - 10% to 15% better than Standard</v>
      </c>
      <c r="AP505" s="9" t="str">
        <f t="shared" si="110"/>
        <v>5_YES</v>
      </c>
    </row>
    <row r="506" spans="1:42">
      <c r="A506">
        <v>84634</v>
      </c>
      <c r="B506" t="s">
        <v>177</v>
      </c>
      <c r="C506" t="s">
        <v>170</v>
      </c>
      <c r="D506" t="s">
        <v>910</v>
      </c>
      <c r="E506" t="s">
        <v>4109</v>
      </c>
      <c r="F506" t="s">
        <v>162</v>
      </c>
      <c r="G506" t="s">
        <v>4105</v>
      </c>
      <c r="H506"/>
      <c r="I506"/>
      <c r="J506" t="b">
        <v>0</v>
      </c>
      <c r="K506" t="b">
        <v>0</v>
      </c>
      <c r="L506" t="b">
        <v>0</v>
      </c>
      <c r="M506"/>
      <c r="N506" t="b">
        <v>0</v>
      </c>
      <c r="O506" t="s">
        <v>4099</v>
      </c>
      <c r="P506">
        <v>15.62</v>
      </c>
      <c r="Q506">
        <v>6.45</v>
      </c>
      <c r="R506">
        <v>22.07</v>
      </c>
      <c r="S506">
        <v>69</v>
      </c>
      <c r="T506">
        <v>33</v>
      </c>
      <c r="U506">
        <v>32</v>
      </c>
      <c r="V506">
        <v>500</v>
      </c>
      <c r="W506" s="281">
        <v>41799</v>
      </c>
      <c r="X506" s="282"/>
      <c r="Z506" s="9" t="b">
        <f t="shared" si="99"/>
        <v>0</v>
      </c>
      <c r="AA506" s="9" t="str">
        <f t="shared" si="112"/>
        <v>5</v>
      </c>
      <c r="AB506" s="196">
        <f t="shared" si="100"/>
        <v>26.972000000000001</v>
      </c>
      <c r="AC506" s="9">
        <f>VLOOKUP(AA506,'Federal Standards'!$N$9:$P$50,2,FALSE)</f>
        <v>8.85</v>
      </c>
      <c r="AD506" s="44">
        <f>VLOOKUP(AA506,'Federal Standards'!$N$9:$P$50,3,FALSE)</f>
        <v>317</v>
      </c>
      <c r="AE506" s="44">
        <f t="shared" si="101"/>
        <v>555.70219999999995</v>
      </c>
      <c r="AF506" s="283">
        <f t="shared" si="102"/>
        <v>55.702199999999948</v>
      </c>
      <c r="AG506" s="291">
        <f t="shared" si="111"/>
        <v>0.10023750130915435</v>
      </c>
      <c r="AH506" s="184" t="str">
        <f t="shared" si="103"/>
        <v>YES</v>
      </c>
      <c r="AJ506" s="9" t="str">
        <f t="shared" si="104"/>
        <v>YES</v>
      </c>
      <c r="AK506" s="9" t="str">
        <f t="shared" si="105"/>
        <v>YES</v>
      </c>
      <c r="AL506" s="9" t="str">
        <f t="shared" si="106"/>
        <v>NO</v>
      </c>
      <c r="AM506" s="9" t="str">
        <f t="shared" si="107"/>
        <v>NO</v>
      </c>
      <c r="AN506" s="9" t="str">
        <f t="shared" si="108"/>
        <v>Tier 1 - 10% to 15% better than Standard</v>
      </c>
      <c r="AO506" s="9" t="str">
        <f t="shared" si="109"/>
        <v>5_Tier 1 - 10% to 15% better than Standard</v>
      </c>
      <c r="AP506" s="9" t="str">
        <f t="shared" si="110"/>
        <v>5_YES</v>
      </c>
    </row>
    <row r="507" spans="1:42">
      <c r="A507">
        <v>87598</v>
      </c>
      <c r="B507" t="s">
        <v>177</v>
      </c>
      <c r="C507" t="s">
        <v>170</v>
      </c>
      <c r="D507" t="s">
        <v>4511</v>
      </c>
      <c r="E507" t="s">
        <v>4109</v>
      </c>
      <c r="F507" t="s">
        <v>162</v>
      </c>
      <c r="G507" t="s">
        <v>4105</v>
      </c>
      <c r="H507"/>
      <c r="I507" t="s">
        <v>4170</v>
      </c>
      <c r="J507" t="b">
        <v>0</v>
      </c>
      <c r="K507" t="b">
        <v>0</v>
      </c>
      <c r="L507" t="b">
        <v>1</v>
      </c>
      <c r="M507" t="b">
        <v>0</v>
      </c>
      <c r="N507" t="b">
        <v>1</v>
      </c>
      <c r="O507" t="s">
        <v>4099</v>
      </c>
      <c r="P507">
        <v>17.75</v>
      </c>
      <c r="Q507">
        <v>7.44</v>
      </c>
      <c r="R507">
        <v>25.19</v>
      </c>
      <c r="S507">
        <v>69</v>
      </c>
      <c r="T507">
        <v>33</v>
      </c>
      <c r="U507">
        <v>32</v>
      </c>
      <c r="V507">
        <v>674</v>
      </c>
      <c r="W507" s="281">
        <v>41892</v>
      </c>
      <c r="X507" s="282"/>
      <c r="Z507" s="9" t="b">
        <f t="shared" si="99"/>
        <v>0</v>
      </c>
      <c r="AA507" s="9" t="str">
        <f t="shared" si="112"/>
        <v>5I</v>
      </c>
      <c r="AB507" s="196">
        <f t="shared" si="100"/>
        <v>30.8444</v>
      </c>
      <c r="AC507" s="9">
        <f>VLOOKUP(AA507,'Federal Standards'!$N$9:$P$50,2,FALSE)</f>
        <v>8.85</v>
      </c>
      <c r="AD507" s="44">
        <f>VLOOKUP(AA507,'Federal Standards'!$N$9:$P$50,3,FALSE)</f>
        <v>401</v>
      </c>
      <c r="AE507" s="44">
        <f t="shared" si="101"/>
        <v>673.97293999999999</v>
      </c>
      <c r="AF507" s="283">
        <f t="shared" si="102"/>
        <v>-2.7060000000005857E-2</v>
      </c>
      <c r="AG507" s="291">
        <f t="shared" si="111"/>
        <v>-4.0149979908697606E-5</v>
      </c>
      <c r="AH507" s="184" t="str">
        <f t="shared" si="103"/>
        <v>NO</v>
      </c>
      <c r="AJ507" s="9" t="str">
        <f t="shared" si="104"/>
        <v>NO</v>
      </c>
      <c r="AK507" s="9" t="str">
        <f t="shared" si="105"/>
        <v>NO</v>
      </c>
      <c r="AL507" s="9" t="str">
        <f t="shared" si="106"/>
        <v>NO</v>
      </c>
      <c r="AM507" s="9" t="str">
        <f t="shared" si="107"/>
        <v>NO</v>
      </c>
      <c r="AN507" s="9" t="str">
        <f t="shared" si="108"/>
        <v>Doesn't meet Standard</v>
      </c>
      <c r="AO507" s="9" t="str">
        <f t="shared" si="109"/>
        <v>5I_Doesn't meet Standard</v>
      </c>
      <c r="AP507" s="9" t="str">
        <f t="shared" si="110"/>
        <v>5I_NO</v>
      </c>
    </row>
    <row r="508" spans="1:42">
      <c r="A508">
        <v>83246</v>
      </c>
      <c r="B508" t="s">
        <v>177</v>
      </c>
      <c r="C508" t="s">
        <v>170</v>
      </c>
      <c r="D508" t="s">
        <v>4512</v>
      </c>
      <c r="E508" t="s">
        <v>4216</v>
      </c>
      <c r="F508" t="s">
        <v>162</v>
      </c>
      <c r="G508" t="s">
        <v>4105</v>
      </c>
      <c r="H508"/>
      <c r="I508" t="s">
        <v>4199</v>
      </c>
      <c r="J508"/>
      <c r="K508"/>
      <c r="L508"/>
      <c r="M508"/>
      <c r="N508" t="b">
        <v>0</v>
      </c>
      <c r="O508" t="s">
        <v>4099</v>
      </c>
      <c r="P508">
        <v>20.350000000000001</v>
      </c>
      <c r="Q508">
        <v>7.73</v>
      </c>
      <c r="R508">
        <v>28.08</v>
      </c>
      <c r="S508">
        <v>72</v>
      </c>
      <c r="T508">
        <v>33</v>
      </c>
      <c r="U508">
        <v>33</v>
      </c>
      <c r="V508">
        <v>563</v>
      </c>
      <c r="W508" s="281">
        <v>41729</v>
      </c>
      <c r="X508" s="282"/>
      <c r="Z508" s="9" t="b">
        <f t="shared" si="99"/>
        <v>0</v>
      </c>
      <c r="AA508" s="9" t="str">
        <f t="shared" si="112"/>
        <v>5A</v>
      </c>
      <c r="AB508" s="196">
        <f t="shared" si="100"/>
        <v>33.954800000000006</v>
      </c>
      <c r="AC508" s="9">
        <f>VLOOKUP(AA508,'Federal Standards'!$N$9:$P$50,2,FALSE)</f>
        <v>9.25</v>
      </c>
      <c r="AD508" s="44">
        <f>VLOOKUP(AA508,'Federal Standards'!$N$9:$P$50,3,FALSE)</f>
        <v>475.4</v>
      </c>
      <c r="AE508" s="44">
        <f t="shared" si="101"/>
        <v>789.4819</v>
      </c>
      <c r="AF508" s="283">
        <f t="shared" si="102"/>
        <v>226.4819</v>
      </c>
      <c r="AG508" s="291">
        <f t="shared" si="111"/>
        <v>0.28687408793032493</v>
      </c>
      <c r="AH508" s="184" t="str">
        <f t="shared" si="103"/>
        <v>YES</v>
      </c>
      <c r="AJ508" s="9" t="str">
        <f t="shared" si="104"/>
        <v>YES</v>
      </c>
      <c r="AK508" s="9" t="str">
        <f t="shared" si="105"/>
        <v>NO</v>
      </c>
      <c r="AL508" s="9" t="str">
        <f t="shared" si="106"/>
        <v>NO</v>
      </c>
      <c r="AM508" s="9" t="str">
        <f t="shared" si="107"/>
        <v>YES</v>
      </c>
      <c r="AN508" s="9" t="str">
        <f t="shared" si="108"/>
        <v>Tier 3 - 20%  or better than Standard</v>
      </c>
      <c r="AO508" s="9" t="str">
        <f t="shared" si="109"/>
        <v>5A_Tier 3 - 20%  or better than Standard</v>
      </c>
      <c r="AP508" s="9" t="str">
        <f t="shared" si="110"/>
        <v>5A_YES</v>
      </c>
    </row>
    <row r="509" spans="1:42">
      <c r="A509">
        <v>87562</v>
      </c>
      <c r="B509" t="s">
        <v>177</v>
      </c>
      <c r="C509" t="s">
        <v>170</v>
      </c>
      <c r="D509" t="s">
        <v>4512</v>
      </c>
      <c r="E509" t="s">
        <v>4109</v>
      </c>
      <c r="F509" t="s">
        <v>162</v>
      </c>
      <c r="G509" t="s">
        <v>4105</v>
      </c>
      <c r="H509"/>
      <c r="I509" t="s">
        <v>4170</v>
      </c>
      <c r="J509" t="b">
        <v>0</v>
      </c>
      <c r="K509" t="b">
        <v>0</v>
      </c>
      <c r="L509" t="b">
        <v>1</v>
      </c>
      <c r="M509" t="b">
        <v>1</v>
      </c>
      <c r="N509" t="b">
        <v>1</v>
      </c>
      <c r="O509" t="s">
        <v>4099</v>
      </c>
      <c r="P509">
        <v>18.399999999999999</v>
      </c>
      <c r="Q509">
        <v>7.77</v>
      </c>
      <c r="R509">
        <v>26.17</v>
      </c>
      <c r="S509">
        <v>71</v>
      </c>
      <c r="T509">
        <v>36</v>
      </c>
      <c r="U509">
        <v>36</v>
      </c>
      <c r="V509">
        <v>772</v>
      </c>
      <c r="W509" s="281">
        <v>41892</v>
      </c>
      <c r="X509" s="282"/>
      <c r="Z509" s="9" t="b">
        <f t="shared" si="99"/>
        <v>0</v>
      </c>
      <c r="AA509" s="9" t="str">
        <f t="shared" si="112"/>
        <v>5A</v>
      </c>
      <c r="AB509" s="196">
        <f t="shared" si="100"/>
        <v>32.075199999999995</v>
      </c>
      <c r="AC509" s="9">
        <f>VLOOKUP(AA509,'Federal Standards'!$N$9:$P$50,2,FALSE)</f>
        <v>9.25</v>
      </c>
      <c r="AD509" s="44">
        <f>VLOOKUP(AA509,'Federal Standards'!$N$9:$P$50,3,FALSE)</f>
        <v>475.4</v>
      </c>
      <c r="AE509" s="44">
        <f t="shared" si="101"/>
        <v>772.09559999999988</v>
      </c>
      <c r="AF509" s="283">
        <f t="shared" si="102"/>
        <v>9.5599999999876673E-2</v>
      </c>
      <c r="AG509" s="291">
        <f t="shared" si="111"/>
        <v>1.2381886388146323E-4</v>
      </c>
      <c r="AH509" s="184" t="str">
        <f t="shared" si="103"/>
        <v>YES</v>
      </c>
      <c r="AJ509" s="9" t="str">
        <f t="shared" si="104"/>
        <v>NO</v>
      </c>
      <c r="AK509" s="9" t="str">
        <f t="shared" si="105"/>
        <v>NO</v>
      </c>
      <c r="AL509" s="9" t="str">
        <f t="shared" si="106"/>
        <v>NO</v>
      </c>
      <c r="AM509" s="9" t="str">
        <f t="shared" si="107"/>
        <v>NO</v>
      </c>
      <c r="AN509" s="9" t="str">
        <f t="shared" si="108"/>
        <v>Less than 10% better than Standard</v>
      </c>
      <c r="AO509" s="9" t="str">
        <f t="shared" si="109"/>
        <v>5A_Less than 10% better than Standard</v>
      </c>
      <c r="AP509" s="9" t="str">
        <f t="shared" si="110"/>
        <v>5A_NO</v>
      </c>
    </row>
    <row r="510" spans="1:42">
      <c r="A510">
        <v>87915</v>
      </c>
      <c r="B510" t="s">
        <v>177</v>
      </c>
      <c r="C510" t="s">
        <v>170</v>
      </c>
      <c r="D510" t="s">
        <v>4513</v>
      </c>
      <c r="E510" t="s">
        <v>4108</v>
      </c>
      <c r="F510" t="s">
        <v>162</v>
      </c>
      <c r="G510" t="s">
        <v>4105</v>
      </c>
      <c r="H510"/>
      <c r="I510" t="s">
        <v>4098</v>
      </c>
      <c r="J510" t="b">
        <v>0</v>
      </c>
      <c r="K510" t="b">
        <v>0</v>
      </c>
      <c r="L510" t="b">
        <v>0</v>
      </c>
      <c r="M510"/>
      <c r="N510" t="b">
        <v>0</v>
      </c>
      <c r="O510" t="s">
        <v>4099</v>
      </c>
      <c r="P510">
        <v>7.74</v>
      </c>
      <c r="Q510">
        <v>2.94</v>
      </c>
      <c r="R510">
        <v>10.68</v>
      </c>
      <c r="S510">
        <v>62</v>
      </c>
      <c r="T510">
        <v>25</v>
      </c>
      <c r="U510">
        <v>29</v>
      </c>
      <c r="V510">
        <v>338</v>
      </c>
      <c r="W510" s="281">
        <v>41894</v>
      </c>
      <c r="X510" s="282"/>
      <c r="Z510" s="9" t="b">
        <f t="shared" si="99"/>
        <v>0</v>
      </c>
      <c r="AA510" s="9" t="str">
        <f t="shared" si="112"/>
        <v>3</v>
      </c>
      <c r="AB510" s="196">
        <f t="shared" si="100"/>
        <v>12.914400000000001</v>
      </c>
      <c r="AC510" s="9">
        <f>VLOOKUP(AA510,'Federal Standards'!$N$9:$P$50,2,FALSE)</f>
        <v>8.07</v>
      </c>
      <c r="AD510" s="44">
        <f>VLOOKUP(AA510,'Federal Standards'!$N$9:$P$50,3,FALSE)</f>
        <v>233.7</v>
      </c>
      <c r="AE510" s="44">
        <f t="shared" si="101"/>
        <v>337.91920800000003</v>
      </c>
      <c r="AF510" s="283">
        <f t="shared" si="102"/>
        <v>-8.0791999999973996E-2</v>
      </c>
      <c r="AG510" s="291">
        <f t="shared" si="111"/>
        <v>-2.390867346018815E-4</v>
      </c>
      <c r="AH510" s="184" t="str">
        <f t="shared" si="103"/>
        <v>NO</v>
      </c>
      <c r="AJ510" s="9" t="str">
        <f t="shared" si="104"/>
        <v>NO</v>
      </c>
      <c r="AK510" s="9" t="str">
        <f t="shared" si="105"/>
        <v>NO</v>
      </c>
      <c r="AL510" s="9" t="str">
        <f t="shared" si="106"/>
        <v>NO</v>
      </c>
      <c r="AM510" s="9" t="str">
        <f t="shared" si="107"/>
        <v>NO</v>
      </c>
      <c r="AN510" s="9" t="str">
        <f t="shared" si="108"/>
        <v>Doesn't meet Standard</v>
      </c>
      <c r="AO510" s="9" t="str">
        <f t="shared" si="109"/>
        <v>3_Doesn't meet Standard</v>
      </c>
      <c r="AP510" s="9" t="str">
        <f t="shared" si="110"/>
        <v>3_NO</v>
      </c>
    </row>
    <row r="511" spans="1:42">
      <c r="A511">
        <v>87587</v>
      </c>
      <c r="B511" t="s">
        <v>177</v>
      </c>
      <c r="C511" t="s">
        <v>170</v>
      </c>
      <c r="D511" t="s">
        <v>4514</v>
      </c>
      <c r="E511" t="s">
        <v>4109</v>
      </c>
      <c r="F511" t="s">
        <v>162</v>
      </c>
      <c r="G511" t="s">
        <v>4105</v>
      </c>
      <c r="H511"/>
      <c r="I511" t="s">
        <v>4170</v>
      </c>
      <c r="J511" t="b">
        <v>0</v>
      </c>
      <c r="K511" t="b">
        <v>0</v>
      </c>
      <c r="L511" t="b">
        <v>1</v>
      </c>
      <c r="M511" t="b">
        <v>1</v>
      </c>
      <c r="N511" t="b">
        <v>1</v>
      </c>
      <c r="O511" t="s">
        <v>4099</v>
      </c>
      <c r="P511">
        <v>15.88</v>
      </c>
      <c r="Q511">
        <v>5.83</v>
      </c>
      <c r="R511">
        <v>21.71</v>
      </c>
      <c r="S511">
        <v>71</v>
      </c>
      <c r="T511">
        <v>33</v>
      </c>
      <c r="U511">
        <v>35</v>
      </c>
      <c r="V511">
        <v>717</v>
      </c>
      <c r="W511" s="281">
        <v>41892</v>
      </c>
      <c r="X511" s="282"/>
      <c r="Z511" s="9" t="b">
        <f t="shared" si="99"/>
        <v>0</v>
      </c>
      <c r="AA511" s="9" t="str">
        <f t="shared" si="112"/>
        <v>5A</v>
      </c>
      <c r="AB511" s="196">
        <f t="shared" si="100"/>
        <v>26.140799999999999</v>
      </c>
      <c r="AC511" s="9">
        <f>VLOOKUP(AA511,'Federal Standards'!$N$9:$P$50,2,FALSE)</f>
        <v>9.25</v>
      </c>
      <c r="AD511" s="44">
        <f>VLOOKUP(AA511,'Federal Standards'!$N$9:$P$50,3,FALSE)</f>
        <v>475.4</v>
      </c>
      <c r="AE511" s="44">
        <f t="shared" si="101"/>
        <v>717.2023999999999</v>
      </c>
      <c r="AF511" s="283">
        <f t="shared" si="102"/>
        <v>0.20239999999989777</v>
      </c>
      <c r="AG511" s="291">
        <f t="shared" si="111"/>
        <v>2.8220764459223476E-4</v>
      </c>
      <c r="AH511" s="184" t="str">
        <f t="shared" si="103"/>
        <v>YES</v>
      </c>
      <c r="AJ511" s="9" t="str">
        <f t="shared" si="104"/>
        <v>NO</v>
      </c>
      <c r="AK511" s="9" t="str">
        <f t="shared" si="105"/>
        <v>NO</v>
      </c>
      <c r="AL511" s="9" t="str">
        <f t="shared" si="106"/>
        <v>NO</v>
      </c>
      <c r="AM511" s="9" t="str">
        <f t="shared" si="107"/>
        <v>NO</v>
      </c>
      <c r="AN511" s="9" t="str">
        <f t="shared" si="108"/>
        <v>Less than 10% better than Standard</v>
      </c>
      <c r="AO511" s="9" t="str">
        <f t="shared" si="109"/>
        <v>5A_Less than 10% better than Standard</v>
      </c>
      <c r="AP511" s="9" t="str">
        <f t="shared" si="110"/>
        <v>5A_NO</v>
      </c>
    </row>
    <row r="512" spans="1:42">
      <c r="A512">
        <v>84664</v>
      </c>
      <c r="B512" t="s">
        <v>177</v>
      </c>
      <c r="C512" t="s">
        <v>170</v>
      </c>
      <c r="D512" t="s">
        <v>944</v>
      </c>
      <c r="E512" t="s">
        <v>4109</v>
      </c>
      <c r="F512" t="s">
        <v>162</v>
      </c>
      <c r="G512" t="s">
        <v>4105</v>
      </c>
      <c r="H512"/>
      <c r="I512"/>
      <c r="J512" t="b">
        <v>0</v>
      </c>
      <c r="K512" t="b">
        <v>0</v>
      </c>
      <c r="L512" t="b">
        <v>0</v>
      </c>
      <c r="M512"/>
      <c r="N512" t="b">
        <v>1</v>
      </c>
      <c r="O512" t="s">
        <v>4099</v>
      </c>
      <c r="P512">
        <v>15.66</v>
      </c>
      <c r="Q512">
        <v>6.45</v>
      </c>
      <c r="R512">
        <v>22.11</v>
      </c>
      <c r="S512">
        <v>69</v>
      </c>
      <c r="T512">
        <v>33</v>
      </c>
      <c r="U512">
        <v>32</v>
      </c>
      <c r="V512">
        <v>501</v>
      </c>
      <c r="W512" s="281">
        <v>41799</v>
      </c>
      <c r="X512" s="282"/>
      <c r="Z512" s="9" t="b">
        <f t="shared" si="99"/>
        <v>0</v>
      </c>
      <c r="AA512" s="9" t="str">
        <f t="shared" si="112"/>
        <v>5</v>
      </c>
      <c r="AB512" s="196">
        <f t="shared" si="100"/>
        <v>27.012</v>
      </c>
      <c r="AC512" s="9">
        <f>VLOOKUP(AA512,'Federal Standards'!$N$9:$P$50,2,FALSE)</f>
        <v>8.85</v>
      </c>
      <c r="AD512" s="44">
        <f>VLOOKUP(AA512,'Federal Standards'!$N$9:$P$50,3,FALSE)</f>
        <v>317</v>
      </c>
      <c r="AE512" s="44">
        <f t="shared" si="101"/>
        <v>556.05619999999999</v>
      </c>
      <c r="AF512" s="283">
        <f t="shared" si="102"/>
        <v>55.05619999999999</v>
      </c>
      <c r="AG512" s="291">
        <f t="shared" si="111"/>
        <v>9.9011934405191404E-2</v>
      </c>
      <c r="AH512" s="184" t="str">
        <f t="shared" si="103"/>
        <v>YES</v>
      </c>
      <c r="AJ512" s="9" t="str">
        <f t="shared" si="104"/>
        <v>NO</v>
      </c>
      <c r="AK512" s="9" t="str">
        <f t="shared" si="105"/>
        <v>NO</v>
      </c>
      <c r="AL512" s="9" t="str">
        <f t="shared" si="106"/>
        <v>NO</v>
      </c>
      <c r="AM512" s="9" t="str">
        <f t="shared" si="107"/>
        <v>NO</v>
      </c>
      <c r="AN512" s="9" t="str">
        <f t="shared" si="108"/>
        <v>Less than 10% better than Standard</v>
      </c>
      <c r="AO512" s="9" t="str">
        <f t="shared" si="109"/>
        <v>5_Less than 10% better than Standard</v>
      </c>
      <c r="AP512" s="9" t="str">
        <f t="shared" si="110"/>
        <v>5_NO</v>
      </c>
    </row>
    <row r="513" spans="1:42">
      <c r="A513">
        <v>84663</v>
      </c>
      <c r="B513" t="s">
        <v>177</v>
      </c>
      <c r="C513" t="s">
        <v>170</v>
      </c>
      <c r="D513" t="s">
        <v>946</v>
      </c>
      <c r="E513" t="s">
        <v>4109</v>
      </c>
      <c r="F513" t="s">
        <v>162</v>
      </c>
      <c r="G513" t="s">
        <v>4105</v>
      </c>
      <c r="H513"/>
      <c r="I513"/>
      <c r="J513" t="b">
        <v>0</v>
      </c>
      <c r="K513" t="b">
        <v>0</v>
      </c>
      <c r="L513" t="b">
        <v>1</v>
      </c>
      <c r="M513" t="b">
        <v>0</v>
      </c>
      <c r="N513" t="b">
        <v>1</v>
      </c>
      <c r="O513" t="s">
        <v>4099</v>
      </c>
      <c r="P513">
        <v>15.66</v>
      </c>
      <c r="Q513">
        <v>6.45</v>
      </c>
      <c r="R513">
        <v>22.11</v>
      </c>
      <c r="S513">
        <v>69</v>
      </c>
      <c r="T513">
        <v>33</v>
      </c>
      <c r="U513">
        <v>32</v>
      </c>
      <c r="V513">
        <v>585</v>
      </c>
      <c r="W513" s="281">
        <v>41799</v>
      </c>
      <c r="X513" s="282"/>
      <c r="Z513" s="9" t="b">
        <f t="shared" si="99"/>
        <v>0</v>
      </c>
      <c r="AA513" s="9" t="str">
        <f t="shared" si="112"/>
        <v>5I</v>
      </c>
      <c r="AB513" s="196">
        <f t="shared" si="100"/>
        <v>27.012</v>
      </c>
      <c r="AC513" s="9">
        <f>VLOOKUP(AA513,'Federal Standards'!$N$9:$P$50,2,FALSE)</f>
        <v>8.85</v>
      </c>
      <c r="AD513" s="44">
        <f>VLOOKUP(AA513,'Federal Standards'!$N$9:$P$50,3,FALSE)</f>
        <v>401</v>
      </c>
      <c r="AE513" s="44">
        <f t="shared" si="101"/>
        <v>640.05619999999999</v>
      </c>
      <c r="AF513" s="283">
        <f t="shared" si="102"/>
        <v>55.05619999999999</v>
      </c>
      <c r="AG513" s="291">
        <f t="shared" si="111"/>
        <v>8.6017759065532037E-2</v>
      </c>
      <c r="AH513" s="184" t="str">
        <f t="shared" si="103"/>
        <v>YES</v>
      </c>
      <c r="AJ513" s="9" t="str">
        <f t="shared" si="104"/>
        <v>NO</v>
      </c>
      <c r="AK513" s="9" t="str">
        <f t="shared" si="105"/>
        <v>NO</v>
      </c>
      <c r="AL513" s="9" t="str">
        <f t="shared" si="106"/>
        <v>NO</v>
      </c>
      <c r="AM513" s="9" t="str">
        <f t="shared" si="107"/>
        <v>NO</v>
      </c>
      <c r="AN513" s="9" t="str">
        <f t="shared" si="108"/>
        <v>Less than 10% better than Standard</v>
      </c>
      <c r="AO513" s="9" t="str">
        <f t="shared" si="109"/>
        <v>5I_Less than 10% better than Standard</v>
      </c>
      <c r="AP513" s="9" t="str">
        <f t="shared" si="110"/>
        <v>5I_NO</v>
      </c>
    </row>
    <row r="514" spans="1:42">
      <c r="A514">
        <v>87857</v>
      </c>
      <c r="B514" t="s">
        <v>177</v>
      </c>
      <c r="C514" t="s">
        <v>1599</v>
      </c>
      <c r="D514" t="s">
        <v>987</v>
      </c>
      <c r="E514" t="s">
        <v>4109</v>
      </c>
      <c r="F514" t="s">
        <v>162</v>
      </c>
      <c r="G514" t="s">
        <v>4105</v>
      </c>
      <c r="H514"/>
      <c r="I514" t="s">
        <v>4170</v>
      </c>
      <c r="J514" t="b">
        <v>1</v>
      </c>
      <c r="K514" t="b">
        <v>0</v>
      </c>
      <c r="L514" t="b">
        <v>1</v>
      </c>
      <c r="M514" t="b">
        <v>0</v>
      </c>
      <c r="N514" t="b">
        <v>0</v>
      </c>
      <c r="O514" t="s">
        <v>4099</v>
      </c>
      <c r="P514">
        <v>17.75</v>
      </c>
      <c r="Q514">
        <v>6.42</v>
      </c>
      <c r="R514">
        <v>24.17</v>
      </c>
      <c r="S514">
        <v>84</v>
      </c>
      <c r="T514">
        <v>43</v>
      </c>
      <c r="U514">
        <v>25</v>
      </c>
      <c r="V514">
        <v>633</v>
      </c>
      <c r="W514" s="281">
        <v>41894</v>
      </c>
      <c r="X514" s="282"/>
      <c r="Z514" s="9" t="b">
        <f t="shared" si="99"/>
        <v>0</v>
      </c>
      <c r="AA514" s="9" t="str">
        <f t="shared" si="112"/>
        <v>5I-BI</v>
      </c>
      <c r="AB514" s="196">
        <f t="shared" si="100"/>
        <v>29.049199999999999</v>
      </c>
      <c r="AC514" s="9">
        <f>VLOOKUP(AA514,'Federal Standards'!$N$9:$P$50,2,FALSE)</f>
        <v>9.4</v>
      </c>
      <c r="AD514" s="44">
        <f>VLOOKUP(AA514,'Federal Standards'!$N$9:$P$50,3,FALSE)</f>
        <v>420.9</v>
      </c>
      <c r="AE514" s="44">
        <f t="shared" si="101"/>
        <v>693.96247999999991</v>
      </c>
      <c r="AF514" s="283">
        <f t="shared" si="102"/>
        <v>60.962479999999914</v>
      </c>
      <c r="AG514" s="291">
        <f t="shared" si="111"/>
        <v>8.7846939506008914E-2</v>
      </c>
      <c r="AH514" s="184" t="str">
        <f t="shared" si="103"/>
        <v>YES</v>
      </c>
      <c r="AJ514" s="9" t="str">
        <f t="shared" si="104"/>
        <v>NO</v>
      </c>
      <c r="AK514" s="9" t="str">
        <f t="shared" si="105"/>
        <v>NO</v>
      </c>
      <c r="AL514" s="9" t="str">
        <f t="shared" si="106"/>
        <v>NO</v>
      </c>
      <c r="AM514" s="9" t="str">
        <f t="shared" si="107"/>
        <v>NO</v>
      </c>
      <c r="AN514" s="9" t="str">
        <f t="shared" si="108"/>
        <v>Less than 10% better than Standard</v>
      </c>
      <c r="AO514" s="9" t="str">
        <f t="shared" si="109"/>
        <v>5I-BI_Less than 10% better than Standard</v>
      </c>
      <c r="AP514" s="9" t="str">
        <f t="shared" si="110"/>
        <v>5I-BI_NO</v>
      </c>
    </row>
    <row r="515" spans="1:42">
      <c r="A515">
        <v>87375</v>
      </c>
      <c r="B515" t="s">
        <v>177</v>
      </c>
      <c r="C515" t="s">
        <v>1599</v>
      </c>
      <c r="D515" t="s">
        <v>1009</v>
      </c>
      <c r="E515" t="s">
        <v>4198</v>
      </c>
      <c r="F515" t="s">
        <v>162</v>
      </c>
      <c r="G515" t="s">
        <v>4105</v>
      </c>
      <c r="H515"/>
      <c r="I515" t="s">
        <v>4106</v>
      </c>
      <c r="J515"/>
      <c r="K515"/>
      <c r="L515"/>
      <c r="M515"/>
      <c r="N515" t="b">
        <v>0</v>
      </c>
      <c r="O515" t="s">
        <v>4099</v>
      </c>
      <c r="P515">
        <v>7.7</v>
      </c>
      <c r="Q515">
        <v>3.6</v>
      </c>
      <c r="R515">
        <v>11.3</v>
      </c>
      <c r="S515">
        <v>74</v>
      </c>
      <c r="T515">
        <v>24</v>
      </c>
      <c r="U515">
        <v>27</v>
      </c>
      <c r="V515">
        <v>397</v>
      </c>
      <c r="W515" s="281">
        <v>41892</v>
      </c>
      <c r="X515" s="282"/>
      <c r="Z515" s="9" t="b">
        <f t="shared" si="99"/>
        <v>0</v>
      </c>
      <c r="AA515" s="9" t="str">
        <f t="shared" si="112"/>
        <v>5</v>
      </c>
      <c r="AB515" s="196">
        <f t="shared" si="100"/>
        <v>14.036000000000001</v>
      </c>
      <c r="AC515" s="9">
        <f>VLOOKUP(AA515,'Federal Standards'!$N$9:$P$50,2,FALSE)</f>
        <v>8.85</v>
      </c>
      <c r="AD515" s="44">
        <f>VLOOKUP(AA515,'Federal Standards'!$N$9:$P$50,3,FALSE)</f>
        <v>317</v>
      </c>
      <c r="AE515" s="44">
        <f t="shared" si="101"/>
        <v>441.21860000000004</v>
      </c>
      <c r="AF515" s="283">
        <f t="shared" si="102"/>
        <v>44.218600000000038</v>
      </c>
      <c r="AG515" s="291">
        <f t="shared" si="111"/>
        <v>0.10021925639580932</v>
      </c>
      <c r="AH515" s="184" t="str">
        <f t="shared" si="103"/>
        <v>YES</v>
      </c>
      <c r="AJ515" s="9" t="str">
        <f t="shared" si="104"/>
        <v>YES</v>
      </c>
      <c r="AK515" s="9" t="str">
        <f t="shared" si="105"/>
        <v>YES</v>
      </c>
      <c r="AL515" s="9" t="str">
        <f t="shared" si="106"/>
        <v>NO</v>
      </c>
      <c r="AM515" s="9" t="str">
        <f t="shared" si="107"/>
        <v>NO</v>
      </c>
      <c r="AN515" s="9" t="str">
        <f t="shared" si="108"/>
        <v>Tier 1 - 10% to 15% better than Standard</v>
      </c>
      <c r="AO515" s="9" t="str">
        <f t="shared" si="109"/>
        <v>5_Tier 1 - 10% to 15% better than Standard</v>
      </c>
      <c r="AP515" s="9" t="str">
        <f t="shared" si="110"/>
        <v>5_YES</v>
      </c>
    </row>
    <row r="516" spans="1:42">
      <c r="A516">
        <v>82881</v>
      </c>
      <c r="B516" t="s">
        <v>177</v>
      </c>
      <c r="C516" t="s">
        <v>1599</v>
      </c>
      <c r="D516" t="s">
        <v>4962</v>
      </c>
      <c r="E516" t="s">
        <v>4198</v>
      </c>
      <c r="F516" t="s">
        <v>162</v>
      </c>
      <c r="G516" t="s">
        <v>4105</v>
      </c>
      <c r="H516"/>
      <c r="I516" t="s">
        <v>4106</v>
      </c>
      <c r="J516"/>
      <c r="K516"/>
      <c r="L516"/>
      <c r="M516"/>
      <c r="N516" t="b">
        <v>0</v>
      </c>
      <c r="O516" t="s">
        <v>4099</v>
      </c>
      <c r="P516">
        <v>12.93</v>
      </c>
      <c r="Q516">
        <v>5.58</v>
      </c>
      <c r="R516">
        <v>18.510000000000002</v>
      </c>
      <c r="S516">
        <v>66</v>
      </c>
      <c r="T516">
        <v>30</v>
      </c>
      <c r="U516">
        <v>33</v>
      </c>
      <c r="V516">
        <v>392</v>
      </c>
      <c r="W516" s="281">
        <v>41555</v>
      </c>
      <c r="X516" s="282"/>
      <c r="Z516" s="9" t="b">
        <f t="shared" si="99"/>
        <v>0</v>
      </c>
      <c r="AA516" s="9" t="str">
        <f t="shared" si="112"/>
        <v>5</v>
      </c>
      <c r="AB516" s="196">
        <f t="shared" si="100"/>
        <v>22.750799999999998</v>
      </c>
      <c r="AC516" s="9">
        <f>VLOOKUP(AA516,'Federal Standards'!$N$9:$P$50,2,FALSE)</f>
        <v>8.85</v>
      </c>
      <c r="AD516" s="44">
        <f>VLOOKUP(AA516,'Federal Standards'!$N$9:$P$50,3,FALSE)</f>
        <v>317</v>
      </c>
      <c r="AE516" s="44">
        <f t="shared" si="101"/>
        <v>518.34457999999995</v>
      </c>
      <c r="AF516" s="283">
        <f t="shared" si="102"/>
        <v>126.34457999999995</v>
      </c>
      <c r="AG516" s="291">
        <f t="shared" si="111"/>
        <v>0.2437463125398166</v>
      </c>
      <c r="AH516" s="184" t="str">
        <f t="shared" si="103"/>
        <v>YES</v>
      </c>
      <c r="AJ516" s="9" t="str">
        <f t="shared" si="104"/>
        <v>YES</v>
      </c>
      <c r="AK516" s="9" t="str">
        <f t="shared" si="105"/>
        <v>NO</v>
      </c>
      <c r="AL516" s="9" t="str">
        <f t="shared" si="106"/>
        <v>NO</v>
      </c>
      <c r="AM516" s="9" t="str">
        <f t="shared" si="107"/>
        <v>YES</v>
      </c>
      <c r="AN516" s="9" t="str">
        <f t="shared" si="108"/>
        <v>Tier 3 - 20%  or better than Standard</v>
      </c>
      <c r="AO516" s="9" t="str">
        <f t="shared" si="109"/>
        <v>5_Tier 3 - 20%  or better than Standard</v>
      </c>
      <c r="AP516" s="9" t="str">
        <f t="shared" si="110"/>
        <v>5_YES</v>
      </c>
    </row>
    <row r="517" spans="1:42">
      <c r="A517">
        <v>82882</v>
      </c>
      <c r="B517" t="s">
        <v>177</v>
      </c>
      <c r="C517" t="s">
        <v>1599</v>
      </c>
      <c r="D517" t="s">
        <v>4963</v>
      </c>
      <c r="E517" t="s">
        <v>4198</v>
      </c>
      <c r="F517" t="s">
        <v>162</v>
      </c>
      <c r="G517" t="s">
        <v>4105</v>
      </c>
      <c r="H517"/>
      <c r="I517" t="s">
        <v>4106</v>
      </c>
      <c r="J517"/>
      <c r="K517"/>
      <c r="L517"/>
      <c r="M517"/>
      <c r="N517" t="b">
        <v>0</v>
      </c>
      <c r="O517" t="s">
        <v>4099</v>
      </c>
      <c r="P517">
        <v>15.56</v>
      </c>
      <c r="Q517">
        <v>6.3</v>
      </c>
      <c r="R517">
        <v>21.86</v>
      </c>
      <c r="S517">
        <v>66</v>
      </c>
      <c r="T517">
        <v>33</v>
      </c>
      <c r="U517">
        <v>33</v>
      </c>
      <c r="V517">
        <v>403</v>
      </c>
      <c r="W517" s="281">
        <v>41555</v>
      </c>
      <c r="X517" s="282"/>
      <c r="Z517" s="9" t="b">
        <f t="shared" si="99"/>
        <v>0</v>
      </c>
      <c r="AA517" s="9" t="str">
        <f t="shared" si="112"/>
        <v>5</v>
      </c>
      <c r="AB517" s="196">
        <f t="shared" si="100"/>
        <v>26.648</v>
      </c>
      <c r="AC517" s="9">
        <f>VLOOKUP(AA517,'Federal Standards'!$N$9:$P$50,2,FALSE)</f>
        <v>8.85</v>
      </c>
      <c r="AD517" s="44">
        <f>VLOOKUP(AA517,'Federal Standards'!$N$9:$P$50,3,FALSE)</f>
        <v>317</v>
      </c>
      <c r="AE517" s="44">
        <f t="shared" si="101"/>
        <v>552.83479999999997</v>
      </c>
      <c r="AF517" s="283">
        <f t="shared" si="102"/>
        <v>149.83479999999997</v>
      </c>
      <c r="AG517" s="291">
        <f t="shared" si="111"/>
        <v>0.27102997134044382</v>
      </c>
      <c r="AH517" s="184" t="str">
        <f t="shared" si="103"/>
        <v>YES</v>
      </c>
      <c r="AJ517" s="9" t="str">
        <f t="shared" si="104"/>
        <v>YES</v>
      </c>
      <c r="AK517" s="9" t="str">
        <f t="shared" si="105"/>
        <v>NO</v>
      </c>
      <c r="AL517" s="9" t="str">
        <f t="shared" si="106"/>
        <v>NO</v>
      </c>
      <c r="AM517" s="9" t="str">
        <f t="shared" si="107"/>
        <v>YES</v>
      </c>
      <c r="AN517" s="9" t="str">
        <f t="shared" si="108"/>
        <v>Tier 3 - 20%  or better than Standard</v>
      </c>
      <c r="AO517" s="9" t="str">
        <f t="shared" si="109"/>
        <v>5_Tier 3 - 20%  or better than Standard</v>
      </c>
      <c r="AP517" s="9" t="str">
        <f t="shared" si="110"/>
        <v>5_YES</v>
      </c>
    </row>
    <row r="518" spans="1:42">
      <c r="A518">
        <v>87563</v>
      </c>
      <c r="B518" t="s">
        <v>177</v>
      </c>
      <c r="C518" t="s">
        <v>1599</v>
      </c>
      <c r="D518" t="s">
        <v>4515</v>
      </c>
      <c r="E518" t="s">
        <v>4109</v>
      </c>
      <c r="F518" t="s">
        <v>162</v>
      </c>
      <c r="G518" t="s">
        <v>4105</v>
      </c>
      <c r="H518"/>
      <c r="I518" t="s">
        <v>4170</v>
      </c>
      <c r="J518" t="b">
        <v>0</v>
      </c>
      <c r="K518" t="b">
        <v>0</v>
      </c>
      <c r="L518" t="b">
        <v>1</v>
      </c>
      <c r="M518" t="b">
        <v>1</v>
      </c>
      <c r="N518" t="b">
        <v>1</v>
      </c>
      <c r="O518" t="s">
        <v>4099</v>
      </c>
      <c r="P518">
        <v>19.03</v>
      </c>
      <c r="Q518">
        <v>7.77</v>
      </c>
      <c r="R518">
        <v>26.8</v>
      </c>
      <c r="S518">
        <v>71</v>
      </c>
      <c r="T518">
        <v>36</v>
      </c>
      <c r="U518">
        <v>36</v>
      </c>
      <c r="V518">
        <v>778</v>
      </c>
      <c r="W518" s="281">
        <v>41892</v>
      </c>
      <c r="X518" s="282"/>
      <c r="Z518" s="9" t="b">
        <f t="shared" si="99"/>
        <v>0</v>
      </c>
      <c r="AA518" s="9" t="str">
        <f t="shared" si="112"/>
        <v>5A</v>
      </c>
      <c r="AB518" s="196">
        <f t="shared" si="100"/>
        <v>32.705199999999998</v>
      </c>
      <c r="AC518" s="9">
        <f>VLOOKUP(AA518,'Federal Standards'!$N$9:$P$50,2,FALSE)</f>
        <v>9.25</v>
      </c>
      <c r="AD518" s="44">
        <f>VLOOKUP(AA518,'Federal Standards'!$N$9:$P$50,3,FALSE)</f>
        <v>475.4</v>
      </c>
      <c r="AE518" s="44">
        <f t="shared" si="101"/>
        <v>777.92309999999998</v>
      </c>
      <c r="AF518" s="283">
        <f t="shared" si="102"/>
        <v>-7.6900000000023283E-2</v>
      </c>
      <c r="AG518" s="291">
        <f t="shared" si="111"/>
        <v>-9.885295860223624E-5</v>
      </c>
      <c r="AH518" s="184" t="str">
        <f t="shared" si="103"/>
        <v>NO</v>
      </c>
      <c r="AJ518" s="9" t="str">
        <f t="shared" si="104"/>
        <v>NO</v>
      </c>
      <c r="AK518" s="9" t="str">
        <f t="shared" si="105"/>
        <v>NO</v>
      </c>
      <c r="AL518" s="9" t="str">
        <f t="shared" si="106"/>
        <v>NO</v>
      </c>
      <c r="AM518" s="9" t="str">
        <f t="shared" si="107"/>
        <v>NO</v>
      </c>
      <c r="AN518" s="9" t="str">
        <f t="shared" si="108"/>
        <v>Doesn't meet Standard</v>
      </c>
      <c r="AO518" s="9" t="str">
        <f t="shared" si="109"/>
        <v>5A_Doesn't meet Standard</v>
      </c>
      <c r="AP518" s="9" t="str">
        <f t="shared" si="110"/>
        <v>5A_NO</v>
      </c>
    </row>
    <row r="519" spans="1:42">
      <c r="A519">
        <v>87946</v>
      </c>
      <c r="B519" t="s">
        <v>177</v>
      </c>
      <c r="C519" t="s">
        <v>1599</v>
      </c>
      <c r="D519" t="s">
        <v>4516</v>
      </c>
      <c r="E519" t="s">
        <v>4179</v>
      </c>
      <c r="F519" t="s">
        <v>162</v>
      </c>
      <c r="G519" t="s">
        <v>4105</v>
      </c>
      <c r="H519"/>
      <c r="I519" t="s">
        <v>4098</v>
      </c>
      <c r="J519" t="b">
        <v>0</v>
      </c>
      <c r="K519" t="b">
        <v>0</v>
      </c>
      <c r="L519" t="b">
        <v>1</v>
      </c>
      <c r="M519" t="b">
        <v>1</v>
      </c>
      <c r="N519" t="b">
        <v>0</v>
      </c>
      <c r="O519" t="s">
        <v>4099</v>
      </c>
      <c r="P519">
        <v>14.51</v>
      </c>
      <c r="Q519">
        <v>6.75</v>
      </c>
      <c r="R519">
        <v>21.26</v>
      </c>
      <c r="S519">
        <v>67</v>
      </c>
      <c r="T519">
        <v>33</v>
      </c>
      <c r="U519">
        <v>33</v>
      </c>
      <c r="V519">
        <v>658</v>
      </c>
      <c r="W519" s="281">
        <v>41901</v>
      </c>
      <c r="X519" s="282"/>
      <c r="Z519" s="9" t="b">
        <f t="shared" si="99"/>
        <v>0</v>
      </c>
      <c r="AA519" s="9" t="str">
        <f t="shared" si="112"/>
        <v>7</v>
      </c>
      <c r="AB519" s="196">
        <f t="shared" si="100"/>
        <v>26.39</v>
      </c>
      <c r="AC519" s="9">
        <f>VLOOKUP(AA519,'Federal Standards'!$N$9:$P$50,2,FALSE)</f>
        <v>8.5399999999999991</v>
      </c>
      <c r="AD519" s="44">
        <f>VLOOKUP(AA519,'Federal Standards'!$N$9:$P$50,3,FALSE)</f>
        <v>432.8</v>
      </c>
      <c r="AE519" s="44">
        <f t="shared" si="101"/>
        <v>658.17060000000004</v>
      </c>
      <c r="AF519" s="283">
        <f t="shared" si="102"/>
        <v>0.17060000000003583</v>
      </c>
      <c r="AG519" s="291">
        <f t="shared" si="111"/>
        <v>2.5920331294049877E-4</v>
      </c>
      <c r="AH519" s="184" t="str">
        <f t="shared" si="103"/>
        <v>YES</v>
      </c>
      <c r="AJ519" s="9" t="str">
        <f t="shared" si="104"/>
        <v>NO</v>
      </c>
      <c r="AK519" s="9" t="str">
        <f t="shared" si="105"/>
        <v>NO</v>
      </c>
      <c r="AL519" s="9" t="str">
        <f t="shared" si="106"/>
        <v>NO</v>
      </c>
      <c r="AM519" s="9" t="str">
        <f t="shared" si="107"/>
        <v>NO</v>
      </c>
      <c r="AN519" s="9" t="str">
        <f t="shared" si="108"/>
        <v>Less than 10% better than Standard</v>
      </c>
      <c r="AO519" s="9" t="str">
        <f t="shared" si="109"/>
        <v>7_Less than 10% better than Standard</v>
      </c>
      <c r="AP519" s="9" t="str">
        <f t="shared" si="110"/>
        <v>7_NO</v>
      </c>
    </row>
    <row r="520" spans="1:42">
      <c r="A520">
        <v>87944</v>
      </c>
      <c r="B520" t="s">
        <v>177</v>
      </c>
      <c r="C520" t="s">
        <v>1599</v>
      </c>
      <c r="D520" t="s">
        <v>4517</v>
      </c>
      <c r="E520" t="s">
        <v>4179</v>
      </c>
      <c r="F520" t="s">
        <v>162</v>
      </c>
      <c r="G520" t="s">
        <v>4105</v>
      </c>
      <c r="H520"/>
      <c r="I520" t="s">
        <v>4098</v>
      </c>
      <c r="J520" t="b">
        <v>0</v>
      </c>
      <c r="K520" t="b">
        <v>0</v>
      </c>
      <c r="L520" t="b">
        <v>1</v>
      </c>
      <c r="M520" t="b">
        <v>1</v>
      </c>
      <c r="N520" t="b">
        <v>0</v>
      </c>
      <c r="O520" t="s">
        <v>4099</v>
      </c>
      <c r="P520">
        <v>16.66</v>
      </c>
      <c r="Q520">
        <v>8.93</v>
      </c>
      <c r="R520">
        <v>25.6</v>
      </c>
      <c r="S520">
        <v>69</v>
      </c>
      <c r="T520">
        <v>36</v>
      </c>
      <c r="U520">
        <v>33</v>
      </c>
      <c r="V520">
        <v>709</v>
      </c>
      <c r="W520" s="281">
        <v>41901</v>
      </c>
      <c r="X520" s="282"/>
      <c r="Z520" s="9" t="b">
        <f t="shared" si="99"/>
        <v>0</v>
      </c>
      <c r="AA520" s="9" t="str">
        <f t="shared" si="112"/>
        <v>7</v>
      </c>
      <c r="AB520" s="196">
        <f t="shared" si="100"/>
        <v>32.376800000000003</v>
      </c>
      <c r="AC520" s="9">
        <f>VLOOKUP(AA520,'Federal Standards'!$N$9:$P$50,2,FALSE)</f>
        <v>8.5399999999999991</v>
      </c>
      <c r="AD520" s="44">
        <f>VLOOKUP(AA520,'Federal Standards'!$N$9:$P$50,3,FALSE)</f>
        <v>432.8</v>
      </c>
      <c r="AE520" s="44">
        <f t="shared" si="101"/>
        <v>709.29787199999998</v>
      </c>
      <c r="AF520" s="283">
        <f t="shared" si="102"/>
        <v>0.29787199999998393</v>
      </c>
      <c r="AG520" s="291">
        <f t="shared" si="111"/>
        <v>4.1995332533576802E-4</v>
      </c>
      <c r="AH520" s="184" t="str">
        <f t="shared" si="103"/>
        <v>YES</v>
      </c>
      <c r="AJ520" s="9" t="str">
        <f t="shared" si="104"/>
        <v>NO</v>
      </c>
      <c r="AK520" s="9" t="str">
        <f t="shared" si="105"/>
        <v>NO</v>
      </c>
      <c r="AL520" s="9" t="str">
        <f t="shared" si="106"/>
        <v>NO</v>
      </c>
      <c r="AM520" s="9" t="str">
        <f t="shared" si="107"/>
        <v>NO</v>
      </c>
      <c r="AN520" s="9" t="str">
        <f t="shared" si="108"/>
        <v>Less than 10% better than Standard</v>
      </c>
      <c r="AO520" s="9" t="str">
        <f t="shared" si="109"/>
        <v>7_Less than 10% better than Standard</v>
      </c>
      <c r="AP520" s="9" t="str">
        <f t="shared" si="110"/>
        <v>7_NO</v>
      </c>
    </row>
    <row r="521" spans="1:42">
      <c r="A521">
        <v>87949</v>
      </c>
      <c r="B521" t="s">
        <v>177</v>
      </c>
      <c r="C521" t="s">
        <v>1599</v>
      </c>
      <c r="D521" t="s">
        <v>4518</v>
      </c>
      <c r="E521" t="s">
        <v>4179</v>
      </c>
      <c r="F521" t="s">
        <v>162</v>
      </c>
      <c r="G521" t="s">
        <v>4105</v>
      </c>
      <c r="H521"/>
      <c r="I521" t="s">
        <v>4098</v>
      </c>
      <c r="J521" t="b">
        <v>0</v>
      </c>
      <c r="K521" t="b">
        <v>0</v>
      </c>
      <c r="L521" t="b">
        <v>1</v>
      </c>
      <c r="M521" t="b">
        <v>1</v>
      </c>
      <c r="N521" t="b">
        <v>0</v>
      </c>
      <c r="O521" t="s">
        <v>4099</v>
      </c>
      <c r="P521">
        <v>15.91</v>
      </c>
      <c r="Q521">
        <v>8.93</v>
      </c>
      <c r="R521">
        <v>24.84</v>
      </c>
      <c r="S521">
        <v>69</v>
      </c>
      <c r="T521">
        <v>36</v>
      </c>
      <c r="U521">
        <v>35</v>
      </c>
      <c r="V521">
        <v>703</v>
      </c>
      <c r="W521" s="281">
        <v>41901</v>
      </c>
      <c r="X521" s="282"/>
      <c r="Z521" s="9" t="b">
        <f t="shared" si="99"/>
        <v>0</v>
      </c>
      <c r="AA521" s="9" t="str">
        <f t="shared" si="112"/>
        <v>7</v>
      </c>
      <c r="AB521" s="196">
        <f t="shared" si="100"/>
        <v>31.626799999999999</v>
      </c>
      <c r="AC521" s="9">
        <f>VLOOKUP(AA521,'Federal Standards'!$N$9:$P$50,2,FALSE)</f>
        <v>8.5399999999999991</v>
      </c>
      <c r="AD521" s="44">
        <f>VLOOKUP(AA521,'Federal Standards'!$N$9:$P$50,3,FALSE)</f>
        <v>432.8</v>
      </c>
      <c r="AE521" s="44">
        <f t="shared" si="101"/>
        <v>702.8928719999999</v>
      </c>
      <c r="AF521" s="283">
        <f t="shared" si="102"/>
        <v>-0.10712800000010247</v>
      </c>
      <c r="AG521" s="291">
        <f t="shared" si="111"/>
        <v>-1.5241013853972116E-4</v>
      </c>
      <c r="AH521" s="184" t="str">
        <f t="shared" si="103"/>
        <v>NO</v>
      </c>
      <c r="AJ521" s="9" t="str">
        <f t="shared" si="104"/>
        <v>NO</v>
      </c>
      <c r="AK521" s="9" t="str">
        <f t="shared" si="105"/>
        <v>NO</v>
      </c>
      <c r="AL521" s="9" t="str">
        <f t="shared" si="106"/>
        <v>NO</v>
      </c>
      <c r="AM521" s="9" t="str">
        <f t="shared" si="107"/>
        <v>NO</v>
      </c>
      <c r="AN521" s="9" t="str">
        <f t="shared" si="108"/>
        <v>Doesn't meet Standard</v>
      </c>
      <c r="AO521" s="9" t="str">
        <f t="shared" si="109"/>
        <v>7_Doesn't meet Standard</v>
      </c>
      <c r="AP521" s="9" t="str">
        <f t="shared" si="110"/>
        <v>7_NO</v>
      </c>
    </row>
    <row r="522" spans="1:42">
      <c r="A522">
        <v>87585</v>
      </c>
      <c r="B522" t="s">
        <v>177</v>
      </c>
      <c r="C522" t="s">
        <v>1599</v>
      </c>
      <c r="D522" t="s">
        <v>4519</v>
      </c>
      <c r="E522" t="s">
        <v>4179</v>
      </c>
      <c r="F522" t="s">
        <v>162</v>
      </c>
      <c r="G522" t="s">
        <v>4105</v>
      </c>
      <c r="H522"/>
      <c r="I522" t="s">
        <v>4098</v>
      </c>
      <c r="J522" t="b">
        <v>1</v>
      </c>
      <c r="K522" t="b">
        <v>0</v>
      </c>
      <c r="L522" t="b">
        <v>1</v>
      </c>
      <c r="M522" t="b">
        <v>1</v>
      </c>
      <c r="N522" t="b">
        <v>0</v>
      </c>
      <c r="O522" t="s">
        <v>4099</v>
      </c>
      <c r="P522">
        <v>13.6</v>
      </c>
      <c r="Q522">
        <v>7.2</v>
      </c>
      <c r="R522">
        <v>20.8</v>
      </c>
      <c r="S522">
        <v>83</v>
      </c>
      <c r="T522">
        <v>35</v>
      </c>
      <c r="U522">
        <v>26</v>
      </c>
      <c r="V522">
        <v>772</v>
      </c>
      <c r="W522" s="281">
        <v>41892</v>
      </c>
      <c r="X522" s="282"/>
      <c r="Z522" s="9" t="b">
        <f t="shared" ref="Z522:Z562" si="113">IF(R522&lt;7.75,TRUE, FALSE)</f>
        <v>0</v>
      </c>
      <c r="AA522" s="9" t="str">
        <f t="shared" si="112"/>
        <v>7-BI</v>
      </c>
      <c r="AB522" s="196">
        <f t="shared" ref="AB522:AB562" si="114">IF(OR(E522="Internal Freezer",E522 = "Single Door"),P522 + Q522*1.47,P522 + Q522*1.76)</f>
        <v>26.271999999999998</v>
      </c>
      <c r="AC522" s="9">
        <f>VLOOKUP(AA522,'Federal Standards'!$N$9:$P$50,2,FALSE)</f>
        <v>10.25</v>
      </c>
      <c r="AD522" s="44">
        <f>VLOOKUP(AA522,'Federal Standards'!$N$9:$P$50,3,FALSE)</f>
        <v>502.6</v>
      </c>
      <c r="AE522" s="44">
        <f t="shared" ref="AE522:AE562" si="115">AB522*AC522+AD522</f>
        <v>771.88800000000003</v>
      </c>
      <c r="AF522" s="283">
        <f t="shared" ref="AF522:AF562" si="116">IF($AF$2,AE522-V522,MAX(0,AE522-V522))</f>
        <v>-0.11199999999996635</v>
      </c>
      <c r="AG522" s="291">
        <f t="shared" si="111"/>
        <v>-1.450987708060837E-4</v>
      </c>
      <c r="AH522" s="184" t="str">
        <f t="shared" ref="AH522:AH562" si="117">IF(AF522&gt;=0,"YES","NO")</f>
        <v>NO</v>
      </c>
      <c r="AJ522" s="9" t="str">
        <f t="shared" ref="AJ522:AJ562" si="118">IF(AG522&gt;=0.1,"YES","NO")</f>
        <v>NO</v>
      </c>
      <c r="AK522" s="9" t="str">
        <f t="shared" ref="AK522:AK562" si="119">IF(AND($AG522&gt;=0.1,$AG522&lt;0.15),"YES","NO")</f>
        <v>NO</v>
      </c>
      <c r="AL522" s="9" t="str">
        <f t="shared" ref="AL522:AL562" si="120">IF(AND($AG522&gt;=0.15,$AG522&lt;0.2),"YES","NO")</f>
        <v>NO</v>
      </c>
      <c r="AM522" s="9" t="str">
        <f t="shared" ref="AM522:AM562" si="121">IF($AG522&gt;=0.2,"YES","NO")</f>
        <v>NO</v>
      </c>
      <c r="AN522" s="9" t="str">
        <f t="shared" ref="AN522:AN562" si="122">VLOOKUP(AG522,$AO$2:$AP$6,2,TRUE)</f>
        <v>Doesn't meet Standard</v>
      </c>
      <c r="AO522" s="9" t="str">
        <f t="shared" ref="AO522:AO562" si="123">AA522&amp;"_"&amp;AN522</f>
        <v>7-BI_Doesn't meet Standard</v>
      </c>
      <c r="AP522" s="9" t="str">
        <f t="shared" ref="AP522:AP562" si="124">CONCATENATE(AA522,"_",AJ522)</f>
        <v>7-BI_NO</v>
      </c>
    </row>
    <row r="523" spans="1:42">
      <c r="A523">
        <v>87582</v>
      </c>
      <c r="B523" t="s">
        <v>177</v>
      </c>
      <c r="C523" t="s">
        <v>1599</v>
      </c>
      <c r="D523" t="s">
        <v>1013</v>
      </c>
      <c r="E523" t="s">
        <v>4179</v>
      </c>
      <c r="F523" t="s">
        <v>162</v>
      </c>
      <c r="G523" t="s">
        <v>4105</v>
      </c>
      <c r="H523"/>
      <c r="I523" t="s">
        <v>4098</v>
      </c>
      <c r="J523" t="b">
        <v>1</v>
      </c>
      <c r="K523" t="b">
        <v>0</v>
      </c>
      <c r="L523" t="b">
        <v>1</v>
      </c>
      <c r="M523" t="b">
        <v>1</v>
      </c>
      <c r="N523" t="b">
        <v>0</v>
      </c>
      <c r="O523" t="s">
        <v>4099</v>
      </c>
      <c r="P523">
        <v>16.41</v>
      </c>
      <c r="Q523">
        <v>8.61</v>
      </c>
      <c r="R523">
        <v>25.02</v>
      </c>
      <c r="S523">
        <v>83</v>
      </c>
      <c r="T523">
        <v>42</v>
      </c>
      <c r="U523">
        <v>26</v>
      </c>
      <c r="V523">
        <v>752</v>
      </c>
      <c r="W523" s="281">
        <v>41892</v>
      </c>
      <c r="X523" s="282"/>
      <c r="Z523" s="9" t="b">
        <f t="shared" si="113"/>
        <v>0</v>
      </c>
      <c r="AA523" s="9" t="str">
        <f t="shared" si="112"/>
        <v>7-BI</v>
      </c>
      <c r="AB523" s="196">
        <f t="shared" si="114"/>
        <v>31.563600000000001</v>
      </c>
      <c r="AC523" s="9">
        <f>VLOOKUP(AA523,'Federal Standards'!$N$9:$P$50,2,FALSE)</f>
        <v>10.25</v>
      </c>
      <c r="AD523" s="44">
        <f>VLOOKUP(AA523,'Federal Standards'!$N$9:$P$50,3,FALSE)</f>
        <v>502.6</v>
      </c>
      <c r="AE523" s="44">
        <f t="shared" si="115"/>
        <v>826.12689999999998</v>
      </c>
      <c r="AF523" s="283">
        <f t="shared" si="116"/>
        <v>74.126899999999978</v>
      </c>
      <c r="AG523" s="291">
        <f t="shared" si="111"/>
        <v>8.9728224562110229E-2</v>
      </c>
      <c r="AH523" s="184" t="str">
        <f t="shared" si="117"/>
        <v>YES</v>
      </c>
      <c r="AJ523" s="9" t="str">
        <f t="shared" si="118"/>
        <v>NO</v>
      </c>
      <c r="AK523" s="9" t="str">
        <f t="shared" si="119"/>
        <v>NO</v>
      </c>
      <c r="AL523" s="9" t="str">
        <f t="shared" si="120"/>
        <v>NO</v>
      </c>
      <c r="AM523" s="9" t="str">
        <f t="shared" si="121"/>
        <v>NO</v>
      </c>
      <c r="AN523" s="9" t="str">
        <f t="shared" si="122"/>
        <v>Less than 10% better than Standard</v>
      </c>
      <c r="AO523" s="9" t="str">
        <f t="shared" si="123"/>
        <v>7-BI_Less than 10% better than Standard</v>
      </c>
      <c r="AP523" s="9" t="str">
        <f t="shared" si="124"/>
        <v>7-BI_NO</v>
      </c>
    </row>
    <row r="524" spans="1:42">
      <c r="A524">
        <v>87559</v>
      </c>
      <c r="B524" t="s">
        <v>177</v>
      </c>
      <c r="C524" t="s">
        <v>1599</v>
      </c>
      <c r="D524" t="s">
        <v>4520</v>
      </c>
      <c r="E524" t="s">
        <v>4179</v>
      </c>
      <c r="F524" t="s">
        <v>162</v>
      </c>
      <c r="G524" t="s">
        <v>4105</v>
      </c>
      <c r="H524"/>
      <c r="I524"/>
      <c r="J524" t="b">
        <v>1</v>
      </c>
      <c r="K524" t="b">
        <v>0</v>
      </c>
      <c r="L524" t="b">
        <v>1</v>
      </c>
      <c r="M524" t="b">
        <v>0</v>
      </c>
      <c r="N524" t="b">
        <v>0</v>
      </c>
      <c r="O524" t="s">
        <v>4099</v>
      </c>
      <c r="P524">
        <v>19.260000000000002</v>
      </c>
      <c r="Q524">
        <v>10.76</v>
      </c>
      <c r="R524">
        <v>30.02</v>
      </c>
      <c r="S524">
        <v>83</v>
      </c>
      <c r="T524">
        <v>48</v>
      </c>
      <c r="U524">
        <v>26</v>
      </c>
      <c r="V524">
        <v>832</v>
      </c>
      <c r="W524" s="281">
        <v>41892</v>
      </c>
      <c r="X524" s="282"/>
      <c r="Z524" s="9" t="b">
        <f t="shared" si="113"/>
        <v>0</v>
      </c>
      <c r="AA524" s="9" t="str">
        <f t="shared" si="112"/>
        <v>4I-BI</v>
      </c>
      <c r="AB524" s="196">
        <f t="shared" si="114"/>
        <v>38.197600000000001</v>
      </c>
      <c r="AC524" s="9">
        <f>VLOOKUP(AA524,'Federal Standards'!$N$9:$P$50,2,FALSE)</f>
        <v>10.220000000000001</v>
      </c>
      <c r="AD524" s="44">
        <f>VLOOKUP(AA524,'Federal Standards'!$N$9:$P$50,3,FALSE)</f>
        <v>441.4</v>
      </c>
      <c r="AE524" s="44">
        <f t="shared" si="115"/>
        <v>831.77947199999994</v>
      </c>
      <c r="AF524" s="283">
        <f t="shared" si="116"/>
        <v>-0.22052800000005846</v>
      </c>
      <c r="AG524" s="291">
        <f t="shared" ref="AG524:AG562" si="125">AF524/AE524</f>
        <v>-2.6512796651473319E-4</v>
      </c>
      <c r="AH524" s="184" t="str">
        <f t="shared" si="117"/>
        <v>NO</v>
      </c>
      <c r="AJ524" s="9" t="str">
        <f t="shared" si="118"/>
        <v>NO</v>
      </c>
      <c r="AK524" s="9" t="str">
        <f t="shared" si="119"/>
        <v>NO</v>
      </c>
      <c r="AL524" s="9" t="str">
        <f t="shared" si="120"/>
        <v>NO</v>
      </c>
      <c r="AM524" s="9" t="str">
        <f t="shared" si="121"/>
        <v>NO</v>
      </c>
      <c r="AN524" s="9" t="str">
        <f t="shared" si="122"/>
        <v>Doesn't meet Standard</v>
      </c>
      <c r="AO524" s="9" t="str">
        <f t="shared" si="123"/>
        <v>4I-BI_Doesn't meet Standard</v>
      </c>
      <c r="AP524" s="9" t="str">
        <f t="shared" si="124"/>
        <v>4I-BI_NO</v>
      </c>
    </row>
    <row r="525" spans="1:42">
      <c r="A525">
        <v>87578</v>
      </c>
      <c r="B525" t="s">
        <v>177</v>
      </c>
      <c r="C525" t="s">
        <v>1599</v>
      </c>
      <c r="D525" t="s">
        <v>1015</v>
      </c>
      <c r="E525" t="s">
        <v>4179</v>
      </c>
      <c r="F525" t="s">
        <v>162</v>
      </c>
      <c r="G525" t="s">
        <v>4105</v>
      </c>
      <c r="H525"/>
      <c r="I525" t="s">
        <v>4098</v>
      </c>
      <c r="J525" t="b">
        <v>1</v>
      </c>
      <c r="K525" t="b">
        <v>0</v>
      </c>
      <c r="L525" t="b">
        <v>1</v>
      </c>
      <c r="M525" t="b">
        <v>1</v>
      </c>
      <c r="N525" t="b">
        <v>0</v>
      </c>
      <c r="O525" t="s">
        <v>4099</v>
      </c>
      <c r="P525">
        <v>19.22</v>
      </c>
      <c r="Q525">
        <v>10.3</v>
      </c>
      <c r="R525">
        <v>29.52</v>
      </c>
      <c r="S525">
        <v>83</v>
      </c>
      <c r="T525">
        <v>48</v>
      </c>
      <c r="U525">
        <v>26</v>
      </c>
      <c r="V525">
        <v>805</v>
      </c>
      <c r="W525" s="281">
        <v>41892</v>
      </c>
      <c r="X525" s="282"/>
      <c r="Z525" s="9" t="b">
        <f t="shared" si="113"/>
        <v>0</v>
      </c>
      <c r="AA525" s="9" t="str">
        <f t="shared" si="112"/>
        <v>7-BI</v>
      </c>
      <c r="AB525" s="196">
        <f t="shared" si="114"/>
        <v>37.347999999999999</v>
      </c>
      <c r="AC525" s="9">
        <f>VLOOKUP(AA525,'Federal Standards'!$N$9:$P$50,2,FALSE)</f>
        <v>10.25</v>
      </c>
      <c r="AD525" s="44">
        <f>VLOOKUP(AA525,'Federal Standards'!$N$9:$P$50,3,FALSE)</f>
        <v>502.6</v>
      </c>
      <c r="AE525" s="44">
        <f t="shared" si="115"/>
        <v>885.41700000000003</v>
      </c>
      <c r="AF525" s="283">
        <f t="shared" si="116"/>
        <v>80.41700000000003</v>
      </c>
      <c r="AG525" s="291">
        <f t="shared" si="125"/>
        <v>9.0823871689836577E-2</v>
      </c>
      <c r="AH525" s="184" t="str">
        <f t="shared" si="117"/>
        <v>YES</v>
      </c>
      <c r="AJ525" s="9" t="str">
        <f t="shared" si="118"/>
        <v>NO</v>
      </c>
      <c r="AK525" s="9" t="str">
        <f t="shared" si="119"/>
        <v>NO</v>
      </c>
      <c r="AL525" s="9" t="str">
        <f t="shared" si="120"/>
        <v>NO</v>
      </c>
      <c r="AM525" s="9" t="str">
        <f t="shared" si="121"/>
        <v>NO</v>
      </c>
      <c r="AN525" s="9" t="str">
        <f t="shared" si="122"/>
        <v>Less than 10% better than Standard</v>
      </c>
      <c r="AO525" s="9" t="str">
        <f t="shared" si="123"/>
        <v>7-BI_Less than 10% better than Standard</v>
      </c>
      <c r="AP525" s="9" t="str">
        <f t="shared" si="124"/>
        <v>7-BI_NO</v>
      </c>
    </row>
    <row r="526" spans="1:42">
      <c r="A526">
        <v>83006</v>
      </c>
      <c r="B526" t="s">
        <v>177</v>
      </c>
      <c r="C526" t="s">
        <v>173</v>
      </c>
      <c r="D526" t="s">
        <v>4964</v>
      </c>
      <c r="E526" t="s">
        <v>4104</v>
      </c>
      <c r="F526" t="s">
        <v>162</v>
      </c>
      <c r="G526" t="s">
        <v>4105</v>
      </c>
      <c r="H526"/>
      <c r="I526" t="s">
        <v>4106</v>
      </c>
      <c r="J526"/>
      <c r="K526"/>
      <c r="L526"/>
      <c r="M526"/>
      <c r="N526" t="b">
        <v>0</v>
      </c>
      <c r="O526" t="s">
        <v>4099</v>
      </c>
      <c r="P526">
        <v>13.52</v>
      </c>
      <c r="Q526">
        <v>4.07</v>
      </c>
      <c r="R526">
        <v>17.59</v>
      </c>
      <c r="S526">
        <v>67</v>
      </c>
      <c r="T526">
        <v>28</v>
      </c>
      <c r="U526">
        <v>30</v>
      </c>
      <c r="V526">
        <v>470</v>
      </c>
      <c r="W526" s="281">
        <v>41614</v>
      </c>
      <c r="X526" s="282"/>
      <c r="Z526" s="9" t="b">
        <f t="shared" si="113"/>
        <v>0</v>
      </c>
      <c r="AA526" s="9" t="str">
        <f t="shared" si="112"/>
        <v>3</v>
      </c>
      <c r="AB526" s="196">
        <f t="shared" si="114"/>
        <v>20.683199999999999</v>
      </c>
      <c r="AC526" s="9">
        <f>VLOOKUP(AA526,'Federal Standards'!$N$9:$P$50,2,FALSE)</f>
        <v>8.07</v>
      </c>
      <c r="AD526" s="44">
        <f>VLOOKUP(AA526,'Federal Standards'!$N$9:$P$50,3,FALSE)</f>
        <v>233.7</v>
      </c>
      <c r="AE526" s="44">
        <f t="shared" si="115"/>
        <v>400.61342400000001</v>
      </c>
      <c r="AF526" s="283">
        <f t="shared" si="116"/>
        <v>-69.386575999999991</v>
      </c>
      <c r="AG526" s="291">
        <f t="shared" si="125"/>
        <v>-0.17320082614106308</v>
      </c>
      <c r="AH526" s="184" t="str">
        <f t="shared" si="117"/>
        <v>NO</v>
      </c>
      <c r="AJ526" s="9" t="str">
        <f t="shared" si="118"/>
        <v>NO</v>
      </c>
      <c r="AK526" s="9" t="str">
        <f t="shared" si="119"/>
        <v>NO</v>
      </c>
      <c r="AL526" s="9" t="str">
        <f t="shared" si="120"/>
        <v>NO</v>
      </c>
      <c r="AM526" s="9" t="str">
        <f t="shared" si="121"/>
        <v>NO</v>
      </c>
      <c r="AN526" s="9" t="str">
        <f t="shared" si="122"/>
        <v>Doesn't meet Standard</v>
      </c>
      <c r="AO526" s="9" t="str">
        <f t="shared" si="123"/>
        <v>3_Doesn't meet Standard</v>
      </c>
      <c r="AP526" s="9" t="str">
        <f t="shared" si="124"/>
        <v>3_NO</v>
      </c>
    </row>
    <row r="527" spans="1:42">
      <c r="A527">
        <v>84636</v>
      </c>
      <c r="B527" t="s">
        <v>177</v>
      </c>
      <c r="C527" t="s">
        <v>173</v>
      </c>
      <c r="D527" t="s">
        <v>1168</v>
      </c>
      <c r="E527" t="s">
        <v>4109</v>
      </c>
      <c r="F527" t="s">
        <v>162</v>
      </c>
      <c r="G527" t="s">
        <v>4105</v>
      </c>
      <c r="H527"/>
      <c r="I527"/>
      <c r="J527" t="b">
        <v>0</v>
      </c>
      <c r="K527" t="b">
        <v>0</v>
      </c>
      <c r="L527" t="b">
        <v>1</v>
      </c>
      <c r="M527" t="b">
        <v>0</v>
      </c>
      <c r="N527" t="b">
        <v>0</v>
      </c>
      <c r="O527" t="s">
        <v>4099</v>
      </c>
      <c r="P527">
        <v>15.62</v>
      </c>
      <c r="Q527">
        <v>6.45</v>
      </c>
      <c r="R527">
        <v>22.07</v>
      </c>
      <c r="S527">
        <v>69</v>
      </c>
      <c r="T527">
        <v>33</v>
      </c>
      <c r="U527">
        <v>32</v>
      </c>
      <c r="V527">
        <v>584</v>
      </c>
      <c r="W527" s="281">
        <v>41799</v>
      </c>
      <c r="X527" s="282"/>
      <c r="Z527" s="9" t="b">
        <f t="shared" si="113"/>
        <v>0</v>
      </c>
      <c r="AA527" s="9" t="str">
        <f t="shared" si="112"/>
        <v>5I</v>
      </c>
      <c r="AB527" s="196">
        <f t="shared" si="114"/>
        <v>26.972000000000001</v>
      </c>
      <c r="AC527" s="9">
        <f>VLOOKUP(AA527,'Federal Standards'!$N$9:$P$50,2,FALSE)</f>
        <v>8.85</v>
      </c>
      <c r="AD527" s="44">
        <f>VLOOKUP(AA527,'Federal Standards'!$N$9:$P$50,3,FALSE)</f>
        <v>401</v>
      </c>
      <c r="AE527" s="44">
        <f t="shared" si="115"/>
        <v>639.70219999999995</v>
      </c>
      <c r="AF527" s="283">
        <f t="shared" si="116"/>
        <v>55.702199999999948</v>
      </c>
      <c r="AG527" s="291">
        <f t="shared" si="125"/>
        <v>8.7075204681178131E-2</v>
      </c>
      <c r="AH527" s="184" t="str">
        <f t="shared" si="117"/>
        <v>YES</v>
      </c>
      <c r="AJ527" s="9" t="str">
        <f t="shared" si="118"/>
        <v>NO</v>
      </c>
      <c r="AK527" s="9" t="str">
        <f t="shared" si="119"/>
        <v>NO</v>
      </c>
      <c r="AL527" s="9" t="str">
        <f t="shared" si="120"/>
        <v>NO</v>
      </c>
      <c r="AM527" s="9" t="str">
        <f t="shared" si="121"/>
        <v>NO</v>
      </c>
      <c r="AN527" s="9" t="str">
        <f t="shared" si="122"/>
        <v>Less than 10% better than Standard</v>
      </c>
      <c r="AO527" s="9" t="str">
        <f t="shared" si="123"/>
        <v>5I_Less than 10% better than Standard</v>
      </c>
      <c r="AP527" s="9" t="str">
        <f t="shared" si="124"/>
        <v>5I_NO</v>
      </c>
    </row>
    <row r="528" spans="1:42">
      <c r="A528">
        <v>82880</v>
      </c>
      <c r="B528" t="s">
        <v>177</v>
      </c>
      <c r="C528" t="s">
        <v>173</v>
      </c>
      <c r="D528" t="s">
        <v>4965</v>
      </c>
      <c r="E528" t="s">
        <v>4198</v>
      </c>
      <c r="F528" t="s">
        <v>162</v>
      </c>
      <c r="G528" t="s">
        <v>4105</v>
      </c>
      <c r="H528"/>
      <c r="I528" t="s">
        <v>4106</v>
      </c>
      <c r="J528"/>
      <c r="K528"/>
      <c r="L528"/>
      <c r="M528"/>
      <c r="N528" t="b">
        <v>0</v>
      </c>
      <c r="O528" t="s">
        <v>4099</v>
      </c>
      <c r="P528">
        <v>15.56</v>
      </c>
      <c r="Q528">
        <v>6.3</v>
      </c>
      <c r="R528">
        <v>21.86</v>
      </c>
      <c r="S528">
        <v>66</v>
      </c>
      <c r="T528">
        <v>33</v>
      </c>
      <c r="U528">
        <v>33</v>
      </c>
      <c r="V528">
        <v>459</v>
      </c>
      <c r="W528" s="281">
        <v>41555</v>
      </c>
      <c r="X528" s="282"/>
      <c r="Z528" s="9" t="b">
        <f t="shared" si="113"/>
        <v>0</v>
      </c>
      <c r="AA528" s="9" t="str">
        <f t="shared" si="112"/>
        <v>5</v>
      </c>
      <c r="AB528" s="196">
        <f t="shared" si="114"/>
        <v>26.648</v>
      </c>
      <c r="AC528" s="9">
        <f>VLOOKUP(AA528,'Federal Standards'!$N$9:$P$50,2,FALSE)</f>
        <v>8.85</v>
      </c>
      <c r="AD528" s="44">
        <f>VLOOKUP(AA528,'Federal Standards'!$N$9:$P$50,3,FALSE)</f>
        <v>317</v>
      </c>
      <c r="AE528" s="44">
        <f t="shared" si="115"/>
        <v>552.83479999999997</v>
      </c>
      <c r="AF528" s="283">
        <f t="shared" si="116"/>
        <v>93.834799999999973</v>
      </c>
      <c r="AG528" s="291">
        <f t="shared" si="125"/>
        <v>0.16973388795350794</v>
      </c>
      <c r="AH528" s="184" t="str">
        <f t="shared" si="117"/>
        <v>YES</v>
      </c>
      <c r="AJ528" s="9" t="str">
        <f t="shared" si="118"/>
        <v>YES</v>
      </c>
      <c r="AK528" s="9" t="str">
        <f t="shared" si="119"/>
        <v>NO</v>
      </c>
      <c r="AL528" s="9" t="str">
        <f t="shared" si="120"/>
        <v>YES</v>
      </c>
      <c r="AM528" s="9" t="str">
        <f t="shared" si="121"/>
        <v>NO</v>
      </c>
      <c r="AN528" s="9" t="str">
        <f t="shared" si="122"/>
        <v>Tier 2 - 15% to 20% better than Standard</v>
      </c>
      <c r="AO528" s="9" t="str">
        <f t="shared" si="123"/>
        <v>5_Tier 2 - 15% to 20% better than Standard</v>
      </c>
      <c r="AP528" s="9" t="str">
        <f t="shared" si="124"/>
        <v>5_YES</v>
      </c>
    </row>
    <row r="529" spans="1:42">
      <c r="A529">
        <v>87572</v>
      </c>
      <c r="B529" t="s">
        <v>177</v>
      </c>
      <c r="C529" t="s">
        <v>173</v>
      </c>
      <c r="D529" t="s">
        <v>1178</v>
      </c>
      <c r="E529" t="s">
        <v>4109</v>
      </c>
      <c r="F529" t="s">
        <v>162</v>
      </c>
      <c r="G529" t="s">
        <v>4105</v>
      </c>
      <c r="H529"/>
      <c r="I529" t="s">
        <v>4170</v>
      </c>
      <c r="J529" t="b">
        <v>0</v>
      </c>
      <c r="K529" t="b">
        <v>0</v>
      </c>
      <c r="L529" t="b">
        <v>1</v>
      </c>
      <c r="M529" t="b">
        <v>1</v>
      </c>
      <c r="N529" t="b">
        <v>0</v>
      </c>
      <c r="O529" t="s">
        <v>4099</v>
      </c>
      <c r="P529">
        <v>19.03</v>
      </c>
      <c r="Q529">
        <v>7.77</v>
      </c>
      <c r="R529">
        <v>26.8</v>
      </c>
      <c r="S529">
        <v>71</v>
      </c>
      <c r="T529">
        <v>36</v>
      </c>
      <c r="U529">
        <v>36</v>
      </c>
      <c r="V529">
        <v>709</v>
      </c>
      <c r="W529" s="281">
        <v>41892</v>
      </c>
      <c r="X529" s="282"/>
      <c r="Z529" s="9" t="b">
        <f t="shared" si="113"/>
        <v>0</v>
      </c>
      <c r="AA529" s="9" t="str">
        <f t="shared" si="112"/>
        <v>5A</v>
      </c>
      <c r="AB529" s="196">
        <f t="shared" si="114"/>
        <v>32.705199999999998</v>
      </c>
      <c r="AC529" s="9">
        <f>VLOOKUP(AA529,'Federal Standards'!$N$9:$P$50,2,FALSE)</f>
        <v>9.25</v>
      </c>
      <c r="AD529" s="44">
        <f>VLOOKUP(AA529,'Federal Standards'!$N$9:$P$50,3,FALSE)</f>
        <v>475.4</v>
      </c>
      <c r="AE529" s="44">
        <f t="shared" si="115"/>
        <v>777.92309999999998</v>
      </c>
      <c r="AF529" s="283">
        <f t="shared" si="116"/>
        <v>68.923099999999977</v>
      </c>
      <c r="AG529" s="291">
        <f t="shared" si="125"/>
        <v>8.8598860221530865E-2</v>
      </c>
      <c r="AH529" s="184" t="str">
        <f t="shared" si="117"/>
        <v>YES</v>
      </c>
      <c r="AJ529" s="9" t="str">
        <f t="shared" si="118"/>
        <v>NO</v>
      </c>
      <c r="AK529" s="9" t="str">
        <f t="shared" si="119"/>
        <v>NO</v>
      </c>
      <c r="AL529" s="9" t="str">
        <f t="shared" si="120"/>
        <v>NO</v>
      </c>
      <c r="AM529" s="9" t="str">
        <f t="shared" si="121"/>
        <v>NO</v>
      </c>
      <c r="AN529" s="9" t="str">
        <f t="shared" si="122"/>
        <v>Less than 10% better than Standard</v>
      </c>
      <c r="AO529" s="9" t="str">
        <f t="shared" si="123"/>
        <v>5A_Less than 10% better than Standard</v>
      </c>
      <c r="AP529" s="9" t="str">
        <f t="shared" si="124"/>
        <v>5A_NO</v>
      </c>
    </row>
    <row r="530" spans="1:42">
      <c r="A530">
        <v>84661</v>
      </c>
      <c r="B530" t="s">
        <v>177</v>
      </c>
      <c r="C530" t="s">
        <v>173</v>
      </c>
      <c r="D530" t="s">
        <v>4521</v>
      </c>
      <c r="E530" t="s">
        <v>4109</v>
      </c>
      <c r="F530" t="s">
        <v>162</v>
      </c>
      <c r="G530" t="s">
        <v>4105</v>
      </c>
      <c r="H530"/>
      <c r="I530"/>
      <c r="J530" t="b">
        <v>0</v>
      </c>
      <c r="K530" t="b">
        <v>0</v>
      </c>
      <c r="L530" t="b">
        <v>1</v>
      </c>
      <c r="M530" t="b">
        <v>1</v>
      </c>
      <c r="N530" t="b">
        <v>1</v>
      </c>
      <c r="O530" t="s">
        <v>4099</v>
      </c>
      <c r="P530">
        <v>18.399999999999999</v>
      </c>
      <c r="Q530">
        <v>7.77</v>
      </c>
      <c r="R530">
        <v>26.2</v>
      </c>
      <c r="S530">
        <v>71</v>
      </c>
      <c r="T530">
        <v>36</v>
      </c>
      <c r="U530">
        <v>37</v>
      </c>
      <c r="V530">
        <v>772</v>
      </c>
      <c r="W530" s="281">
        <v>41799</v>
      </c>
      <c r="X530" s="282"/>
      <c r="Z530" s="9" t="b">
        <f t="shared" si="113"/>
        <v>0</v>
      </c>
      <c r="AA530" s="9" t="str">
        <f t="shared" si="112"/>
        <v>5A</v>
      </c>
      <c r="AB530" s="196">
        <f t="shared" si="114"/>
        <v>32.075199999999995</v>
      </c>
      <c r="AC530" s="9">
        <f>VLOOKUP(AA530,'Federal Standards'!$N$9:$P$50,2,FALSE)</f>
        <v>9.25</v>
      </c>
      <c r="AD530" s="44">
        <f>VLOOKUP(AA530,'Federal Standards'!$N$9:$P$50,3,FALSE)</f>
        <v>475.4</v>
      </c>
      <c r="AE530" s="44">
        <f t="shared" si="115"/>
        <v>772.09559999999988</v>
      </c>
      <c r="AF530" s="283">
        <f t="shared" si="116"/>
        <v>9.5599999999876673E-2</v>
      </c>
      <c r="AG530" s="291">
        <f t="shared" si="125"/>
        <v>1.2381886388146323E-4</v>
      </c>
      <c r="AH530" s="184" t="str">
        <f t="shared" si="117"/>
        <v>YES</v>
      </c>
      <c r="AJ530" s="9" t="str">
        <f t="shared" si="118"/>
        <v>NO</v>
      </c>
      <c r="AK530" s="9" t="str">
        <f t="shared" si="119"/>
        <v>NO</v>
      </c>
      <c r="AL530" s="9" t="str">
        <f t="shared" si="120"/>
        <v>NO</v>
      </c>
      <c r="AM530" s="9" t="str">
        <f t="shared" si="121"/>
        <v>NO</v>
      </c>
      <c r="AN530" s="9" t="str">
        <f t="shared" si="122"/>
        <v>Less than 10% better than Standard</v>
      </c>
      <c r="AO530" s="9" t="str">
        <f t="shared" si="123"/>
        <v>5A_Less than 10% better than Standard</v>
      </c>
      <c r="AP530" s="9" t="str">
        <f t="shared" si="124"/>
        <v>5A_NO</v>
      </c>
    </row>
    <row r="531" spans="1:42">
      <c r="A531">
        <v>87893</v>
      </c>
      <c r="B531" t="s">
        <v>177</v>
      </c>
      <c r="C531" t="s">
        <v>173</v>
      </c>
      <c r="D531" t="s">
        <v>4522</v>
      </c>
      <c r="E531" t="s">
        <v>4108</v>
      </c>
      <c r="F531" t="s">
        <v>162</v>
      </c>
      <c r="G531" t="s">
        <v>4105</v>
      </c>
      <c r="H531"/>
      <c r="I531" t="s">
        <v>4098</v>
      </c>
      <c r="J531" t="b">
        <v>0</v>
      </c>
      <c r="K531" t="b">
        <v>0</v>
      </c>
      <c r="L531" t="b">
        <v>0</v>
      </c>
      <c r="M531"/>
      <c r="N531" t="b">
        <v>0</v>
      </c>
      <c r="O531" t="s">
        <v>4099</v>
      </c>
      <c r="P531">
        <v>14</v>
      </c>
      <c r="Q531">
        <v>5.14</v>
      </c>
      <c r="R531">
        <v>19.14</v>
      </c>
      <c r="S531">
        <v>66</v>
      </c>
      <c r="T531">
        <v>30</v>
      </c>
      <c r="U531">
        <v>33</v>
      </c>
      <c r="V531">
        <v>420</v>
      </c>
      <c r="W531" s="281">
        <v>41894</v>
      </c>
      <c r="X531" s="282"/>
      <c r="Z531" s="9" t="b">
        <f t="shared" si="113"/>
        <v>0</v>
      </c>
      <c r="AA531" s="9" t="str">
        <f t="shared" si="112"/>
        <v>3</v>
      </c>
      <c r="AB531" s="196">
        <f t="shared" si="114"/>
        <v>23.046399999999998</v>
      </c>
      <c r="AC531" s="9">
        <f>VLOOKUP(AA531,'Federal Standards'!$N$9:$P$50,2,FALSE)</f>
        <v>8.07</v>
      </c>
      <c r="AD531" s="44">
        <f>VLOOKUP(AA531,'Federal Standards'!$N$9:$P$50,3,FALSE)</f>
        <v>233.7</v>
      </c>
      <c r="AE531" s="44">
        <f t="shared" si="115"/>
        <v>419.68444799999997</v>
      </c>
      <c r="AF531" s="283">
        <f t="shared" si="116"/>
        <v>-0.31555200000002515</v>
      </c>
      <c r="AG531" s="291">
        <f t="shared" si="125"/>
        <v>-7.5187918328587953E-4</v>
      </c>
      <c r="AH531" s="184" t="str">
        <f t="shared" si="117"/>
        <v>NO</v>
      </c>
      <c r="AJ531" s="9" t="str">
        <f t="shared" si="118"/>
        <v>NO</v>
      </c>
      <c r="AK531" s="9" t="str">
        <f t="shared" si="119"/>
        <v>NO</v>
      </c>
      <c r="AL531" s="9" t="str">
        <f t="shared" si="120"/>
        <v>NO</v>
      </c>
      <c r="AM531" s="9" t="str">
        <f t="shared" si="121"/>
        <v>NO</v>
      </c>
      <c r="AN531" s="9" t="str">
        <f t="shared" si="122"/>
        <v>Doesn't meet Standard</v>
      </c>
      <c r="AO531" s="9" t="str">
        <f t="shared" si="123"/>
        <v>3_Doesn't meet Standard</v>
      </c>
      <c r="AP531" s="9" t="str">
        <f t="shared" si="124"/>
        <v>3_NO</v>
      </c>
    </row>
    <row r="532" spans="1:42">
      <c r="A532">
        <v>87883</v>
      </c>
      <c r="B532" t="s">
        <v>177</v>
      </c>
      <c r="C532" t="s">
        <v>173</v>
      </c>
      <c r="D532" t="s">
        <v>4523</v>
      </c>
      <c r="E532" t="s">
        <v>4108</v>
      </c>
      <c r="F532" t="s">
        <v>162</v>
      </c>
      <c r="G532" t="s">
        <v>4105</v>
      </c>
      <c r="H532"/>
      <c r="I532" t="s">
        <v>4098</v>
      </c>
      <c r="J532" t="b">
        <v>0</v>
      </c>
      <c r="K532" t="b">
        <v>0</v>
      </c>
      <c r="L532" t="b">
        <v>0</v>
      </c>
      <c r="M532"/>
      <c r="N532" t="b">
        <v>0</v>
      </c>
      <c r="O532" t="s">
        <v>4099</v>
      </c>
      <c r="P532">
        <v>15.11</v>
      </c>
      <c r="Q532">
        <v>6.13</v>
      </c>
      <c r="R532">
        <v>21.24</v>
      </c>
      <c r="S532">
        <v>65</v>
      </c>
      <c r="T532">
        <v>33</v>
      </c>
      <c r="U532">
        <v>32</v>
      </c>
      <c r="V532">
        <v>443</v>
      </c>
      <c r="W532" s="281">
        <v>41894</v>
      </c>
      <c r="X532" s="282"/>
      <c r="Z532" s="9" t="b">
        <f t="shared" si="113"/>
        <v>0</v>
      </c>
      <c r="AA532" s="9" t="str">
        <f t="shared" si="112"/>
        <v>3</v>
      </c>
      <c r="AB532" s="196">
        <f t="shared" si="114"/>
        <v>25.898800000000001</v>
      </c>
      <c r="AC532" s="9">
        <f>VLOOKUP(AA532,'Federal Standards'!$N$9:$P$50,2,FALSE)</f>
        <v>8.07</v>
      </c>
      <c r="AD532" s="44">
        <f>VLOOKUP(AA532,'Federal Standards'!$N$9:$P$50,3,FALSE)</f>
        <v>233.7</v>
      </c>
      <c r="AE532" s="44">
        <f t="shared" si="115"/>
        <v>442.70331599999997</v>
      </c>
      <c r="AF532" s="283">
        <f t="shared" si="116"/>
        <v>-0.29668400000002748</v>
      </c>
      <c r="AG532" s="291">
        <f t="shared" si="125"/>
        <v>-6.7016439515449105E-4</v>
      </c>
      <c r="AH532" s="184" t="str">
        <f t="shared" si="117"/>
        <v>NO</v>
      </c>
      <c r="AJ532" s="9" t="str">
        <f t="shared" si="118"/>
        <v>NO</v>
      </c>
      <c r="AK532" s="9" t="str">
        <f t="shared" si="119"/>
        <v>NO</v>
      </c>
      <c r="AL532" s="9" t="str">
        <f t="shared" si="120"/>
        <v>NO</v>
      </c>
      <c r="AM532" s="9" t="str">
        <f t="shared" si="121"/>
        <v>NO</v>
      </c>
      <c r="AN532" s="9" t="str">
        <f t="shared" si="122"/>
        <v>Doesn't meet Standard</v>
      </c>
      <c r="AO532" s="9" t="str">
        <f t="shared" si="123"/>
        <v>3_Doesn't meet Standard</v>
      </c>
      <c r="AP532" s="9" t="str">
        <f t="shared" si="124"/>
        <v>3_NO</v>
      </c>
    </row>
    <row r="533" spans="1:42">
      <c r="A533">
        <v>84644</v>
      </c>
      <c r="B533" t="s">
        <v>177</v>
      </c>
      <c r="C533" t="s">
        <v>173</v>
      </c>
      <c r="D533" t="s">
        <v>4524</v>
      </c>
      <c r="E533" t="s">
        <v>4179</v>
      </c>
      <c r="F533" t="s">
        <v>162</v>
      </c>
      <c r="G533" t="s">
        <v>4105</v>
      </c>
      <c r="H533"/>
      <c r="I533"/>
      <c r="J533" t="b">
        <v>0</v>
      </c>
      <c r="K533" t="b">
        <v>0</v>
      </c>
      <c r="L533" t="b">
        <v>1</v>
      </c>
      <c r="M533" t="b">
        <v>1</v>
      </c>
      <c r="N533" t="b">
        <v>0</v>
      </c>
      <c r="O533" t="s">
        <v>4099</v>
      </c>
      <c r="P533">
        <v>16.66</v>
      </c>
      <c r="Q533">
        <v>8.93</v>
      </c>
      <c r="R533">
        <v>25.6</v>
      </c>
      <c r="S533">
        <v>69</v>
      </c>
      <c r="T533">
        <v>36</v>
      </c>
      <c r="U533">
        <v>29</v>
      </c>
      <c r="V533">
        <v>709</v>
      </c>
      <c r="W533" s="281">
        <v>41799</v>
      </c>
      <c r="X533" s="282"/>
      <c r="Z533" s="9" t="b">
        <f t="shared" si="113"/>
        <v>0</v>
      </c>
      <c r="AA533" s="9" t="str">
        <f t="shared" si="112"/>
        <v>7</v>
      </c>
      <c r="AB533" s="196">
        <f t="shared" si="114"/>
        <v>32.376800000000003</v>
      </c>
      <c r="AC533" s="9">
        <f>VLOOKUP(AA533,'Federal Standards'!$N$9:$P$50,2,FALSE)</f>
        <v>8.5399999999999991</v>
      </c>
      <c r="AD533" s="44">
        <f>VLOOKUP(AA533,'Federal Standards'!$N$9:$P$50,3,FALSE)</f>
        <v>432.8</v>
      </c>
      <c r="AE533" s="44">
        <f t="shared" si="115"/>
        <v>709.29787199999998</v>
      </c>
      <c r="AF533" s="283">
        <f t="shared" si="116"/>
        <v>0.29787199999998393</v>
      </c>
      <c r="AG533" s="291">
        <f t="shared" si="125"/>
        <v>4.1995332533576802E-4</v>
      </c>
      <c r="AH533" s="184" t="str">
        <f t="shared" si="117"/>
        <v>YES</v>
      </c>
      <c r="AJ533" s="9" t="str">
        <f t="shared" si="118"/>
        <v>NO</v>
      </c>
      <c r="AK533" s="9" t="str">
        <f t="shared" si="119"/>
        <v>NO</v>
      </c>
      <c r="AL533" s="9" t="str">
        <f t="shared" si="120"/>
        <v>NO</v>
      </c>
      <c r="AM533" s="9" t="str">
        <f t="shared" si="121"/>
        <v>NO</v>
      </c>
      <c r="AN533" s="9" t="str">
        <f t="shared" si="122"/>
        <v>Less than 10% better than Standard</v>
      </c>
      <c r="AO533" s="9" t="str">
        <f t="shared" si="123"/>
        <v>7_Less than 10% better than Standard</v>
      </c>
      <c r="AP533" s="9" t="str">
        <f t="shared" si="124"/>
        <v>7_NO</v>
      </c>
    </row>
    <row r="534" spans="1:42">
      <c r="A534">
        <v>84649</v>
      </c>
      <c r="B534" t="s">
        <v>177</v>
      </c>
      <c r="C534" t="s">
        <v>173</v>
      </c>
      <c r="D534" t="s">
        <v>4525</v>
      </c>
      <c r="E534" t="s">
        <v>4179</v>
      </c>
      <c r="F534" t="s">
        <v>162</v>
      </c>
      <c r="G534" t="s">
        <v>4105</v>
      </c>
      <c r="H534"/>
      <c r="I534"/>
      <c r="J534" t="b">
        <v>0</v>
      </c>
      <c r="K534" t="b">
        <v>0</v>
      </c>
      <c r="L534" t="b">
        <v>1</v>
      </c>
      <c r="M534" t="b">
        <v>1</v>
      </c>
      <c r="N534" t="b">
        <v>0</v>
      </c>
      <c r="O534" t="s">
        <v>4099</v>
      </c>
      <c r="P534">
        <v>14.51</v>
      </c>
      <c r="Q534">
        <v>6.77</v>
      </c>
      <c r="R534">
        <v>21.28</v>
      </c>
      <c r="S534">
        <v>66</v>
      </c>
      <c r="T534">
        <v>33</v>
      </c>
      <c r="U534">
        <v>28</v>
      </c>
      <c r="V534">
        <v>658</v>
      </c>
      <c r="W534" s="281">
        <v>41799</v>
      </c>
      <c r="X534" s="282"/>
      <c r="Z534" s="9" t="b">
        <f t="shared" si="113"/>
        <v>0</v>
      </c>
      <c r="AA534" s="9" t="str">
        <f t="shared" si="112"/>
        <v>7</v>
      </c>
      <c r="AB534" s="196">
        <f t="shared" si="114"/>
        <v>26.425199999999997</v>
      </c>
      <c r="AC534" s="9">
        <f>VLOOKUP(AA534,'Federal Standards'!$N$9:$P$50,2,FALSE)</f>
        <v>8.5399999999999991</v>
      </c>
      <c r="AD534" s="44">
        <f>VLOOKUP(AA534,'Federal Standards'!$N$9:$P$50,3,FALSE)</f>
        <v>432.8</v>
      </c>
      <c r="AE534" s="44">
        <f t="shared" si="115"/>
        <v>658.47120799999993</v>
      </c>
      <c r="AF534" s="283">
        <f t="shared" si="116"/>
        <v>0.47120799999993324</v>
      </c>
      <c r="AG534" s="291">
        <f t="shared" si="125"/>
        <v>7.1560911741479411E-4</v>
      </c>
      <c r="AH534" s="184" t="str">
        <f t="shared" si="117"/>
        <v>YES</v>
      </c>
      <c r="AJ534" s="9" t="str">
        <f t="shared" si="118"/>
        <v>NO</v>
      </c>
      <c r="AK534" s="9" t="str">
        <f t="shared" si="119"/>
        <v>NO</v>
      </c>
      <c r="AL534" s="9" t="str">
        <f t="shared" si="120"/>
        <v>NO</v>
      </c>
      <c r="AM534" s="9" t="str">
        <f t="shared" si="121"/>
        <v>NO</v>
      </c>
      <c r="AN534" s="9" t="str">
        <f t="shared" si="122"/>
        <v>Less than 10% better than Standard</v>
      </c>
      <c r="AO534" s="9" t="str">
        <f t="shared" si="123"/>
        <v>7_Less than 10% better than Standard</v>
      </c>
      <c r="AP534" s="9" t="str">
        <f t="shared" si="124"/>
        <v>7_NO</v>
      </c>
    </row>
    <row r="535" spans="1:42">
      <c r="A535">
        <v>84643</v>
      </c>
      <c r="B535" t="s">
        <v>177</v>
      </c>
      <c r="C535" t="s">
        <v>173</v>
      </c>
      <c r="D535" t="s">
        <v>4526</v>
      </c>
      <c r="E535" t="s">
        <v>4179</v>
      </c>
      <c r="F535" t="s">
        <v>162</v>
      </c>
      <c r="G535" t="s">
        <v>4105</v>
      </c>
      <c r="H535"/>
      <c r="I535"/>
      <c r="J535" t="b">
        <v>0</v>
      </c>
      <c r="K535" t="b">
        <v>0</v>
      </c>
      <c r="L535" t="b">
        <v>1</v>
      </c>
      <c r="M535" t="b">
        <v>1</v>
      </c>
      <c r="N535" t="b">
        <v>0</v>
      </c>
      <c r="O535" t="s">
        <v>4099</v>
      </c>
      <c r="P535">
        <v>15.39</v>
      </c>
      <c r="Q535">
        <v>9.17</v>
      </c>
      <c r="R535">
        <v>24.56</v>
      </c>
      <c r="S535">
        <v>69</v>
      </c>
      <c r="T535">
        <v>36</v>
      </c>
      <c r="U535">
        <v>28</v>
      </c>
      <c r="V535">
        <v>702</v>
      </c>
      <c r="W535" s="281">
        <v>41799</v>
      </c>
      <c r="X535" s="282"/>
      <c r="Z535" s="9" t="b">
        <f t="shared" si="113"/>
        <v>0</v>
      </c>
      <c r="AA535" s="9" t="str">
        <f t="shared" si="112"/>
        <v>7</v>
      </c>
      <c r="AB535" s="196">
        <f t="shared" si="114"/>
        <v>31.529199999999999</v>
      </c>
      <c r="AC535" s="9">
        <f>VLOOKUP(AA535,'Federal Standards'!$N$9:$P$50,2,FALSE)</f>
        <v>8.5399999999999991</v>
      </c>
      <c r="AD535" s="44">
        <f>VLOOKUP(AA535,'Federal Standards'!$N$9:$P$50,3,FALSE)</f>
        <v>432.8</v>
      </c>
      <c r="AE535" s="44">
        <f t="shared" si="115"/>
        <v>702.05936799999995</v>
      </c>
      <c r="AF535" s="283">
        <f t="shared" si="116"/>
        <v>5.9367999999949461E-2</v>
      </c>
      <c r="AG535" s="291">
        <f t="shared" si="125"/>
        <v>8.4562649123356569E-5</v>
      </c>
      <c r="AH535" s="184" t="str">
        <f t="shared" si="117"/>
        <v>YES</v>
      </c>
      <c r="AJ535" s="9" t="str">
        <f t="shared" si="118"/>
        <v>NO</v>
      </c>
      <c r="AK535" s="9" t="str">
        <f t="shared" si="119"/>
        <v>NO</v>
      </c>
      <c r="AL535" s="9" t="str">
        <f t="shared" si="120"/>
        <v>NO</v>
      </c>
      <c r="AM535" s="9" t="str">
        <f t="shared" si="121"/>
        <v>NO</v>
      </c>
      <c r="AN535" s="9" t="str">
        <f t="shared" si="122"/>
        <v>Less than 10% better than Standard</v>
      </c>
      <c r="AO535" s="9" t="str">
        <f t="shared" si="123"/>
        <v>7_Less than 10% better than Standard</v>
      </c>
      <c r="AP535" s="9" t="str">
        <f t="shared" si="124"/>
        <v>7_NO</v>
      </c>
    </row>
    <row r="536" spans="1:42">
      <c r="A536">
        <v>87376</v>
      </c>
      <c r="B536" t="s">
        <v>177</v>
      </c>
      <c r="C536" t="s">
        <v>177</v>
      </c>
      <c r="D536" t="s">
        <v>1524</v>
      </c>
      <c r="E536" t="s">
        <v>4198</v>
      </c>
      <c r="F536" t="s">
        <v>162</v>
      </c>
      <c r="G536" t="s">
        <v>4105</v>
      </c>
      <c r="H536"/>
      <c r="I536" t="s">
        <v>4106</v>
      </c>
      <c r="J536"/>
      <c r="K536"/>
      <c r="L536"/>
      <c r="M536"/>
      <c r="N536" t="b">
        <v>0</v>
      </c>
      <c r="O536" t="s">
        <v>4099</v>
      </c>
      <c r="P536">
        <v>7.74</v>
      </c>
      <c r="Q536">
        <v>3.6</v>
      </c>
      <c r="R536">
        <v>11.34</v>
      </c>
      <c r="S536">
        <v>74</v>
      </c>
      <c r="T536">
        <v>24</v>
      </c>
      <c r="U536">
        <v>27</v>
      </c>
      <c r="V536">
        <v>353</v>
      </c>
      <c r="W536" s="281">
        <v>41892</v>
      </c>
      <c r="X536" s="282"/>
      <c r="Z536" s="9" t="b">
        <f t="shared" si="113"/>
        <v>0</v>
      </c>
      <c r="AA536" s="9" t="str">
        <f t="shared" si="112"/>
        <v>5</v>
      </c>
      <c r="AB536" s="196">
        <f t="shared" si="114"/>
        <v>14.076000000000001</v>
      </c>
      <c r="AC536" s="9">
        <f>VLOOKUP(AA536,'Federal Standards'!$N$9:$P$50,2,FALSE)</f>
        <v>8.85</v>
      </c>
      <c r="AD536" s="44">
        <f>VLOOKUP(AA536,'Federal Standards'!$N$9:$P$50,3,FALSE)</f>
        <v>317</v>
      </c>
      <c r="AE536" s="44">
        <f t="shared" si="115"/>
        <v>441.57259999999997</v>
      </c>
      <c r="AF536" s="283">
        <f t="shared" si="116"/>
        <v>88.572599999999966</v>
      </c>
      <c r="AG536" s="291">
        <f t="shared" si="125"/>
        <v>0.20058445655369009</v>
      </c>
      <c r="AH536" s="184" t="str">
        <f t="shared" si="117"/>
        <v>YES</v>
      </c>
      <c r="AJ536" s="9" t="str">
        <f t="shared" si="118"/>
        <v>YES</v>
      </c>
      <c r="AK536" s="9" t="str">
        <f t="shared" si="119"/>
        <v>NO</v>
      </c>
      <c r="AL536" s="9" t="str">
        <f t="shared" si="120"/>
        <v>NO</v>
      </c>
      <c r="AM536" s="9" t="str">
        <f t="shared" si="121"/>
        <v>YES</v>
      </c>
      <c r="AN536" s="9" t="str">
        <f t="shared" si="122"/>
        <v>Tier 3 - 20%  or better than Standard</v>
      </c>
      <c r="AO536" s="9" t="str">
        <f t="shared" si="123"/>
        <v>5_Tier 3 - 20%  or better than Standard</v>
      </c>
      <c r="AP536" s="9" t="str">
        <f t="shared" si="124"/>
        <v>5_YES</v>
      </c>
    </row>
    <row r="537" spans="1:42">
      <c r="A537">
        <v>83247</v>
      </c>
      <c r="B537" t="s">
        <v>177</v>
      </c>
      <c r="C537" t="s">
        <v>177</v>
      </c>
      <c r="D537" t="s">
        <v>4966</v>
      </c>
      <c r="E537" t="s">
        <v>4216</v>
      </c>
      <c r="F537" t="s">
        <v>162</v>
      </c>
      <c r="G537" t="s">
        <v>4105</v>
      </c>
      <c r="H537"/>
      <c r="I537" t="s">
        <v>4199</v>
      </c>
      <c r="J537"/>
      <c r="K537"/>
      <c r="L537"/>
      <c r="M537"/>
      <c r="N537" t="b">
        <v>0</v>
      </c>
      <c r="O537" t="s">
        <v>4099</v>
      </c>
      <c r="P537">
        <v>20.86</v>
      </c>
      <c r="Q537">
        <v>7.73</v>
      </c>
      <c r="R537">
        <v>28.59</v>
      </c>
      <c r="S537">
        <v>72</v>
      </c>
      <c r="T537">
        <v>36</v>
      </c>
      <c r="U537">
        <v>33</v>
      </c>
      <c r="V537">
        <v>529</v>
      </c>
      <c r="W537" s="281">
        <v>41729</v>
      </c>
      <c r="X537" s="282"/>
      <c r="Z537" s="9" t="b">
        <f t="shared" si="113"/>
        <v>0</v>
      </c>
      <c r="AA537" s="9" t="str">
        <f t="shared" si="112"/>
        <v>5A</v>
      </c>
      <c r="AB537" s="196">
        <f t="shared" si="114"/>
        <v>34.464799999999997</v>
      </c>
      <c r="AC537" s="9">
        <f>VLOOKUP(AA537,'Federal Standards'!$N$9:$P$50,2,FALSE)</f>
        <v>9.25</v>
      </c>
      <c r="AD537" s="44">
        <f>VLOOKUP(AA537,'Federal Standards'!$N$9:$P$50,3,FALSE)</f>
        <v>475.4</v>
      </c>
      <c r="AE537" s="44">
        <f t="shared" si="115"/>
        <v>794.19939999999997</v>
      </c>
      <c r="AF537" s="283">
        <f t="shared" si="116"/>
        <v>265.19939999999997</v>
      </c>
      <c r="AG537" s="291">
        <f t="shared" si="125"/>
        <v>0.33392042351077067</v>
      </c>
      <c r="AH537" s="184" t="str">
        <f t="shared" si="117"/>
        <v>YES</v>
      </c>
      <c r="AJ537" s="9" t="str">
        <f t="shared" si="118"/>
        <v>YES</v>
      </c>
      <c r="AK537" s="9" t="str">
        <f t="shared" si="119"/>
        <v>NO</v>
      </c>
      <c r="AL537" s="9" t="str">
        <f t="shared" si="120"/>
        <v>NO</v>
      </c>
      <c r="AM537" s="9" t="str">
        <f t="shared" si="121"/>
        <v>YES</v>
      </c>
      <c r="AN537" s="9" t="str">
        <f t="shared" si="122"/>
        <v>Tier 3 - 20%  or better than Standard</v>
      </c>
      <c r="AO537" s="9" t="str">
        <f t="shared" si="123"/>
        <v>5A_Tier 3 - 20%  or better than Standard</v>
      </c>
      <c r="AP537" s="9" t="str">
        <f t="shared" si="124"/>
        <v>5A_YES</v>
      </c>
    </row>
    <row r="538" spans="1:42">
      <c r="A538">
        <v>84659</v>
      </c>
      <c r="B538" t="s">
        <v>177</v>
      </c>
      <c r="C538" t="s">
        <v>177</v>
      </c>
      <c r="D538" t="s">
        <v>4527</v>
      </c>
      <c r="E538" t="s">
        <v>4179</v>
      </c>
      <c r="F538" t="s">
        <v>162</v>
      </c>
      <c r="G538" t="s">
        <v>4105</v>
      </c>
      <c r="H538"/>
      <c r="I538"/>
      <c r="J538" t="b">
        <v>0</v>
      </c>
      <c r="K538" t="b">
        <v>0</v>
      </c>
      <c r="L538" t="b">
        <v>0</v>
      </c>
      <c r="M538"/>
      <c r="N538" t="b">
        <v>0</v>
      </c>
      <c r="O538" t="s">
        <v>4099</v>
      </c>
      <c r="P538">
        <v>15.3</v>
      </c>
      <c r="Q538">
        <v>9.6</v>
      </c>
      <c r="R538">
        <v>24.9</v>
      </c>
      <c r="S538">
        <v>70</v>
      </c>
      <c r="T538">
        <v>36</v>
      </c>
      <c r="U538">
        <v>33</v>
      </c>
      <c r="V538">
        <v>572</v>
      </c>
      <c r="W538" s="281">
        <v>41799</v>
      </c>
      <c r="X538" s="282"/>
      <c r="Z538" s="9" t="b">
        <f t="shared" si="113"/>
        <v>0</v>
      </c>
      <c r="AA538" s="9" t="str">
        <f t="shared" si="112"/>
        <v>4</v>
      </c>
      <c r="AB538" s="196">
        <f t="shared" si="114"/>
        <v>32.195999999999998</v>
      </c>
      <c r="AC538" s="9">
        <f>VLOOKUP(AA538,'Federal Standards'!$N$9:$P$50,2,FALSE)</f>
        <v>8.51</v>
      </c>
      <c r="AD538" s="44">
        <f>VLOOKUP(AA538,'Federal Standards'!$N$9:$P$50,3,FALSE)</f>
        <v>297.8</v>
      </c>
      <c r="AE538" s="44">
        <f t="shared" si="115"/>
        <v>571.78796</v>
      </c>
      <c r="AF538" s="283">
        <f t="shared" si="116"/>
        <v>-0.21204000000000178</v>
      </c>
      <c r="AG538" s="291">
        <f t="shared" si="125"/>
        <v>-3.7083676963047945E-4</v>
      </c>
      <c r="AH538" s="184" t="str">
        <f t="shared" si="117"/>
        <v>NO</v>
      </c>
      <c r="AJ538" s="9" t="str">
        <f t="shared" si="118"/>
        <v>NO</v>
      </c>
      <c r="AK538" s="9" t="str">
        <f t="shared" si="119"/>
        <v>NO</v>
      </c>
      <c r="AL538" s="9" t="str">
        <f t="shared" si="120"/>
        <v>NO</v>
      </c>
      <c r="AM538" s="9" t="str">
        <f t="shared" si="121"/>
        <v>NO</v>
      </c>
      <c r="AN538" s="9" t="str">
        <f t="shared" si="122"/>
        <v>Doesn't meet Standard</v>
      </c>
      <c r="AO538" s="9" t="str">
        <f t="shared" si="123"/>
        <v>4_Doesn't meet Standard</v>
      </c>
      <c r="AP538" s="9" t="str">
        <f t="shared" si="124"/>
        <v>4_NO</v>
      </c>
    </row>
    <row r="539" spans="1:42">
      <c r="A539">
        <v>88467</v>
      </c>
      <c r="B539" t="s">
        <v>177</v>
      </c>
      <c r="C539" t="s">
        <v>177</v>
      </c>
      <c r="D539" t="s">
        <v>4528</v>
      </c>
      <c r="E539" t="s">
        <v>4179</v>
      </c>
      <c r="F539" t="s">
        <v>162</v>
      </c>
      <c r="G539" t="s">
        <v>4105</v>
      </c>
      <c r="H539"/>
      <c r="I539" t="s">
        <v>4098</v>
      </c>
      <c r="J539" t="b">
        <v>0</v>
      </c>
      <c r="K539" t="b">
        <v>0</v>
      </c>
      <c r="L539" t="b">
        <v>1</v>
      </c>
      <c r="M539" t="b">
        <v>1</v>
      </c>
      <c r="N539" t="b">
        <v>0</v>
      </c>
      <c r="O539" t="s">
        <v>4099</v>
      </c>
      <c r="P539">
        <v>16.66</v>
      </c>
      <c r="Q539">
        <v>8.93</v>
      </c>
      <c r="R539">
        <v>25.59</v>
      </c>
      <c r="S539">
        <v>69</v>
      </c>
      <c r="T539">
        <v>36</v>
      </c>
      <c r="U539">
        <v>33</v>
      </c>
      <c r="V539">
        <v>647</v>
      </c>
      <c r="W539" s="281">
        <v>41911</v>
      </c>
      <c r="X539" s="282"/>
      <c r="Z539" s="9" t="b">
        <f t="shared" si="113"/>
        <v>0</v>
      </c>
      <c r="AA539" s="9" t="str">
        <f t="shared" si="112"/>
        <v>7</v>
      </c>
      <c r="AB539" s="196">
        <f t="shared" si="114"/>
        <v>32.376800000000003</v>
      </c>
      <c r="AC539" s="9">
        <f>VLOOKUP(AA539,'Federal Standards'!$N$9:$P$50,2,FALSE)</f>
        <v>8.5399999999999991</v>
      </c>
      <c r="AD539" s="44">
        <f>VLOOKUP(AA539,'Federal Standards'!$N$9:$P$50,3,FALSE)</f>
        <v>432.8</v>
      </c>
      <c r="AE539" s="44">
        <f t="shared" si="115"/>
        <v>709.29787199999998</v>
      </c>
      <c r="AF539" s="283">
        <f t="shared" si="116"/>
        <v>62.297871999999984</v>
      </c>
      <c r="AG539" s="291">
        <f t="shared" si="125"/>
        <v>8.7830338224953799E-2</v>
      </c>
      <c r="AH539" s="184" t="str">
        <f t="shared" si="117"/>
        <v>YES</v>
      </c>
      <c r="AJ539" s="9" t="str">
        <f t="shared" si="118"/>
        <v>NO</v>
      </c>
      <c r="AK539" s="9" t="str">
        <f t="shared" si="119"/>
        <v>NO</v>
      </c>
      <c r="AL539" s="9" t="str">
        <f t="shared" si="120"/>
        <v>NO</v>
      </c>
      <c r="AM539" s="9" t="str">
        <f t="shared" si="121"/>
        <v>NO</v>
      </c>
      <c r="AN539" s="9" t="str">
        <f t="shared" si="122"/>
        <v>Less than 10% better than Standard</v>
      </c>
      <c r="AO539" s="9" t="str">
        <f t="shared" si="123"/>
        <v>7_Less than 10% better than Standard</v>
      </c>
      <c r="AP539" s="9" t="str">
        <f t="shared" si="124"/>
        <v>7_NO</v>
      </c>
    </row>
    <row r="540" spans="1:42">
      <c r="A540">
        <v>87891</v>
      </c>
      <c r="B540" t="s">
        <v>177</v>
      </c>
      <c r="C540" t="s">
        <v>177</v>
      </c>
      <c r="D540" t="s">
        <v>1544</v>
      </c>
      <c r="E540" t="s">
        <v>4108</v>
      </c>
      <c r="F540" t="s">
        <v>162</v>
      </c>
      <c r="G540" t="s">
        <v>4105</v>
      </c>
      <c r="H540"/>
      <c r="I540" t="s">
        <v>4098</v>
      </c>
      <c r="J540" t="b">
        <v>0</v>
      </c>
      <c r="K540" t="b">
        <v>0</v>
      </c>
      <c r="L540" t="b">
        <v>0</v>
      </c>
      <c r="M540"/>
      <c r="N540" t="b">
        <v>0</v>
      </c>
      <c r="O540" t="s">
        <v>4099</v>
      </c>
      <c r="P540">
        <v>13.14</v>
      </c>
      <c r="Q540">
        <v>5.0999999999999996</v>
      </c>
      <c r="R540">
        <v>18.239999999999998</v>
      </c>
      <c r="S540">
        <v>66</v>
      </c>
      <c r="T540">
        <v>30</v>
      </c>
      <c r="U540">
        <v>32</v>
      </c>
      <c r="V540">
        <v>370</v>
      </c>
      <c r="W540" s="281">
        <v>41894</v>
      </c>
      <c r="X540" s="282"/>
      <c r="Z540" s="9" t="b">
        <f t="shared" si="113"/>
        <v>0</v>
      </c>
      <c r="AA540" s="9" t="str">
        <f t="shared" si="112"/>
        <v>3</v>
      </c>
      <c r="AB540" s="196">
        <f t="shared" si="114"/>
        <v>22.116</v>
      </c>
      <c r="AC540" s="9">
        <f>VLOOKUP(AA540,'Federal Standards'!$N$9:$P$50,2,FALSE)</f>
        <v>8.07</v>
      </c>
      <c r="AD540" s="44">
        <f>VLOOKUP(AA540,'Federal Standards'!$N$9:$P$50,3,FALSE)</f>
        <v>233.7</v>
      </c>
      <c r="AE540" s="44">
        <f t="shared" si="115"/>
        <v>412.17611999999997</v>
      </c>
      <c r="AF540" s="283">
        <f t="shared" si="116"/>
        <v>42.176119999999969</v>
      </c>
      <c r="AG540" s="291">
        <f t="shared" si="125"/>
        <v>0.10232548164119738</v>
      </c>
      <c r="AH540" s="184" t="str">
        <f t="shared" si="117"/>
        <v>YES</v>
      </c>
      <c r="AJ540" s="9" t="str">
        <f t="shared" si="118"/>
        <v>YES</v>
      </c>
      <c r="AK540" s="9" t="str">
        <f t="shared" si="119"/>
        <v>YES</v>
      </c>
      <c r="AL540" s="9" t="str">
        <f t="shared" si="120"/>
        <v>NO</v>
      </c>
      <c r="AM540" s="9" t="str">
        <f t="shared" si="121"/>
        <v>NO</v>
      </c>
      <c r="AN540" s="9" t="str">
        <f t="shared" si="122"/>
        <v>Tier 1 - 10% to 15% better than Standard</v>
      </c>
      <c r="AO540" s="9" t="str">
        <f t="shared" si="123"/>
        <v>3_Tier 1 - 10% to 15% better than Standard</v>
      </c>
      <c r="AP540" s="9" t="str">
        <f t="shared" si="124"/>
        <v>3_YES</v>
      </c>
    </row>
    <row r="541" spans="1:42">
      <c r="A541">
        <v>87540</v>
      </c>
      <c r="B541" t="s">
        <v>177</v>
      </c>
      <c r="C541" t="s">
        <v>177</v>
      </c>
      <c r="D541" t="s">
        <v>4529</v>
      </c>
      <c r="E541" t="s">
        <v>4108</v>
      </c>
      <c r="F541" t="s">
        <v>162</v>
      </c>
      <c r="G541" t="s">
        <v>4105</v>
      </c>
      <c r="H541"/>
      <c r="I541" t="s">
        <v>4098</v>
      </c>
      <c r="J541" t="b">
        <v>0</v>
      </c>
      <c r="K541" t="b">
        <v>0</v>
      </c>
      <c r="L541" t="b">
        <v>0</v>
      </c>
      <c r="M541"/>
      <c r="N541" t="b">
        <v>0</v>
      </c>
      <c r="O541" t="s">
        <v>4099</v>
      </c>
      <c r="P541">
        <v>10.46</v>
      </c>
      <c r="Q541">
        <v>3.87</v>
      </c>
      <c r="R541">
        <v>14.33</v>
      </c>
      <c r="S541">
        <v>66</v>
      </c>
      <c r="T541">
        <v>28</v>
      </c>
      <c r="U541">
        <v>28</v>
      </c>
      <c r="V541">
        <v>373</v>
      </c>
      <c r="W541" s="281">
        <v>41892</v>
      </c>
      <c r="X541" s="282"/>
      <c r="Z541" s="9" t="b">
        <f t="shared" si="113"/>
        <v>0</v>
      </c>
      <c r="AA541" s="9" t="str">
        <f t="shared" si="112"/>
        <v>3</v>
      </c>
      <c r="AB541" s="196">
        <f t="shared" si="114"/>
        <v>17.2712</v>
      </c>
      <c r="AC541" s="9">
        <f>VLOOKUP(AA541,'Federal Standards'!$N$9:$P$50,2,FALSE)</f>
        <v>8.07</v>
      </c>
      <c r="AD541" s="44">
        <f>VLOOKUP(AA541,'Federal Standards'!$N$9:$P$50,3,FALSE)</f>
        <v>233.7</v>
      </c>
      <c r="AE541" s="44">
        <f t="shared" si="115"/>
        <v>373.07858399999998</v>
      </c>
      <c r="AF541" s="283">
        <f t="shared" si="116"/>
        <v>7.8583999999978005E-2</v>
      </c>
      <c r="AG541" s="291">
        <f t="shared" si="125"/>
        <v>2.1063658802773308E-4</v>
      </c>
      <c r="AH541" s="184" t="str">
        <f t="shared" si="117"/>
        <v>YES</v>
      </c>
      <c r="AJ541" s="9" t="str">
        <f t="shared" si="118"/>
        <v>NO</v>
      </c>
      <c r="AK541" s="9" t="str">
        <f t="shared" si="119"/>
        <v>NO</v>
      </c>
      <c r="AL541" s="9" t="str">
        <f t="shared" si="120"/>
        <v>NO</v>
      </c>
      <c r="AM541" s="9" t="str">
        <f t="shared" si="121"/>
        <v>NO</v>
      </c>
      <c r="AN541" s="9" t="str">
        <f t="shared" si="122"/>
        <v>Less than 10% better than Standard</v>
      </c>
      <c r="AO541" s="9" t="str">
        <f t="shared" si="123"/>
        <v>3_Less than 10% better than Standard</v>
      </c>
      <c r="AP541" s="9" t="str">
        <f t="shared" si="124"/>
        <v>3_NO</v>
      </c>
    </row>
    <row r="542" spans="1:42">
      <c r="A542">
        <v>87884</v>
      </c>
      <c r="B542" t="s">
        <v>177</v>
      </c>
      <c r="C542" t="s">
        <v>177</v>
      </c>
      <c r="D542" t="s">
        <v>4530</v>
      </c>
      <c r="E542" t="s">
        <v>4108</v>
      </c>
      <c r="F542" t="s">
        <v>162</v>
      </c>
      <c r="G542" t="s">
        <v>4105</v>
      </c>
      <c r="H542"/>
      <c r="I542" t="s">
        <v>4098</v>
      </c>
      <c r="J542" t="b">
        <v>0</v>
      </c>
      <c r="K542" t="b">
        <v>0</v>
      </c>
      <c r="L542" t="b">
        <v>0</v>
      </c>
      <c r="M542"/>
      <c r="N542" t="b">
        <v>0</v>
      </c>
      <c r="O542" t="s">
        <v>4099</v>
      </c>
      <c r="P542">
        <v>15.18</v>
      </c>
      <c r="Q542">
        <v>6.13</v>
      </c>
      <c r="R542">
        <v>21.31</v>
      </c>
      <c r="S542">
        <v>65</v>
      </c>
      <c r="T542">
        <v>33</v>
      </c>
      <c r="U542">
        <v>32</v>
      </c>
      <c r="V542">
        <v>443</v>
      </c>
      <c r="W542" s="281">
        <v>41894</v>
      </c>
      <c r="X542" s="282"/>
      <c r="Z542" s="9" t="b">
        <f t="shared" si="113"/>
        <v>0</v>
      </c>
      <c r="AA542" s="9" t="str">
        <f t="shared" si="112"/>
        <v>3</v>
      </c>
      <c r="AB542" s="196">
        <f t="shared" si="114"/>
        <v>25.968800000000002</v>
      </c>
      <c r="AC542" s="9">
        <f>VLOOKUP(AA542,'Federal Standards'!$N$9:$P$50,2,FALSE)</f>
        <v>8.07</v>
      </c>
      <c r="AD542" s="44">
        <f>VLOOKUP(AA542,'Federal Standards'!$N$9:$P$50,3,FALSE)</f>
        <v>233.7</v>
      </c>
      <c r="AE542" s="44">
        <f t="shared" si="115"/>
        <v>443.268216</v>
      </c>
      <c r="AF542" s="283">
        <f t="shared" si="116"/>
        <v>0.26821599999999535</v>
      </c>
      <c r="AG542" s="291">
        <f t="shared" si="125"/>
        <v>6.0508737220174471E-4</v>
      </c>
      <c r="AH542" s="184" t="str">
        <f t="shared" si="117"/>
        <v>YES</v>
      </c>
      <c r="AJ542" s="9" t="str">
        <f t="shared" si="118"/>
        <v>NO</v>
      </c>
      <c r="AK542" s="9" t="str">
        <f t="shared" si="119"/>
        <v>NO</v>
      </c>
      <c r="AL542" s="9" t="str">
        <f t="shared" si="120"/>
        <v>NO</v>
      </c>
      <c r="AM542" s="9" t="str">
        <f t="shared" si="121"/>
        <v>NO</v>
      </c>
      <c r="AN542" s="9" t="str">
        <f t="shared" si="122"/>
        <v>Less than 10% better than Standard</v>
      </c>
      <c r="AO542" s="9" t="str">
        <f t="shared" si="123"/>
        <v>3_Less than 10% better than Standard</v>
      </c>
      <c r="AP542" s="9" t="str">
        <f t="shared" si="124"/>
        <v>3_NO</v>
      </c>
    </row>
    <row r="543" spans="1:42">
      <c r="A543">
        <v>87885</v>
      </c>
      <c r="B543" t="s">
        <v>177</v>
      </c>
      <c r="C543" t="s">
        <v>177</v>
      </c>
      <c r="D543" t="s">
        <v>1548</v>
      </c>
      <c r="E543" t="s">
        <v>4108</v>
      </c>
      <c r="F543" t="s">
        <v>162</v>
      </c>
      <c r="G543" t="s">
        <v>4105</v>
      </c>
      <c r="H543"/>
      <c r="I543" t="s">
        <v>4098</v>
      </c>
      <c r="J543" t="b">
        <v>0</v>
      </c>
      <c r="K543" t="b">
        <v>0</v>
      </c>
      <c r="L543" t="b">
        <v>0</v>
      </c>
      <c r="M543"/>
      <c r="N543" t="b">
        <v>0</v>
      </c>
      <c r="O543" t="s">
        <v>4099</v>
      </c>
      <c r="P543">
        <v>15.18</v>
      </c>
      <c r="Q543">
        <v>6.13</v>
      </c>
      <c r="R543">
        <v>21.31</v>
      </c>
      <c r="S543">
        <v>65</v>
      </c>
      <c r="T543">
        <v>33</v>
      </c>
      <c r="U543">
        <v>32</v>
      </c>
      <c r="V543">
        <v>399</v>
      </c>
      <c r="W543" s="281">
        <v>41894</v>
      </c>
      <c r="X543" s="282"/>
      <c r="Z543" s="9" t="b">
        <f t="shared" si="113"/>
        <v>0</v>
      </c>
      <c r="AA543" s="9" t="str">
        <f t="shared" si="112"/>
        <v>3</v>
      </c>
      <c r="AB543" s="196">
        <f t="shared" si="114"/>
        <v>25.968800000000002</v>
      </c>
      <c r="AC543" s="9">
        <f>VLOOKUP(AA543,'Federal Standards'!$N$9:$P$50,2,FALSE)</f>
        <v>8.07</v>
      </c>
      <c r="AD543" s="44">
        <f>VLOOKUP(AA543,'Federal Standards'!$N$9:$P$50,3,FALSE)</f>
        <v>233.7</v>
      </c>
      <c r="AE543" s="44">
        <f t="shared" si="115"/>
        <v>443.268216</v>
      </c>
      <c r="AF543" s="283">
        <f t="shared" si="116"/>
        <v>44.268215999999995</v>
      </c>
      <c r="AG543" s="291">
        <f t="shared" si="125"/>
        <v>9.9867787497761845E-2</v>
      </c>
      <c r="AH543" s="184" t="str">
        <f t="shared" si="117"/>
        <v>YES</v>
      </c>
      <c r="AJ543" s="9" t="str">
        <f t="shared" si="118"/>
        <v>NO</v>
      </c>
      <c r="AK543" s="9" t="str">
        <f t="shared" si="119"/>
        <v>NO</v>
      </c>
      <c r="AL543" s="9" t="str">
        <f t="shared" si="120"/>
        <v>NO</v>
      </c>
      <c r="AM543" s="9" t="str">
        <f t="shared" si="121"/>
        <v>NO</v>
      </c>
      <c r="AN543" s="9" t="str">
        <f t="shared" si="122"/>
        <v>Less than 10% better than Standard</v>
      </c>
      <c r="AO543" s="9" t="str">
        <f t="shared" si="123"/>
        <v>3_Less than 10% better than Standard</v>
      </c>
      <c r="AP543" s="9" t="str">
        <f t="shared" si="124"/>
        <v>3_NO</v>
      </c>
    </row>
    <row r="544" spans="1:42">
      <c r="A544">
        <v>87906</v>
      </c>
      <c r="B544" t="s">
        <v>177</v>
      </c>
      <c r="C544" t="s">
        <v>177</v>
      </c>
      <c r="D544" t="s">
        <v>1550</v>
      </c>
      <c r="E544" t="s">
        <v>4108</v>
      </c>
      <c r="F544" t="s">
        <v>162</v>
      </c>
      <c r="G544" t="s">
        <v>4105</v>
      </c>
      <c r="H544"/>
      <c r="I544" t="s">
        <v>4098</v>
      </c>
      <c r="J544" t="b">
        <v>0</v>
      </c>
      <c r="K544" t="b">
        <v>0</v>
      </c>
      <c r="L544" t="b">
        <v>0</v>
      </c>
      <c r="M544"/>
      <c r="N544" t="b">
        <v>0</v>
      </c>
      <c r="O544" t="s">
        <v>4099</v>
      </c>
      <c r="P544">
        <v>14.08</v>
      </c>
      <c r="Q544">
        <v>5.15</v>
      </c>
      <c r="R544">
        <v>19.23</v>
      </c>
      <c r="S544">
        <v>66</v>
      </c>
      <c r="T544">
        <v>30</v>
      </c>
      <c r="U544">
        <v>33</v>
      </c>
      <c r="V544">
        <v>378</v>
      </c>
      <c r="W544" s="281">
        <v>41894</v>
      </c>
      <c r="X544" s="282"/>
      <c r="Z544" s="9" t="b">
        <f t="shared" si="113"/>
        <v>0</v>
      </c>
      <c r="AA544" s="9" t="str">
        <f t="shared" si="112"/>
        <v>3</v>
      </c>
      <c r="AB544" s="196">
        <f t="shared" si="114"/>
        <v>23.143999999999998</v>
      </c>
      <c r="AC544" s="9">
        <f>VLOOKUP(AA544,'Federal Standards'!$N$9:$P$50,2,FALSE)</f>
        <v>8.07</v>
      </c>
      <c r="AD544" s="44">
        <f>VLOOKUP(AA544,'Federal Standards'!$N$9:$P$50,3,FALSE)</f>
        <v>233.7</v>
      </c>
      <c r="AE544" s="44">
        <f t="shared" si="115"/>
        <v>420.47208000000001</v>
      </c>
      <c r="AF544" s="283">
        <f t="shared" si="116"/>
        <v>42.472080000000005</v>
      </c>
      <c r="AG544" s="291">
        <f t="shared" si="125"/>
        <v>0.10101046423819628</v>
      </c>
      <c r="AH544" s="184" t="str">
        <f t="shared" si="117"/>
        <v>YES</v>
      </c>
      <c r="AJ544" s="9" t="str">
        <f t="shared" si="118"/>
        <v>YES</v>
      </c>
      <c r="AK544" s="9" t="str">
        <f t="shared" si="119"/>
        <v>YES</v>
      </c>
      <c r="AL544" s="9" t="str">
        <f t="shared" si="120"/>
        <v>NO</v>
      </c>
      <c r="AM544" s="9" t="str">
        <f t="shared" si="121"/>
        <v>NO</v>
      </c>
      <c r="AN544" s="9" t="str">
        <f t="shared" si="122"/>
        <v>Tier 1 - 10% to 15% better than Standard</v>
      </c>
      <c r="AO544" s="9" t="str">
        <f t="shared" si="123"/>
        <v>3_Tier 1 - 10% to 15% better than Standard</v>
      </c>
      <c r="AP544" s="9" t="str">
        <f t="shared" si="124"/>
        <v>3_YES</v>
      </c>
    </row>
    <row r="545" spans="1:42">
      <c r="A545" s="9">
        <v>87593</v>
      </c>
      <c r="B545" s="9" t="s">
        <v>177</v>
      </c>
      <c r="C545" s="9" t="s">
        <v>177</v>
      </c>
      <c r="D545" s="9" t="s">
        <v>4531</v>
      </c>
      <c r="E545" s="9" t="s">
        <v>4109</v>
      </c>
      <c r="F545" s="9" t="s">
        <v>162</v>
      </c>
      <c r="G545" s="9" t="s">
        <v>4105</v>
      </c>
      <c r="I545" s="9" t="s">
        <v>4170</v>
      </c>
      <c r="J545" s="9" t="b">
        <v>0</v>
      </c>
      <c r="K545" s="9" t="b">
        <v>0</v>
      </c>
      <c r="L545" s="9" t="b">
        <v>1</v>
      </c>
      <c r="M545" s="9" t="b">
        <v>1</v>
      </c>
      <c r="N545" s="9" t="b">
        <v>0</v>
      </c>
      <c r="O545" s="9" t="s">
        <v>4099</v>
      </c>
      <c r="P545" s="9">
        <v>17.78</v>
      </c>
      <c r="Q545" s="9">
        <v>6.73</v>
      </c>
      <c r="R545" s="9">
        <v>24.51</v>
      </c>
      <c r="S545" s="9">
        <v>71</v>
      </c>
      <c r="T545" s="9">
        <v>36</v>
      </c>
      <c r="U545" s="9">
        <v>36</v>
      </c>
      <c r="V545" s="9">
        <v>749</v>
      </c>
      <c r="W545" s="268">
        <v>41892</v>
      </c>
      <c r="Z545" s="9" t="b">
        <f t="shared" si="113"/>
        <v>0</v>
      </c>
      <c r="AA545" s="9" t="str">
        <f t="shared" si="112"/>
        <v>5A</v>
      </c>
      <c r="AB545" s="196">
        <f t="shared" si="114"/>
        <v>29.6248</v>
      </c>
      <c r="AC545" s="9">
        <f>VLOOKUP(AA545,'Federal Standards'!$N$9:$P$50,2,FALSE)</f>
        <v>9.25</v>
      </c>
      <c r="AD545" s="44">
        <f>VLOOKUP(AA545,'Federal Standards'!$N$9:$P$50,3,FALSE)</f>
        <v>475.4</v>
      </c>
      <c r="AE545" s="44">
        <f t="shared" si="115"/>
        <v>749.42939999999999</v>
      </c>
      <c r="AF545" s="283">
        <f t="shared" si="116"/>
        <v>0.4293999999999869</v>
      </c>
      <c r="AG545" s="291">
        <f t="shared" si="125"/>
        <v>5.7296924833745097E-4</v>
      </c>
      <c r="AH545" s="184" t="str">
        <f t="shared" si="117"/>
        <v>YES</v>
      </c>
      <c r="AJ545" s="9" t="str">
        <f t="shared" si="118"/>
        <v>NO</v>
      </c>
      <c r="AK545" s="9" t="str">
        <f t="shared" si="119"/>
        <v>NO</v>
      </c>
      <c r="AL545" s="9" t="str">
        <f t="shared" si="120"/>
        <v>NO</v>
      </c>
      <c r="AM545" s="9" t="str">
        <f t="shared" si="121"/>
        <v>NO</v>
      </c>
      <c r="AN545" s="9" t="str">
        <f t="shared" si="122"/>
        <v>Less than 10% better than Standard</v>
      </c>
      <c r="AO545" s="9" t="str">
        <f t="shared" si="123"/>
        <v>5A_Less than 10% better than Standard</v>
      </c>
      <c r="AP545" s="9" t="str">
        <f t="shared" si="124"/>
        <v>5A_NO</v>
      </c>
    </row>
    <row r="546" spans="1:42">
      <c r="A546" s="9">
        <v>87609</v>
      </c>
      <c r="B546" s="9" t="s">
        <v>177</v>
      </c>
      <c r="C546" s="9" t="s">
        <v>177</v>
      </c>
      <c r="D546" s="9" t="s">
        <v>4532</v>
      </c>
      <c r="E546" s="9" t="s">
        <v>187</v>
      </c>
      <c r="F546" s="9" t="s">
        <v>162</v>
      </c>
      <c r="G546" s="9" t="s">
        <v>189</v>
      </c>
      <c r="I546" s="9" t="s">
        <v>4098</v>
      </c>
      <c r="J546" s="9" t="b">
        <v>0</v>
      </c>
      <c r="K546" s="9" t="b">
        <v>0</v>
      </c>
      <c r="L546" s="9" t="b">
        <v>0</v>
      </c>
      <c r="N546" s="9" t="b">
        <v>0</v>
      </c>
      <c r="O546" s="9" t="s">
        <v>4099</v>
      </c>
      <c r="Q546" s="9">
        <v>17.7</v>
      </c>
      <c r="R546" s="9">
        <v>17.7</v>
      </c>
      <c r="S546" s="9">
        <v>67</v>
      </c>
      <c r="T546" s="9">
        <v>32</v>
      </c>
      <c r="U546" s="9">
        <v>31</v>
      </c>
      <c r="V546" s="9">
        <v>496</v>
      </c>
      <c r="W546" s="268">
        <v>41892</v>
      </c>
      <c r="Z546" s="9" t="b">
        <f t="shared" si="113"/>
        <v>0</v>
      </c>
      <c r="AA546" s="9" t="str">
        <f t="shared" si="112"/>
        <v>9</v>
      </c>
      <c r="AB546" s="196">
        <f t="shared" si="114"/>
        <v>31.151999999999997</v>
      </c>
      <c r="AC546" s="9">
        <f>VLOOKUP(AA546,'Federal Standards'!$N$9:$P$50,2,FALSE)</f>
        <v>8.6199999999999992</v>
      </c>
      <c r="AD546" s="44">
        <f>VLOOKUP(AA546,'Federal Standards'!$N$9:$P$50,3,FALSE)</f>
        <v>228.3</v>
      </c>
      <c r="AE546" s="44">
        <f t="shared" si="115"/>
        <v>496.83023999999995</v>
      </c>
      <c r="AF546" s="283">
        <f t="shared" si="116"/>
        <v>0.83023999999994658</v>
      </c>
      <c r="AG546" s="291">
        <f t="shared" si="125"/>
        <v>1.6710738058133231E-3</v>
      </c>
      <c r="AH546" s="184" t="str">
        <f t="shared" si="117"/>
        <v>YES</v>
      </c>
      <c r="AJ546" s="9" t="str">
        <f t="shared" si="118"/>
        <v>NO</v>
      </c>
      <c r="AK546" s="9" t="str">
        <f t="shared" si="119"/>
        <v>NO</v>
      </c>
      <c r="AL546" s="9" t="str">
        <f t="shared" si="120"/>
        <v>NO</v>
      </c>
      <c r="AM546" s="9" t="str">
        <f t="shared" si="121"/>
        <v>NO</v>
      </c>
      <c r="AN546" s="9" t="str">
        <f t="shared" si="122"/>
        <v>Less than 10% better than Standard</v>
      </c>
      <c r="AO546" s="9" t="str">
        <f t="shared" si="123"/>
        <v>9_Less than 10% better than Standard</v>
      </c>
      <c r="AP546" s="9" t="str">
        <f t="shared" si="124"/>
        <v>9_NO</v>
      </c>
    </row>
    <row r="547" spans="1:42">
      <c r="A547" s="9">
        <v>83864</v>
      </c>
      <c r="B547" s="9" t="s">
        <v>4533</v>
      </c>
      <c r="C547" s="9" t="s">
        <v>1488</v>
      </c>
      <c r="D547" s="9" t="s">
        <v>4534</v>
      </c>
      <c r="E547" s="9" t="s">
        <v>4119</v>
      </c>
      <c r="F547" s="9" t="s">
        <v>162</v>
      </c>
      <c r="G547" s="9" t="s">
        <v>184</v>
      </c>
      <c r="I547" s="9" t="s">
        <v>4106</v>
      </c>
      <c r="N547" s="9" t="b">
        <v>0</v>
      </c>
      <c r="P547" s="9">
        <v>3.27</v>
      </c>
      <c r="R547" s="9">
        <v>3.27</v>
      </c>
      <c r="S547" s="9">
        <v>34</v>
      </c>
      <c r="T547" s="9">
        <v>15</v>
      </c>
      <c r="U547" s="9">
        <v>24</v>
      </c>
      <c r="V547" s="9">
        <v>329.21</v>
      </c>
      <c r="W547" s="268">
        <v>41765</v>
      </c>
      <c r="Z547" s="9" t="b">
        <f t="shared" si="113"/>
        <v>1</v>
      </c>
      <c r="AA547" s="9" t="str">
        <f t="shared" si="112"/>
        <v>[Wine Chiller - exempt]</v>
      </c>
      <c r="AB547" s="196">
        <f t="shared" si="114"/>
        <v>3.27</v>
      </c>
      <c r="AC547" s="9" t="e">
        <f>VLOOKUP(AA547,'Federal Standards'!$N$9:$P$50,2,FALSE)</f>
        <v>#N/A</v>
      </c>
      <c r="AD547" s="44" t="e">
        <f>VLOOKUP(AA547,'Federal Standards'!$N$9:$P$50,3,FALSE)</f>
        <v>#N/A</v>
      </c>
      <c r="AE547" s="44" t="e">
        <f t="shared" si="115"/>
        <v>#N/A</v>
      </c>
      <c r="AF547" s="283" t="e">
        <f t="shared" si="116"/>
        <v>#N/A</v>
      </c>
      <c r="AG547" s="291" t="e">
        <f t="shared" si="125"/>
        <v>#N/A</v>
      </c>
      <c r="AH547" s="184" t="e">
        <f t="shared" si="117"/>
        <v>#N/A</v>
      </c>
      <c r="AJ547" s="9" t="e">
        <f t="shared" si="118"/>
        <v>#N/A</v>
      </c>
      <c r="AK547" s="9" t="e">
        <f t="shared" si="119"/>
        <v>#N/A</v>
      </c>
      <c r="AL547" s="9" t="e">
        <f t="shared" si="120"/>
        <v>#N/A</v>
      </c>
      <c r="AM547" s="9" t="e">
        <f t="shared" si="121"/>
        <v>#N/A</v>
      </c>
      <c r="AN547" s="9" t="e">
        <f t="shared" si="122"/>
        <v>#N/A</v>
      </c>
      <c r="AO547" s="9" t="e">
        <f t="shared" si="123"/>
        <v>#N/A</v>
      </c>
      <c r="AP547" s="9" t="e">
        <f t="shared" si="124"/>
        <v>#N/A</v>
      </c>
    </row>
    <row r="548" spans="1:42">
      <c r="A548" s="9">
        <v>83870</v>
      </c>
      <c r="B548" s="9" t="s">
        <v>4533</v>
      </c>
      <c r="C548" s="9" t="s">
        <v>1488</v>
      </c>
      <c r="D548" s="9" t="s">
        <v>4535</v>
      </c>
      <c r="E548" s="9" t="s">
        <v>4119</v>
      </c>
      <c r="F548" s="9" t="s">
        <v>162</v>
      </c>
      <c r="G548" s="9" t="s">
        <v>184</v>
      </c>
      <c r="I548" s="9" t="s">
        <v>4106</v>
      </c>
      <c r="N548" s="9" t="b">
        <v>0</v>
      </c>
      <c r="P548" s="9">
        <v>5.14</v>
      </c>
      <c r="R548" s="9">
        <v>5.14</v>
      </c>
      <c r="S548" s="9">
        <v>35</v>
      </c>
      <c r="T548" s="9">
        <v>24</v>
      </c>
      <c r="U548" s="9">
        <v>24</v>
      </c>
      <c r="V548" s="9">
        <v>394.16</v>
      </c>
      <c r="W548" s="268">
        <v>41765</v>
      </c>
      <c r="Z548" s="9" t="b">
        <f t="shared" si="113"/>
        <v>1</v>
      </c>
      <c r="AA548" s="9" t="str">
        <f t="shared" si="112"/>
        <v>[Wine Chiller - exempt]</v>
      </c>
      <c r="AB548" s="196">
        <f t="shared" si="114"/>
        <v>5.14</v>
      </c>
      <c r="AC548" s="9" t="e">
        <f>VLOOKUP(AA548,'Federal Standards'!$N$9:$P$50,2,FALSE)</f>
        <v>#N/A</v>
      </c>
      <c r="AD548" s="44" t="e">
        <f>VLOOKUP(AA548,'Federal Standards'!$N$9:$P$50,3,FALSE)</f>
        <v>#N/A</v>
      </c>
      <c r="AE548" s="44" t="e">
        <f t="shared" si="115"/>
        <v>#N/A</v>
      </c>
      <c r="AF548" s="283" t="e">
        <f t="shared" si="116"/>
        <v>#N/A</v>
      </c>
      <c r="AG548" s="291" t="e">
        <f t="shared" si="125"/>
        <v>#N/A</v>
      </c>
      <c r="AH548" s="184" t="e">
        <f t="shared" si="117"/>
        <v>#N/A</v>
      </c>
      <c r="AJ548" s="9" t="e">
        <f t="shared" si="118"/>
        <v>#N/A</v>
      </c>
      <c r="AK548" s="9" t="e">
        <f t="shared" si="119"/>
        <v>#N/A</v>
      </c>
      <c r="AL548" s="9" t="e">
        <f t="shared" si="120"/>
        <v>#N/A</v>
      </c>
      <c r="AM548" s="9" t="e">
        <f t="shared" si="121"/>
        <v>#N/A</v>
      </c>
      <c r="AN548" s="9" t="e">
        <f t="shared" si="122"/>
        <v>#N/A</v>
      </c>
      <c r="AO548" s="9" t="e">
        <f t="shared" si="123"/>
        <v>#N/A</v>
      </c>
      <c r="AP548" s="9" t="e">
        <f t="shared" si="124"/>
        <v>#N/A</v>
      </c>
    </row>
    <row r="549" spans="1:42">
      <c r="A549" s="9">
        <v>83867</v>
      </c>
      <c r="B549" s="9" t="s">
        <v>4533</v>
      </c>
      <c r="C549" s="9" t="s">
        <v>1488</v>
      </c>
      <c r="D549" s="9" t="s">
        <v>4536</v>
      </c>
      <c r="E549" s="9" t="s">
        <v>4119</v>
      </c>
      <c r="F549" s="9" t="s">
        <v>162</v>
      </c>
      <c r="G549" s="9" t="s">
        <v>184</v>
      </c>
      <c r="I549" s="9" t="s">
        <v>4106</v>
      </c>
      <c r="N549" s="9" t="b">
        <v>0</v>
      </c>
      <c r="P549" s="9">
        <v>5.39</v>
      </c>
      <c r="R549" s="9">
        <v>5.39</v>
      </c>
      <c r="S549" s="9">
        <v>35</v>
      </c>
      <c r="T549" s="9">
        <v>24</v>
      </c>
      <c r="U549" s="9">
        <v>24</v>
      </c>
      <c r="V549" s="9">
        <v>389.13</v>
      </c>
      <c r="W549" s="268">
        <v>41765</v>
      </c>
      <c r="Z549" s="9" t="b">
        <f t="shared" si="113"/>
        <v>1</v>
      </c>
      <c r="AA549" s="9" t="str">
        <f t="shared" ref="AA549:AA562" si="126">GetFridgeClass(E549,F549,G549,J549,Z549,L549,M549)</f>
        <v>[Wine Chiller - exempt]</v>
      </c>
      <c r="AB549" s="196">
        <f t="shared" si="114"/>
        <v>5.39</v>
      </c>
      <c r="AC549" s="9" t="e">
        <f>VLOOKUP(AA549,'Federal Standards'!$N$9:$P$50,2,FALSE)</f>
        <v>#N/A</v>
      </c>
      <c r="AD549" s="44" t="e">
        <f>VLOOKUP(AA549,'Federal Standards'!$N$9:$P$50,3,FALSE)</f>
        <v>#N/A</v>
      </c>
      <c r="AE549" s="44" t="e">
        <f t="shared" si="115"/>
        <v>#N/A</v>
      </c>
      <c r="AF549" s="283" t="e">
        <f t="shared" si="116"/>
        <v>#N/A</v>
      </c>
      <c r="AG549" s="291" t="e">
        <f t="shared" si="125"/>
        <v>#N/A</v>
      </c>
      <c r="AH549" s="184" t="e">
        <f t="shared" si="117"/>
        <v>#N/A</v>
      </c>
      <c r="AJ549" s="9" t="e">
        <f t="shared" si="118"/>
        <v>#N/A</v>
      </c>
      <c r="AK549" s="9" t="e">
        <f t="shared" si="119"/>
        <v>#N/A</v>
      </c>
      <c r="AL549" s="9" t="e">
        <f t="shared" si="120"/>
        <v>#N/A</v>
      </c>
      <c r="AM549" s="9" t="e">
        <f t="shared" si="121"/>
        <v>#N/A</v>
      </c>
      <c r="AN549" s="9" t="e">
        <f t="shared" si="122"/>
        <v>#N/A</v>
      </c>
      <c r="AO549" s="9" t="e">
        <f t="shared" si="123"/>
        <v>#N/A</v>
      </c>
      <c r="AP549" s="9" t="e">
        <f t="shared" si="124"/>
        <v>#N/A</v>
      </c>
    </row>
    <row r="550" spans="1:42">
      <c r="A550" s="9">
        <v>83857</v>
      </c>
      <c r="B550" s="9" t="s">
        <v>4533</v>
      </c>
      <c r="C550" s="9" t="s">
        <v>1488</v>
      </c>
      <c r="D550" s="9" t="s">
        <v>4537</v>
      </c>
      <c r="E550" s="9" t="s">
        <v>4115</v>
      </c>
      <c r="F550" s="9" t="s">
        <v>162</v>
      </c>
      <c r="G550" s="9" t="s">
        <v>184</v>
      </c>
      <c r="I550" s="9" t="s">
        <v>4106</v>
      </c>
      <c r="N550" s="9" t="b">
        <v>0</v>
      </c>
      <c r="P550" s="9">
        <v>5.64</v>
      </c>
      <c r="R550" s="9">
        <v>5.64</v>
      </c>
      <c r="S550" s="9">
        <v>35</v>
      </c>
      <c r="T550" s="9">
        <v>24</v>
      </c>
      <c r="U550" s="9">
        <v>24</v>
      </c>
      <c r="V550" s="9">
        <v>333.48</v>
      </c>
      <c r="W550" s="268">
        <v>41765</v>
      </c>
      <c r="Z550" s="9" t="b">
        <f t="shared" si="113"/>
        <v>1</v>
      </c>
      <c r="AA550" s="9" t="str">
        <f t="shared" si="126"/>
        <v>13A</v>
      </c>
      <c r="AB550" s="196">
        <f t="shared" si="114"/>
        <v>5.64</v>
      </c>
      <c r="AC550" s="9">
        <f>VLOOKUP(AA550,'Federal Standards'!$N$9:$P$50,2,FALSE)</f>
        <v>9.17</v>
      </c>
      <c r="AD550" s="44">
        <f>VLOOKUP(AA550,'Federal Standards'!$N$9:$P$50,3,FALSE)</f>
        <v>259.3</v>
      </c>
      <c r="AE550" s="44">
        <f t="shared" si="115"/>
        <v>311.0188</v>
      </c>
      <c r="AF550" s="283">
        <f t="shared" si="116"/>
        <v>-22.461200000000019</v>
      </c>
      <c r="AG550" s="291">
        <f t="shared" si="125"/>
        <v>-7.221814244026413E-2</v>
      </c>
      <c r="AH550" s="184" t="str">
        <f t="shared" si="117"/>
        <v>NO</v>
      </c>
      <c r="AJ550" s="9" t="str">
        <f t="shared" si="118"/>
        <v>NO</v>
      </c>
      <c r="AK550" s="9" t="str">
        <f t="shared" si="119"/>
        <v>NO</v>
      </c>
      <c r="AL550" s="9" t="str">
        <f t="shared" si="120"/>
        <v>NO</v>
      </c>
      <c r="AM550" s="9" t="str">
        <f t="shared" si="121"/>
        <v>NO</v>
      </c>
      <c r="AN550" s="9" t="str">
        <f t="shared" si="122"/>
        <v>Doesn't meet Standard</v>
      </c>
      <c r="AO550" s="9" t="str">
        <f t="shared" si="123"/>
        <v>13A_Doesn't meet Standard</v>
      </c>
      <c r="AP550" s="9" t="str">
        <f t="shared" si="124"/>
        <v>13A_NO</v>
      </c>
    </row>
    <row r="551" spans="1:42">
      <c r="A551" s="9">
        <v>83855</v>
      </c>
      <c r="B551" s="9" t="s">
        <v>4533</v>
      </c>
      <c r="C551" s="9" t="s">
        <v>4538</v>
      </c>
      <c r="D551" s="9" t="s">
        <v>4539</v>
      </c>
      <c r="E551" s="9" t="s">
        <v>4115</v>
      </c>
      <c r="F551" s="9" t="s">
        <v>162</v>
      </c>
      <c r="G551" s="9" t="s">
        <v>184</v>
      </c>
      <c r="I551" s="9" t="s">
        <v>4106</v>
      </c>
      <c r="N551" s="9" t="b">
        <v>0</v>
      </c>
      <c r="P551" s="9">
        <v>5.64</v>
      </c>
      <c r="R551" s="9">
        <v>5.64</v>
      </c>
      <c r="S551" s="9">
        <v>35</v>
      </c>
      <c r="T551" s="9">
        <v>24</v>
      </c>
      <c r="U551" s="9">
        <v>24</v>
      </c>
      <c r="V551" s="9">
        <v>336.37</v>
      </c>
      <c r="W551" s="268">
        <v>41765</v>
      </c>
      <c r="Z551" s="9" t="b">
        <f t="shared" si="113"/>
        <v>1</v>
      </c>
      <c r="AA551" s="9" t="str">
        <f t="shared" si="126"/>
        <v>13A</v>
      </c>
      <c r="AB551" s="196">
        <f t="shared" si="114"/>
        <v>5.64</v>
      </c>
      <c r="AC551" s="9">
        <f>VLOOKUP(AA551,'Federal Standards'!$N$9:$P$50,2,FALSE)</f>
        <v>9.17</v>
      </c>
      <c r="AD551" s="44">
        <f>VLOOKUP(AA551,'Federal Standards'!$N$9:$P$50,3,FALSE)</f>
        <v>259.3</v>
      </c>
      <c r="AE551" s="44">
        <f t="shared" si="115"/>
        <v>311.0188</v>
      </c>
      <c r="AF551" s="283">
        <f t="shared" si="116"/>
        <v>-25.351200000000006</v>
      </c>
      <c r="AG551" s="291">
        <f t="shared" si="125"/>
        <v>-8.1510185236390878E-2</v>
      </c>
      <c r="AH551" s="184" t="str">
        <f t="shared" si="117"/>
        <v>NO</v>
      </c>
      <c r="AJ551" s="9" t="str">
        <f t="shared" si="118"/>
        <v>NO</v>
      </c>
      <c r="AK551" s="9" t="str">
        <f t="shared" si="119"/>
        <v>NO</v>
      </c>
      <c r="AL551" s="9" t="str">
        <f t="shared" si="120"/>
        <v>NO</v>
      </c>
      <c r="AM551" s="9" t="str">
        <f t="shared" si="121"/>
        <v>NO</v>
      </c>
      <c r="AN551" s="9" t="str">
        <f t="shared" si="122"/>
        <v>Doesn't meet Standard</v>
      </c>
      <c r="AO551" s="9" t="str">
        <f t="shared" si="123"/>
        <v>13A_Doesn't meet Standard</v>
      </c>
      <c r="AP551" s="9" t="str">
        <f t="shared" si="124"/>
        <v>13A_NO</v>
      </c>
    </row>
    <row r="552" spans="1:42">
      <c r="A552" s="9">
        <v>83872</v>
      </c>
      <c r="B552" s="9" t="s">
        <v>4533</v>
      </c>
      <c r="C552" s="9" t="s">
        <v>4538</v>
      </c>
      <c r="D552" s="9" t="s">
        <v>4540</v>
      </c>
      <c r="E552" s="9" t="s">
        <v>4119</v>
      </c>
      <c r="F552" s="9" t="s">
        <v>162</v>
      </c>
      <c r="G552" s="9" t="s">
        <v>184</v>
      </c>
      <c r="I552" s="9" t="s">
        <v>4106</v>
      </c>
      <c r="N552" s="9" t="b">
        <v>0</v>
      </c>
      <c r="P552" s="9">
        <v>10.89</v>
      </c>
      <c r="R552" s="9">
        <v>10.89</v>
      </c>
      <c r="S552" s="9">
        <v>55</v>
      </c>
      <c r="T552" s="9">
        <v>24</v>
      </c>
      <c r="U552" s="9">
        <v>27</v>
      </c>
      <c r="V552" s="9">
        <v>489.71</v>
      </c>
      <c r="W552" s="268">
        <v>41765</v>
      </c>
      <c r="Z552" s="9" t="b">
        <f t="shared" si="113"/>
        <v>0</v>
      </c>
      <c r="AA552" s="9" t="str">
        <f t="shared" si="126"/>
        <v>[NOT FOUND]</v>
      </c>
      <c r="AB552" s="196">
        <f t="shared" si="114"/>
        <v>10.89</v>
      </c>
      <c r="AC552" s="9" t="e">
        <f>VLOOKUP(AA552,'Federal Standards'!$N$9:$P$50,2,FALSE)</f>
        <v>#N/A</v>
      </c>
      <c r="AD552" s="44" t="e">
        <f>VLOOKUP(AA552,'Federal Standards'!$N$9:$P$50,3,FALSE)</f>
        <v>#N/A</v>
      </c>
      <c r="AE552" s="44" t="e">
        <f t="shared" si="115"/>
        <v>#N/A</v>
      </c>
      <c r="AF552" s="283" t="e">
        <f t="shared" si="116"/>
        <v>#N/A</v>
      </c>
      <c r="AG552" s="291" t="e">
        <f t="shared" si="125"/>
        <v>#N/A</v>
      </c>
      <c r="AH552" s="184" t="e">
        <f t="shared" si="117"/>
        <v>#N/A</v>
      </c>
      <c r="AJ552" s="9" t="e">
        <f t="shared" si="118"/>
        <v>#N/A</v>
      </c>
      <c r="AK552" s="9" t="e">
        <f t="shared" si="119"/>
        <v>#N/A</v>
      </c>
      <c r="AL552" s="9" t="e">
        <f t="shared" si="120"/>
        <v>#N/A</v>
      </c>
      <c r="AM552" s="9" t="e">
        <f t="shared" si="121"/>
        <v>#N/A</v>
      </c>
      <c r="AN552" s="9" t="e">
        <f t="shared" si="122"/>
        <v>#N/A</v>
      </c>
      <c r="AO552" s="9" t="e">
        <f t="shared" si="123"/>
        <v>#N/A</v>
      </c>
      <c r="AP552" s="9" t="e">
        <f t="shared" si="124"/>
        <v>#N/A</v>
      </c>
    </row>
    <row r="553" spans="1:42">
      <c r="A553" s="9">
        <v>83873</v>
      </c>
      <c r="B553" s="9" t="s">
        <v>4533</v>
      </c>
      <c r="C553" s="9" t="s">
        <v>4538</v>
      </c>
      <c r="D553" s="9" t="s">
        <v>4541</v>
      </c>
      <c r="E553" s="9" t="s">
        <v>4119</v>
      </c>
      <c r="F553" s="9" t="s">
        <v>162</v>
      </c>
      <c r="G553" s="9" t="s">
        <v>184</v>
      </c>
      <c r="I553" s="9" t="s">
        <v>4106</v>
      </c>
      <c r="N553" s="9" t="b">
        <v>0</v>
      </c>
      <c r="P553" s="9">
        <v>16.670000000000002</v>
      </c>
      <c r="R553" s="9">
        <v>16.670000000000002</v>
      </c>
      <c r="S553" s="9">
        <v>70</v>
      </c>
      <c r="T553" s="9">
        <v>24</v>
      </c>
      <c r="U553" s="9">
        <v>27</v>
      </c>
      <c r="V553" s="9">
        <v>587.91999999999996</v>
      </c>
      <c r="W553" s="268">
        <v>41765</v>
      </c>
      <c r="Z553" s="9" t="b">
        <f t="shared" si="113"/>
        <v>0</v>
      </c>
      <c r="AA553" s="9" t="str">
        <f t="shared" si="126"/>
        <v>[NOT FOUND]</v>
      </c>
      <c r="AB553" s="196">
        <f t="shared" si="114"/>
        <v>16.670000000000002</v>
      </c>
      <c r="AC553" s="9" t="e">
        <f>VLOOKUP(AA553,'Federal Standards'!$N$9:$P$50,2,FALSE)</f>
        <v>#N/A</v>
      </c>
      <c r="AD553" s="44" t="e">
        <f>VLOOKUP(AA553,'Federal Standards'!$N$9:$P$50,3,FALSE)</f>
        <v>#N/A</v>
      </c>
      <c r="AE553" s="44" t="e">
        <f t="shared" si="115"/>
        <v>#N/A</v>
      </c>
      <c r="AF553" s="283" t="e">
        <f t="shared" si="116"/>
        <v>#N/A</v>
      </c>
      <c r="AG553" s="291" t="e">
        <f t="shared" si="125"/>
        <v>#N/A</v>
      </c>
      <c r="AH553" s="184" t="e">
        <f t="shared" si="117"/>
        <v>#N/A</v>
      </c>
      <c r="AJ553" s="9" t="e">
        <f t="shared" si="118"/>
        <v>#N/A</v>
      </c>
      <c r="AK553" s="9" t="e">
        <f t="shared" si="119"/>
        <v>#N/A</v>
      </c>
      <c r="AL553" s="9" t="e">
        <f t="shared" si="120"/>
        <v>#N/A</v>
      </c>
      <c r="AM553" s="9" t="e">
        <f t="shared" si="121"/>
        <v>#N/A</v>
      </c>
      <c r="AN553" s="9" t="e">
        <f t="shared" si="122"/>
        <v>#N/A</v>
      </c>
      <c r="AO553" s="9" t="e">
        <f t="shared" si="123"/>
        <v>#N/A</v>
      </c>
      <c r="AP553" s="9" t="e">
        <f t="shared" si="124"/>
        <v>#N/A</v>
      </c>
    </row>
    <row r="554" spans="1:42">
      <c r="A554" s="9">
        <v>83858</v>
      </c>
      <c r="B554" s="9" t="s">
        <v>4533</v>
      </c>
      <c r="C554" s="9" t="s">
        <v>4538</v>
      </c>
      <c r="D554" s="9" t="s">
        <v>4542</v>
      </c>
      <c r="E554" s="9" t="s">
        <v>4119</v>
      </c>
      <c r="F554" s="9" t="s">
        <v>162</v>
      </c>
      <c r="G554" s="9" t="s">
        <v>184</v>
      </c>
      <c r="I554" s="9" t="s">
        <v>4106</v>
      </c>
      <c r="N554" s="9" t="b">
        <v>0</v>
      </c>
      <c r="P554" s="9">
        <v>2.52</v>
      </c>
      <c r="R554" s="9">
        <v>2.52</v>
      </c>
      <c r="S554" s="9">
        <v>34</v>
      </c>
      <c r="T554" s="9">
        <v>12</v>
      </c>
      <c r="U554" s="9">
        <v>24</v>
      </c>
      <c r="V554" s="9">
        <v>347.18</v>
      </c>
      <c r="W554" s="268">
        <v>41765</v>
      </c>
      <c r="Z554" s="9" t="b">
        <f t="shared" si="113"/>
        <v>1</v>
      </c>
      <c r="AA554" s="9" t="str">
        <f t="shared" si="126"/>
        <v>[Wine Chiller - exempt]</v>
      </c>
      <c r="AB554" s="196">
        <f t="shared" si="114"/>
        <v>2.52</v>
      </c>
      <c r="AC554" s="9" t="e">
        <f>VLOOKUP(AA554,'Federal Standards'!$N$9:$P$50,2,FALSE)</f>
        <v>#N/A</v>
      </c>
      <c r="AD554" s="44" t="e">
        <f>VLOOKUP(AA554,'Federal Standards'!$N$9:$P$50,3,FALSE)</f>
        <v>#N/A</v>
      </c>
      <c r="AE554" s="44" t="e">
        <f t="shared" si="115"/>
        <v>#N/A</v>
      </c>
      <c r="AF554" s="283" t="e">
        <f t="shared" si="116"/>
        <v>#N/A</v>
      </c>
      <c r="AG554" s="291" t="e">
        <f t="shared" si="125"/>
        <v>#N/A</v>
      </c>
      <c r="AH554" s="184" t="e">
        <f t="shared" si="117"/>
        <v>#N/A</v>
      </c>
      <c r="AJ554" s="9" t="e">
        <f t="shared" si="118"/>
        <v>#N/A</v>
      </c>
      <c r="AK554" s="9" t="e">
        <f t="shared" si="119"/>
        <v>#N/A</v>
      </c>
      <c r="AL554" s="9" t="e">
        <f t="shared" si="120"/>
        <v>#N/A</v>
      </c>
      <c r="AM554" s="9" t="e">
        <f t="shared" si="121"/>
        <v>#N/A</v>
      </c>
      <c r="AN554" s="9" t="e">
        <f t="shared" si="122"/>
        <v>#N/A</v>
      </c>
      <c r="AO554" s="9" t="e">
        <f t="shared" si="123"/>
        <v>#N/A</v>
      </c>
      <c r="AP554" s="9" t="e">
        <f t="shared" si="124"/>
        <v>#N/A</v>
      </c>
    </row>
    <row r="555" spans="1:42">
      <c r="A555" s="9">
        <v>83861</v>
      </c>
      <c r="B555" s="9" t="s">
        <v>4533</v>
      </c>
      <c r="C555" s="9" t="s">
        <v>4538</v>
      </c>
      <c r="D555" s="9" t="s">
        <v>4543</v>
      </c>
      <c r="E555" s="9" t="s">
        <v>4119</v>
      </c>
      <c r="F555" s="9" t="s">
        <v>162</v>
      </c>
      <c r="G555" s="9" t="s">
        <v>184</v>
      </c>
      <c r="I555" s="9" t="s">
        <v>4106</v>
      </c>
      <c r="N555" s="9" t="b">
        <v>0</v>
      </c>
      <c r="P555" s="9">
        <v>4.03</v>
      </c>
      <c r="R555" s="9">
        <v>4.03</v>
      </c>
      <c r="S555" s="9">
        <v>33</v>
      </c>
      <c r="T555" s="9">
        <v>20</v>
      </c>
      <c r="U555" s="9">
        <v>23</v>
      </c>
      <c r="V555" s="9">
        <v>403.58</v>
      </c>
      <c r="W555" s="268">
        <v>41765</v>
      </c>
      <c r="Z555" s="9" t="b">
        <f t="shared" si="113"/>
        <v>1</v>
      </c>
      <c r="AA555" s="9" t="str">
        <f t="shared" si="126"/>
        <v>[Wine Chiller - exempt]</v>
      </c>
      <c r="AB555" s="196">
        <f t="shared" si="114"/>
        <v>4.03</v>
      </c>
      <c r="AC555" s="9" t="e">
        <f>VLOOKUP(AA555,'Federal Standards'!$N$9:$P$50,2,FALSE)</f>
        <v>#N/A</v>
      </c>
      <c r="AD555" s="44" t="e">
        <f>VLOOKUP(AA555,'Federal Standards'!$N$9:$P$50,3,FALSE)</f>
        <v>#N/A</v>
      </c>
      <c r="AE555" s="44" t="e">
        <f t="shared" si="115"/>
        <v>#N/A</v>
      </c>
      <c r="AF555" s="283" t="e">
        <f t="shared" si="116"/>
        <v>#N/A</v>
      </c>
      <c r="AG555" s="291" t="e">
        <f t="shared" si="125"/>
        <v>#N/A</v>
      </c>
      <c r="AH555" s="184" t="e">
        <f t="shared" si="117"/>
        <v>#N/A</v>
      </c>
      <c r="AJ555" s="9" t="e">
        <f t="shared" si="118"/>
        <v>#N/A</v>
      </c>
      <c r="AK555" s="9" t="e">
        <f t="shared" si="119"/>
        <v>#N/A</v>
      </c>
      <c r="AL555" s="9" t="e">
        <f t="shared" si="120"/>
        <v>#N/A</v>
      </c>
      <c r="AM555" s="9" t="e">
        <f t="shared" si="121"/>
        <v>#N/A</v>
      </c>
      <c r="AN555" s="9" t="e">
        <f t="shared" si="122"/>
        <v>#N/A</v>
      </c>
      <c r="AO555" s="9" t="e">
        <f t="shared" si="123"/>
        <v>#N/A</v>
      </c>
      <c r="AP555" s="9" t="e">
        <f t="shared" si="124"/>
        <v>#N/A</v>
      </c>
    </row>
    <row r="556" spans="1:42">
      <c r="A556" s="9">
        <v>83860</v>
      </c>
      <c r="B556" s="9" t="s">
        <v>4533</v>
      </c>
      <c r="C556" s="9" t="s">
        <v>4538</v>
      </c>
      <c r="D556" s="9" t="s">
        <v>4544</v>
      </c>
      <c r="E556" s="9" t="s">
        <v>4119</v>
      </c>
      <c r="F556" s="9" t="s">
        <v>162</v>
      </c>
      <c r="G556" s="9" t="s">
        <v>184</v>
      </c>
      <c r="I556" s="9" t="s">
        <v>4106</v>
      </c>
      <c r="N556" s="9" t="b">
        <v>0</v>
      </c>
      <c r="P556" s="9">
        <v>4.03</v>
      </c>
      <c r="R556" s="9">
        <v>4.03</v>
      </c>
      <c r="S556" s="9">
        <v>33</v>
      </c>
      <c r="T556" s="9">
        <v>20</v>
      </c>
      <c r="U556" s="9">
        <v>23</v>
      </c>
      <c r="V556" s="9">
        <v>383.7</v>
      </c>
      <c r="W556" s="268">
        <v>41765</v>
      </c>
      <c r="Z556" s="9" t="b">
        <f t="shared" si="113"/>
        <v>1</v>
      </c>
      <c r="AA556" s="9" t="str">
        <f t="shared" si="126"/>
        <v>[Wine Chiller - exempt]</v>
      </c>
      <c r="AB556" s="196">
        <f t="shared" si="114"/>
        <v>4.03</v>
      </c>
      <c r="AC556" s="9" t="e">
        <f>VLOOKUP(AA556,'Federal Standards'!$N$9:$P$50,2,FALSE)</f>
        <v>#N/A</v>
      </c>
      <c r="AD556" s="44" t="e">
        <f>VLOOKUP(AA556,'Federal Standards'!$N$9:$P$50,3,FALSE)</f>
        <v>#N/A</v>
      </c>
      <c r="AE556" s="44" t="e">
        <f t="shared" si="115"/>
        <v>#N/A</v>
      </c>
      <c r="AF556" s="283" t="e">
        <f t="shared" si="116"/>
        <v>#N/A</v>
      </c>
      <c r="AG556" s="291" t="e">
        <f t="shared" si="125"/>
        <v>#N/A</v>
      </c>
      <c r="AH556" s="184" t="e">
        <f t="shared" si="117"/>
        <v>#N/A</v>
      </c>
      <c r="AJ556" s="9" t="e">
        <f t="shared" si="118"/>
        <v>#N/A</v>
      </c>
      <c r="AK556" s="9" t="e">
        <f t="shared" si="119"/>
        <v>#N/A</v>
      </c>
      <c r="AL556" s="9" t="e">
        <f t="shared" si="120"/>
        <v>#N/A</v>
      </c>
      <c r="AM556" s="9" t="e">
        <f t="shared" si="121"/>
        <v>#N/A</v>
      </c>
      <c r="AN556" s="9" t="e">
        <f t="shared" si="122"/>
        <v>#N/A</v>
      </c>
      <c r="AO556" s="9" t="e">
        <f t="shared" si="123"/>
        <v>#N/A</v>
      </c>
      <c r="AP556" s="9" t="e">
        <f t="shared" si="124"/>
        <v>#N/A</v>
      </c>
    </row>
    <row r="557" spans="1:42">
      <c r="A557" s="9">
        <v>83859</v>
      </c>
      <c r="B557" s="9" t="s">
        <v>4533</v>
      </c>
      <c r="C557" s="9" t="s">
        <v>4538</v>
      </c>
      <c r="D557" s="9" t="s">
        <v>4545</v>
      </c>
      <c r="E557" s="9" t="s">
        <v>4119</v>
      </c>
      <c r="F557" s="9" t="s">
        <v>162</v>
      </c>
      <c r="G557" s="9" t="s">
        <v>184</v>
      </c>
      <c r="I557" s="9" t="s">
        <v>4106</v>
      </c>
      <c r="N557" s="9" t="b">
        <v>0</v>
      </c>
      <c r="P557" s="9">
        <v>4.34</v>
      </c>
      <c r="R557" s="9">
        <v>4.34</v>
      </c>
      <c r="S557" s="9">
        <v>33</v>
      </c>
      <c r="T557" s="9">
        <v>20</v>
      </c>
      <c r="U557" s="9">
        <v>23</v>
      </c>
      <c r="V557" s="9">
        <v>342.48</v>
      </c>
      <c r="W557" s="268">
        <v>41765</v>
      </c>
      <c r="Z557" s="9" t="b">
        <f t="shared" si="113"/>
        <v>1</v>
      </c>
      <c r="AA557" s="9" t="str">
        <f t="shared" si="126"/>
        <v>[Wine Chiller - exempt]</v>
      </c>
      <c r="AB557" s="196">
        <f t="shared" si="114"/>
        <v>4.34</v>
      </c>
      <c r="AC557" s="9" t="e">
        <f>VLOOKUP(AA557,'Federal Standards'!$N$9:$P$50,2,FALSE)</f>
        <v>#N/A</v>
      </c>
      <c r="AD557" s="44" t="e">
        <f>VLOOKUP(AA557,'Federal Standards'!$N$9:$P$50,3,FALSE)</f>
        <v>#N/A</v>
      </c>
      <c r="AE557" s="44" t="e">
        <f t="shared" si="115"/>
        <v>#N/A</v>
      </c>
      <c r="AF557" s="283" t="e">
        <f t="shared" si="116"/>
        <v>#N/A</v>
      </c>
      <c r="AG557" s="291" t="e">
        <f t="shared" si="125"/>
        <v>#N/A</v>
      </c>
      <c r="AH557" s="184" t="e">
        <f t="shared" si="117"/>
        <v>#N/A</v>
      </c>
      <c r="AJ557" s="9" t="e">
        <f t="shared" si="118"/>
        <v>#N/A</v>
      </c>
      <c r="AK557" s="9" t="e">
        <f t="shared" si="119"/>
        <v>#N/A</v>
      </c>
      <c r="AL557" s="9" t="e">
        <f t="shared" si="120"/>
        <v>#N/A</v>
      </c>
      <c r="AM557" s="9" t="e">
        <f t="shared" si="121"/>
        <v>#N/A</v>
      </c>
      <c r="AN557" s="9" t="e">
        <f t="shared" si="122"/>
        <v>#N/A</v>
      </c>
      <c r="AO557" s="9" t="e">
        <f t="shared" si="123"/>
        <v>#N/A</v>
      </c>
      <c r="AP557" s="9" t="e">
        <f t="shared" si="124"/>
        <v>#N/A</v>
      </c>
    </row>
    <row r="558" spans="1:42">
      <c r="A558" s="9">
        <v>83865</v>
      </c>
      <c r="B558" s="9" t="s">
        <v>4533</v>
      </c>
      <c r="C558" s="9" t="s">
        <v>4538</v>
      </c>
      <c r="D558" s="9" t="s">
        <v>4546</v>
      </c>
      <c r="E558" s="9" t="s">
        <v>4119</v>
      </c>
      <c r="F558" s="9" t="s">
        <v>162</v>
      </c>
      <c r="G558" s="9" t="s">
        <v>184</v>
      </c>
      <c r="I558" s="9" t="s">
        <v>4106</v>
      </c>
      <c r="N558" s="9" t="b">
        <v>0</v>
      </c>
      <c r="P558" s="9">
        <v>5.71</v>
      </c>
      <c r="R558" s="9">
        <v>5.71</v>
      </c>
      <c r="S558" s="9">
        <v>35</v>
      </c>
      <c r="T558" s="9">
        <v>24</v>
      </c>
      <c r="U558" s="9">
        <v>24</v>
      </c>
      <c r="V558" s="9">
        <v>385.7</v>
      </c>
      <c r="W558" s="268">
        <v>41765</v>
      </c>
      <c r="Z558" s="9" t="b">
        <f t="shared" si="113"/>
        <v>1</v>
      </c>
      <c r="AA558" s="9" t="str">
        <f t="shared" si="126"/>
        <v>[Wine Chiller - exempt]</v>
      </c>
      <c r="AB558" s="196">
        <f t="shared" si="114"/>
        <v>5.71</v>
      </c>
      <c r="AC558" s="9" t="e">
        <f>VLOOKUP(AA558,'Federal Standards'!$N$9:$P$50,2,FALSE)</f>
        <v>#N/A</v>
      </c>
      <c r="AD558" s="44" t="e">
        <f>VLOOKUP(AA558,'Federal Standards'!$N$9:$P$50,3,FALSE)</f>
        <v>#N/A</v>
      </c>
      <c r="AE558" s="44" t="e">
        <f t="shared" si="115"/>
        <v>#N/A</v>
      </c>
      <c r="AF558" s="283" t="e">
        <f t="shared" si="116"/>
        <v>#N/A</v>
      </c>
      <c r="AG558" s="291" t="e">
        <f t="shared" si="125"/>
        <v>#N/A</v>
      </c>
      <c r="AH558" s="184" t="e">
        <f t="shared" si="117"/>
        <v>#N/A</v>
      </c>
      <c r="AJ558" s="9" t="e">
        <f t="shared" si="118"/>
        <v>#N/A</v>
      </c>
      <c r="AK558" s="9" t="e">
        <f t="shared" si="119"/>
        <v>#N/A</v>
      </c>
      <c r="AL558" s="9" t="e">
        <f t="shared" si="120"/>
        <v>#N/A</v>
      </c>
      <c r="AM558" s="9" t="e">
        <f t="shared" si="121"/>
        <v>#N/A</v>
      </c>
      <c r="AN558" s="9" t="e">
        <f t="shared" si="122"/>
        <v>#N/A</v>
      </c>
      <c r="AO558" s="9" t="e">
        <f t="shared" si="123"/>
        <v>#N/A</v>
      </c>
      <c r="AP558" s="9" t="e">
        <f t="shared" si="124"/>
        <v>#N/A</v>
      </c>
    </row>
    <row r="559" spans="1:42">
      <c r="A559" s="9">
        <v>83487</v>
      </c>
      <c r="B559" s="9" t="s">
        <v>4547</v>
      </c>
      <c r="C559" s="9" t="s">
        <v>164</v>
      </c>
      <c r="D559" s="9" t="s">
        <v>4120</v>
      </c>
      <c r="E559" s="9" t="s">
        <v>4119</v>
      </c>
      <c r="F559" s="9" t="s">
        <v>162</v>
      </c>
      <c r="G559" s="9" t="s">
        <v>184</v>
      </c>
      <c r="I559" s="9" t="s">
        <v>4106</v>
      </c>
      <c r="N559" s="9" t="b">
        <v>0</v>
      </c>
      <c r="O559" s="9" t="s">
        <v>4099</v>
      </c>
      <c r="P559" s="9">
        <v>13.64</v>
      </c>
      <c r="R559" s="9">
        <v>13.64</v>
      </c>
      <c r="S559" s="9">
        <v>64</v>
      </c>
      <c r="T559" s="9">
        <v>24</v>
      </c>
      <c r="U559" s="9">
        <v>29</v>
      </c>
      <c r="V559" s="9">
        <v>460.98</v>
      </c>
      <c r="W559" s="268">
        <v>41743</v>
      </c>
      <c r="Z559" s="9" t="b">
        <f t="shared" si="113"/>
        <v>0</v>
      </c>
      <c r="AA559" s="9" t="str">
        <f t="shared" si="126"/>
        <v>[NOT FOUND]</v>
      </c>
      <c r="AB559" s="196">
        <f t="shared" si="114"/>
        <v>13.64</v>
      </c>
      <c r="AC559" s="9" t="e">
        <f>VLOOKUP(AA559,'Federal Standards'!$N$9:$P$50,2,FALSE)</f>
        <v>#N/A</v>
      </c>
      <c r="AD559" s="44" t="e">
        <f>VLOOKUP(AA559,'Federal Standards'!$N$9:$P$50,3,FALSE)</f>
        <v>#N/A</v>
      </c>
      <c r="AE559" s="44" t="e">
        <f t="shared" si="115"/>
        <v>#N/A</v>
      </c>
      <c r="AF559" s="283" t="e">
        <f t="shared" si="116"/>
        <v>#N/A</v>
      </c>
      <c r="AG559" s="291" t="e">
        <f t="shared" si="125"/>
        <v>#N/A</v>
      </c>
      <c r="AH559" s="184" t="e">
        <f t="shared" si="117"/>
        <v>#N/A</v>
      </c>
      <c r="AJ559" s="9" t="e">
        <f t="shared" si="118"/>
        <v>#N/A</v>
      </c>
      <c r="AK559" s="9" t="e">
        <f t="shared" si="119"/>
        <v>#N/A</v>
      </c>
      <c r="AL559" s="9" t="e">
        <f t="shared" si="120"/>
        <v>#N/A</v>
      </c>
      <c r="AM559" s="9" t="e">
        <f t="shared" si="121"/>
        <v>#N/A</v>
      </c>
      <c r="AN559" s="9" t="e">
        <f t="shared" si="122"/>
        <v>#N/A</v>
      </c>
      <c r="AO559" s="9" t="e">
        <f t="shared" si="123"/>
        <v>#N/A</v>
      </c>
      <c r="AP559" s="9" t="e">
        <f t="shared" si="124"/>
        <v>#N/A</v>
      </c>
    </row>
    <row r="560" spans="1:42">
      <c r="A560" s="9">
        <v>83252</v>
      </c>
      <c r="B560" s="9" t="s">
        <v>4547</v>
      </c>
      <c r="C560" s="9" t="s">
        <v>164</v>
      </c>
      <c r="D560" s="9" t="s">
        <v>4548</v>
      </c>
      <c r="E560" s="9" t="s">
        <v>4119</v>
      </c>
      <c r="F560" s="9" t="s">
        <v>162</v>
      </c>
      <c r="G560" s="9" t="s">
        <v>184</v>
      </c>
      <c r="I560" s="9" t="s">
        <v>4106</v>
      </c>
      <c r="N560" s="9" t="b">
        <v>0</v>
      </c>
      <c r="O560" s="9" t="s">
        <v>4099</v>
      </c>
      <c r="P560" s="9">
        <v>13.85</v>
      </c>
      <c r="R560" s="9">
        <v>13.85</v>
      </c>
      <c r="S560" s="9">
        <v>64</v>
      </c>
      <c r="T560" s="9">
        <v>24</v>
      </c>
      <c r="U560" s="9">
        <v>29</v>
      </c>
      <c r="V560" s="9">
        <v>392.56</v>
      </c>
      <c r="W560" s="268">
        <v>41730</v>
      </c>
      <c r="Z560" s="9" t="b">
        <f t="shared" si="113"/>
        <v>0</v>
      </c>
      <c r="AA560" s="9" t="str">
        <f t="shared" si="126"/>
        <v>[NOT FOUND]</v>
      </c>
      <c r="AB560" s="196">
        <f t="shared" si="114"/>
        <v>13.85</v>
      </c>
      <c r="AC560" s="9" t="e">
        <f>VLOOKUP(AA560,'Federal Standards'!$N$9:$P$50,2,FALSE)</f>
        <v>#N/A</v>
      </c>
      <c r="AD560" s="44" t="e">
        <f>VLOOKUP(AA560,'Federal Standards'!$N$9:$P$50,3,FALSE)</f>
        <v>#N/A</v>
      </c>
      <c r="AE560" s="44" t="e">
        <f t="shared" si="115"/>
        <v>#N/A</v>
      </c>
      <c r="AF560" s="283" t="e">
        <f t="shared" si="116"/>
        <v>#N/A</v>
      </c>
      <c r="AG560" s="291" t="e">
        <f t="shared" si="125"/>
        <v>#N/A</v>
      </c>
      <c r="AH560" s="184" t="e">
        <f t="shared" si="117"/>
        <v>#N/A</v>
      </c>
      <c r="AJ560" s="9" t="e">
        <f t="shared" si="118"/>
        <v>#N/A</v>
      </c>
      <c r="AK560" s="9" t="e">
        <f t="shared" si="119"/>
        <v>#N/A</v>
      </c>
      <c r="AL560" s="9" t="e">
        <f t="shared" si="120"/>
        <v>#N/A</v>
      </c>
      <c r="AM560" s="9" t="e">
        <f t="shared" si="121"/>
        <v>#N/A</v>
      </c>
      <c r="AN560" s="9" t="e">
        <f t="shared" si="122"/>
        <v>#N/A</v>
      </c>
      <c r="AO560" s="9" t="e">
        <f t="shared" si="123"/>
        <v>#N/A</v>
      </c>
      <c r="AP560" s="9" t="e">
        <f t="shared" si="124"/>
        <v>#N/A</v>
      </c>
    </row>
    <row r="561" spans="1:42">
      <c r="A561" s="9">
        <v>85191</v>
      </c>
      <c r="B561" s="9" t="s">
        <v>4547</v>
      </c>
      <c r="C561" s="9" t="s">
        <v>164</v>
      </c>
      <c r="D561" s="9" t="s">
        <v>4549</v>
      </c>
      <c r="E561" s="9" t="s">
        <v>4119</v>
      </c>
      <c r="F561" s="9" t="s">
        <v>162</v>
      </c>
      <c r="G561" s="9" t="s">
        <v>184</v>
      </c>
      <c r="I561" s="9" t="s">
        <v>4106</v>
      </c>
      <c r="N561" s="9" t="b">
        <v>0</v>
      </c>
      <c r="O561" s="9" t="s">
        <v>4099</v>
      </c>
      <c r="P561" s="9">
        <v>15.53</v>
      </c>
      <c r="R561" s="9">
        <v>15.53</v>
      </c>
      <c r="S561" s="9">
        <v>71</v>
      </c>
      <c r="T561" s="9">
        <v>24</v>
      </c>
      <c r="U561" s="9">
        <v>27</v>
      </c>
      <c r="V561" s="9">
        <v>399.86</v>
      </c>
      <c r="W561" s="268">
        <v>41835</v>
      </c>
      <c r="Z561" s="9" t="b">
        <f t="shared" si="113"/>
        <v>0</v>
      </c>
      <c r="AA561" s="9" t="str">
        <f t="shared" si="126"/>
        <v>[NOT FOUND]</v>
      </c>
      <c r="AB561" s="196">
        <f t="shared" si="114"/>
        <v>15.53</v>
      </c>
      <c r="AC561" s="9" t="e">
        <f>VLOOKUP(AA561,'Federal Standards'!$N$9:$P$50,2,FALSE)</f>
        <v>#N/A</v>
      </c>
      <c r="AD561" s="44" t="e">
        <f>VLOOKUP(AA561,'Federal Standards'!$N$9:$P$50,3,FALSE)</f>
        <v>#N/A</v>
      </c>
      <c r="AE561" s="44" t="e">
        <f t="shared" si="115"/>
        <v>#N/A</v>
      </c>
      <c r="AF561" s="283" t="e">
        <f t="shared" si="116"/>
        <v>#N/A</v>
      </c>
      <c r="AG561" s="291" t="e">
        <f t="shared" si="125"/>
        <v>#N/A</v>
      </c>
      <c r="AH561" s="184" t="e">
        <f t="shared" si="117"/>
        <v>#N/A</v>
      </c>
      <c r="AJ561" s="9" t="e">
        <f t="shared" si="118"/>
        <v>#N/A</v>
      </c>
      <c r="AK561" s="9" t="e">
        <f t="shared" si="119"/>
        <v>#N/A</v>
      </c>
      <c r="AL561" s="9" t="e">
        <f t="shared" si="120"/>
        <v>#N/A</v>
      </c>
      <c r="AM561" s="9" t="e">
        <f t="shared" si="121"/>
        <v>#N/A</v>
      </c>
      <c r="AN561" s="9" t="e">
        <f t="shared" si="122"/>
        <v>#N/A</v>
      </c>
      <c r="AO561" s="9" t="e">
        <f t="shared" si="123"/>
        <v>#N/A</v>
      </c>
      <c r="AP561" s="9" t="e">
        <f t="shared" si="124"/>
        <v>#N/A</v>
      </c>
    </row>
    <row r="562" spans="1:42">
      <c r="A562" s="9">
        <v>83249</v>
      </c>
      <c r="B562" s="9" t="s">
        <v>4547</v>
      </c>
      <c r="C562" s="9" t="s">
        <v>164</v>
      </c>
      <c r="D562" s="9" t="s">
        <v>4550</v>
      </c>
      <c r="E562" s="9" t="s">
        <v>4119</v>
      </c>
      <c r="F562" s="9" t="s">
        <v>162</v>
      </c>
      <c r="G562" s="9" t="s">
        <v>184</v>
      </c>
      <c r="I562" s="9" t="s">
        <v>4106</v>
      </c>
      <c r="N562" s="9" t="b">
        <v>0</v>
      </c>
      <c r="O562" s="9" t="s">
        <v>4099</v>
      </c>
      <c r="P562" s="9">
        <v>7.95</v>
      </c>
      <c r="R562" s="9">
        <v>7.95</v>
      </c>
      <c r="S562" s="9">
        <v>49</v>
      </c>
      <c r="T562" s="9">
        <v>24</v>
      </c>
      <c r="U562" s="9">
        <v>25</v>
      </c>
      <c r="V562" s="9">
        <v>482.33</v>
      </c>
      <c r="W562" s="268">
        <v>41730</v>
      </c>
      <c r="Z562" s="9" t="b">
        <f t="shared" si="113"/>
        <v>0</v>
      </c>
      <c r="AA562" s="9" t="str">
        <f t="shared" si="126"/>
        <v>[NOT FOUND]</v>
      </c>
      <c r="AB562" s="196">
        <f t="shared" si="114"/>
        <v>7.95</v>
      </c>
      <c r="AC562" s="9" t="e">
        <f>VLOOKUP(AA562,'Federal Standards'!$N$9:$P$50,2,FALSE)</f>
        <v>#N/A</v>
      </c>
      <c r="AD562" s="44" t="e">
        <f>VLOOKUP(AA562,'Federal Standards'!$N$9:$P$50,3,FALSE)</f>
        <v>#N/A</v>
      </c>
      <c r="AE562" s="44" t="e">
        <f t="shared" si="115"/>
        <v>#N/A</v>
      </c>
      <c r="AF562" s="283" t="e">
        <f t="shared" si="116"/>
        <v>#N/A</v>
      </c>
      <c r="AG562" s="291" t="e">
        <f t="shared" si="125"/>
        <v>#N/A</v>
      </c>
      <c r="AH562" s="184" t="e">
        <f t="shared" si="117"/>
        <v>#N/A</v>
      </c>
      <c r="AJ562" s="9" t="e">
        <f t="shared" si="118"/>
        <v>#N/A</v>
      </c>
      <c r="AK562" s="9" t="e">
        <f t="shared" si="119"/>
        <v>#N/A</v>
      </c>
      <c r="AL562" s="9" t="e">
        <f t="shared" si="120"/>
        <v>#N/A</v>
      </c>
      <c r="AM562" s="9" t="e">
        <f t="shared" si="121"/>
        <v>#N/A</v>
      </c>
      <c r="AN562" s="9" t="e">
        <f t="shared" si="122"/>
        <v>#N/A</v>
      </c>
      <c r="AO562" s="9" t="e">
        <f t="shared" si="123"/>
        <v>#N/A</v>
      </c>
      <c r="AP562" s="9" t="e">
        <f t="shared" si="124"/>
        <v>#N/A</v>
      </c>
    </row>
  </sheetData>
  <autoFilter ref="A8:AH544"/>
  <mergeCells count="2">
    <mergeCell ref="Z4:Z7"/>
    <mergeCell ref="AA4:AA7"/>
  </mergeCells>
  <pageMargins left="0.7" right="0.7" top="0.75" bottom="0.75" header="0.3" footer="0.3"/>
</worksheet>
</file>

<file path=xl/worksheets/sheet19.xml><?xml version="1.0" encoding="utf-8"?>
<worksheet xmlns="http://schemas.openxmlformats.org/spreadsheetml/2006/main" xmlns:r="http://schemas.openxmlformats.org/officeDocument/2006/relationships">
  <sheetPr codeName="Sheet8">
    <tabColor theme="6" tint="0.59999389629810485"/>
  </sheetPr>
  <dimension ref="B1:AS586"/>
  <sheetViews>
    <sheetView topLeftCell="F9" zoomScaleNormal="100" workbookViewId="0">
      <selection activeCell="AS41" sqref="AN41:AS41"/>
    </sheetView>
  </sheetViews>
  <sheetFormatPr defaultRowHeight="15" outlineLevelRow="1"/>
  <cols>
    <col min="1" max="1" width="4.42578125" style="156" customWidth="1"/>
    <col min="2" max="2" width="9.28515625" style="156" customWidth="1"/>
    <col min="3" max="3" width="19.85546875" style="156" bestFit="1" customWidth="1"/>
    <col min="4" max="4" width="17.28515625" style="156" bestFit="1" customWidth="1"/>
    <col min="5" max="5" width="14.28515625" style="156" customWidth="1"/>
    <col min="6" max="6" width="21.140625" style="156" customWidth="1"/>
    <col min="7" max="7" width="16" style="156" bestFit="1" customWidth="1"/>
    <col min="8" max="8" width="15" style="156" bestFit="1" customWidth="1"/>
    <col min="9" max="9" width="9.7109375" style="156" customWidth="1"/>
    <col min="10" max="10" width="13.5703125" style="156" customWidth="1"/>
    <col min="11" max="11" width="11.5703125" style="156" customWidth="1"/>
    <col min="12" max="12" width="10.5703125" style="156" customWidth="1"/>
    <col min="13" max="13" width="11.42578125" style="156" customWidth="1"/>
    <col min="14" max="14" width="10.85546875" style="156" customWidth="1"/>
    <col min="15" max="15" width="15.28515625" style="156" customWidth="1"/>
    <col min="16" max="16" width="14" style="156" bestFit="1" customWidth="1"/>
    <col min="17" max="17" width="13" style="156" customWidth="1"/>
    <col min="18" max="18" width="18.140625" style="156" customWidth="1"/>
    <col min="19" max="19" width="18.7109375" style="156" customWidth="1"/>
    <col min="20" max="20" width="12.7109375" style="156" customWidth="1"/>
    <col min="21" max="21" width="21.140625" style="156" customWidth="1"/>
    <col min="22" max="22" width="12.140625" style="156" customWidth="1"/>
    <col min="23" max="23" width="11.140625" style="156" customWidth="1"/>
    <col min="24" max="26" width="21.140625" style="156" customWidth="1"/>
    <col min="27" max="28" width="14.7109375" style="156" customWidth="1"/>
    <col min="29" max="31" width="9.140625" style="156"/>
    <col min="32" max="32" width="11.5703125" style="156" customWidth="1"/>
    <col min="33" max="37" width="9.140625" style="156"/>
    <col min="38" max="38" width="14.5703125" style="156" customWidth="1"/>
    <col min="39" max="40" width="9.140625" style="156"/>
    <col min="41" max="41" width="12.7109375" style="156" customWidth="1"/>
    <col min="42" max="42" width="12.85546875" style="156" customWidth="1"/>
    <col min="43" max="43" width="7" style="156" customWidth="1"/>
    <col min="44" max="44" width="13.42578125" style="156" customWidth="1"/>
    <col min="45" max="45" width="15.42578125" style="156" customWidth="1"/>
    <col min="46" max="16384" width="9.140625" style="156"/>
  </cols>
  <sheetData>
    <row r="1" spans="2:45" hidden="1" outlineLevel="1">
      <c r="AA1" s="157" t="s">
        <v>186</v>
      </c>
    </row>
    <row r="2" spans="2:45" hidden="1" outlineLevel="1">
      <c r="AA2" s="156" t="s">
        <v>184</v>
      </c>
      <c r="AB2" s="156" t="s">
        <v>187</v>
      </c>
      <c r="AC2" s="156" t="s">
        <v>188</v>
      </c>
      <c r="AD2" s="156" t="s">
        <v>182</v>
      </c>
      <c r="AE2" s="156" t="s">
        <v>182</v>
      </c>
      <c r="AF2" s="156" t="s">
        <v>182</v>
      </c>
      <c r="AG2" s="156" t="s">
        <v>182</v>
      </c>
    </row>
    <row r="3" spans="2:45" hidden="1" outlineLevel="1">
      <c r="AA3" s="156" t="s">
        <v>189</v>
      </c>
      <c r="AB3" s="156" t="s">
        <v>190</v>
      </c>
      <c r="AC3" s="156" t="s">
        <v>162</v>
      </c>
      <c r="AD3" s="156" t="s">
        <v>163</v>
      </c>
      <c r="AE3" s="156" t="s">
        <v>163</v>
      </c>
      <c r="AF3" s="156" t="s">
        <v>163</v>
      </c>
      <c r="AG3" s="156" t="s">
        <v>163</v>
      </c>
    </row>
    <row r="4" spans="2:45" hidden="1" outlineLevel="1">
      <c r="AB4" s="156" t="s">
        <v>191</v>
      </c>
    </row>
    <row r="5" spans="2:45" hidden="1" outlineLevel="1">
      <c r="AB5" s="156" t="s">
        <v>192</v>
      </c>
    </row>
    <row r="6" spans="2:45" hidden="1" outlineLevel="1">
      <c r="AB6" s="156" t="s">
        <v>193</v>
      </c>
    </row>
    <row r="7" spans="2:45" hidden="1" outlineLevel="1">
      <c r="AB7" s="156" t="s">
        <v>194</v>
      </c>
    </row>
    <row r="8" spans="2:45" ht="15" hidden="1" customHeight="1" outlineLevel="1">
      <c r="AB8" s="156" t="s">
        <v>195</v>
      </c>
    </row>
    <row r="9" spans="2:45" collapsed="1">
      <c r="B9" s="156" t="s">
        <v>357</v>
      </c>
      <c r="AO9" s="158" t="s">
        <v>358</v>
      </c>
    </row>
    <row r="10" spans="2:45">
      <c r="AA10" s="156" t="s">
        <v>359</v>
      </c>
    </row>
    <row r="11" spans="2:45" ht="60">
      <c r="B11" s="159" t="s">
        <v>360</v>
      </c>
      <c r="C11" s="159" t="s">
        <v>159</v>
      </c>
      <c r="D11" s="159" t="s">
        <v>160</v>
      </c>
      <c r="E11" s="160" t="s">
        <v>361</v>
      </c>
      <c r="F11" s="159" t="s">
        <v>161</v>
      </c>
      <c r="G11" s="159" t="s">
        <v>362</v>
      </c>
      <c r="H11" s="159" t="s">
        <v>194</v>
      </c>
      <c r="I11" s="159" t="s">
        <v>363</v>
      </c>
      <c r="J11" s="160" t="s">
        <v>364</v>
      </c>
      <c r="K11" s="159" t="s">
        <v>203</v>
      </c>
      <c r="L11" s="160" t="s">
        <v>365</v>
      </c>
      <c r="M11" s="159" t="s">
        <v>366</v>
      </c>
      <c r="N11" s="159" t="s">
        <v>367</v>
      </c>
      <c r="O11" s="160" t="s">
        <v>368</v>
      </c>
      <c r="P11" s="160" t="s">
        <v>369</v>
      </c>
      <c r="Q11" s="160" t="s">
        <v>370</v>
      </c>
      <c r="R11" s="160" t="s">
        <v>371</v>
      </c>
      <c r="S11" s="160" t="s">
        <v>372</v>
      </c>
      <c r="T11" s="160" t="s">
        <v>373</v>
      </c>
      <c r="U11" s="160" t="s">
        <v>374</v>
      </c>
      <c r="V11" s="160" t="s">
        <v>375</v>
      </c>
      <c r="W11" s="160" t="s">
        <v>376</v>
      </c>
      <c r="X11" s="160" t="s">
        <v>377</v>
      </c>
      <c r="Y11" s="160" t="s">
        <v>378</v>
      </c>
      <c r="Z11" s="160" t="s">
        <v>379</v>
      </c>
      <c r="AA11" s="161" t="s">
        <v>199</v>
      </c>
      <c r="AB11" s="161" t="s">
        <v>161</v>
      </c>
      <c r="AC11" s="161" t="s">
        <v>200</v>
      </c>
      <c r="AD11" s="161" t="s">
        <v>194</v>
      </c>
      <c r="AE11" s="161" t="s">
        <v>201</v>
      </c>
      <c r="AF11" s="161" t="s">
        <v>202</v>
      </c>
      <c r="AG11" s="161" t="s">
        <v>203</v>
      </c>
      <c r="AH11" s="161" t="s">
        <v>204</v>
      </c>
      <c r="AI11" s="161" t="s">
        <v>205</v>
      </c>
      <c r="AJ11" s="161" t="s">
        <v>206</v>
      </c>
      <c r="AK11" s="161" t="s">
        <v>207</v>
      </c>
      <c r="AL11" s="162" t="s">
        <v>380</v>
      </c>
      <c r="AM11" s="162" t="s">
        <v>381</v>
      </c>
      <c r="AN11" s="162" t="s">
        <v>382</v>
      </c>
      <c r="AO11" s="162" t="s">
        <v>383</v>
      </c>
      <c r="AP11" s="162" t="s">
        <v>384</v>
      </c>
      <c r="AR11" s="163" t="s">
        <v>183</v>
      </c>
      <c r="AS11" s="163" t="s">
        <v>385</v>
      </c>
    </row>
    <row r="12" spans="2:45">
      <c r="B12" s="164">
        <v>2214130</v>
      </c>
      <c r="C12" s="164" t="s">
        <v>171</v>
      </c>
      <c r="D12" s="164" t="s">
        <v>386</v>
      </c>
      <c r="E12" s="164"/>
      <c r="F12" s="164" t="s">
        <v>191</v>
      </c>
      <c r="G12" s="164" t="s">
        <v>162</v>
      </c>
      <c r="H12" s="164" t="s">
        <v>163</v>
      </c>
      <c r="I12" s="164" t="s">
        <v>163</v>
      </c>
      <c r="J12" s="164" t="s">
        <v>163</v>
      </c>
      <c r="K12" s="164" t="s">
        <v>163</v>
      </c>
      <c r="L12" s="164" t="s">
        <v>182</v>
      </c>
      <c r="M12" s="164">
        <v>67.5</v>
      </c>
      <c r="N12" s="164">
        <v>31.1</v>
      </c>
      <c r="O12" s="165">
        <v>17.3</v>
      </c>
      <c r="P12" s="165">
        <v>21.2</v>
      </c>
      <c r="Q12" s="164">
        <v>452</v>
      </c>
      <c r="R12" s="164">
        <v>505</v>
      </c>
      <c r="S12" s="166">
        <v>0.1</v>
      </c>
      <c r="T12" s="164" t="s">
        <v>163</v>
      </c>
      <c r="U12" s="164"/>
      <c r="V12" s="167">
        <v>41780</v>
      </c>
      <c r="W12" s="167">
        <v>41780</v>
      </c>
      <c r="X12" s="164" t="s">
        <v>387</v>
      </c>
      <c r="Y12" s="164" t="s">
        <v>388</v>
      </c>
      <c r="Z12" s="164" t="s">
        <v>163</v>
      </c>
      <c r="AA12" s="168" t="s">
        <v>184</v>
      </c>
      <c r="AB12" s="168" t="s">
        <v>191</v>
      </c>
      <c r="AC12" s="168" t="s">
        <v>162</v>
      </c>
      <c r="AD12" s="168" t="s">
        <v>163</v>
      </c>
      <c r="AE12" s="168" t="s">
        <v>163</v>
      </c>
      <c r="AF12" s="168" t="s">
        <v>163</v>
      </c>
      <c r="AG12" s="168" t="s">
        <v>163</v>
      </c>
      <c r="AH12" s="168" t="str">
        <f>CONCATENATE(AA12,"-",AB12,"-",AC12,"-",AD12,"-",AE12,"-",AF12,"-",AG12)</f>
        <v>Refrigerator-Bottom Freezer-Automatic-No-No-No-No</v>
      </c>
      <c r="AI12" s="168">
        <v>5</v>
      </c>
      <c r="AJ12" s="168">
        <v>8.85</v>
      </c>
      <c r="AK12" s="169">
        <v>317</v>
      </c>
      <c r="AL12" s="169">
        <f>AJ12*P12+AK12</f>
        <v>504.62</v>
      </c>
      <c r="AM12" s="168">
        <f>R12</f>
        <v>505</v>
      </c>
      <c r="AN12" s="168">
        <f>Q12</f>
        <v>452</v>
      </c>
      <c r="AO12" s="164" t="str">
        <f>IF(AN12&lt;AM12,"Yes","No")</f>
        <v>Yes</v>
      </c>
      <c r="AP12" s="164">
        <f>AM12-AN12</f>
        <v>53</v>
      </c>
      <c r="AR12" s="170">
        <v>5</v>
      </c>
      <c r="AS12" s="171">
        <f>AVERAGEIF($AI$12:$AI$586,AR12,$AP$12:$AP$586)</f>
        <v>47.589743589743591</v>
      </c>
    </row>
    <row r="13" spans="2:45">
      <c r="B13" s="164">
        <v>2214137</v>
      </c>
      <c r="C13" s="164" t="s">
        <v>171</v>
      </c>
      <c r="D13" s="164" t="s">
        <v>386</v>
      </c>
      <c r="E13" s="164"/>
      <c r="F13" s="164" t="s">
        <v>191</v>
      </c>
      <c r="G13" s="164" t="s">
        <v>162</v>
      </c>
      <c r="H13" s="164" t="s">
        <v>163</v>
      </c>
      <c r="I13" s="164" t="s">
        <v>163</v>
      </c>
      <c r="J13" s="164" t="s">
        <v>163</v>
      </c>
      <c r="K13" s="164" t="s">
        <v>182</v>
      </c>
      <c r="L13" s="164" t="s">
        <v>182</v>
      </c>
      <c r="M13" s="164">
        <v>67.5</v>
      </c>
      <c r="N13" s="164">
        <v>31.1</v>
      </c>
      <c r="O13" s="165">
        <v>17.3</v>
      </c>
      <c r="P13" s="165">
        <v>21.1</v>
      </c>
      <c r="Q13" s="164">
        <v>527</v>
      </c>
      <c r="R13" s="164">
        <v>588</v>
      </c>
      <c r="S13" s="166">
        <v>0.1</v>
      </c>
      <c r="T13" s="164" t="s">
        <v>163</v>
      </c>
      <c r="U13" s="164"/>
      <c r="V13" s="167">
        <v>41780</v>
      </c>
      <c r="W13" s="167">
        <v>41780</v>
      </c>
      <c r="X13" s="164" t="s">
        <v>387</v>
      </c>
      <c r="Y13" s="164" t="s">
        <v>389</v>
      </c>
      <c r="Z13" s="164" t="s">
        <v>163</v>
      </c>
      <c r="AA13" s="168" t="s">
        <v>184</v>
      </c>
      <c r="AB13" s="168" t="s">
        <v>191</v>
      </c>
      <c r="AC13" s="168" t="s">
        <v>162</v>
      </c>
      <c r="AD13" s="168" t="s">
        <v>163</v>
      </c>
      <c r="AE13" s="168" t="s">
        <v>163</v>
      </c>
      <c r="AF13" s="168" t="s">
        <v>163</v>
      </c>
      <c r="AG13" s="168" t="s">
        <v>182</v>
      </c>
      <c r="AH13" s="168" t="str">
        <f t="shared" ref="AH13:AH76" si="0">CONCATENATE(AA13,"-",AB13,"-",AC13,"-",AD13,"-",AE13,"-",AF13,"-",AG13)</f>
        <v>Refrigerator-Bottom Freezer-Automatic-No-No-No-Yes</v>
      </c>
      <c r="AI13" s="168" t="s">
        <v>261</v>
      </c>
      <c r="AJ13" s="168">
        <v>8.85</v>
      </c>
      <c r="AK13" s="169">
        <v>401</v>
      </c>
      <c r="AL13" s="169">
        <f t="shared" ref="AL13:AL76" si="1">AJ13*P13+AK13</f>
        <v>587.73500000000001</v>
      </c>
      <c r="AM13" s="168">
        <f t="shared" ref="AM13:AM76" si="2">R13</f>
        <v>588</v>
      </c>
      <c r="AN13" s="168">
        <f t="shared" ref="AN13:AN76" si="3">Q13</f>
        <v>527</v>
      </c>
      <c r="AO13" s="164" t="str">
        <f t="shared" ref="AO13:AO76" si="4">IF(AN13&lt;AM13,"Yes","No")</f>
        <v>Yes</v>
      </c>
      <c r="AP13" s="164">
        <f t="shared" ref="AP13:AP76" si="5">AM13-AN13</f>
        <v>61</v>
      </c>
      <c r="AR13" s="170" t="s">
        <v>261</v>
      </c>
      <c r="AS13" s="171">
        <f t="shared" ref="AS13:AS22" si="6">AVERAGEIF($AI$12:$AI$586,AR13,$AP$12:$AP$586)</f>
        <v>66.41538461538461</v>
      </c>
    </row>
    <row r="14" spans="2:45">
      <c r="B14" s="164">
        <v>2215557</v>
      </c>
      <c r="C14" s="164" t="s">
        <v>171</v>
      </c>
      <c r="D14" s="164" t="s">
        <v>390</v>
      </c>
      <c r="E14" s="164"/>
      <c r="F14" s="164" t="s">
        <v>191</v>
      </c>
      <c r="G14" s="164" t="s">
        <v>162</v>
      </c>
      <c r="H14" s="164" t="s">
        <v>163</v>
      </c>
      <c r="I14" s="164" t="s">
        <v>163</v>
      </c>
      <c r="J14" s="164" t="s">
        <v>163</v>
      </c>
      <c r="K14" s="164" t="s">
        <v>163</v>
      </c>
      <c r="L14" s="164" t="s">
        <v>182</v>
      </c>
      <c r="M14" s="164">
        <v>70.5</v>
      </c>
      <c r="N14" s="164">
        <v>35.4</v>
      </c>
      <c r="O14" s="165">
        <v>20.2</v>
      </c>
      <c r="P14" s="165">
        <v>24.2</v>
      </c>
      <c r="Q14" s="164">
        <v>448</v>
      </c>
      <c r="R14" s="164">
        <v>531</v>
      </c>
      <c r="S14" s="166">
        <v>0.16</v>
      </c>
      <c r="T14" s="164" t="s">
        <v>163</v>
      </c>
      <c r="U14" s="164"/>
      <c r="V14" s="167">
        <v>41780</v>
      </c>
      <c r="W14" s="167">
        <v>41780</v>
      </c>
      <c r="X14" s="164" t="s">
        <v>387</v>
      </c>
      <c r="Y14" s="164" t="s">
        <v>391</v>
      </c>
      <c r="Z14" s="164" t="s">
        <v>182</v>
      </c>
      <c r="AA14" s="168" t="s">
        <v>184</v>
      </c>
      <c r="AB14" s="168" t="s">
        <v>191</v>
      </c>
      <c r="AC14" s="168" t="s">
        <v>162</v>
      </c>
      <c r="AD14" s="168" t="s">
        <v>163</v>
      </c>
      <c r="AE14" s="168" t="s">
        <v>163</v>
      </c>
      <c r="AF14" s="168" t="s">
        <v>163</v>
      </c>
      <c r="AG14" s="168" t="s">
        <v>163</v>
      </c>
      <c r="AH14" s="168" t="str">
        <f t="shared" si="0"/>
        <v>Refrigerator-Bottom Freezer-Automatic-No-No-No-No</v>
      </c>
      <c r="AI14" s="168">
        <v>5</v>
      </c>
      <c r="AJ14" s="168">
        <v>8.85</v>
      </c>
      <c r="AK14" s="169">
        <v>317</v>
      </c>
      <c r="AL14" s="169">
        <f t="shared" si="1"/>
        <v>531.16999999999996</v>
      </c>
      <c r="AM14" s="168">
        <f t="shared" si="2"/>
        <v>531</v>
      </c>
      <c r="AN14" s="168">
        <f t="shared" si="3"/>
        <v>448</v>
      </c>
      <c r="AO14" s="164" t="str">
        <f t="shared" si="4"/>
        <v>Yes</v>
      </c>
      <c r="AP14" s="164">
        <f t="shared" si="5"/>
        <v>83</v>
      </c>
      <c r="AR14" s="170" t="s">
        <v>269</v>
      </c>
      <c r="AS14" s="171">
        <f t="shared" si="6"/>
        <v>78.273809523809518</v>
      </c>
    </row>
    <row r="15" spans="2:45">
      <c r="B15" s="164">
        <v>2215558</v>
      </c>
      <c r="C15" s="164" t="s">
        <v>171</v>
      </c>
      <c r="D15" s="164" t="s">
        <v>390</v>
      </c>
      <c r="E15" s="164"/>
      <c r="F15" s="164" t="s">
        <v>191</v>
      </c>
      <c r="G15" s="164" t="s">
        <v>162</v>
      </c>
      <c r="H15" s="164" t="s">
        <v>163</v>
      </c>
      <c r="I15" s="164" t="s">
        <v>163</v>
      </c>
      <c r="J15" s="164" t="s">
        <v>163</v>
      </c>
      <c r="K15" s="164" t="s">
        <v>182</v>
      </c>
      <c r="L15" s="164" t="s">
        <v>182</v>
      </c>
      <c r="M15" s="164">
        <v>70.5</v>
      </c>
      <c r="N15" s="164">
        <v>35.4</v>
      </c>
      <c r="O15" s="165">
        <v>20.100000000000001</v>
      </c>
      <c r="P15" s="165">
        <v>24.2</v>
      </c>
      <c r="Q15" s="164">
        <v>524</v>
      </c>
      <c r="R15" s="164">
        <v>615</v>
      </c>
      <c r="S15" s="166">
        <v>0.15</v>
      </c>
      <c r="T15" s="164" t="s">
        <v>163</v>
      </c>
      <c r="U15" s="164"/>
      <c r="V15" s="167">
        <v>41780</v>
      </c>
      <c r="W15" s="167">
        <v>41780</v>
      </c>
      <c r="X15" s="164" t="s">
        <v>387</v>
      </c>
      <c r="Y15" s="164" t="s">
        <v>392</v>
      </c>
      <c r="Z15" s="164" t="s">
        <v>182</v>
      </c>
      <c r="AA15" s="168" t="s">
        <v>184</v>
      </c>
      <c r="AB15" s="168" t="s">
        <v>191</v>
      </c>
      <c r="AC15" s="168" t="s">
        <v>162</v>
      </c>
      <c r="AD15" s="168" t="s">
        <v>163</v>
      </c>
      <c r="AE15" s="168" t="s">
        <v>163</v>
      </c>
      <c r="AF15" s="168" t="s">
        <v>163</v>
      </c>
      <c r="AG15" s="168" t="s">
        <v>182</v>
      </c>
      <c r="AH15" s="168" t="str">
        <f t="shared" si="0"/>
        <v>Refrigerator-Bottom Freezer-Automatic-No-No-No-Yes</v>
      </c>
      <c r="AI15" s="168" t="s">
        <v>261</v>
      </c>
      <c r="AJ15" s="168">
        <v>8.85</v>
      </c>
      <c r="AK15" s="169">
        <v>401</v>
      </c>
      <c r="AL15" s="169">
        <f t="shared" si="1"/>
        <v>615.16999999999996</v>
      </c>
      <c r="AM15" s="168">
        <f t="shared" si="2"/>
        <v>615</v>
      </c>
      <c r="AN15" s="168">
        <f t="shared" si="3"/>
        <v>524</v>
      </c>
      <c r="AO15" s="164" t="str">
        <f t="shared" si="4"/>
        <v>Yes</v>
      </c>
      <c r="AP15" s="164">
        <f t="shared" si="5"/>
        <v>91</v>
      </c>
      <c r="AR15" s="170">
        <v>7</v>
      </c>
      <c r="AS15" s="171">
        <f t="shared" si="6"/>
        <v>67.310344827586206</v>
      </c>
    </row>
    <row r="16" spans="2:45">
      <c r="B16" s="164">
        <v>2216768</v>
      </c>
      <c r="C16" s="164" t="s">
        <v>169</v>
      </c>
      <c r="D16" s="164" t="s">
        <v>393</v>
      </c>
      <c r="E16" s="164"/>
      <c r="F16" s="164" t="s">
        <v>191</v>
      </c>
      <c r="G16" s="164" t="s">
        <v>162</v>
      </c>
      <c r="H16" s="164" t="s">
        <v>163</v>
      </c>
      <c r="I16" s="164" t="s">
        <v>163</v>
      </c>
      <c r="J16" s="164" t="s">
        <v>182</v>
      </c>
      <c r="K16" s="164" t="s">
        <v>182</v>
      </c>
      <c r="L16" s="164" t="s">
        <v>182</v>
      </c>
      <c r="M16" s="164">
        <v>69.900000000000006</v>
      </c>
      <c r="N16" s="164">
        <v>35.6</v>
      </c>
      <c r="O16" s="165">
        <v>21.9</v>
      </c>
      <c r="P16" s="165">
        <v>27.1</v>
      </c>
      <c r="Q16" s="164">
        <v>654</v>
      </c>
      <c r="R16" s="164">
        <v>726</v>
      </c>
      <c r="S16" s="166">
        <v>0.1</v>
      </c>
      <c r="T16" s="164" t="s">
        <v>163</v>
      </c>
      <c r="U16" s="164"/>
      <c r="V16" s="167">
        <v>41838</v>
      </c>
      <c r="W16" s="167">
        <v>41849</v>
      </c>
      <c r="X16" s="164" t="s">
        <v>387</v>
      </c>
      <c r="Y16" s="164" t="s">
        <v>394</v>
      </c>
      <c r="Z16" s="164" t="s">
        <v>163</v>
      </c>
      <c r="AA16" s="168" t="s">
        <v>184</v>
      </c>
      <c r="AB16" s="168" t="s">
        <v>191</v>
      </c>
      <c r="AC16" s="168" t="s">
        <v>162</v>
      </c>
      <c r="AD16" s="168" t="s">
        <v>163</v>
      </c>
      <c r="AE16" s="168" t="s">
        <v>163</v>
      </c>
      <c r="AF16" s="168" t="s">
        <v>182</v>
      </c>
      <c r="AG16" s="168" t="s">
        <v>182</v>
      </c>
      <c r="AH16" s="168" t="str">
        <f t="shared" si="0"/>
        <v>Refrigerator-Bottom Freezer-Automatic-No-No-Yes-Yes</v>
      </c>
      <c r="AI16" s="168" t="s">
        <v>269</v>
      </c>
      <c r="AJ16" s="168">
        <v>9.25</v>
      </c>
      <c r="AK16" s="169">
        <v>475.4</v>
      </c>
      <c r="AL16" s="169">
        <f t="shared" si="1"/>
        <v>726.07500000000005</v>
      </c>
      <c r="AM16" s="168">
        <f t="shared" si="2"/>
        <v>726</v>
      </c>
      <c r="AN16" s="168">
        <f t="shared" si="3"/>
        <v>654</v>
      </c>
      <c r="AO16" s="164" t="str">
        <f t="shared" si="4"/>
        <v>Yes</v>
      </c>
      <c r="AP16" s="164">
        <f t="shared" si="5"/>
        <v>72</v>
      </c>
      <c r="AR16" s="170">
        <v>3</v>
      </c>
      <c r="AS16" s="171">
        <f t="shared" si="6"/>
        <v>33.490909090909092</v>
      </c>
    </row>
    <row r="17" spans="2:45">
      <c r="B17" s="164">
        <v>2214698</v>
      </c>
      <c r="C17" s="164" t="s">
        <v>169</v>
      </c>
      <c r="D17" s="164" t="s">
        <v>395</v>
      </c>
      <c r="E17" s="164"/>
      <c r="F17" s="164" t="s">
        <v>192</v>
      </c>
      <c r="G17" s="164" t="s">
        <v>162</v>
      </c>
      <c r="H17" s="164" t="s">
        <v>163</v>
      </c>
      <c r="I17" s="164" t="s">
        <v>163</v>
      </c>
      <c r="J17" s="164" t="s">
        <v>182</v>
      </c>
      <c r="K17" s="164" t="s">
        <v>182</v>
      </c>
      <c r="L17" s="164" t="s">
        <v>163</v>
      </c>
      <c r="M17" s="164">
        <v>69.900000000000006</v>
      </c>
      <c r="N17" s="164">
        <v>35.6</v>
      </c>
      <c r="O17" s="165">
        <v>25.5</v>
      </c>
      <c r="P17" s="165">
        <v>32.4</v>
      </c>
      <c r="Q17" s="164">
        <v>639</v>
      </c>
      <c r="R17" s="164">
        <v>709</v>
      </c>
      <c r="S17" s="166">
        <v>0.1</v>
      </c>
      <c r="T17" s="164" t="s">
        <v>163</v>
      </c>
      <c r="U17" s="164"/>
      <c r="V17" s="167">
        <v>41841</v>
      </c>
      <c r="W17" s="167">
        <v>41827</v>
      </c>
      <c r="X17" s="164" t="s">
        <v>387</v>
      </c>
      <c r="Y17" s="164" t="s">
        <v>396</v>
      </c>
      <c r="Z17" s="164" t="s">
        <v>163</v>
      </c>
      <c r="AA17" s="168" t="s">
        <v>184</v>
      </c>
      <c r="AB17" s="168" t="s">
        <v>192</v>
      </c>
      <c r="AC17" s="168" t="s">
        <v>162</v>
      </c>
      <c r="AD17" s="168" t="s">
        <v>163</v>
      </c>
      <c r="AE17" s="168" t="s">
        <v>163</v>
      </c>
      <c r="AF17" s="168" t="s">
        <v>182</v>
      </c>
      <c r="AG17" s="168" t="s">
        <v>182</v>
      </c>
      <c r="AH17" s="168" t="str">
        <f t="shared" si="0"/>
        <v>Refrigerator-Side-by-Side-Automatic-No-No-Yes-Yes</v>
      </c>
      <c r="AI17" s="168">
        <v>7</v>
      </c>
      <c r="AJ17" s="168">
        <v>8.5399999999999991</v>
      </c>
      <c r="AK17" s="169">
        <v>432.8</v>
      </c>
      <c r="AL17" s="169">
        <f t="shared" si="1"/>
        <v>709.49599999999998</v>
      </c>
      <c r="AM17" s="168">
        <f t="shared" si="2"/>
        <v>709</v>
      </c>
      <c r="AN17" s="168">
        <f t="shared" si="3"/>
        <v>639</v>
      </c>
      <c r="AO17" s="164" t="str">
        <f t="shared" si="4"/>
        <v>Yes</v>
      </c>
      <c r="AP17" s="164">
        <f t="shared" si="5"/>
        <v>70</v>
      </c>
      <c r="AR17" s="170" t="s">
        <v>223</v>
      </c>
      <c r="AS17" s="171">
        <f t="shared" si="6"/>
        <v>46.722222222222221</v>
      </c>
    </row>
    <row r="18" spans="2:45">
      <c r="B18" s="164">
        <v>2216734</v>
      </c>
      <c r="C18" s="164" t="s">
        <v>169</v>
      </c>
      <c r="D18" s="164" t="s">
        <v>397</v>
      </c>
      <c r="E18" s="164"/>
      <c r="F18" s="164" t="s">
        <v>191</v>
      </c>
      <c r="G18" s="164" t="s">
        <v>162</v>
      </c>
      <c r="H18" s="164" t="s">
        <v>163</v>
      </c>
      <c r="I18" s="164" t="s">
        <v>163</v>
      </c>
      <c r="J18" s="164" t="s">
        <v>182</v>
      </c>
      <c r="K18" s="164" t="s">
        <v>182</v>
      </c>
      <c r="L18" s="164" t="s">
        <v>182</v>
      </c>
      <c r="M18" s="164">
        <v>69.900000000000006</v>
      </c>
      <c r="N18" s="164">
        <v>35.6</v>
      </c>
      <c r="O18" s="165">
        <v>21.9</v>
      </c>
      <c r="P18" s="165">
        <v>27.1</v>
      </c>
      <c r="Q18" s="164">
        <v>654</v>
      </c>
      <c r="R18" s="164">
        <v>726</v>
      </c>
      <c r="S18" s="166">
        <v>0.1</v>
      </c>
      <c r="T18" s="164" t="s">
        <v>163</v>
      </c>
      <c r="U18" s="164"/>
      <c r="V18" s="167">
        <v>41838</v>
      </c>
      <c r="W18" s="167">
        <v>41850</v>
      </c>
      <c r="X18" s="164" t="s">
        <v>387</v>
      </c>
      <c r="Y18" s="164" t="s">
        <v>398</v>
      </c>
      <c r="Z18" s="164" t="s">
        <v>163</v>
      </c>
      <c r="AA18" s="168" t="s">
        <v>184</v>
      </c>
      <c r="AB18" s="168" t="s">
        <v>191</v>
      </c>
      <c r="AC18" s="168" t="s">
        <v>162</v>
      </c>
      <c r="AD18" s="168" t="s">
        <v>163</v>
      </c>
      <c r="AE18" s="168" t="s">
        <v>163</v>
      </c>
      <c r="AF18" s="168" t="s">
        <v>182</v>
      </c>
      <c r="AG18" s="168" t="s">
        <v>182</v>
      </c>
      <c r="AH18" s="168" t="str">
        <f t="shared" si="0"/>
        <v>Refrigerator-Bottom Freezer-Automatic-No-No-Yes-Yes</v>
      </c>
      <c r="AI18" s="168" t="s">
        <v>269</v>
      </c>
      <c r="AJ18" s="168">
        <v>9.25</v>
      </c>
      <c r="AK18" s="169">
        <v>475.4</v>
      </c>
      <c r="AL18" s="169">
        <f t="shared" si="1"/>
        <v>726.07500000000005</v>
      </c>
      <c r="AM18" s="168">
        <f t="shared" si="2"/>
        <v>726</v>
      </c>
      <c r="AN18" s="168">
        <f t="shared" si="3"/>
        <v>654</v>
      </c>
      <c r="AO18" s="164" t="str">
        <f t="shared" si="4"/>
        <v>Yes</v>
      </c>
      <c r="AP18" s="164">
        <f t="shared" si="5"/>
        <v>72</v>
      </c>
      <c r="AR18" s="170" t="s">
        <v>315</v>
      </c>
      <c r="AS18" s="171">
        <f t="shared" si="6"/>
        <v>60.128787878787875</v>
      </c>
    </row>
    <row r="19" spans="2:45">
      <c r="B19" s="164">
        <v>2216735</v>
      </c>
      <c r="C19" s="164" t="s">
        <v>169</v>
      </c>
      <c r="D19" s="164" t="s">
        <v>399</v>
      </c>
      <c r="E19" s="164"/>
      <c r="F19" s="164" t="s">
        <v>191</v>
      </c>
      <c r="G19" s="164" t="s">
        <v>162</v>
      </c>
      <c r="H19" s="164" t="s">
        <v>163</v>
      </c>
      <c r="I19" s="164" t="s">
        <v>163</v>
      </c>
      <c r="J19" s="164" t="s">
        <v>163</v>
      </c>
      <c r="K19" s="164" t="s">
        <v>182</v>
      </c>
      <c r="L19" s="164" t="s">
        <v>182</v>
      </c>
      <c r="M19" s="164">
        <v>69.900000000000006</v>
      </c>
      <c r="N19" s="164">
        <v>35.6</v>
      </c>
      <c r="O19" s="165">
        <v>22.3</v>
      </c>
      <c r="P19" s="165">
        <v>27.5</v>
      </c>
      <c r="Q19" s="164">
        <v>580</v>
      </c>
      <c r="R19" s="164">
        <v>644</v>
      </c>
      <c r="S19" s="166">
        <v>0.1</v>
      </c>
      <c r="T19" s="164" t="s">
        <v>163</v>
      </c>
      <c r="U19" s="164"/>
      <c r="V19" s="167">
        <v>41838</v>
      </c>
      <c r="W19" s="167">
        <v>41850</v>
      </c>
      <c r="X19" s="164" t="s">
        <v>387</v>
      </c>
      <c r="Y19" s="164" t="s">
        <v>400</v>
      </c>
      <c r="Z19" s="164" t="s">
        <v>163</v>
      </c>
      <c r="AA19" s="168" t="s">
        <v>184</v>
      </c>
      <c r="AB19" s="168" t="s">
        <v>191</v>
      </c>
      <c r="AC19" s="168" t="s">
        <v>162</v>
      </c>
      <c r="AD19" s="168" t="s">
        <v>163</v>
      </c>
      <c r="AE19" s="168" t="s">
        <v>163</v>
      </c>
      <c r="AF19" s="168" t="s">
        <v>163</v>
      </c>
      <c r="AG19" s="168" t="s">
        <v>182</v>
      </c>
      <c r="AH19" s="168" t="str">
        <f t="shared" si="0"/>
        <v>Refrigerator-Bottom Freezer-Automatic-No-No-No-Yes</v>
      </c>
      <c r="AI19" s="168" t="s">
        <v>261</v>
      </c>
      <c r="AJ19" s="168">
        <v>8.85</v>
      </c>
      <c r="AK19" s="169">
        <v>401</v>
      </c>
      <c r="AL19" s="169">
        <f t="shared" si="1"/>
        <v>644.375</v>
      </c>
      <c r="AM19" s="168">
        <f t="shared" si="2"/>
        <v>644</v>
      </c>
      <c r="AN19" s="168">
        <f t="shared" si="3"/>
        <v>580</v>
      </c>
      <c r="AO19" s="164" t="str">
        <f t="shared" si="4"/>
        <v>Yes</v>
      </c>
      <c r="AP19" s="164">
        <f t="shared" si="5"/>
        <v>64</v>
      </c>
      <c r="AR19" s="170" t="s">
        <v>329</v>
      </c>
      <c r="AS19" s="171">
        <f t="shared" si="6"/>
        <v>55.378640776699029</v>
      </c>
    </row>
    <row r="20" spans="2:45">
      <c r="B20" s="164">
        <v>2216732</v>
      </c>
      <c r="C20" s="164" t="s">
        <v>169</v>
      </c>
      <c r="D20" s="164" t="s">
        <v>401</v>
      </c>
      <c r="E20" s="164"/>
      <c r="F20" s="164" t="s">
        <v>191</v>
      </c>
      <c r="G20" s="164" t="s">
        <v>162</v>
      </c>
      <c r="H20" s="164" t="s">
        <v>163</v>
      </c>
      <c r="I20" s="164" t="s">
        <v>163</v>
      </c>
      <c r="J20" s="164" t="s">
        <v>163</v>
      </c>
      <c r="K20" s="164" t="s">
        <v>182</v>
      </c>
      <c r="L20" s="164" t="s">
        <v>163</v>
      </c>
      <c r="M20" s="164">
        <v>69.900000000000006</v>
      </c>
      <c r="N20" s="164">
        <v>35.6</v>
      </c>
      <c r="O20" s="165">
        <v>27.6</v>
      </c>
      <c r="P20" s="165">
        <v>34.299999999999997</v>
      </c>
      <c r="Q20" s="164">
        <v>634</v>
      </c>
      <c r="R20" s="164">
        <v>705</v>
      </c>
      <c r="S20" s="166">
        <v>0.1</v>
      </c>
      <c r="T20" s="164" t="s">
        <v>163</v>
      </c>
      <c r="U20" s="164"/>
      <c r="V20" s="167">
        <v>41838</v>
      </c>
      <c r="W20" s="167">
        <v>41850</v>
      </c>
      <c r="X20" s="164" t="s">
        <v>387</v>
      </c>
      <c r="Y20" s="164" t="s">
        <v>402</v>
      </c>
      <c r="Z20" s="164" t="s">
        <v>163</v>
      </c>
      <c r="AA20" s="168" t="s">
        <v>184</v>
      </c>
      <c r="AB20" s="168" t="s">
        <v>191</v>
      </c>
      <c r="AC20" s="168" t="s">
        <v>162</v>
      </c>
      <c r="AD20" s="168" t="s">
        <v>163</v>
      </c>
      <c r="AE20" s="168" t="s">
        <v>163</v>
      </c>
      <c r="AF20" s="168" t="s">
        <v>163</v>
      </c>
      <c r="AG20" s="168" t="s">
        <v>182</v>
      </c>
      <c r="AH20" s="168" t="str">
        <f t="shared" si="0"/>
        <v>Refrigerator-Bottom Freezer-Automatic-No-No-No-Yes</v>
      </c>
      <c r="AI20" s="168" t="s">
        <v>261</v>
      </c>
      <c r="AJ20" s="168">
        <v>8.85</v>
      </c>
      <c r="AK20" s="169">
        <v>401</v>
      </c>
      <c r="AL20" s="169">
        <f t="shared" si="1"/>
        <v>704.55499999999995</v>
      </c>
      <c r="AM20" s="168">
        <f t="shared" si="2"/>
        <v>705</v>
      </c>
      <c r="AN20" s="168">
        <f t="shared" si="3"/>
        <v>634</v>
      </c>
      <c r="AO20" s="164" t="str">
        <f t="shared" si="4"/>
        <v>Yes</v>
      </c>
      <c r="AP20" s="164">
        <f t="shared" si="5"/>
        <v>71</v>
      </c>
      <c r="AR20" s="170" t="s">
        <v>265</v>
      </c>
      <c r="AS20" s="171">
        <f t="shared" si="6"/>
        <v>63.9375</v>
      </c>
    </row>
    <row r="21" spans="2:45">
      <c r="B21" s="164">
        <v>2205534</v>
      </c>
      <c r="C21" s="164" t="s">
        <v>169</v>
      </c>
      <c r="D21" s="164" t="s">
        <v>403</v>
      </c>
      <c r="E21" s="164"/>
      <c r="F21" s="164" t="s">
        <v>193</v>
      </c>
      <c r="G21" s="164" t="s">
        <v>162</v>
      </c>
      <c r="H21" s="164" t="s">
        <v>163</v>
      </c>
      <c r="I21" s="164" t="s">
        <v>163</v>
      </c>
      <c r="J21" s="164" t="s">
        <v>163</v>
      </c>
      <c r="K21" s="164" t="s">
        <v>163</v>
      </c>
      <c r="L21" s="164" t="s">
        <v>163</v>
      </c>
      <c r="M21" s="164">
        <v>59.8</v>
      </c>
      <c r="N21" s="164">
        <v>24</v>
      </c>
      <c r="O21" s="165">
        <v>9.9</v>
      </c>
      <c r="P21" s="165">
        <v>9.9</v>
      </c>
      <c r="Q21" s="164">
        <v>296</v>
      </c>
      <c r="R21" s="164">
        <v>314</v>
      </c>
      <c r="S21" s="166">
        <v>0.06</v>
      </c>
      <c r="T21" s="164" t="s">
        <v>163</v>
      </c>
      <c r="U21" s="164"/>
      <c r="V21" s="167">
        <v>41692</v>
      </c>
      <c r="W21" s="167">
        <v>41690</v>
      </c>
      <c r="X21" s="164" t="s">
        <v>387</v>
      </c>
      <c r="Y21" s="164" t="s">
        <v>404</v>
      </c>
      <c r="Z21" s="164" t="s">
        <v>163</v>
      </c>
      <c r="AA21" s="168" t="s">
        <v>184</v>
      </c>
      <c r="AB21" s="168" t="s">
        <v>193</v>
      </c>
      <c r="AC21" s="168" t="s">
        <v>162</v>
      </c>
      <c r="AD21" s="168" t="s">
        <v>163</v>
      </c>
      <c r="AE21" s="168" t="s">
        <v>163</v>
      </c>
      <c r="AF21" s="168" t="s">
        <v>163</v>
      </c>
      <c r="AG21" s="168" t="s">
        <v>163</v>
      </c>
      <c r="AH21" s="168" t="str">
        <f t="shared" si="0"/>
        <v>Refrigerator-Top Freezer-Automatic-No-No-No-No</v>
      </c>
      <c r="AI21" s="168">
        <v>3</v>
      </c>
      <c r="AJ21" s="168">
        <v>8.07</v>
      </c>
      <c r="AK21" s="169">
        <v>233.7</v>
      </c>
      <c r="AL21" s="169">
        <f t="shared" si="1"/>
        <v>313.59299999999996</v>
      </c>
      <c r="AM21" s="168">
        <f t="shared" si="2"/>
        <v>314</v>
      </c>
      <c r="AN21" s="168">
        <f t="shared" si="3"/>
        <v>296</v>
      </c>
      <c r="AO21" s="164" t="str">
        <f t="shared" si="4"/>
        <v>Yes</v>
      </c>
      <c r="AP21" s="164">
        <f t="shared" si="5"/>
        <v>18</v>
      </c>
      <c r="AR21" s="170" t="s">
        <v>283</v>
      </c>
      <c r="AS21" s="171">
        <f t="shared" si="6"/>
        <v>85.5</v>
      </c>
    </row>
    <row r="22" spans="2:45">
      <c r="B22" s="164">
        <v>2205535</v>
      </c>
      <c r="C22" s="164" t="s">
        <v>169</v>
      </c>
      <c r="D22" s="164" t="s">
        <v>405</v>
      </c>
      <c r="E22" s="164"/>
      <c r="F22" s="164" t="s">
        <v>193</v>
      </c>
      <c r="G22" s="164" t="s">
        <v>162</v>
      </c>
      <c r="H22" s="164" t="s">
        <v>163</v>
      </c>
      <c r="I22" s="164" t="s">
        <v>163</v>
      </c>
      <c r="J22" s="164" t="s">
        <v>163</v>
      </c>
      <c r="K22" s="164" t="s">
        <v>163</v>
      </c>
      <c r="L22" s="164" t="s">
        <v>163</v>
      </c>
      <c r="M22" s="164">
        <v>59.8</v>
      </c>
      <c r="N22" s="164">
        <v>24</v>
      </c>
      <c r="O22" s="165">
        <v>11.5</v>
      </c>
      <c r="P22" s="165">
        <v>11.5</v>
      </c>
      <c r="Q22" s="164">
        <v>311</v>
      </c>
      <c r="R22" s="164">
        <v>327</v>
      </c>
      <c r="S22" s="166">
        <v>0.05</v>
      </c>
      <c r="T22" s="164" t="s">
        <v>163</v>
      </c>
      <c r="U22" s="164"/>
      <c r="V22" s="167">
        <v>41692</v>
      </c>
      <c r="W22" s="167">
        <v>41690</v>
      </c>
      <c r="X22" s="164" t="s">
        <v>387</v>
      </c>
      <c r="Y22" s="164" t="s">
        <v>406</v>
      </c>
      <c r="Z22" s="164" t="s">
        <v>163</v>
      </c>
      <c r="AA22" s="168" t="s">
        <v>184</v>
      </c>
      <c r="AB22" s="168" t="s">
        <v>193</v>
      </c>
      <c r="AC22" s="168" t="s">
        <v>162</v>
      </c>
      <c r="AD22" s="168" t="s">
        <v>163</v>
      </c>
      <c r="AE22" s="168" t="s">
        <v>163</v>
      </c>
      <c r="AF22" s="168" t="s">
        <v>163</v>
      </c>
      <c r="AG22" s="168" t="s">
        <v>163</v>
      </c>
      <c r="AH22" s="168" t="str">
        <f t="shared" si="0"/>
        <v>Refrigerator-Top Freezer-Automatic-No-No-No-No</v>
      </c>
      <c r="AI22" s="168">
        <v>3</v>
      </c>
      <c r="AJ22" s="168">
        <v>8.07</v>
      </c>
      <c r="AK22" s="169">
        <v>233.7</v>
      </c>
      <c r="AL22" s="169">
        <f t="shared" si="1"/>
        <v>326.505</v>
      </c>
      <c r="AM22" s="168">
        <f t="shared" si="2"/>
        <v>327</v>
      </c>
      <c r="AN22" s="168">
        <f t="shared" si="3"/>
        <v>311</v>
      </c>
      <c r="AO22" s="164" t="str">
        <f t="shared" si="4"/>
        <v>Yes</v>
      </c>
      <c r="AP22" s="164">
        <f t="shared" si="5"/>
        <v>16</v>
      </c>
      <c r="AR22" s="170" t="s">
        <v>257</v>
      </c>
      <c r="AS22" s="171">
        <f t="shared" si="6"/>
        <v>47.666666666666664</v>
      </c>
    </row>
    <row r="23" spans="2:45">
      <c r="B23" s="164">
        <v>2216583</v>
      </c>
      <c r="C23" s="164" t="s">
        <v>169</v>
      </c>
      <c r="D23" s="164" t="s">
        <v>407</v>
      </c>
      <c r="E23" s="164"/>
      <c r="F23" s="164" t="s">
        <v>191</v>
      </c>
      <c r="G23" s="164" t="s">
        <v>162</v>
      </c>
      <c r="H23" s="164" t="s">
        <v>163</v>
      </c>
      <c r="I23" s="164" t="s">
        <v>163</v>
      </c>
      <c r="J23" s="164" t="s">
        <v>182</v>
      </c>
      <c r="K23" s="164" t="s">
        <v>182</v>
      </c>
      <c r="L23" s="164" t="s">
        <v>163</v>
      </c>
      <c r="M23" s="164">
        <v>69.900000000000006</v>
      </c>
      <c r="N23" s="164">
        <v>35.6</v>
      </c>
      <c r="O23" s="165">
        <v>27.2</v>
      </c>
      <c r="P23" s="165">
        <v>33.799999999999997</v>
      </c>
      <c r="Q23" s="164">
        <v>709</v>
      </c>
      <c r="R23" s="164">
        <v>788</v>
      </c>
      <c r="S23" s="166">
        <v>0.1</v>
      </c>
      <c r="T23" s="164" t="s">
        <v>163</v>
      </c>
      <c r="U23" s="164"/>
      <c r="V23" s="167">
        <v>41838</v>
      </c>
      <c r="W23" s="167">
        <v>41837</v>
      </c>
      <c r="X23" s="164" t="s">
        <v>387</v>
      </c>
      <c r="Y23" s="164" t="s">
        <v>408</v>
      </c>
      <c r="Z23" s="164" t="s">
        <v>163</v>
      </c>
      <c r="AA23" s="168" t="s">
        <v>184</v>
      </c>
      <c r="AB23" s="168" t="s">
        <v>191</v>
      </c>
      <c r="AC23" s="168" t="s">
        <v>162</v>
      </c>
      <c r="AD23" s="168" t="s">
        <v>163</v>
      </c>
      <c r="AE23" s="168" t="s">
        <v>163</v>
      </c>
      <c r="AF23" s="168" t="s">
        <v>182</v>
      </c>
      <c r="AG23" s="168" t="s">
        <v>182</v>
      </c>
      <c r="AH23" s="168" t="str">
        <f t="shared" si="0"/>
        <v>Refrigerator-Bottom Freezer-Automatic-No-No-Yes-Yes</v>
      </c>
      <c r="AI23" s="168" t="s">
        <v>269</v>
      </c>
      <c r="AJ23" s="168">
        <v>9.25</v>
      </c>
      <c r="AK23" s="169">
        <v>475.4</v>
      </c>
      <c r="AL23" s="169">
        <f t="shared" si="1"/>
        <v>788.05</v>
      </c>
      <c r="AM23" s="168">
        <f t="shared" si="2"/>
        <v>788</v>
      </c>
      <c r="AN23" s="168">
        <f t="shared" si="3"/>
        <v>709</v>
      </c>
      <c r="AO23" s="164" t="str">
        <f t="shared" si="4"/>
        <v>Yes</v>
      </c>
      <c r="AP23" s="164">
        <f t="shared" si="5"/>
        <v>79</v>
      </c>
    </row>
    <row r="24" spans="2:45">
      <c r="B24" s="164">
        <v>2219155</v>
      </c>
      <c r="C24" s="164" t="s">
        <v>169</v>
      </c>
      <c r="D24" s="164" t="s">
        <v>409</v>
      </c>
      <c r="E24" s="164"/>
      <c r="F24" s="164" t="s">
        <v>193</v>
      </c>
      <c r="G24" s="164" t="s">
        <v>162</v>
      </c>
      <c r="H24" s="164" t="s">
        <v>163</v>
      </c>
      <c r="I24" s="164" t="s">
        <v>163</v>
      </c>
      <c r="J24" s="164" t="s">
        <v>163</v>
      </c>
      <c r="K24" s="164" t="s">
        <v>182</v>
      </c>
      <c r="L24" s="164" t="s">
        <v>163</v>
      </c>
      <c r="M24" s="164">
        <v>66.099999999999994</v>
      </c>
      <c r="N24" s="164">
        <v>29.6</v>
      </c>
      <c r="O24" s="165">
        <v>18.100000000000001</v>
      </c>
      <c r="P24" s="165">
        <v>21.1</v>
      </c>
      <c r="Q24" s="164">
        <v>439</v>
      </c>
      <c r="R24" s="164">
        <v>488</v>
      </c>
      <c r="S24" s="166">
        <v>0.1</v>
      </c>
      <c r="T24" s="164" t="s">
        <v>163</v>
      </c>
      <c r="U24" s="164"/>
      <c r="V24" s="167">
        <v>41857</v>
      </c>
      <c r="W24" s="167">
        <v>41889</v>
      </c>
      <c r="X24" s="164" t="s">
        <v>387</v>
      </c>
      <c r="Y24" s="164" t="s">
        <v>410</v>
      </c>
      <c r="Z24" s="164" t="s">
        <v>163</v>
      </c>
      <c r="AA24" s="168" t="s">
        <v>184</v>
      </c>
      <c r="AB24" s="168" t="s">
        <v>193</v>
      </c>
      <c r="AC24" s="168" t="s">
        <v>162</v>
      </c>
      <c r="AD24" s="168" t="s">
        <v>163</v>
      </c>
      <c r="AE24" s="168" t="s">
        <v>163</v>
      </c>
      <c r="AF24" s="168" t="s">
        <v>163</v>
      </c>
      <c r="AG24" s="168" t="s">
        <v>182</v>
      </c>
      <c r="AH24" s="168" t="str">
        <f t="shared" si="0"/>
        <v>Refrigerator-Top Freezer-Automatic-No-No-No-Yes</v>
      </c>
      <c r="AI24" s="168" t="s">
        <v>223</v>
      </c>
      <c r="AJ24" s="168">
        <v>8.07</v>
      </c>
      <c r="AK24" s="169">
        <v>317.7</v>
      </c>
      <c r="AL24" s="169">
        <f t="shared" si="1"/>
        <v>487.97699999999998</v>
      </c>
      <c r="AM24" s="168">
        <f t="shared" si="2"/>
        <v>488</v>
      </c>
      <c r="AN24" s="168">
        <f t="shared" si="3"/>
        <v>439</v>
      </c>
      <c r="AO24" s="164" t="str">
        <f t="shared" si="4"/>
        <v>Yes</v>
      </c>
      <c r="AP24" s="164">
        <f t="shared" si="5"/>
        <v>49</v>
      </c>
    </row>
    <row r="25" spans="2:45">
      <c r="B25" s="164">
        <v>2219524</v>
      </c>
      <c r="C25" s="164" t="s">
        <v>169</v>
      </c>
      <c r="D25" s="164" t="s">
        <v>411</v>
      </c>
      <c r="E25" s="164"/>
      <c r="F25" s="164" t="s">
        <v>193</v>
      </c>
      <c r="G25" s="164" t="s">
        <v>162</v>
      </c>
      <c r="H25" s="164" t="s">
        <v>163</v>
      </c>
      <c r="I25" s="164" t="s">
        <v>163</v>
      </c>
      <c r="J25" s="164" t="s">
        <v>163</v>
      </c>
      <c r="K25" s="164" t="s">
        <v>182</v>
      </c>
      <c r="L25" s="164" t="s">
        <v>163</v>
      </c>
      <c r="M25" s="164">
        <v>69</v>
      </c>
      <c r="N25" s="164">
        <v>29.6</v>
      </c>
      <c r="O25" s="165">
        <v>20.399999999999999</v>
      </c>
      <c r="P25" s="165">
        <v>24.3</v>
      </c>
      <c r="Q25" s="164">
        <v>462</v>
      </c>
      <c r="R25" s="164">
        <v>514</v>
      </c>
      <c r="S25" s="166">
        <v>0.1</v>
      </c>
      <c r="T25" s="164" t="s">
        <v>163</v>
      </c>
      <c r="U25" s="164"/>
      <c r="V25" s="167">
        <v>41897</v>
      </c>
      <c r="W25" s="167">
        <v>41897</v>
      </c>
      <c r="X25" s="164" t="s">
        <v>387</v>
      </c>
      <c r="Y25" s="164" t="s">
        <v>412</v>
      </c>
      <c r="Z25" s="164" t="s">
        <v>163</v>
      </c>
      <c r="AA25" s="168" t="s">
        <v>184</v>
      </c>
      <c r="AB25" s="168" t="s">
        <v>193</v>
      </c>
      <c r="AC25" s="168" t="s">
        <v>162</v>
      </c>
      <c r="AD25" s="168" t="s">
        <v>163</v>
      </c>
      <c r="AE25" s="168" t="s">
        <v>163</v>
      </c>
      <c r="AF25" s="168" t="s">
        <v>163</v>
      </c>
      <c r="AG25" s="168" t="s">
        <v>182</v>
      </c>
      <c r="AH25" s="168" t="str">
        <f t="shared" si="0"/>
        <v>Refrigerator-Top Freezer-Automatic-No-No-No-Yes</v>
      </c>
      <c r="AI25" s="168" t="s">
        <v>223</v>
      </c>
      <c r="AJ25" s="168">
        <v>8.07</v>
      </c>
      <c r="AK25" s="169">
        <v>317.7</v>
      </c>
      <c r="AL25" s="169">
        <f t="shared" si="1"/>
        <v>513.80099999999993</v>
      </c>
      <c r="AM25" s="168">
        <f t="shared" si="2"/>
        <v>514</v>
      </c>
      <c r="AN25" s="168">
        <f t="shared" si="3"/>
        <v>462</v>
      </c>
      <c r="AO25" s="164" t="str">
        <f t="shared" si="4"/>
        <v>Yes</v>
      </c>
      <c r="AP25" s="164">
        <f t="shared" si="5"/>
        <v>52</v>
      </c>
    </row>
    <row r="26" spans="2:45">
      <c r="B26" s="164">
        <v>2216592</v>
      </c>
      <c r="C26" s="164" t="s">
        <v>169</v>
      </c>
      <c r="D26" s="164" t="s">
        <v>413</v>
      </c>
      <c r="E26" s="164"/>
      <c r="F26" s="164" t="s">
        <v>191</v>
      </c>
      <c r="G26" s="164" t="s">
        <v>162</v>
      </c>
      <c r="H26" s="164" t="s">
        <v>163</v>
      </c>
      <c r="I26" s="164" t="s">
        <v>163</v>
      </c>
      <c r="J26" s="164" t="s">
        <v>163</v>
      </c>
      <c r="K26" s="164" t="s">
        <v>182</v>
      </c>
      <c r="L26" s="164" t="s">
        <v>163</v>
      </c>
      <c r="M26" s="164">
        <v>69.900000000000006</v>
      </c>
      <c r="N26" s="164">
        <v>35.6</v>
      </c>
      <c r="O26" s="165">
        <v>27.6</v>
      </c>
      <c r="P26" s="165">
        <v>34.299999999999997</v>
      </c>
      <c r="Q26" s="164">
        <v>634</v>
      </c>
      <c r="R26" s="164">
        <v>705</v>
      </c>
      <c r="S26" s="166">
        <v>0.1</v>
      </c>
      <c r="T26" s="164" t="s">
        <v>163</v>
      </c>
      <c r="U26" s="164"/>
      <c r="V26" s="167">
        <v>41838</v>
      </c>
      <c r="W26" s="167">
        <v>41837</v>
      </c>
      <c r="X26" s="164" t="s">
        <v>387</v>
      </c>
      <c r="Y26" s="164" t="s">
        <v>414</v>
      </c>
      <c r="Z26" s="164" t="s">
        <v>163</v>
      </c>
      <c r="AA26" s="168" t="s">
        <v>184</v>
      </c>
      <c r="AB26" s="168" t="s">
        <v>191</v>
      </c>
      <c r="AC26" s="168" t="s">
        <v>162</v>
      </c>
      <c r="AD26" s="168" t="s">
        <v>163</v>
      </c>
      <c r="AE26" s="168" t="s">
        <v>163</v>
      </c>
      <c r="AF26" s="168" t="s">
        <v>163</v>
      </c>
      <c r="AG26" s="168" t="s">
        <v>182</v>
      </c>
      <c r="AH26" s="168" t="str">
        <f t="shared" si="0"/>
        <v>Refrigerator-Bottom Freezer-Automatic-No-No-No-Yes</v>
      </c>
      <c r="AI26" s="168" t="s">
        <v>261</v>
      </c>
      <c r="AJ26" s="168">
        <v>8.85</v>
      </c>
      <c r="AK26" s="169">
        <v>401</v>
      </c>
      <c r="AL26" s="169">
        <f t="shared" si="1"/>
        <v>704.55499999999995</v>
      </c>
      <c r="AM26" s="168">
        <f t="shared" si="2"/>
        <v>705</v>
      </c>
      <c r="AN26" s="168">
        <f t="shared" si="3"/>
        <v>634</v>
      </c>
      <c r="AO26" s="164" t="str">
        <f t="shared" si="4"/>
        <v>Yes</v>
      </c>
      <c r="AP26" s="164">
        <f t="shared" si="5"/>
        <v>71</v>
      </c>
    </row>
    <row r="27" spans="2:45">
      <c r="B27" s="164">
        <v>2216160</v>
      </c>
      <c r="C27" s="164" t="s">
        <v>169</v>
      </c>
      <c r="D27" s="164" t="s">
        <v>415</v>
      </c>
      <c r="E27" s="164"/>
      <c r="F27" s="164" t="s">
        <v>193</v>
      </c>
      <c r="G27" s="164" t="s">
        <v>162</v>
      </c>
      <c r="H27" s="164" t="s">
        <v>163</v>
      </c>
      <c r="I27" s="164" t="s">
        <v>163</v>
      </c>
      <c r="J27" s="164" t="s">
        <v>163</v>
      </c>
      <c r="K27" s="164" t="s">
        <v>182</v>
      </c>
      <c r="L27" s="164" t="s">
        <v>163</v>
      </c>
      <c r="M27" s="164">
        <v>60.1</v>
      </c>
      <c r="N27" s="164">
        <v>28</v>
      </c>
      <c r="O27" s="165">
        <v>14.6</v>
      </c>
      <c r="P27" s="165">
        <v>17.3</v>
      </c>
      <c r="Q27" s="164">
        <v>412</v>
      </c>
      <c r="R27" s="164">
        <v>457</v>
      </c>
      <c r="S27" s="166">
        <v>0.1</v>
      </c>
      <c r="T27" s="164" t="s">
        <v>163</v>
      </c>
      <c r="U27" s="164"/>
      <c r="V27" s="167">
        <v>41832</v>
      </c>
      <c r="W27" s="167">
        <v>41837</v>
      </c>
      <c r="X27" s="164" t="s">
        <v>387</v>
      </c>
      <c r="Y27" s="164" t="s">
        <v>416</v>
      </c>
      <c r="Z27" s="164" t="s">
        <v>163</v>
      </c>
      <c r="AA27" s="168" t="s">
        <v>184</v>
      </c>
      <c r="AB27" s="168" t="s">
        <v>193</v>
      </c>
      <c r="AC27" s="168" t="s">
        <v>162</v>
      </c>
      <c r="AD27" s="168" t="s">
        <v>163</v>
      </c>
      <c r="AE27" s="168" t="s">
        <v>163</v>
      </c>
      <c r="AF27" s="168" t="s">
        <v>163</v>
      </c>
      <c r="AG27" s="168" t="s">
        <v>182</v>
      </c>
      <c r="AH27" s="168" t="str">
        <f t="shared" si="0"/>
        <v>Refrigerator-Top Freezer-Automatic-No-No-No-Yes</v>
      </c>
      <c r="AI27" s="168" t="s">
        <v>223</v>
      </c>
      <c r="AJ27" s="168">
        <v>8.07</v>
      </c>
      <c r="AK27" s="169">
        <v>317.7</v>
      </c>
      <c r="AL27" s="169">
        <f t="shared" si="1"/>
        <v>457.31100000000004</v>
      </c>
      <c r="AM27" s="168">
        <f t="shared" si="2"/>
        <v>457</v>
      </c>
      <c r="AN27" s="168">
        <f t="shared" si="3"/>
        <v>412</v>
      </c>
      <c r="AO27" s="164" t="str">
        <f t="shared" si="4"/>
        <v>Yes</v>
      </c>
      <c r="AP27" s="164">
        <f t="shared" si="5"/>
        <v>45</v>
      </c>
    </row>
    <row r="28" spans="2:45">
      <c r="B28" s="164">
        <v>2216164</v>
      </c>
      <c r="C28" s="164" t="s">
        <v>169</v>
      </c>
      <c r="D28" s="164" t="s">
        <v>415</v>
      </c>
      <c r="E28" s="164"/>
      <c r="F28" s="164" t="s">
        <v>193</v>
      </c>
      <c r="G28" s="164" t="s">
        <v>162</v>
      </c>
      <c r="H28" s="164" t="s">
        <v>163</v>
      </c>
      <c r="I28" s="164" t="s">
        <v>163</v>
      </c>
      <c r="J28" s="164" t="s">
        <v>163</v>
      </c>
      <c r="K28" s="164" t="s">
        <v>163</v>
      </c>
      <c r="L28" s="164" t="s">
        <v>163</v>
      </c>
      <c r="M28" s="164">
        <v>60.1</v>
      </c>
      <c r="N28" s="164">
        <v>28</v>
      </c>
      <c r="O28" s="165">
        <v>14.6</v>
      </c>
      <c r="P28" s="165">
        <v>17.3</v>
      </c>
      <c r="Q28" s="164">
        <v>336</v>
      </c>
      <c r="R28" s="164">
        <v>373</v>
      </c>
      <c r="S28" s="166">
        <v>0.1</v>
      </c>
      <c r="T28" s="164" t="s">
        <v>163</v>
      </c>
      <c r="U28" s="164"/>
      <c r="V28" s="167">
        <v>41832</v>
      </c>
      <c r="W28" s="167">
        <v>41837</v>
      </c>
      <c r="X28" s="164" t="s">
        <v>387</v>
      </c>
      <c r="Y28" s="164" t="s">
        <v>417</v>
      </c>
      <c r="Z28" s="164" t="s">
        <v>163</v>
      </c>
      <c r="AA28" s="168" t="s">
        <v>184</v>
      </c>
      <c r="AB28" s="168" t="s">
        <v>193</v>
      </c>
      <c r="AC28" s="168" t="s">
        <v>162</v>
      </c>
      <c r="AD28" s="168" t="s">
        <v>163</v>
      </c>
      <c r="AE28" s="168" t="s">
        <v>163</v>
      </c>
      <c r="AF28" s="168" t="s">
        <v>163</v>
      </c>
      <c r="AG28" s="168" t="s">
        <v>163</v>
      </c>
      <c r="AH28" s="168" t="str">
        <f t="shared" si="0"/>
        <v>Refrigerator-Top Freezer-Automatic-No-No-No-No</v>
      </c>
      <c r="AI28" s="168">
        <v>3</v>
      </c>
      <c r="AJ28" s="168">
        <v>8.07</v>
      </c>
      <c r="AK28" s="169">
        <v>233.7</v>
      </c>
      <c r="AL28" s="169">
        <f t="shared" si="1"/>
        <v>373.31100000000004</v>
      </c>
      <c r="AM28" s="168">
        <f t="shared" si="2"/>
        <v>373</v>
      </c>
      <c r="AN28" s="168">
        <f t="shared" si="3"/>
        <v>336</v>
      </c>
      <c r="AO28" s="164" t="str">
        <f t="shared" si="4"/>
        <v>Yes</v>
      </c>
      <c r="AP28" s="164">
        <f t="shared" si="5"/>
        <v>37</v>
      </c>
    </row>
    <row r="29" spans="2:45">
      <c r="B29" s="164">
        <v>2216165</v>
      </c>
      <c r="C29" s="164" t="s">
        <v>169</v>
      </c>
      <c r="D29" s="164" t="s">
        <v>418</v>
      </c>
      <c r="E29" s="164"/>
      <c r="F29" s="164" t="s">
        <v>193</v>
      </c>
      <c r="G29" s="164" t="s">
        <v>162</v>
      </c>
      <c r="H29" s="164" t="s">
        <v>163</v>
      </c>
      <c r="I29" s="164" t="s">
        <v>163</v>
      </c>
      <c r="J29" s="164" t="s">
        <v>163</v>
      </c>
      <c r="K29" s="164" t="s">
        <v>163</v>
      </c>
      <c r="L29" s="164" t="s">
        <v>163</v>
      </c>
      <c r="M29" s="164">
        <v>60.1</v>
      </c>
      <c r="N29" s="164">
        <v>28</v>
      </c>
      <c r="O29" s="165">
        <v>14.6</v>
      </c>
      <c r="P29" s="165">
        <v>17.3</v>
      </c>
      <c r="Q29" s="164">
        <v>336</v>
      </c>
      <c r="R29" s="164">
        <v>373</v>
      </c>
      <c r="S29" s="166">
        <v>0.1</v>
      </c>
      <c r="T29" s="164" t="s">
        <v>163</v>
      </c>
      <c r="U29" s="164"/>
      <c r="V29" s="167">
        <v>41832</v>
      </c>
      <c r="W29" s="167">
        <v>41837</v>
      </c>
      <c r="X29" s="164" t="s">
        <v>387</v>
      </c>
      <c r="Y29" s="164" t="s">
        <v>419</v>
      </c>
      <c r="Z29" s="164" t="s">
        <v>163</v>
      </c>
      <c r="AA29" s="168" t="s">
        <v>184</v>
      </c>
      <c r="AB29" s="168" t="s">
        <v>193</v>
      </c>
      <c r="AC29" s="168" t="s">
        <v>162</v>
      </c>
      <c r="AD29" s="168" t="s">
        <v>163</v>
      </c>
      <c r="AE29" s="168" t="s">
        <v>163</v>
      </c>
      <c r="AF29" s="168" t="s">
        <v>163</v>
      </c>
      <c r="AG29" s="168" t="s">
        <v>163</v>
      </c>
      <c r="AH29" s="168" t="str">
        <f t="shared" si="0"/>
        <v>Refrigerator-Top Freezer-Automatic-No-No-No-No</v>
      </c>
      <c r="AI29" s="168">
        <v>3</v>
      </c>
      <c r="AJ29" s="168">
        <v>8.07</v>
      </c>
      <c r="AK29" s="169">
        <v>233.7</v>
      </c>
      <c r="AL29" s="169">
        <f t="shared" si="1"/>
        <v>373.31100000000004</v>
      </c>
      <c r="AM29" s="168">
        <f t="shared" si="2"/>
        <v>373</v>
      </c>
      <c r="AN29" s="168">
        <f t="shared" si="3"/>
        <v>336</v>
      </c>
      <c r="AO29" s="164" t="str">
        <f t="shared" si="4"/>
        <v>Yes</v>
      </c>
      <c r="AP29" s="164">
        <f t="shared" si="5"/>
        <v>37</v>
      </c>
    </row>
    <row r="30" spans="2:45">
      <c r="B30" s="164">
        <v>2216154</v>
      </c>
      <c r="C30" s="164" t="s">
        <v>169</v>
      </c>
      <c r="D30" s="164" t="s">
        <v>420</v>
      </c>
      <c r="E30" s="164"/>
      <c r="F30" s="164" t="s">
        <v>193</v>
      </c>
      <c r="G30" s="164" t="s">
        <v>162</v>
      </c>
      <c r="H30" s="164" t="s">
        <v>163</v>
      </c>
      <c r="I30" s="164" t="s">
        <v>163</v>
      </c>
      <c r="J30" s="164" t="s">
        <v>163</v>
      </c>
      <c r="K30" s="164" t="s">
        <v>163</v>
      </c>
      <c r="L30" s="164" t="s">
        <v>163</v>
      </c>
      <c r="M30" s="164">
        <v>65.099999999999994</v>
      </c>
      <c r="N30" s="164">
        <v>28</v>
      </c>
      <c r="O30" s="165">
        <v>16.3</v>
      </c>
      <c r="P30" s="165">
        <v>19.100000000000001</v>
      </c>
      <c r="Q30" s="164">
        <v>348</v>
      </c>
      <c r="R30" s="164">
        <v>388</v>
      </c>
      <c r="S30" s="166">
        <v>0.1</v>
      </c>
      <c r="T30" s="164" t="s">
        <v>163</v>
      </c>
      <c r="U30" s="164"/>
      <c r="V30" s="167">
        <v>41834</v>
      </c>
      <c r="W30" s="167">
        <v>41837</v>
      </c>
      <c r="X30" s="164" t="s">
        <v>387</v>
      </c>
      <c r="Y30" s="164" t="s">
        <v>421</v>
      </c>
      <c r="Z30" s="164" t="s">
        <v>163</v>
      </c>
      <c r="AA30" s="168" t="s">
        <v>184</v>
      </c>
      <c r="AB30" s="168" t="s">
        <v>193</v>
      </c>
      <c r="AC30" s="168" t="s">
        <v>162</v>
      </c>
      <c r="AD30" s="168" t="s">
        <v>163</v>
      </c>
      <c r="AE30" s="168" t="s">
        <v>163</v>
      </c>
      <c r="AF30" s="168" t="s">
        <v>163</v>
      </c>
      <c r="AG30" s="168" t="s">
        <v>163</v>
      </c>
      <c r="AH30" s="168" t="str">
        <f t="shared" si="0"/>
        <v>Refrigerator-Top Freezer-Automatic-No-No-No-No</v>
      </c>
      <c r="AI30" s="168">
        <v>3</v>
      </c>
      <c r="AJ30" s="168">
        <v>8.07</v>
      </c>
      <c r="AK30" s="169">
        <v>233.7</v>
      </c>
      <c r="AL30" s="169">
        <f t="shared" si="1"/>
        <v>387.83699999999999</v>
      </c>
      <c r="AM30" s="168">
        <f t="shared" si="2"/>
        <v>388</v>
      </c>
      <c r="AN30" s="168">
        <f t="shared" si="3"/>
        <v>348</v>
      </c>
      <c r="AO30" s="164" t="str">
        <f t="shared" si="4"/>
        <v>Yes</v>
      </c>
      <c r="AP30" s="164">
        <f t="shared" si="5"/>
        <v>40</v>
      </c>
    </row>
    <row r="31" spans="2:45">
      <c r="B31" s="164">
        <v>2216157</v>
      </c>
      <c r="C31" s="164" t="s">
        <v>169</v>
      </c>
      <c r="D31" s="164" t="s">
        <v>420</v>
      </c>
      <c r="E31" s="164"/>
      <c r="F31" s="164" t="s">
        <v>193</v>
      </c>
      <c r="G31" s="164" t="s">
        <v>162</v>
      </c>
      <c r="H31" s="164" t="s">
        <v>163</v>
      </c>
      <c r="I31" s="164" t="s">
        <v>163</v>
      </c>
      <c r="J31" s="164" t="s">
        <v>163</v>
      </c>
      <c r="K31" s="164" t="s">
        <v>182</v>
      </c>
      <c r="L31" s="164" t="s">
        <v>163</v>
      </c>
      <c r="M31" s="164">
        <v>65.099999999999994</v>
      </c>
      <c r="N31" s="164">
        <v>28</v>
      </c>
      <c r="O31" s="165">
        <v>16.3</v>
      </c>
      <c r="P31" s="165">
        <v>19.100000000000001</v>
      </c>
      <c r="Q31" s="164">
        <v>424</v>
      </c>
      <c r="R31" s="164">
        <v>472</v>
      </c>
      <c r="S31" s="166">
        <v>0.1</v>
      </c>
      <c r="T31" s="164" t="s">
        <v>163</v>
      </c>
      <c r="U31" s="164"/>
      <c r="V31" s="167">
        <v>41834</v>
      </c>
      <c r="W31" s="167">
        <v>41837</v>
      </c>
      <c r="X31" s="164" t="s">
        <v>387</v>
      </c>
      <c r="Y31" s="164" t="s">
        <v>422</v>
      </c>
      <c r="Z31" s="164" t="s">
        <v>163</v>
      </c>
      <c r="AA31" s="168" t="s">
        <v>184</v>
      </c>
      <c r="AB31" s="168" t="s">
        <v>193</v>
      </c>
      <c r="AC31" s="168" t="s">
        <v>162</v>
      </c>
      <c r="AD31" s="168" t="s">
        <v>163</v>
      </c>
      <c r="AE31" s="168" t="s">
        <v>163</v>
      </c>
      <c r="AF31" s="168" t="s">
        <v>163</v>
      </c>
      <c r="AG31" s="168" t="s">
        <v>182</v>
      </c>
      <c r="AH31" s="168" t="str">
        <f t="shared" si="0"/>
        <v>Refrigerator-Top Freezer-Automatic-No-No-No-Yes</v>
      </c>
      <c r="AI31" s="168" t="s">
        <v>223</v>
      </c>
      <c r="AJ31" s="168">
        <v>8.07</v>
      </c>
      <c r="AK31" s="169">
        <v>317.7</v>
      </c>
      <c r="AL31" s="169">
        <f t="shared" si="1"/>
        <v>471.83699999999999</v>
      </c>
      <c r="AM31" s="168">
        <f t="shared" si="2"/>
        <v>472</v>
      </c>
      <c r="AN31" s="168">
        <f t="shared" si="3"/>
        <v>424</v>
      </c>
      <c r="AO31" s="164" t="str">
        <f t="shared" si="4"/>
        <v>Yes</v>
      </c>
      <c r="AP31" s="164">
        <f t="shared" si="5"/>
        <v>48</v>
      </c>
    </row>
    <row r="32" spans="2:45">
      <c r="B32" s="164">
        <v>2216155</v>
      </c>
      <c r="C32" s="164" t="s">
        <v>169</v>
      </c>
      <c r="D32" s="164" t="s">
        <v>423</v>
      </c>
      <c r="E32" s="164"/>
      <c r="F32" s="164" t="s">
        <v>193</v>
      </c>
      <c r="G32" s="164" t="s">
        <v>162</v>
      </c>
      <c r="H32" s="164" t="s">
        <v>163</v>
      </c>
      <c r="I32" s="164" t="s">
        <v>163</v>
      </c>
      <c r="J32" s="164" t="s">
        <v>163</v>
      </c>
      <c r="K32" s="164" t="s">
        <v>163</v>
      </c>
      <c r="L32" s="164" t="s">
        <v>163</v>
      </c>
      <c r="M32" s="164">
        <v>65.099999999999994</v>
      </c>
      <c r="N32" s="164">
        <v>28</v>
      </c>
      <c r="O32" s="165">
        <v>16.3</v>
      </c>
      <c r="P32" s="165">
        <v>19.100000000000001</v>
      </c>
      <c r="Q32" s="164">
        <v>348</v>
      </c>
      <c r="R32" s="164">
        <v>388</v>
      </c>
      <c r="S32" s="166">
        <v>0.1</v>
      </c>
      <c r="T32" s="164" t="s">
        <v>163</v>
      </c>
      <c r="U32" s="164"/>
      <c r="V32" s="167">
        <v>41834</v>
      </c>
      <c r="W32" s="167">
        <v>41837</v>
      </c>
      <c r="X32" s="164" t="s">
        <v>387</v>
      </c>
      <c r="Y32" s="164" t="s">
        <v>424</v>
      </c>
      <c r="Z32" s="164" t="s">
        <v>163</v>
      </c>
      <c r="AA32" s="168" t="s">
        <v>184</v>
      </c>
      <c r="AB32" s="168" t="s">
        <v>193</v>
      </c>
      <c r="AC32" s="168" t="s">
        <v>162</v>
      </c>
      <c r="AD32" s="168" t="s">
        <v>163</v>
      </c>
      <c r="AE32" s="168" t="s">
        <v>163</v>
      </c>
      <c r="AF32" s="168" t="s">
        <v>163</v>
      </c>
      <c r="AG32" s="168" t="s">
        <v>163</v>
      </c>
      <c r="AH32" s="168" t="str">
        <f t="shared" si="0"/>
        <v>Refrigerator-Top Freezer-Automatic-No-No-No-No</v>
      </c>
      <c r="AI32" s="168">
        <v>3</v>
      </c>
      <c r="AJ32" s="168">
        <v>8.07</v>
      </c>
      <c r="AK32" s="169">
        <v>233.7</v>
      </c>
      <c r="AL32" s="169">
        <f t="shared" si="1"/>
        <v>387.83699999999999</v>
      </c>
      <c r="AM32" s="168">
        <f t="shared" si="2"/>
        <v>388</v>
      </c>
      <c r="AN32" s="168">
        <f t="shared" si="3"/>
        <v>348</v>
      </c>
      <c r="AO32" s="164" t="str">
        <f t="shared" si="4"/>
        <v>Yes</v>
      </c>
      <c r="AP32" s="164">
        <f t="shared" si="5"/>
        <v>40</v>
      </c>
    </row>
    <row r="33" spans="2:42">
      <c r="B33" s="164">
        <v>2216158</v>
      </c>
      <c r="C33" s="164" t="s">
        <v>169</v>
      </c>
      <c r="D33" s="164" t="s">
        <v>423</v>
      </c>
      <c r="E33" s="164"/>
      <c r="F33" s="164" t="s">
        <v>193</v>
      </c>
      <c r="G33" s="164" t="s">
        <v>162</v>
      </c>
      <c r="H33" s="164" t="s">
        <v>163</v>
      </c>
      <c r="I33" s="164" t="s">
        <v>163</v>
      </c>
      <c r="J33" s="164" t="s">
        <v>163</v>
      </c>
      <c r="K33" s="164" t="s">
        <v>182</v>
      </c>
      <c r="L33" s="164" t="s">
        <v>163</v>
      </c>
      <c r="M33" s="164">
        <v>65.099999999999994</v>
      </c>
      <c r="N33" s="164">
        <v>28</v>
      </c>
      <c r="O33" s="165">
        <v>16.3</v>
      </c>
      <c r="P33" s="165">
        <v>19.100000000000001</v>
      </c>
      <c r="Q33" s="164">
        <v>424</v>
      </c>
      <c r="R33" s="164">
        <v>472</v>
      </c>
      <c r="S33" s="166">
        <v>0.1</v>
      </c>
      <c r="T33" s="164" t="s">
        <v>163</v>
      </c>
      <c r="U33" s="164"/>
      <c r="V33" s="167">
        <v>41834</v>
      </c>
      <c r="W33" s="167">
        <v>41837</v>
      </c>
      <c r="X33" s="164" t="s">
        <v>387</v>
      </c>
      <c r="Y33" s="164" t="s">
        <v>425</v>
      </c>
      <c r="Z33" s="164" t="s">
        <v>163</v>
      </c>
      <c r="AA33" s="168" t="s">
        <v>184</v>
      </c>
      <c r="AB33" s="168" t="s">
        <v>193</v>
      </c>
      <c r="AC33" s="168" t="s">
        <v>162</v>
      </c>
      <c r="AD33" s="168" t="s">
        <v>163</v>
      </c>
      <c r="AE33" s="168" t="s">
        <v>163</v>
      </c>
      <c r="AF33" s="168" t="s">
        <v>163</v>
      </c>
      <c r="AG33" s="168" t="s">
        <v>182</v>
      </c>
      <c r="AH33" s="168" t="str">
        <f t="shared" si="0"/>
        <v>Refrigerator-Top Freezer-Automatic-No-No-No-Yes</v>
      </c>
      <c r="AI33" s="168" t="s">
        <v>223</v>
      </c>
      <c r="AJ33" s="168">
        <v>8.07</v>
      </c>
      <c r="AK33" s="169">
        <v>317.7</v>
      </c>
      <c r="AL33" s="169">
        <f t="shared" si="1"/>
        <v>471.83699999999999</v>
      </c>
      <c r="AM33" s="168">
        <f t="shared" si="2"/>
        <v>472</v>
      </c>
      <c r="AN33" s="168">
        <f t="shared" si="3"/>
        <v>424</v>
      </c>
      <c r="AO33" s="164" t="str">
        <f t="shared" si="4"/>
        <v>Yes</v>
      </c>
      <c r="AP33" s="164">
        <f t="shared" si="5"/>
        <v>48</v>
      </c>
    </row>
    <row r="34" spans="2:42">
      <c r="B34" s="164">
        <v>2219151</v>
      </c>
      <c r="C34" s="164" t="s">
        <v>169</v>
      </c>
      <c r="D34" s="164" t="s">
        <v>426</v>
      </c>
      <c r="E34" s="164"/>
      <c r="F34" s="164" t="s">
        <v>193</v>
      </c>
      <c r="G34" s="164" t="s">
        <v>162</v>
      </c>
      <c r="H34" s="164" t="s">
        <v>163</v>
      </c>
      <c r="I34" s="164" t="s">
        <v>163</v>
      </c>
      <c r="J34" s="164" t="s">
        <v>163</v>
      </c>
      <c r="K34" s="164" t="s">
        <v>163</v>
      </c>
      <c r="L34" s="164" t="s">
        <v>163</v>
      </c>
      <c r="M34" s="164">
        <v>66.099999999999994</v>
      </c>
      <c r="N34" s="164">
        <v>29.6</v>
      </c>
      <c r="O34" s="165">
        <v>18.100000000000001</v>
      </c>
      <c r="P34" s="165">
        <v>21.1</v>
      </c>
      <c r="Q34" s="164">
        <v>363</v>
      </c>
      <c r="R34" s="164">
        <v>404</v>
      </c>
      <c r="S34" s="166">
        <v>0.1</v>
      </c>
      <c r="T34" s="164" t="s">
        <v>163</v>
      </c>
      <c r="U34" s="164"/>
      <c r="V34" s="167">
        <v>41884</v>
      </c>
      <c r="W34" s="167">
        <v>41889</v>
      </c>
      <c r="X34" s="164" t="s">
        <v>387</v>
      </c>
      <c r="Y34" s="164" t="s">
        <v>427</v>
      </c>
      <c r="Z34" s="164" t="s">
        <v>163</v>
      </c>
      <c r="AA34" s="168" t="s">
        <v>184</v>
      </c>
      <c r="AB34" s="168" t="s">
        <v>193</v>
      </c>
      <c r="AC34" s="168" t="s">
        <v>162</v>
      </c>
      <c r="AD34" s="168" t="s">
        <v>163</v>
      </c>
      <c r="AE34" s="168" t="s">
        <v>163</v>
      </c>
      <c r="AF34" s="168" t="s">
        <v>163</v>
      </c>
      <c r="AG34" s="168" t="s">
        <v>163</v>
      </c>
      <c r="AH34" s="168" t="str">
        <f t="shared" si="0"/>
        <v>Refrigerator-Top Freezer-Automatic-No-No-No-No</v>
      </c>
      <c r="AI34" s="168">
        <v>3</v>
      </c>
      <c r="AJ34" s="168">
        <v>8.07</v>
      </c>
      <c r="AK34" s="169">
        <v>233.7</v>
      </c>
      <c r="AL34" s="169">
        <f t="shared" si="1"/>
        <v>403.97699999999998</v>
      </c>
      <c r="AM34" s="168">
        <f t="shared" si="2"/>
        <v>404</v>
      </c>
      <c r="AN34" s="168">
        <f t="shared" si="3"/>
        <v>363</v>
      </c>
      <c r="AO34" s="164" t="str">
        <f t="shared" si="4"/>
        <v>Yes</v>
      </c>
      <c r="AP34" s="164">
        <f t="shared" si="5"/>
        <v>41</v>
      </c>
    </row>
    <row r="35" spans="2:42">
      <c r="B35" s="164">
        <v>2219156</v>
      </c>
      <c r="C35" s="164" t="s">
        <v>169</v>
      </c>
      <c r="D35" s="164" t="s">
        <v>426</v>
      </c>
      <c r="E35" s="164"/>
      <c r="F35" s="164" t="s">
        <v>193</v>
      </c>
      <c r="G35" s="164" t="s">
        <v>162</v>
      </c>
      <c r="H35" s="164" t="s">
        <v>163</v>
      </c>
      <c r="I35" s="164" t="s">
        <v>163</v>
      </c>
      <c r="J35" s="164" t="s">
        <v>163</v>
      </c>
      <c r="K35" s="164" t="s">
        <v>182</v>
      </c>
      <c r="L35" s="164" t="s">
        <v>163</v>
      </c>
      <c r="M35" s="164">
        <v>66.099999999999994</v>
      </c>
      <c r="N35" s="164">
        <v>29.6</v>
      </c>
      <c r="O35" s="165">
        <v>18.100000000000001</v>
      </c>
      <c r="P35" s="165">
        <v>21.1</v>
      </c>
      <c r="Q35" s="164">
        <v>439</v>
      </c>
      <c r="R35" s="164">
        <v>488</v>
      </c>
      <c r="S35" s="166">
        <v>0.1</v>
      </c>
      <c r="T35" s="164" t="s">
        <v>163</v>
      </c>
      <c r="U35" s="164"/>
      <c r="V35" s="167">
        <v>41884</v>
      </c>
      <c r="W35" s="167">
        <v>41889</v>
      </c>
      <c r="X35" s="164" t="s">
        <v>387</v>
      </c>
      <c r="Y35" s="164" t="s">
        <v>428</v>
      </c>
      <c r="Z35" s="164" t="s">
        <v>163</v>
      </c>
      <c r="AA35" s="168" t="s">
        <v>184</v>
      </c>
      <c r="AB35" s="168" t="s">
        <v>193</v>
      </c>
      <c r="AC35" s="168" t="s">
        <v>162</v>
      </c>
      <c r="AD35" s="168" t="s">
        <v>163</v>
      </c>
      <c r="AE35" s="168" t="s">
        <v>163</v>
      </c>
      <c r="AF35" s="168" t="s">
        <v>163</v>
      </c>
      <c r="AG35" s="168" t="s">
        <v>182</v>
      </c>
      <c r="AH35" s="168" t="str">
        <f t="shared" si="0"/>
        <v>Refrigerator-Top Freezer-Automatic-No-No-No-Yes</v>
      </c>
      <c r="AI35" s="168" t="s">
        <v>223</v>
      </c>
      <c r="AJ35" s="168">
        <v>8.07</v>
      </c>
      <c r="AK35" s="169">
        <v>317.7</v>
      </c>
      <c r="AL35" s="169">
        <f t="shared" si="1"/>
        <v>487.97699999999998</v>
      </c>
      <c r="AM35" s="168">
        <f t="shared" si="2"/>
        <v>488</v>
      </c>
      <c r="AN35" s="168">
        <f t="shared" si="3"/>
        <v>439</v>
      </c>
      <c r="AO35" s="164" t="str">
        <f t="shared" si="4"/>
        <v>Yes</v>
      </c>
      <c r="AP35" s="164">
        <f t="shared" si="5"/>
        <v>49</v>
      </c>
    </row>
    <row r="36" spans="2:42">
      <c r="B36" s="164">
        <v>2219152</v>
      </c>
      <c r="C36" s="164" t="s">
        <v>169</v>
      </c>
      <c r="D36" s="164" t="s">
        <v>429</v>
      </c>
      <c r="E36" s="164"/>
      <c r="F36" s="164" t="s">
        <v>193</v>
      </c>
      <c r="G36" s="164" t="s">
        <v>162</v>
      </c>
      <c r="H36" s="164" t="s">
        <v>163</v>
      </c>
      <c r="I36" s="164" t="s">
        <v>163</v>
      </c>
      <c r="J36" s="164" t="s">
        <v>163</v>
      </c>
      <c r="K36" s="164" t="s">
        <v>163</v>
      </c>
      <c r="L36" s="164" t="s">
        <v>163</v>
      </c>
      <c r="M36" s="164">
        <v>66.099999999999994</v>
      </c>
      <c r="N36" s="164">
        <v>29.6</v>
      </c>
      <c r="O36" s="165">
        <v>18.100000000000001</v>
      </c>
      <c r="P36" s="165">
        <v>21.1</v>
      </c>
      <c r="Q36" s="164">
        <v>363</v>
      </c>
      <c r="R36" s="164">
        <v>404</v>
      </c>
      <c r="S36" s="166">
        <v>0.1</v>
      </c>
      <c r="T36" s="164" t="s">
        <v>163</v>
      </c>
      <c r="U36" s="164"/>
      <c r="V36" s="167">
        <v>41884</v>
      </c>
      <c r="W36" s="167">
        <v>41889</v>
      </c>
      <c r="X36" s="164" t="s">
        <v>387</v>
      </c>
      <c r="Y36" s="164" t="s">
        <v>430</v>
      </c>
      <c r="Z36" s="164" t="s">
        <v>163</v>
      </c>
      <c r="AA36" s="168" t="s">
        <v>184</v>
      </c>
      <c r="AB36" s="168" t="s">
        <v>193</v>
      </c>
      <c r="AC36" s="168" t="s">
        <v>162</v>
      </c>
      <c r="AD36" s="168" t="s">
        <v>163</v>
      </c>
      <c r="AE36" s="168" t="s">
        <v>163</v>
      </c>
      <c r="AF36" s="168" t="s">
        <v>163</v>
      </c>
      <c r="AG36" s="168" t="s">
        <v>163</v>
      </c>
      <c r="AH36" s="168" t="str">
        <f t="shared" si="0"/>
        <v>Refrigerator-Top Freezer-Automatic-No-No-No-No</v>
      </c>
      <c r="AI36" s="168">
        <v>3</v>
      </c>
      <c r="AJ36" s="168">
        <v>8.07</v>
      </c>
      <c r="AK36" s="169">
        <v>233.7</v>
      </c>
      <c r="AL36" s="169">
        <f t="shared" si="1"/>
        <v>403.97699999999998</v>
      </c>
      <c r="AM36" s="168">
        <f t="shared" si="2"/>
        <v>404</v>
      </c>
      <c r="AN36" s="168">
        <f t="shared" si="3"/>
        <v>363</v>
      </c>
      <c r="AO36" s="164" t="str">
        <f t="shared" si="4"/>
        <v>Yes</v>
      </c>
      <c r="AP36" s="164">
        <f t="shared" si="5"/>
        <v>41</v>
      </c>
    </row>
    <row r="37" spans="2:42">
      <c r="B37" s="164">
        <v>2219157</v>
      </c>
      <c r="C37" s="164" t="s">
        <v>169</v>
      </c>
      <c r="D37" s="164" t="s">
        <v>429</v>
      </c>
      <c r="E37" s="164"/>
      <c r="F37" s="164" t="s">
        <v>193</v>
      </c>
      <c r="G37" s="164" t="s">
        <v>162</v>
      </c>
      <c r="H37" s="164" t="s">
        <v>163</v>
      </c>
      <c r="I37" s="164" t="s">
        <v>163</v>
      </c>
      <c r="J37" s="164" t="s">
        <v>163</v>
      </c>
      <c r="K37" s="164" t="s">
        <v>182</v>
      </c>
      <c r="L37" s="164" t="s">
        <v>163</v>
      </c>
      <c r="M37" s="164">
        <v>66.099999999999994</v>
      </c>
      <c r="N37" s="164">
        <v>29.6</v>
      </c>
      <c r="O37" s="165">
        <v>18.100000000000001</v>
      </c>
      <c r="P37" s="165">
        <v>21.1</v>
      </c>
      <c r="Q37" s="164">
        <v>439</v>
      </c>
      <c r="R37" s="164">
        <v>488</v>
      </c>
      <c r="S37" s="166">
        <v>0.1</v>
      </c>
      <c r="T37" s="164" t="s">
        <v>163</v>
      </c>
      <c r="U37" s="164"/>
      <c r="V37" s="167">
        <v>41884</v>
      </c>
      <c r="W37" s="167">
        <v>41889</v>
      </c>
      <c r="X37" s="164" t="s">
        <v>387</v>
      </c>
      <c r="Y37" s="164" t="s">
        <v>431</v>
      </c>
      <c r="Z37" s="164" t="s">
        <v>163</v>
      </c>
      <c r="AA37" s="168" t="s">
        <v>184</v>
      </c>
      <c r="AB37" s="168" t="s">
        <v>193</v>
      </c>
      <c r="AC37" s="168" t="s">
        <v>162</v>
      </c>
      <c r="AD37" s="168" t="s">
        <v>163</v>
      </c>
      <c r="AE37" s="168" t="s">
        <v>163</v>
      </c>
      <c r="AF37" s="168" t="s">
        <v>163</v>
      </c>
      <c r="AG37" s="168" t="s">
        <v>182</v>
      </c>
      <c r="AH37" s="168" t="str">
        <f t="shared" si="0"/>
        <v>Refrigerator-Top Freezer-Automatic-No-No-No-Yes</v>
      </c>
      <c r="AI37" s="168" t="s">
        <v>223</v>
      </c>
      <c r="AJ37" s="168">
        <v>8.07</v>
      </c>
      <c r="AK37" s="169">
        <v>317.7</v>
      </c>
      <c r="AL37" s="169">
        <f t="shared" si="1"/>
        <v>487.97699999999998</v>
      </c>
      <c r="AM37" s="168">
        <f t="shared" si="2"/>
        <v>488</v>
      </c>
      <c r="AN37" s="168">
        <f t="shared" si="3"/>
        <v>439</v>
      </c>
      <c r="AO37" s="164" t="str">
        <f t="shared" si="4"/>
        <v>Yes</v>
      </c>
      <c r="AP37" s="164">
        <f t="shared" si="5"/>
        <v>49</v>
      </c>
    </row>
    <row r="38" spans="2:42">
      <c r="B38" s="164">
        <v>2219149</v>
      </c>
      <c r="C38" s="164" t="s">
        <v>169</v>
      </c>
      <c r="D38" s="164" t="s">
        <v>432</v>
      </c>
      <c r="E38" s="164"/>
      <c r="F38" s="164" t="s">
        <v>193</v>
      </c>
      <c r="G38" s="164" t="s">
        <v>162</v>
      </c>
      <c r="H38" s="164" t="s">
        <v>163</v>
      </c>
      <c r="I38" s="164" t="s">
        <v>163</v>
      </c>
      <c r="J38" s="164" t="s">
        <v>163</v>
      </c>
      <c r="K38" s="164" t="s">
        <v>163</v>
      </c>
      <c r="L38" s="164" t="s">
        <v>163</v>
      </c>
      <c r="M38" s="164">
        <v>66.099999999999994</v>
      </c>
      <c r="N38" s="164">
        <v>29.6</v>
      </c>
      <c r="O38" s="165">
        <v>18.100000000000001</v>
      </c>
      <c r="P38" s="165">
        <v>21.1</v>
      </c>
      <c r="Q38" s="164">
        <v>363</v>
      </c>
      <c r="R38" s="164">
        <v>404</v>
      </c>
      <c r="S38" s="166">
        <v>0.1</v>
      </c>
      <c r="T38" s="164" t="s">
        <v>163</v>
      </c>
      <c r="U38" s="164"/>
      <c r="V38" s="167">
        <v>41857</v>
      </c>
      <c r="W38" s="167">
        <v>41889</v>
      </c>
      <c r="X38" s="164" t="s">
        <v>387</v>
      </c>
      <c r="Y38" s="164" t="s">
        <v>433</v>
      </c>
      <c r="Z38" s="164" t="s">
        <v>163</v>
      </c>
      <c r="AA38" s="168" t="s">
        <v>184</v>
      </c>
      <c r="AB38" s="168" t="s">
        <v>193</v>
      </c>
      <c r="AC38" s="168" t="s">
        <v>162</v>
      </c>
      <c r="AD38" s="168" t="s">
        <v>163</v>
      </c>
      <c r="AE38" s="168" t="s">
        <v>163</v>
      </c>
      <c r="AF38" s="168" t="s">
        <v>163</v>
      </c>
      <c r="AG38" s="168" t="s">
        <v>163</v>
      </c>
      <c r="AH38" s="168" t="str">
        <f t="shared" si="0"/>
        <v>Refrigerator-Top Freezer-Automatic-No-No-No-No</v>
      </c>
      <c r="AI38" s="168">
        <v>3</v>
      </c>
      <c r="AJ38" s="168">
        <v>8.07</v>
      </c>
      <c r="AK38" s="169">
        <v>233.7</v>
      </c>
      <c r="AL38" s="169">
        <f t="shared" si="1"/>
        <v>403.97699999999998</v>
      </c>
      <c r="AM38" s="168">
        <f t="shared" si="2"/>
        <v>404</v>
      </c>
      <c r="AN38" s="168">
        <f t="shared" si="3"/>
        <v>363</v>
      </c>
      <c r="AO38" s="164" t="str">
        <f t="shared" si="4"/>
        <v>Yes</v>
      </c>
      <c r="AP38" s="164">
        <f t="shared" si="5"/>
        <v>41</v>
      </c>
    </row>
    <row r="39" spans="2:42">
      <c r="B39" s="164">
        <v>2219154</v>
      </c>
      <c r="C39" s="164" t="s">
        <v>169</v>
      </c>
      <c r="D39" s="164" t="s">
        <v>432</v>
      </c>
      <c r="E39" s="164"/>
      <c r="F39" s="164" t="s">
        <v>193</v>
      </c>
      <c r="G39" s="164" t="s">
        <v>162</v>
      </c>
      <c r="H39" s="164" t="s">
        <v>163</v>
      </c>
      <c r="I39" s="164" t="s">
        <v>163</v>
      </c>
      <c r="J39" s="164" t="s">
        <v>163</v>
      </c>
      <c r="K39" s="164" t="s">
        <v>182</v>
      </c>
      <c r="L39" s="164" t="s">
        <v>163</v>
      </c>
      <c r="M39" s="164">
        <v>66.099999999999994</v>
      </c>
      <c r="N39" s="164">
        <v>29.6</v>
      </c>
      <c r="O39" s="165">
        <v>18.100000000000001</v>
      </c>
      <c r="P39" s="165">
        <v>21.1</v>
      </c>
      <c r="Q39" s="164">
        <v>439</v>
      </c>
      <c r="R39" s="164">
        <v>488</v>
      </c>
      <c r="S39" s="166">
        <v>0.1</v>
      </c>
      <c r="T39" s="164" t="s">
        <v>163</v>
      </c>
      <c r="U39" s="164"/>
      <c r="V39" s="167">
        <v>41857</v>
      </c>
      <c r="W39" s="167">
        <v>41889</v>
      </c>
      <c r="X39" s="164" t="s">
        <v>387</v>
      </c>
      <c r="Y39" s="164" t="s">
        <v>434</v>
      </c>
      <c r="Z39" s="164" t="s">
        <v>163</v>
      </c>
      <c r="AA39" s="168" t="s">
        <v>184</v>
      </c>
      <c r="AB39" s="168" t="s">
        <v>193</v>
      </c>
      <c r="AC39" s="168" t="s">
        <v>162</v>
      </c>
      <c r="AD39" s="168" t="s">
        <v>163</v>
      </c>
      <c r="AE39" s="168" t="s">
        <v>163</v>
      </c>
      <c r="AF39" s="168" t="s">
        <v>163</v>
      </c>
      <c r="AG39" s="168" t="s">
        <v>182</v>
      </c>
      <c r="AH39" s="168" t="str">
        <f t="shared" si="0"/>
        <v>Refrigerator-Top Freezer-Automatic-No-No-No-Yes</v>
      </c>
      <c r="AI39" s="168" t="s">
        <v>223</v>
      </c>
      <c r="AJ39" s="168">
        <v>8.07</v>
      </c>
      <c r="AK39" s="169">
        <v>317.7</v>
      </c>
      <c r="AL39" s="169">
        <f t="shared" si="1"/>
        <v>487.97699999999998</v>
      </c>
      <c r="AM39" s="168">
        <f t="shared" si="2"/>
        <v>488</v>
      </c>
      <c r="AN39" s="168">
        <f t="shared" si="3"/>
        <v>439</v>
      </c>
      <c r="AO39" s="164" t="str">
        <f t="shared" si="4"/>
        <v>Yes</v>
      </c>
      <c r="AP39" s="164">
        <f t="shared" si="5"/>
        <v>49</v>
      </c>
    </row>
    <row r="40" spans="2:42">
      <c r="B40" s="164">
        <v>2219153</v>
      </c>
      <c r="C40" s="164" t="s">
        <v>169</v>
      </c>
      <c r="D40" s="164" t="s">
        <v>435</v>
      </c>
      <c r="E40" s="164"/>
      <c r="F40" s="164" t="s">
        <v>193</v>
      </c>
      <c r="G40" s="164" t="s">
        <v>162</v>
      </c>
      <c r="H40" s="164" t="s">
        <v>163</v>
      </c>
      <c r="I40" s="164" t="s">
        <v>163</v>
      </c>
      <c r="J40" s="164" t="s">
        <v>163</v>
      </c>
      <c r="K40" s="164" t="s">
        <v>163</v>
      </c>
      <c r="L40" s="164" t="s">
        <v>163</v>
      </c>
      <c r="M40" s="164">
        <v>69</v>
      </c>
      <c r="N40" s="164">
        <v>29.6</v>
      </c>
      <c r="O40" s="165">
        <v>20.399999999999999</v>
      </c>
      <c r="P40" s="165">
        <v>24.3</v>
      </c>
      <c r="Q40" s="164">
        <v>386</v>
      </c>
      <c r="R40" s="164">
        <v>430</v>
      </c>
      <c r="S40" s="166">
        <v>0.1</v>
      </c>
      <c r="T40" s="164" t="s">
        <v>163</v>
      </c>
      <c r="U40" s="164"/>
      <c r="V40" s="167">
        <v>41884</v>
      </c>
      <c r="W40" s="167">
        <v>41889</v>
      </c>
      <c r="X40" s="164" t="s">
        <v>387</v>
      </c>
      <c r="Y40" s="164" t="s">
        <v>436</v>
      </c>
      <c r="Z40" s="164" t="s">
        <v>163</v>
      </c>
      <c r="AA40" s="168" t="s">
        <v>184</v>
      </c>
      <c r="AB40" s="168" t="s">
        <v>193</v>
      </c>
      <c r="AC40" s="168" t="s">
        <v>162</v>
      </c>
      <c r="AD40" s="168" t="s">
        <v>163</v>
      </c>
      <c r="AE40" s="168" t="s">
        <v>163</v>
      </c>
      <c r="AF40" s="168" t="s">
        <v>163</v>
      </c>
      <c r="AG40" s="168" t="s">
        <v>163</v>
      </c>
      <c r="AH40" s="168" t="str">
        <f t="shared" si="0"/>
        <v>Refrigerator-Top Freezer-Automatic-No-No-No-No</v>
      </c>
      <c r="AI40" s="168">
        <v>3</v>
      </c>
      <c r="AJ40" s="168">
        <v>8.07</v>
      </c>
      <c r="AK40" s="169">
        <v>233.7</v>
      </c>
      <c r="AL40" s="169">
        <f t="shared" si="1"/>
        <v>429.80099999999999</v>
      </c>
      <c r="AM40" s="168">
        <f t="shared" si="2"/>
        <v>430</v>
      </c>
      <c r="AN40" s="168">
        <f t="shared" si="3"/>
        <v>386</v>
      </c>
      <c r="AO40" s="164" t="str">
        <f t="shared" si="4"/>
        <v>Yes</v>
      </c>
      <c r="AP40" s="164">
        <f t="shared" si="5"/>
        <v>44</v>
      </c>
    </row>
    <row r="41" spans="2:42">
      <c r="B41" s="164">
        <v>2219158</v>
      </c>
      <c r="C41" s="164" t="s">
        <v>169</v>
      </c>
      <c r="D41" s="164" t="s">
        <v>435</v>
      </c>
      <c r="E41" s="164"/>
      <c r="F41" s="164" t="s">
        <v>193</v>
      </c>
      <c r="G41" s="164" t="s">
        <v>162</v>
      </c>
      <c r="H41" s="164" t="s">
        <v>163</v>
      </c>
      <c r="I41" s="164" t="s">
        <v>163</v>
      </c>
      <c r="J41" s="164" t="s">
        <v>163</v>
      </c>
      <c r="K41" s="164" t="s">
        <v>182</v>
      </c>
      <c r="L41" s="164" t="s">
        <v>163</v>
      </c>
      <c r="M41" s="164">
        <v>69</v>
      </c>
      <c r="N41" s="164">
        <v>29.6</v>
      </c>
      <c r="O41" s="165">
        <v>20.399999999999999</v>
      </c>
      <c r="P41" s="165">
        <v>24.3</v>
      </c>
      <c r="Q41" s="164">
        <v>462</v>
      </c>
      <c r="R41" s="164">
        <v>514</v>
      </c>
      <c r="S41" s="166">
        <v>0.1</v>
      </c>
      <c r="T41" s="164" t="s">
        <v>163</v>
      </c>
      <c r="U41" s="164"/>
      <c r="V41" s="167">
        <v>41884</v>
      </c>
      <c r="W41" s="167">
        <v>41889</v>
      </c>
      <c r="X41" s="164" t="s">
        <v>387</v>
      </c>
      <c r="Y41" s="164" t="s">
        <v>437</v>
      </c>
      <c r="Z41" s="164" t="s">
        <v>163</v>
      </c>
      <c r="AA41" s="168" t="s">
        <v>184</v>
      </c>
      <c r="AB41" s="168" t="s">
        <v>193</v>
      </c>
      <c r="AC41" s="168" t="s">
        <v>162</v>
      </c>
      <c r="AD41" s="168" t="s">
        <v>163</v>
      </c>
      <c r="AE41" s="168" t="s">
        <v>163</v>
      </c>
      <c r="AF41" s="168" t="s">
        <v>163</v>
      </c>
      <c r="AG41" s="168" t="s">
        <v>182</v>
      </c>
      <c r="AH41" s="168" t="str">
        <f t="shared" si="0"/>
        <v>Refrigerator-Top Freezer-Automatic-No-No-No-Yes</v>
      </c>
      <c r="AI41" s="168" t="s">
        <v>223</v>
      </c>
      <c r="AJ41" s="168">
        <v>8.07</v>
      </c>
      <c r="AK41" s="169">
        <v>317.7</v>
      </c>
      <c r="AL41" s="169">
        <f t="shared" si="1"/>
        <v>513.80099999999993</v>
      </c>
      <c r="AM41" s="168">
        <f t="shared" si="2"/>
        <v>514</v>
      </c>
      <c r="AN41" s="168">
        <f t="shared" si="3"/>
        <v>462</v>
      </c>
      <c r="AO41" s="164" t="str">
        <f t="shared" si="4"/>
        <v>Yes</v>
      </c>
      <c r="AP41" s="164">
        <f t="shared" si="5"/>
        <v>52</v>
      </c>
    </row>
    <row r="42" spans="2:42">
      <c r="B42" s="164">
        <v>2219522</v>
      </c>
      <c r="C42" s="164" t="s">
        <v>169</v>
      </c>
      <c r="D42" s="164" t="s">
        <v>438</v>
      </c>
      <c r="E42" s="164"/>
      <c r="F42" s="164" t="s">
        <v>193</v>
      </c>
      <c r="G42" s="164" t="s">
        <v>162</v>
      </c>
      <c r="H42" s="164" t="s">
        <v>163</v>
      </c>
      <c r="I42" s="164" t="s">
        <v>163</v>
      </c>
      <c r="J42" s="164" t="s">
        <v>163</v>
      </c>
      <c r="K42" s="164" t="s">
        <v>163</v>
      </c>
      <c r="L42" s="164" t="s">
        <v>163</v>
      </c>
      <c r="M42" s="164">
        <v>69</v>
      </c>
      <c r="N42" s="164">
        <v>29.6</v>
      </c>
      <c r="O42" s="165">
        <v>20.399999999999999</v>
      </c>
      <c r="P42" s="165">
        <v>24.3</v>
      </c>
      <c r="Q42" s="164">
        <v>386</v>
      </c>
      <c r="R42" s="164">
        <v>430</v>
      </c>
      <c r="S42" s="166">
        <v>0.1</v>
      </c>
      <c r="T42" s="164" t="s">
        <v>163</v>
      </c>
      <c r="U42" s="164"/>
      <c r="V42" s="167">
        <v>41897</v>
      </c>
      <c r="W42" s="167">
        <v>41897</v>
      </c>
      <c r="X42" s="164" t="s">
        <v>387</v>
      </c>
      <c r="Y42" s="164" t="s">
        <v>439</v>
      </c>
      <c r="Z42" s="164" t="s">
        <v>163</v>
      </c>
      <c r="AA42" s="168" t="s">
        <v>184</v>
      </c>
      <c r="AB42" s="168" t="s">
        <v>193</v>
      </c>
      <c r="AC42" s="168" t="s">
        <v>162</v>
      </c>
      <c r="AD42" s="168" t="s">
        <v>163</v>
      </c>
      <c r="AE42" s="168" t="s">
        <v>163</v>
      </c>
      <c r="AF42" s="168" t="s">
        <v>163</v>
      </c>
      <c r="AG42" s="168" t="s">
        <v>163</v>
      </c>
      <c r="AH42" s="168" t="str">
        <f t="shared" si="0"/>
        <v>Refrigerator-Top Freezer-Automatic-No-No-No-No</v>
      </c>
      <c r="AI42" s="168">
        <v>3</v>
      </c>
      <c r="AJ42" s="168">
        <v>8.07</v>
      </c>
      <c r="AK42" s="169">
        <v>233.7</v>
      </c>
      <c r="AL42" s="169">
        <f t="shared" si="1"/>
        <v>429.80099999999999</v>
      </c>
      <c r="AM42" s="168">
        <f t="shared" si="2"/>
        <v>430</v>
      </c>
      <c r="AN42" s="168">
        <f t="shared" si="3"/>
        <v>386</v>
      </c>
      <c r="AO42" s="164" t="str">
        <f t="shared" si="4"/>
        <v>Yes</v>
      </c>
      <c r="AP42" s="164">
        <f t="shared" si="5"/>
        <v>44</v>
      </c>
    </row>
    <row r="43" spans="2:42">
      <c r="B43" s="164">
        <v>2219523</v>
      </c>
      <c r="C43" s="164" t="s">
        <v>169</v>
      </c>
      <c r="D43" s="164" t="s">
        <v>438</v>
      </c>
      <c r="E43" s="164"/>
      <c r="F43" s="164" t="s">
        <v>193</v>
      </c>
      <c r="G43" s="164" t="s">
        <v>162</v>
      </c>
      <c r="H43" s="164" t="s">
        <v>163</v>
      </c>
      <c r="I43" s="164" t="s">
        <v>163</v>
      </c>
      <c r="J43" s="164" t="s">
        <v>163</v>
      </c>
      <c r="K43" s="164" t="s">
        <v>182</v>
      </c>
      <c r="L43" s="164" t="s">
        <v>163</v>
      </c>
      <c r="M43" s="164">
        <v>69</v>
      </c>
      <c r="N43" s="164">
        <v>29.6</v>
      </c>
      <c r="O43" s="165">
        <v>20.399999999999999</v>
      </c>
      <c r="P43" s="165">
        <v>24.3</v>
      </c>
      <c r="Q43" s="164">
        <v>462</v>
      </c>
      <c r="R43" s="164">
        <v>514</v>
      </c>
      <c r="S43" s="166">
        <v>0.1</v>
      </c>
      <c r="T43" s="164" t="s">
        <v>163</v>
      </c>
      <c r="U43" s="164"/>
      <c r="V43" s="167">
        <v>41897</v>
      </c>
      <c r="W43" s="167">
        <v>41897</v>
      </c>
      <c r="X43" s="164" t="s">
        <v>387</v>
      </c>
      <c r="Y43" s="164" t="s">
        <v>440</v>
      </c>
      <c r="Z43" s="164" t="s">
        <v>163</v>
      </c>
      <c r="AA43" s="168" t="s">
        <v>184</v>
      </c>
      <c r="AB43" s="168" t="s">
        <v>193</v>
      </c>
      <c r="AC43" s="168" t="s">
        <v>162</v>
      </c>
      <c r="AD43" s="168" t="s">
        <v>163</v>
      </c>
      <c r="AE43" s="168" t="s">
        <v>163</v>
      </c>
      <c r="AF43" s="168" t="s">
        <v>163</v>
      </c>
      <c r="AG43" s="168" t="s">
        <v>182</v>
      </c>
      <c r="AH43" s="168" t="str">
        <f t="shared" si="0"/>
        <v>Refrigerator-Top Freezer-Automatic-No-No-No-Yes</v>
      </c>
      <c r="AI43" s="168" t="s">
        <v>223</v>
      </c>
      <c r="AJ43" s="168">
        <v>8.07</v>
      </c>
      <c r="AK43" s="169">
        <v>317.7</v>
      </c>
      <c r="AL43" s="169">
        <f t="shared" si="1"/>
        <v>513.80099999999993</v>
      </c>
      <c r="AM43" s="168">
        <f t="shared" si="2"/>
        <v>514</v>
      </c>
      <c r="AN43" s="168">
        <f t="shared" si="3"/>
        <v>462</v>
      </c>
      <c r="AO43" s="164" t="str">
        <f t="shared" si="4"/>
        <v>Yes</v>
      </c>
      <c r="AP43" s="164">
        <f t="shared" si="5"/>
        <v>52</v>
      </c>
    </row>
    <row r="44" spans="2:42">
      <c r="B44" s="164">
        <v>2210445</v>
      </c>
      <c r="C44" s="164" t="s">
        <v>169</v>
      </c>
      <c r="D44" s="164" t="s">
        <v>441</v>
      </c>
      <c r="E44" s="164"/>
      <c r="F44" s="164" t="s">
        <v>194</v>
      </c>
      <c r="G44" s="164" t="s">
        <v>188</v>
      </c>
      <c r="H44" s="164" t="s">
        <v>182</v>
      </c>
      <c r="I44" s="164" t="s">
        <v>163</v>
      </c>
      <c r="J44" s="164" t="s">
        <v>163</v>
      </c>
      <c r="K44" s="164" t="s">
        <v>163</v>
      </c>
      <c r="L44" s="164" t="s">
        <v>163</v>
      </c>
      <c r="M44" s="164">
        <v>24.8</v>
      </c>
      <c r="N44" s="164">
        <v>17.5</v>
      </c>
      <c r="O44" s="165">
        <v>2.4</v>
      </c>
      <c r="P44" s="165">
        <v>2.4</v>
      </c>
      <c r="Q44" s="164">
        <v>213</v>
      </c>
      <c r="R44" s="164">
        <v>274</v>
      </c>
      <c r="S44" s="166">
        <v>0.22</v>
      </c>
      <c r="T44" s="164" t="s">
        <v>163</v>
      </c>
      <c r="U44" s="164"/>
      <c r="V44" s="167">
        <v>41730</v>
      </c>
      <c r="W44" s="167">
        <v>41729</v>
      </c>
      <c r="X44" s="164" t="s">
        <v>387</v>
      </c>
      <c r="Y44" s="164" t="s">
        <v>442</v>
      </c>
      <c r="Z44" s="164" t="s">
        <v>163</v>
      </c>
      <c r="AA44" s="168" t="s">
        <v>184</v>
      </c>
      <c r="AB44" s="168" t="s">
        <v>194</v>
      </c>
      <c r="AC44" s="168" t="s">
        <v>188</v>
      </c>
      <c r="AD44" s="168" t="s">
        <v>182</v>
      </c>
      <c r="AE44" s="168" t="s">
        <v>163</v>
      </c>
      <c r="AF44" s="168" t="s">
        <v>163</v>
      </c>
      <c r="AG44" s="168" t="s">
        <v>163</v>
      </c>
      <c r="AH44" s="168" t="str">
        <f t="shared" si="0"/>
        <v>Refrigerator-Compact-Manual-Yes-No-No-No</v>
      </c>
      <c r="AI44" s="168" t="s">
        <v>315</v>
      </c>
      <c r="AJ44" s="168">
        <v>7.84</v>
      </c>
      <c r="AK44" s="169">
        <v>219.1</v>
      </c>
      <c r="AL44" s="169">
        <f t="shared" si="1"/>
        <v>237.916</v>
      </c>
      <c r="AM44" s="168">
        <f t="shared" si="2"/>
        <v>274</v>
      </c>
      <c r="AN44" s="168">
        <f t="shared" si="3"/>
        <v>213</v>
      </c>
      <c r="AO44" s="164" t="str">
        <f t="shared" si="4"/>
        <v>Yes</v>
      </c>
      <c r="AP44" s="164">
        <f t="shared" si="5"/>
        <v>61</v>
      </c>
    </row>
    <row r="45" spans="2:42">
      <c r="B45" s="164">
        <v>2210446</v>
      </c>
      <c r="C45" s="164" t="s">
        <v>169</v>
      </c>
      <c r="D45" s="164" t="s">
        <v>443</v>
      </c>
      <c r="E45" s="164"/>
      <c r="F45" s="164" t="s">
        <v>194</v>
      </c>
      <c r="G45" s="164" t="s">
        <v>188</v>
      </c>
      <c r="H45" s="164" t="s">
        <v>182</v>
      </c>
      <c r="I45" s="164" t="s">
        <v>163</v>
      </c>
      <c r="J45" s="164" t="s">
        <v>163</v>
      </c>
      <c r="K45" s="164" t="s">
        <v>163</v>
      </c>
      <c r="L45" s="164" t="s">
        <v>163</v>
      </c>
      <c r="M45" s="164">
        <v>33.9</v>
      </c>
      <c r="N45" s="164">
        <v>18.600000000000001</v>
      </c>
      <c r="O45" s="165">
        <v>3.3</v>
      </c>
      <c r="P45" s="165">
        <v>3.3</v>
      </c>
      <c r="Q45" s="164">
        <v>220</v>
      </c>
      <c r="R45" s="164">
        <v>282</v>
      </c>
      <c r="S45" s="166">
        <v>0.22</v>
      </c>
      <c r="T45" s="164" t="s">
        <v>163</v>
      </c>
      <c r="U45" s="164"/>
      <c r="V45" s="167">
        <v>41730</v>
      </c>
      <c r="W45" s="167">
        <v>41729</v>
      </c>
      <c r="X45" s="164" t="s">
        <v>387</v>
      </c>
      <c r="Y45" s="164" t="s">
        <v>444</v>
      </c>
      <c r="Z45" s="164" t="s">
        <v>163</v>
      </c>
      <c r="AA45" s="168" t="s">
        <v>184</v>
      </c>
      <c r="AB45" s="168" t="s">
        <v>194</v>
      </c>
      <c r="AC45" s="168" t="s">
        <v>188</v>
      </c>
      <c r="AD45" s="168" t="s">
        <v>182</v>
      </c>
      <c r="AE45" s="168" t="s">
        <v>163</v>
      </c>
      <c r="AF45" s="168" t="s">
        <v>163</v>
      </c>
      <c r="AG45" s="168" t="s">
        <v>163</v>
      </c>
      <c r="AH45" s="168" t="str">
        <f t="shared" si="0"/>
        <v>Refrigerator-Compact-Manual-Yes-No-No-No</v>
      </c>
      <c r="AI45" s="168" t="s">
        <v>315</v>
      </c>
      <c r="AJ45" s="168">
        <v>7.84</v>
      </c>
      <c r="AK45" s="169">
        <v>219.1</v>
      </c>
      <c r="AL45" s="169">
        <f t="shared" si="1"/>
        <v>244.97199999999998</v>
      </c>
      <c r="AM45" s="168">
        <f t="shared" si="2"/>
        <v>282</v>
      </c>
      <c r="AN45" s="168">
        <f t="shared" si="3"/>
        <v>220</v>
      </c>
      <c r="AO45" s="164" t="str">
        <f t="shared" si="4"/>
        <v>Yes</v>
      </c>
      <c r="AP45" s="164">
        <f t="shared" si="5"/>
        <v>62</v>
      </c>
    </row>
    <row r="46" spans="2:42">
      <c r="B46" s="164">
        <v>2210447</v>
      </c>
      <c r="C46" s="164" t="s">
        <v>169</v>
      </c>
      <c r="D46" s="164" t="s">
        <v>445</v>
      </c>
      <c r="E46" s="164"/>
      <c r="F46" s="164" t="s">
        <v>194</v>
      </c>
      <c r="G46" s="164" t="s">
        <v>188</v>
      </c>
      <c r="H46" s="164" t="s">
        <v>182</v>
      </c>
      <c r="I46" s="164" t="s">
        <v>163</v>
      </c>
      <c r="J46" s="164" t="s">
        <v>163</v>
      </c>
      <c r="K46" s="164" t="s">
        <v>163</v>
      </c>
      <c r="L46" s="164" t="s">
        <v>163</v>
      </c>
      <c r="M46" s="164">
        <v>33.799999999999997</v>
      </c>
      <c r="N46" s="164">
        <v>23</v>
      </c>
      <c r="O46" s="165">
        <v>4.5</v>
      </c>
      <c r="P46" s="165">
        <v>4.8</v>
      </c>
      <c r="Q46" s="164">
        <v>265</v>
      </c>
      <c r="R46" s="164">
        <v>296</v>
      </c>
      <c r="S46" s="166">
        <v>0.1</v>
      </c>
      <c r="T46" s="164" t="s">
        <v>163</v>
      </c>
      <c r="U46" s="164"/>
      <c r="V46" s="167">
        <v>41730</v>
      </c>
      <c r="W46" s="167">
        <v>41729</v>
      </c>
      <c r="X46" s="164" t="s">
        <v>387</v>
      </c>
      <c r="Y46" s="164" t="s">
        <v>446</v>
      </c>
      <c r="Z46" s="164" t="s">
        <v>163</v>
      </c>
      <c r="AA46" s="168" t="s">
        <v>184</v>
      </c>
      <c r="AB46" s="168" t="s">
        <v>194</v>
      </c>
      <c r="AC46" s="168" t="s">
        <v>188</v>
      </c>
      <c r="AD46" s="168" t="s">
        <v>182</v>
      </c>
      <c r="AE46" s="168" t="s">
        <v>163</v>
      </c>
      <c r="AF46" s="168" t="s">
        <v>163</v>
      </c>
      <c r="AG46" s="168" t="s">
        <v>163</v>
      </c>
      <c r="AH46" s="168" t="str">
        <f t="shared" si="0"/>
        <v>Refrigerator-Compact-Manual-Yes-No-No-No</v>
      </c>
      <c r="AI46" s="168" t="s">
        <v>315</v>
      </c>
      <c r="AJ46" s="168">
        <v>7.84</v>
      </c>
      <c r="AK46" s="169">
        <v>219.1</v>
      </c>
      <c r="AL46" s="169">
        <f t="shared" si="1"/>
        <v>256.73199999999997</v>
      </c>
      <c r="AM46" s="168">
        <f t="shared" si="2"/>
        <v>296</v>
      </c>
      <c r="AN46" s="168">
        <f t="shared" si="3"/>
        <v>265</v>
      </c>
      <c r="AO46" s="164" t="str">
        <f t="shared" si="4"/>
        <v>Yes</v>
      </c>
      <c r="AP46" s="164">
        <f t="shared" si="5"/>
        <v>31</v>
      </c>
    </row>
    <row r="47" spans="2:42">
      <c r="B47" s="164">
        <v>2210448</v>
      </c>
      <c r="C47" s="164" t="s">
        <v>169</v>
      </c>
      <c r="D47" s="164" t="s">
        <v>447</v>
      </c>
      <c r="E47" s="164"/>
      <c r="F47" s="164" t="s">
        <v>194</v>
      </c>
      <c r="G47" s="164" t="s">
        <v>188</v>
      </c>
      <c r="H47" s="164" t="s">
        <v>182</v>
      </c>
      <c r="I47" s="164" t="s">
        <v>163</v>
      </c>
      <c r="J47" s="164" t="s">
        <v>163</v>
      </c>
      <c r="K47" s="164" t="s">
        <v>163</v>
      </c>
      <c r="L47" s="164" t="s">
        <v>163</v>
      </c>
      <c r="M47" s="164">
        <v>33.799999999999997</v>
      </c>
      <c r="N47" s="164">
        <v>23</v>
      </c>
      <c r="O47" s="165">
        <v>4.5</v>
      </c>
      <c r="P47" s="165">
        <v>4.8</v>
      </c>
      <c r="Q47" s="164">
        <v>265</v>
      </c>
      <c r="R47" s="164">
        <v>296</v>
      </c>
      <c r="S47" s="166">
        <v>0.1</v>
      </c>
      <c r="T47" s="164" t="s">
        <v>163</v>
      </c>
      <c r="U47" s="164"/>
      <c r="V47" s="167">
        <v>41730</v>
      </c>
      <c r="W47" s="167">
        <v>41729</v>
      </c>
      <c r="X47" s="164" t="s">
        <v>387</v>
      </c>
      <c r="Y47" s="164" t="s">
        <v>448</v>
      </c>
      <c r="Z47" s="164" t="s">
        <v>163</v>
      </c>
      <c r="AA47" s="168" t="s">
        <v>184</v>
      </c>
      <c r="AB47" s="168" t="s">
        <v>194</v>
      </c>
      <c r="AC47" s="168" t="s">
        <v>188</v>
      </c>
      <c r="AD47" s="168" t="s">
        <v>182</v>
      </c>
      <c r="AE47" s="168" t="s">
        <v>163</v>
      </c>
      <c r="AF47" s="168" t="s">
        <v>163</v>
      </c>
      <c r="AG47" s="168" t="s">
        <v>163</v>
      </c>
      <c r="AH47" s="168" t="str">
        <f t="shared" si="0"/>
        <v>Refrigerator-Compact-Manual-Yes-No-No-No</v>
      </c>
      <c r="AI47" s="168" t="s">
        <v>315</v>
      </c>
      <c r="AJ47" s="168">
        <v>7.84</v>
      </c>
      <c r="AK47" s="169">
        <v>219.1</v>
      </c>
      <c r="AL47" s="169">
        <f t="shared" si="1"/>
        <v>256.73199999999997</v>
      </c>
      <c r="AM47" s="168">
        <f t="shared" si="2"/>
        <v>296</v>
      </c>
      <c r="AN47" s="168">
        <f t="shared" si="3"/>
        <v>265</v>
      </c>
      <c r="AO47" s="164" t="str">
        <f t="shared" si="4"/>
        <v>Yes</v>
      </c>
      <c r="AP47" s="164">
        <f t="shared" si="5"/>
        <v>31</v>
      </c>
    </row>
    <row r="48" spans="2:42">
      <c r="B48" s="164">
        <v>2210449</v>
      </c>
      <c r="C48" s="164" t="s">
        <v>169</v>
      </c>
      <c r="D48" s="164" t="s">
        <v>449</v>
      </c>
      <c r="E48" s="164"/>
      <c r="F48" s="164" t="s">
        <v>194</v>
      </c>
      <c r="G48" s="164" t="s">
        <v>188</v>
      </c>
      <c r="H48" s="164" t="s">
        <v>182</v>
      </c>
      <c r="I48" s="164" t="s">
        <v>163</v>
      </c>
      <c r="J48" s="164" t="s">
        <v>163</v>
      </c>
      <c r="K48" s="164" t="s">
        <v>163</v>
      </c>
      <c r="L48" s="164" t="s">
        <v>163</v>
      </c>
      <c r="M48" s="164">
        <v>33.799999999999997</v>
      </c>
      <c r="N48" s="164">
        <v>23</v>
      </c>
      <c r="O48" s="165">
        <v>4.5</v>
      </c>
      <c r="P48" s="165">
        <v>4.8</v>
      </c>
      <c r="Q48" s="164">
        <v>265</v>
      </c>
      <c r="R48" s="164">
        <v>296</v>
      </c>
      <c r="S48" s="166">
        <v>0.1</v>
      </c>
      <c r="T48" s="164" t="s">
        <v>163</v>
      </c>
      <c r="U48" s="164"/>
      <c r="V48" s="167">
        <v>41730</v>
      </c>
      <c r="W48" s="167">
        <v>41729</v>
      </c>
      <c r="X48" s="164" t="s">
        <v>387</v>
      </c>
      <c r="Y48" s="164" t="s">
        <v>450</v>
      </c>
      <c r="Z48" s="164" t="s">
        <v>163</v>
      </c>
      <c r="AA48" s="168" t="s">
        <v>184</v>
      </c>
      <c r="AB48" s="168" t="s">
        <v>194</v>
      </c>
      <c r="AC48" s="168" t="s">
        <v>188</v>
      </c>
      <c r="AD48" s="168" t="s">
        <v>182</v>
      </c>
      <c r="AE48" s="168" t="s">
        <v>163</v>
      </c>
      <c r="AF48" s="168" t="s">
        <v>163</v>
      </c>
      <c r="AG48" s="168" t="s">
        <v>163</v>
      </c>
      <c r="AH48" s="168" t="str">
        <f t="shared" si="0"/>
        <v>Refrigerator-Compact-Manual-Yes-No-No-No</v>
      </c>
      <c r="AI48" s="168" t="s">
        <v>315</v>
      </c>
      <c r="AJ48" s="168">
        <v>7.84</v>
      </c>
      <c r="AK48" s="169">
        <v>219.1</v>
      </c>
      <c r="AL48" s="169">
        <f t="shared" si="1"/>
        <v>256.73199999999997</v>
      </c>
      <c r="AM48" s="168">
        <f t="shared" si="2"/>
        <v>296</v>
      </c>
      <c r="AN48" s="168">
        <f t="shared" si="3"/>
        <v>265</v>
      </c>
      <c r="AO48" s="164" t="str">
        <f t="shared" si="4"/>
        <v>Yes</v>
      </c>
      <c r="AP48" s="164">
        <f t="shared" si="5"/>
        <v>31</v>
      </c>
    </row>
    <row r="49" spans="2:42">
      <c r="B49" s="164">
        <v>2210442</v>
      </c>
      <c r="C49" s="164" t="s">
        <v>169</v>
      </c>
      <c r="D49" s="164" t="s">
        <v>451</v>
      </c>
      <c r="E49" s="164"/>
      <c r="F49" s="164" t="s">
        <v>194</v>
      </c>
      <c r="G49" s="164" t="s">
        <v>188</v>
      </c>
      <c r="H49" s="164" t="s">
        <v>182</v>
      </c>
      <c r="I49" s="164" t="s">
        <v>163</v>
      </c>
      <c r="J49" s="164" t="s">
        <v>163</v>
      </c>
      <c r="K49" s="164" t="s">
        <v>163</v>
      </c>
      <c r="L49" s="164" t="s">
        <v>163</v>
      </c>
      <c r="M49" s="164">
        <v>33.799999999999997</v>
      </c>
      <c r="N49" s="164">
        <v>23</v>
      </c>
      <c r="O49" s="165">
        <v>4.5</v>
      </c>
      <c r="P49" s="165">
        <v>4.8</v>
      </c>
      <c r="Q49" s="164">
        <v>265</v>
      </c>
      <c r="R49" s="164">
        <v>296</v>
      </c>
      <c r="S49" s="166">
        <v>0.1</v>
      </c>
      <c r="T49" s="164" t="s">
        <v>163</v>
      </c>
      <c r="U49" s="164"/>
      <c r="V49" s="167">
        <v>41730</v>
      </c>
      <c r="W49" s="167">
        <v>41729</v>
      </c>
      <c r="X49" s="164" t="s">
        <v>387</v>
      </c>
      <c r="Y49" s="164" t="s">
        <v>452</v>
      </c>
      <c r="Z49" s="164" t="s">
        <v>163</v>
      </c>
      <c r="AA49" s="168" t="s">
        <v>184</v>
      </c>
      <c r="AB49" s="168" t="s">
        <v>194</v>
      </c>
      <c r="AC49" s="168" t="s">
        <v>188</v>
      </c>
      <c r="AD49" s="168" t="s">
        <v>182</v>
      </c>
      <c r="AE49" s="168" t="s">
        <v>163</v>
      </c>
      <c r="AF49" s="168" t="s">
        <v>163</v>
      </c>
      <c r="AG49" s="168" t="s">
        <v>163</v>
      </c>
      <c r="AH49" s="168" t="str">
        <f t="shared" si="0"/>
        <v>Refrigerator-Compact-Manual-Yes-No-No-No</v>
      </c>
      <c r="AI49" s="168" t="s">
        <v>315</v>
      </c>
      <c r="AJ49" s="168">
        <v>7.84</v>
      </c>
      <c r="AK49" s="169">
        <v>219.1</v>
      </c>
      <c r="AL49" s="169">
        <f t="shared" si="1"/>
        <v>256.73199999999997</v>
      </c>
      <c r="AM49" s="168">
        <f t="shared" si="2"/>
        <v>296</v>
      </c>
      <c r="AN49" s="168">
        <f t="shared" si="3"/>
        <v>265</v>
      </c>
      <c r="AO49" s="164" t="str">
        <f t="shared" si="4"/>
        <v>Yes</v>
      </c>
      <c r="AP49" s="164">
        <f t="shared" si="5"/>
        <v>31</v>
      </c>
    </row>
    <row r="50" spans="2:42">
      <c r="B50" s="164">
        <v>2210443</v>
      </c>
      <c r="C50" s="164" t="s">
        <v>169</v>
      </c>
      <c r="D50" s="164" t="s">
        <v>453</v>
      </c>
      <c r="E50" s="164"/>
      <c r="F50" s="164" t="s">
        <v>194</v>
      </c>
      <c r="G50" s="164" t="s">
        <v>188</v>
      </c>
      <c r="H50" s="164" t="s">
        <v>182</v>
      </c>
      <c r="I50" s="164" t="s">
        <v>163</v>
      </c>
      <c r="J50" s="164" t="s">
        <v>163</v>
      </c>
      <c r="K50" s="164" t="s">
        <v>163</v>
      </c>
      <c r="L50" s="164" t="s">
        <v>163</v>
      </c>
      <c r="M50" s="164">
        <v>33.799999999999997</v>
      </c>
      <c r="N50" s="164">
        <v>23</v>
      </c>
      <c r="O50" s="165">
        <v>4.5</v>
      </c>
      <c r="P50" s="165">
        <v>4.8</v>
      </c>
      <c r="Q50" s="164">
        <v>265</v>
      </c>
      <c r="R50" s="164">
        <v>296</v>
      </c>
      <c r="S50" s="166">
        <v>0.1</v>
      </c>
      <c r="T50" s="164" t="s">
        <v>163</v>
      </c>
      <c r="U50" s="164"/>
      <c r="V50" s="167">
        <v>41730</v>
      </c>
      <c r="W50" s="167">
        <v>41729</v>
      </c>
      <c r="X50" s="164" t="s">
        <v>387</v>
      </c>
      <c r="Y50" s="164" t="s">
        <v>454</v>
      </c>
      <c r="Z50" s="164" t="s">
        <v>163</v>
      </c>
      <c r="AA50" s="168" t="s">
        <v>184</v>
      </c>
      <c r="AB50" s="168" t="s">
        <v>194</v>
      </c>
      <c r="AC50" s="168" t="s">
        <v>188</v>
      </c>
      <c r="AD50" s="168" t="s">
        <v>182</v>
      </c>
      <c r="AE50" s="168" t="s">
        <v>163</v>
      </c>
      <c r="AF50" s="168" t="s">
        <v>163</v>
      </c>
      <c r="AG50" s="168" t="s">
        <v>163</v>
      </c>
      <c r="AH50" s="168" t="str">
        <f t="shared" si="0"/>
        <v>Refrigerator-Compact-Manual-Yes-No-No-No</v>
      </c>
      <c r="AI50" s="168" t="s">
        <v>315</v>
      </c>
      <c r="AJ50" s="168">
        <v>7.84</v>
      </c>
      <c r="AK50" s="169">
        <v>219.1</v>
      </c>
      <c r="AL50" s="169">
        <f t="shared" si="1"/>
        <v>256.73199999999997</v>
      </c>
      <c r="AM50" s="168">
        <f t="shared" si="2"/>
        <v>296</v>
      </c>
      <c r="AN50" s="168">
        <f t="shared" si="3"/>
        <v>265</v>
      </c>
      <c r="AO50" s="164" t="str">
        <f t="shared" si="4"/>
        <v>Yes</v>
      </c>
      <c r="AP50" s="164">
        <f t="shared" si="5"/>
        <v>31</v>
      </c>
    </row>
    <row r="51" spans="2:42">
      <c r="B51" s="164">
        <v>2210450</v>
      </c>
      <c r="C51" s="164" t="s">
        <v>169</v>
      </c>
      <c r="D51" s="164" t="s">
        <v>455</v>
      </c>
      <c r="E51" s="164"/>
      <c r="F51" s="164" t="s">
        <v>194</v>
      </c>
      <c r="G51" s="164" t="s">
        <v>188</v>
      </c>
      <c r="H51" s="164" t="s">
        <v>182</v>
      </c>
      <c r="I51" s="164" t="s">
        <v>163</v>
      </c>
      <c r="J51" s="164" t="s">
        <v>163</v>
      </c>
      <c r="K51" s="164" t="s">
        <v>163</v>
      </c>
      <c r="L51" s="164" t="s">
        <v>163</v>
      </c>
      <c r="M51" s="164">
        <v>33.799999999999997</v>
      </c>
      <c r="N51" s="164">
        <v>23</v>
      </c>
      <c r="O51" s="165">
        <v>4.5</v>
      </c>
      <c r="P51" s="165">
        <v>4.8</v>
      </c>
      <c r="Q51" s="164">
        <v>265</v>
      </c>
      <c r="R51" s="164">
        <v>296</v>
      </c>
      <c r="S51" s="166">
        <v>0.1</v>
      </c>
      <c r="T51" s="164" t="s">
        <v>163</v>
      </c>
      <c r="U51" s="164"/>
      <c r="V51" s="167">
        <v>41730</v>
      </c>
      <c r="W51" s="167">
        <v>41729</v>
      </c>
      <c r="X51" s="164" t="s">
        <v>387</v>
      </c>
      <c r="Y51" s="164" t="s">
        <v>456</v>
      </c>
      <c r="Z51" s="164" t="s">
        <v>163</v>
      </c>
      <c r="AA51" s="168" t="s">
        <v>184</v>
      </c>
      <c r="AB51" s="168" t="s">
        <v>194</v>
      </c>
      <c r="AC51" s="168" t="s">
        <v>188</v>
      </c>
      <c r="AD51" s="168" t="s">
        <v>182</v>
      </c>
      <c r="AE51" s="168" t="s">
        <v>163</v>
      </c>
      <c r="AF51" s="168" t="s">
        <v>163</v>
      </c>
      <c r="AG51" s="168" t="s">
        <v>163</v>
      </c>
      <c r="AH51" s="168" t="str">
        <f t="shared" si="0"/>
        <v>Refrigerator-Compact-Manual-Yes-No-No-No</v>
      </c>
      <c r="AI51" s="168" t="s">
        <v>315</v>
      </c>
      <c r="AJ51" s="168">
        <v>7.84</v>
      </c>
      <c r="AK51" s="169">
        <v>219.1</v>
      </c>
      <c r="AL51" s="169">
        <f t="shared" si="1"/>
        <v>256.73199999999997</v>
      </c>
      <c r="AM51" s="168">
        <f t="shared" si="2"/>
        <v>296</v>
      </c>
      <c r="AN51" s="168">
        <f t="shared" si="3"/>
        <v>265</v>
      </c>
      <c r="AO51" s="164" t="str">
        <f t="shared" si="4"/>
        <v>Yes</v>
      </c>
      <c r="AP51" s="164">
        <f t="shared" si="5"/>
        <v>31</v>
      </c>
    </row>
    <row r="52" spans="2:42">
      <c r="B52" s="164">
        <v>2210452</v>
      </c>
      <c r="C52" s="164" t="s">
        <v>169</v>
      </c>
      <c r="D52" s="164" t="s">
        <v>457</v>
      </c>
      <c r="E52" s="164"/>
      <c r="F52" s="164" t="s">
        <v>194</v>
      </c>
      <c r="G52" s="164" t="s">
        <v>162</v>
      </c>
      <c r="H52" s="164" t="s">
        <v>182</v>
      </c>
      <c r="I52" s="164" t="s">
        <v>163</v>
      </c>
      <c r="J52" s="164" t="s">
        <v>163</v>
      </c>
      <c r="K52" s="164" t="s">
        <v>163</v>
      </c>
      <c r="L52" s="164" t="s">
        <v>163</v>
      </c>
      <c r="M52" s="164">
        <v>33</v>
      </c>
      <c r="N52" s="164">
        <v>18.5</v>
      </c>
      <c r="O52" s="165">
        <v>3.1</v>
      </c>
      <c r="P52" s="165">
        <v>3.8</v>
      </c>
      <c r="Q52" s="164">
        <v>270</v>
      </c>
      <c r="R52" s="164">
        <v>358</v>
      </c>
      <c r="S52" s="166">
        <v>0.25</v>
      </c>
      <c r="T52" s="164" t="s">
        <v>163</v>
      </c>
      <c r="U52" s="164"/>
      <c r="V52" s="167">
        <v>41730</v>
      </c>
      <c r="W52" s="167">
        <v>41729</v>
      </c>
      <c r="X52" s="164" t="s">
        <v>387</v>
      </c>
      <c r="Y52" s="164" t="s">
        <v>458</v>
      </c>
      <c r="Z52" s="164" t="s">
        <v>163</v>
      </c>
      <c r="AA52" s="168" t="s">
        <v>184</v>
      </c>
      <c r="AB52" s="168" t="s">
        <v>194</v>
      </c>
      <c r="AC52" s="168" t="s">
        <v>162</v>
      </c>
      <c r="AD52" s="168" t="s">
        <v>182</v>
      </c>
      <c r="AE52" s="168" t="s">
        <v>163</v>
      </c>
      <c r="AF52" s="168" t="s">
        <v>163</v>
      </c>
      <c r="AG52" s="168" t="s">
        <v>163</v>
      </c>
      <c r="AH52" s="168" t="str">
        <f t="shared" si="0"/>
        <v>Refrigerator-Compact-Automatic-Yes-No-No-No</v>
      </c>
      <c r="AI52" s="168" t="s">
        <v>329</v>
      </c>
      <c r="AJ52" s="168">
        <v>9.17</v>
      </c>
      <c r="AK52" s="169">
        <v>259.3</v>
      </c>
      <c r="AL52" s="169">
        <f t="shared" si="1"/>
        <v>294.14600000000002</v>
      </c>
      <c r="AM52" s="168">
        <f t="shared" si="2"/>
        <v>358</v>
      </c>
      <c r="AN52" s="168">
        <f t="shared" si="3"/>
        <v>270</v>
      </c>
      <c r="AO52" s="164" t="str">
        <f t="shared" si="4"/>
        <v>Yes</v>
      </c>
      <c r="AP52" s="164">
        <f t="shared" si="5"/>
        <v>88</v>
      </c>
    </row>
    <row r="53" spans="2:42">
      <c r="B53" s="164">
        <v>2210453</v>
      </c>
      <c r="C53" s="164" t="s">
        <v>169</v>
      </c>
      <c r="D53" s="164" t="s">
        <v>459</v>
      </c>
      <c r="E53" s="164"/>
      <c r="F53" s="164" t="s">
        <v>194</v>
      </c>
      <c r="G53" s="164" t="s">
        <v>162</v>
      </c>
      <c r="H53" s="164" t="s">
        <v>182</v>
      </c>
      <c r="I53" s="164" t="s">
        <v>163</v>
      </c>
      <c r="J53" s="164" t="s">
        <v>163</v>
      </c>
      <c r="K53" s="164" t="s">
        <v>163</v>
      </c>
      <c r="L53" s="164" t="s">
        <v>163</v>
      </c>
      <c r="M53" s="164">
        <v>33</v>
      </c>
      <c r="N53" s="164">
        <v>18.5</v>
      </c>
      <c r="O53" s="165">
        <v>3.1</v>
      </c>
      <c r="P53" s="165">
        <v>3.8</v>
      </c>
      <c r="Q53" s="164">
        <v>270</v>
      </c>
      <c r="R53" s="164">
        <v>358</v>
      </c>
      <c r="S53" s="166">
        <v>0.25</v>
      </c>
      <c r="T53" s="164" t="s">
        <v>163</v>
      </c>
      <c r="U53" s="164"/>
      <c r="V53" s="167">
        <v>41730</v>
      </c>
      <c r="W53" s="167">
        <v>41729</v>
      </c>
      <c r="X53" s="164" t="s">
        <v>387</v>
      </c>
      <c r="Y53" s="164" t="s">
        <v>460</v>
      </c>
      <c r="Z53" s="164" t="s">
        <v>163</v>
      </c>
      <c r="AA53" s="168" t="s">
        <v>184</v>
      </c>
      <c r="AB53" s="168" t="s">
        <v>194</v>
      </c>
      <c r="AC53" s="168" t="s">
        <v>162</v>
      </c>
      <c r="AD53" s="168" t="s">
        <v>182</v>
      </c>
      <c r="AE53" s="168" t="s">
        <v>163</v>
      </c>
      <c r="AF53" s="168" t="s">
        <v>163</v>
      </c>
      <c r="AG53" s="168" t="s">
        <v>163</v>
      </c>
      <c r="AH53" s="168" t="str">
        <f t="shared" si="0"/>
        <v>Refrigerator-Compact-Automatic-Yes-No-No-No</v>
      </c>
      <c r="AI53" s="168" t="s">
        <v>329</v>
      </c>
      <c r="AJ53" s="168">
        <v>9.17</v>
      </c>
      <c r="AK53" s="169">
        <v>259.3</v>
      </c>
      <c r="AL53" s="169">
        <f t="shared" si="1"/>
        <v>294.14600000000002</v>
      </c>
      <c r="AM53" s="168">
        <f t="shared" si="2"/>
        <v>358</v>
      </c>
      <c r="AN53" s="168">
        <f t="shared" si="3"/>
        <v>270</v>
      </c>
      <c r="AO53" s="164" t="str">
        <f t="shared" si="4"/>
        <v>Yes</v>
      </c>
      <c r="AP53" s="164">
        <f t="shared" si="5"/>
        <v>88</v>
      </c>
    </row>
    <row r="54" spans="2:42">
      <c r="B54" s="164">
        <v>2210444</v>
      </c>
      <c r="C54" s="164" t="s">
        <v>169</v>
      </c>
      <c r="D54" s="164" t="s">
        <v>461</v>
      </c>
      <c r="E54" s="164"/>
      <c r="F54" s="164" t="s">
        <v>194</v>
      </c>
      <c r="G54" s="164" t="s">
        <v>162</v>
      </c>
      <c r="H54" s="164" t="s">
        <v>182</v>
      </c>
      <c r="I54" s="164" t="s">
        <v>163</v>
      </c>
      <c r="J54" s="164" t="s">
        <v>163</v>
      </c>
      <c r="K54" s="164" t="s">
        <v>163</v>
      </c>
      <c r="L54" s="164" t="s">
        <v>163</v>
      </c>
      <c r="M54" s="164">
        <v>33</v>
      </c>
      <c r="N54" s="164">
        <v>18.5</v>
      </c>
      <c r="O54" s="165">
        <v>3.1</v>
      </c>
      <c r="P54" s="165">
        <v>3.8</v>
      </c>
      <c r="Q54" s="164">
        <v>270</v>
      </c>
      <c r="R54" s="164">
        <v>358</v>
      </c>
      <c r="S54" s="166">
        <v>0.25</v>
      </c>
      <c r="T54" s="164" t="s">
        <v>163</v>
      </c>
      <c r="U54" s="164"/>
      <c r="V54" s="167">
        <v>41730</v>
      </c>
      <c r="W54" s="167">
        <v>41729</v>
      </c>
      <c r="X54" s="164" t="s">
        <v>387</v>
      </c>
      <c r="Y54" s="164" t="s">
        <v>462</v>
      </c>
      <c r="Z54" s="164" t="s">
        <v>163</v>
      </c>
      <c r="AA54" s="168" t="s">
        <v>184</v>
      </c>
      <c r="AB54" s="168" t="s">
        <v>194</v>
      </c>
      <c r="AC54" s="168" t="s">
        <v>162</v>
      </c>
      <c r="AD54" s="168" t="s">
        <v>182</v>
      </c>
      <c r="AE54" s="168" t="s">
        <v>163</v>
      </c>
      <c r="AF54" s="168" t="s">
        <v>163</v>
      </c>
      <c r="AG54" s="168" t="s">
        <v>163</v>
      </c>
      <c r="AH54" s="168" t="str">
        <f t="shared" si="0"/>
        <v>Refrigerator-Compact-Automatic-Yes-No-No-No</v>
      </c>
      <c r="AI54" s="168" t="s">
        <v>329</v>
      </c>
      <c r="AJ54" s="168">
        <v>9.17</v>
      </c>
      <c r="AK54" s="169">
        <v>259.3</v>
      </c>
      <c r="AL54" s="169">
        <f t="shared" si="1"/>
        <v>294.14600000000002</v>
      </c>
      <c r="AM54" s="168">
        <f t="shared" si="2"/>
        <v>358</v>
      </c>
      <c r="AN54" s="168">
        <f t="shared" si="3"/>
        <v>270</v>
      </c>
      <c r="AO54" s="164" t="str">
        <f t="shared" si="4"/>
        <v>Yes</v>
      </c>
      <c r="AP54" s="164">
        <f t="shared" si="5"/>
        <v>88</v>
      </c>
    </row>
    <row r="55" spans="2:42">
      <c r="B55" s="164">
        <v>2210451</v>
      </c>
      <c r="C55" s="164" t="s">
        <v>169</v>
      </c>
      <c r="D55" s="164" t="s">
        <v>463</v>
      </c>
      <c r="E55" s="164"/>
      <c r="F55" s="164" t="s">
        <v>194</v>
      </c>
      <c r="G55" s="164" t="s">
        <v>162</v>
      </c>
      <c r="H55" s="164" t="s">
        <v>182</v>
      </c>
      <c r="I55" s="164" t="s">
        <v>163</v>
      </c>
      <c r="J55" s="164" t="s">
        <v>163</v>
      </c>
      <c r="K55" s="164" t="s">
        <v>163</v>
      </c>
      <c r="L55" s="164" t="s">
        <v>163</v>
      </c>
      <c r="M55" s="164">
        <v>33</v>
      </c>
      <c r="N55" s="164">
        <v>18.5</v>
      </c>
      <c r="O55" s="165">
        <v>3.1</v>
      </c>
      <c r="P55" s="165">
        <v>3.8</v>
      </c>
      <c r="Q55" s="164">
        <v>270</v>
      </c>
      <c r="R55" s="164">
        <v>358</v>
      </c>
      <c r="S55" s="166">
        <v>0.25</v>
      </c>
      <c r="T55" s="164" t="s">
        <v>163</v>
      </c>
      <c r="U55" s="164"/>
      <c r="V55" s="167">
        <v>41730</v>
      </c>
      <c r="W55" s="167">
        <v>41729</v>
      </c>
      <c r="X55" s="164" t="s">
        <v>387</v>
      </c>
      <c r="Y55" s="164" t="s">
        <v>464</v>
      </c>
      <c r="Z55" s="164" t="s">
        <v>163</v>
      </c>
      <c r="AA55" s="168" t="s">
        <v>184</v>
      </c>
      <c r="AB55" s="168" t="s">
        <v>194</v>
      </c>
      <c r="AC55" s="168" t="s">
        <v>162</v>
      </c>
      <c r="AD55" s="168" t="s">
        <v>182</v>
      </c>
      <c r="AE55" s="168" t="s">
        <v>163</v>
      </c>
      <c r="AF55" s="168" t="s">
        <v>163</v>
      </c>
      <c r="AG55" s="168" t="s">
        <v>163</v>
      </c>
      <c r="AH55" s="168" t="str">
        <f t="shared" si="0"/>
        <v>Refrigerator-Compact-Automatic-Yes-No-No-No</v>
      </c>
      <c r="AI55" s="168" t="s">
        <v>329</v>
      </c>
      <c r="AJ55" s="168">
        <v>9.17</v>
      </c>
      <c r="AK55" s="169">
        <v>259.3</v>
      </c>
      <c r="AL55" s="169">
        <f t="shared" si="1"/>
        <v>294.14600000000002</v>
      </c>
      <c r="AM55" s="168">
        <f t="shared" si="2"/>
        <v>358</v>
      </c>
      <c r="AN55" s="168">
        <f t="shared" si="3"/>
        <v>270</v>
      </c>
      <c r="AO55" s="164" t="str">
        <f t="shared" si="4"/>
        <v>Yes</v>
      </c>
      <c r="AP55" s="164">
        <f t="shared" si="5"/>
        <v>88</v>
      </c>
    </row>
    <row r="56" spans="2:42">
      <c r="B56" s="164">
        <v>2205537</v>
      </c>
      <c r="C56" s="164" t="s">
        <v>169</v>
      </c>
      <c r="D56" s="164" t="s">
        <v>465</v>
      </c>
      <c r="E56" s="164"/>
      <c r="F56" s="164" t="s">
        <v>194</v>
      </c>
      <c r="G56" s="164" t="s">
        <v>162</v>
      </c>
      <c r="H56" s="164" t="s">
        <v>182</v>
      </c>
      <c r="I56" s="164" t="s">
        <v>163</v>
      </c>
      <c r="J56" s="164" t="s">
        <v>163</v>
      </c>
      <c r="K56" s="164" t="s">
        <v>163</v>
      </c>
      <c r="L56" s="164" t="s">
        <v>163</v>
      </c>
      <c r="M56" s="164">
        <v>43</v>
      </c>
      <c r="N56" s="164">
        <v>21.6</v>
      </c>
      <c r="O56" s="165">
        <v>4.5</v>
      </c>
      <c r="P56" s="165">
        <v>5.4</v>
      </c>
      <c r="Q56" s="164">
        <v>347</v>
      </c>
      <c r="R56" s="164">
        <v>403</v>
      </c>
      <c r="S56" s="166">
        <v>0.14000000000000001</v>
      </c>
      <c r="T56" s="164" t="s">
        <v>163</v>
      </c>
      <c r="U56" s="164"/>
      <c r="V56" s="167">
        <v>41692</v>
      </c>
      <c r="W56" s="167">
        <v>41690</v>
      </c>
      <c r="X56" s="164" t="s">
        <v>387</v>
      </c>
      <c r="Y56" s="164" t="s">
        <v>466</v>
      </c>
      <c r="Z56" s="164" t="s">
        <v>163</v>
      </c>
      <c r="AA56" s="168" t="s">
        <v>184</v>
      </c>
      <c r="AB56" s="168" t="s">
        <v>194</v>
      </c>
      <c r="AC56" s="168" t="s">
        <v>162</v>
      </c>
      <c r="AD56" s="168" t="s">
        <v>182</v>
      </c>
      <c r="AE56" s="168" t="s">
        <v>163</v>
      </c>
      <c r="AF56" s="168" t="s">
        <v>163</v>
      </c>
      <c r="AG56" s="168" t="s">
        <v>163</v>
      </c>
      <c r="AH56" s="168" t="str">
        <f t="shared" si="0"/>
        <v>Refrigerator-Compact-Automatic-Yes-No-No-No</v>
      </c>
      <c r="AI56" s="168" t="s">
        <v>329</v>
      </c>
      <c r="AJ56" s="168">
        <v>9.17</v>
      </c>
      <c r="AK56" s="169">
        <v>259.3</v>
      </c>
      <c r="AL56" s="169">
        <f t="shared" si="1"/>
        <v>308.81799999999998</v>
      </c>
      <c r="AM56" s="168">
        <f t="shared" si="2"/>
        <v>403</v>
      </c>
      <c r="AN56" s="168">
        <f t="shared" si="3"/>
        <v>347</v>
      </c>
      <c r="AO56" s="164" t="str">
        <f t="shared" si="4"/>
        <v>Yes</v>
      </c>
      <c r="AP56" s="164">
        <f t="shared" si="5"/>
        <v>56</v>
      </c>
    </row>
    <row r="57" spans="2:42">
      <c r="B57" s="164">
        <v>2205536</v>
      </c>
      <c r="C57" s="164" t="s">
        <v>169</v>
      </c>
      <c r="D57" s="164" t="s">
        <v>467</v>
      </c>
      <c r="E57" s="164"/>
      <c r="F57" s="164" t="s">
        <v>194</v>
      </c>
      <c r="G57" s="164" t="s">
        <v>162</v>
      </c>
      <c r="H57" s="164" t="s">
        <v>182</v>
      </c>
      <c r="I57" s="164" t="s">
        <v>163</v>
      </c>
      <c r="J57" s="164" t="s">
        <v>163</v>
      </c>
      <c r="K57" s="164" t="s">
        <v>163</v>
      </c>
      <c r="L57" s="164" t="s">
        <v>163</v>
      </c>
      <c r="M57" s="164">
        <v>43</v>
      </c>
      <c r="N57" s="164">
        <v>21.6</v>
      </c>
      <c r="O57" s="165">
        <v>4.5</v>
      </c>
      <c r="P57" s="165">
        <v>5.4</v>
      </c>
      <c r="Q57" s="164">
        <v>347</v>
      </c>
      <c r="R57" s="164">
        <v>403</v>
      </c>
      <c r="S57" s="166">
        <v>0.14000000000000001</v>
      </c>
      <c r="T57" s="164" t="s">
        <v>163</v>
      </c>
      <c r="U57" s="164"/>
      <c r="V57" s="167">
        <v>41692</v>
      </c>
      <c r="W57" s="167">
        <v>41690</v>
      </c>
      <c r="X57" s="164" t="s">
        <v>387</v>
      </c>
      <c r="Y57" s="164" t="s">
        <v>468</v>
      </c>
      <c r="Z57" s="164" t="s">
        <v>163</v>
      </c>
      <c r="AA57" s="168" t="s">
        <v>184</v>
      </c>
      <c r="AB57" s="168" t="s">
        <v>194</v>
      </c>
      <c r="AC57" s="168" t="s">
        <v>162</v>
      </c>
      <c r="AD57" s="168" t="s">
        <v>182</v>
      </c>
      <c r="AE57" s="168" t="s">
        <v>163</v>
      </c>
      <c r="AF57" s="168" t="s">
        <v>163</v>
      </c>
      <c r="AG57" s="168" t="s">
        <v>163</v>
      </c>
      <c r="AH57" s="168" t="str">
        <f t="shared" si="0"/>
        <v>Refrigerator-Compact-Automatic-Yes-No-No-No</v>
      </c>
      <c r="AI57" s="168" t="s">
        <v>329</v>
      </c>
      <c r="AJ57" s="168">
        <v>9.17</v>
      </c>
      <c r="AK57" s="169">
        <v>259.3</v>
      </c>
      <c r="AL57" s="169">
        <f t="shared" si="1"/>
        <v>308.81799999999998</v>
      </c>
      <c r="AM57" s="168">
        <f t="shared" si="2"/>
        <v>403</v>
      </c>
      <c r="AN57" s="168">
        <f t="shared" si="3"/>
        <v>347</v>
      </c>
      <c r="AO57" s="164" t="str">
        <f t="shared" si="4"/>
        <v>Yes</v>
      </c>
      <c r="AP57" s="164">
        <f t="shared" si="5"/>
        <v>56</v>
      </c>
    </row>
    <row r="58" spans="2:42">
      <c r="B58" s="164">
        <v>2205538</v>
      </c>
      <c r="C58" s="164" t="s">
        <v>169</v>
      </c>
      <c r="D58" s="164" t="s">
        <v>469</v>
      </c>
      <c r="E58" s="164"/>
      <c r="F58" s="164" t="s">
        <v>194</v>
      </c>
      <c r="G58" s="164" t="s">
        <v>162</v>
      </c>
      <c r="H58" s="164" t="s">
        <v>182</v>
      </c>
      <c r="I58" s="164" t="s">
        <v>163</v>
      </c>
      <c r="J58" s="164" t="s">
        <v>163</v>
      </c>
      <c r="K58" s="164" t="s">
        <v>163</v>
      </c>
      <c r="L58" s="164" t="s">
        <v>163</v>
      </c>
      <c r="M58" s="164">
        <v>43</v>
      </c>
      <c r="N58" s="164">
        <v>21.6</v>
      </c>
      <c r="O58" s="165">
        <v>4.5</v>
      </c>
      <c r="P58" s="165">
        <v>5.4</v>
      </c>
      <c r="Q58" s="164">
        <v>347</v>
      </c>
      <c r="R58" s="164">
        <v>403</v>
      </c>
      <c r="S58" s="166">
        <v>0.14000000000000001</v>
      </c>
      <c r="T58" s="164" t="s">
        <v>163</v>
      </c>
      <c r="U58" s="164"/>
      <c r="V58" s="167">
        <v>41692</v>
      </c>
      <c r="W58" s="167">
        <v>41690</v>
      </c>
      <c r="X58" s="164" t="s">
        <v>387</v>
      </c>
      <c r="Y58" s="164" t="s">
        <v>470</v>
      </c>
      <c r="Z58" s="164" t="s">
        <v>163</v>
      </c>
      <c r="AA58" s="168" t="s">
        <v>184</v>
      </c>
      <c r="AB58" s="168" t="s">
        <v>194</v>
      </c>
      <c r="AC58" s="168" t="s">
        <v>162</v>
      </c>
      <c r="AD58" s="168" t="s">
        <v>182</v>
      </c>
      <c r="AE58" s="168" t="s">
        <v>163</v>
      </c>
      <c r="AF58" s="168" t="s">
        <v>163</v>
      </c>
      <c r="AG58" s="168" t="s">
        <v>163</v>
      </c>
      <c r="AH58" s="168" t="str">
        <f t="shared" si="0"/>
        <v>Refrigerator-Compact-Automatic-Yes-No-No-No</v>
      </c>
      <c r="AI58" s="168" t="s">
        <v>329</v>
      </c>
      <c r="AJ58" s="168">
        <v>9.17</v>
      </c>
      <c r="AK58" s="169">
        <v>259.3</v>
      </c>
      <c r="AL58" s="169">
        <f t="shared" si="1"/>
        <v>308.81799999999998</v>
      </c>
      <c r="AM58" s="168">
        <f t="shared" si="2"/>
        <v>403</v>
      </c>
      <c r="AN58" s="168">
        <f t="shared" si="3"/>
        <v>347</v>
      </c>
      <c r="AO58" s="164" t="str">
        <f t="shared" si="4"/>
        <v>Yes</v>
      </c>
      <c r="AP58" s="164">
        <f t="shared" si="5"/>
        <v>56</v>
      </c>
    </row>
    <row r="59" spans="2:42">
      <c r="B59" s="164">
        <v>2214702</v>
      </c>
      <c r="C59" s="164" t="s">
        <v>169</v>
      </c>
      <c r="D59" s="164" t="s">
        <v>471</v>
      </c>
      <c r="E59" s="164"/>
      <c r="F59" s="164" t="s">
        <v>192</v>
      </c>
      <c r="G59" s="164" t="s">
        <v>162</v>
      </c>
      <c r="H59" s="164" t="s">
        <v>163</v>
      </c>
      <c r="I59" s="164" t="s">
        <v>163</v>
      </c>
      <c r="J59" s="164" t="s">
        <v>182</v>
      </c>
      <c r="K59" s="164" t="s">
        <v>182</v>
      </c>
      <c r="L59" s="164" t="s">
        <v>163</v>
      </c>
      <c r="M59" s="164">
        <v>69.900000000000006</v>
      </c>
      <c r="N59" s="164">
        <v>35.6</v>
      </c>
      <c r="O59" s="165">
        <v>25.5</v>
      </c>
      <c r="P59" s="165">
        <v>32.4</v>
      </c>
      <c r="Q59" s="164">
        <v>639</v>
      </c>
      <c r="R59" s="164">
        <v>709</v>
      </c>
      <c r="S59" s="166">
        <v>0.1</v>
      </c>
      <c r="T59" s="164" t="s">
        <v>163</v>
      </c>
      <c r="U59" s="164"/>
      <c r="V59" s="167">
        <v>41841</v>
      </c>
      <c r="W59" s="167">
        <v>41827</v>
      </c>
      <c r="X59" s="164" t="s">
        <v>387</v>
      </c>
      <c r="Y59" s="164" t="s">
        <v>472</v>
      </c>
      <c r="Z59" s="164" t="s">
        <v>163</v>
      </c>
      <c r="AA59" s="168" t="s">
        <v>184</v>
      </c>
      <c r="AB59" s="168" t="s">
        <v>192</v>
      </c>
      <c r="AC59" s="168" t="s">
        <v>162</v>
      </c>
      <c r="AD59" s="168" t="s">
        <v>163</v>
      </c>
      <c r="AE59" s="168" t="s">
        <v>163</v>
      </c>
      <c r="AF59" s="168" t="s">
        <v>182</v>
      </c>
      <c r="AG59" s="168" t="s">
        <v>182</v>
      </c>
      <c r="AH59" s="168" t="str">
        <f t="shared" si="0"/>
        <v>Refrigerator-Side-by-Side-Automatic-No-No-Yes-Yes</v>
      </c>
      <c r="AI59" s="168">
        <v>7</v>
      </c>
      <c r="AJ59" s="168">
        <v>8.5399999999999991</v>
      </c>
      <c r="AK59" s="169">
        <v>432.8</v>
      </c>
      <c r="AL59" s="169">
        <f t="shared" si="1"/>
        <v>709.49599999999998</v>
      </c>
      <c r="AM59" s="168">
        <f t="shared" si="2"/>
        <v>709</v>
      </c>
      <c r="AN59" s="168">
        <f t="shared" si="3"/>
        <v>639</v>
      </c>
      <c r="AO59" s="164" t="str">
        <f t="shared" si="4"/>
        <v>Yes</v>
      </c>
      <c r="AP59" s="164">
        <f t="shared" si="5"/>
        <v>70</v>
      </c>
    </row>
    <row r="60" spans="2:42">
      <c r="B60" s="164">
        <v>2211361</v>
      </c>
      <c r="C60" s="164" t="s">
        <v>169</v>
      </c>
      <c r="D60" s="164" t="s">
        <v>473</v>
      </c>
      <c r="E60" s="164"/>
      <c r="F60" s="164" t="s">
        <v>191</v>
      </c>
      <c r="G60" s="164" t="s">
        <v>162</v>
      </c>
      <c r="H60" s="164" t="s">
        <v>163</v>
      </c>
      <c r="I60" s="164" t="s">
        <v>163</v>
      </c>
      <c r="J60" s="164" t="s">
        <v>182</v>
      </c>
      <c r="K60" s="164" t="s">
        <v>182</v>
      </c>
      <c r="L60" s="164" t="s">
        <v>163</v>
      </c>
      <c r="M60" s="164">
        <v>69.900000000000006</v>
      </c>
      <c r="N60" s="164">
        <v>35.6</v>
      </c>
      <c r="O60" s="165">
        <v>27.2</v>
      </c>
      <c r="P60" s="165">
        <v>33.799999999999997</v>
      </c>
      <c r="Q60" s="164">
        <v>709</v>
      </c>
      <c r="R60" s="164">
        <v>788</v>
      </c>
      <c r="S60" s="166">
        <v>0.1</v>
      </c>
      <c r="T60" s="164" t="s">
        <v>163</v>
      </c>
      <c r="U60" s="164"/>
      <c r="V60" s="167">
        <v>41778</v>
      </c>
      <c r="W60" s="167">
        <v>41781</v>
      </c>
      <c r="X60" s="164" t="s">
        <v>387</v>
      </c>
      <c r="Y60" s="164" t="s">
        <v>474</v>
      </c>
      <c r="Z60" s="164" t="s">
        <v>163</v>
      </c>
      <c r="AA60" s="168" t="s">
        <v>184</v>
      </c>
      <c r="AB60" s="168" t="s">
        <v>191</v>
      </c>
      <c r="AC60" s="168" t="s">
        <v>162</v>
      </c>
      <c r="AD60" s="168" t="s">
        <v>163</v>
      </c>
      <c r="AE60" s="168" t="s">
        <v>163</v>
      </c>
      <c r="AF60" s="168" t="s">
        <v>182</v>
      </c>
      <c r="AG60" s="168" t="s">
        <v>182</v>
      </c>
      <c r="AH60" s="168" t="str">
        <f t="shared" si="0"/>
        <v>Refrigerator-Bottom Freezer-Automatic-No-No-Yes-Yes</v>
      </c>
      <c r="AI60" s="168" t="s">
        <v>269</v>
      </c>
      <c r="AJ60" s="168">
        <v>9.25</v>
      </c>
      <c r="AK60" s="169">
        <v>475.4</v>
      </c>
      <c r="AL60" s="169">
        <f t="shared" si="1"/>
        <v>788.05</v>
      </c>
      <c r="AM60" s="168">
        <f t="shared" si="2"/>
        <v>788</v>
      </c>
      <c r="AN60" s="168">
        <f t="shared" si="3"/>
        <v>709</v>
      </c>
      <c r="AO60" s="164" t="str">
        <f t="shared" si="4"/>
        <v>Yes</v>
      </c>
      <c r="AP60" s="164">
        <f t="shared" si="5"/>
        <v>79</v>
      </c>
    </row>
    <row r="61" spans="2:42">
      <c r="B61" s="164">
        <v>2216587</v>
      </c>
      <c r="C61" s="164" t="s">
        <v>169</v>
      </c>
      <c r="D61" s="164" t="s">
        <v>475</v>
      </c>
      <c r="E61" s="164"/>
      <c r="F61" s="164" t="s">
        <v>191</v>
      </c>
      <c r="G61" s="164" t="s">
        <v>162</v>
      </c>
      <c r="H61" s="164" t="s">
        <v>163</v>
      </c>
      <c r="I61" s="164" t="s">
        <v>163</v>
      </c>
      <c r="J61" s="164" t="s">
        <v>182</v>
      </c>
      <c r="K61" s="164" t="s">
        <v>182</v>
      </c>
      <c r="L61" s="164" t="s">
        <v>163</v>
      </c>
      <c r="M61" s="164">
        <v>69.900000000000006</v>
      </c>
      <c r="N61" s="164">
        <v>35.6</v>
      </c>
      <c r="O61" s="165">
        <v>27.2</v>
      </c>
      <c r="P61" s="165">
        <v>33.799999999999997</v>
      </c>
      <c r="Q61" s="164">
        <v>709</v>
      </c>
      <c r="R61" s="164">
        <v>788</v>
      </c>
      <c r="S61" s="166">
        <v>0.1</v>
      </c>
      <c r="T61" s="164" t="s">
        <v>163</v>
      </c>
      <c r="U61" s="164"/>
      <c r="V61" s="167">
        <v>41838</v>
      </c>
      <c r="W61" s="167">
        <v>41837</v>
      </c>
      <c r="X61" s="164" t="s">
        <v>387</v>
      </c>
      <c r="Y61" s="164" t="s">
        <v>476</v>
      </c>
      <c r="Z61" s="164" t="s">
        <v>163</v>
      </c>
      <c r="AA61" s="168" t="s">
        <v>184</v>
      </c>
      <c r="AB61" s="168" t="s">
        <v>191</v>
      </c>
      <c r="AC61" s="168" t="s">
        <v>162</v>
      </c>
      <c r="AD61" s="168" t="s">
        <v>163</v>
      </c>
      <c r="AE61" s="168" t="s">
        <v>163</v>
      </c>
      <c r="AF61" s="168" t="s">
        <v>182</v>
      </c>
      <c r="AG61" s="168" t="s">
        <v>182</v>
      </c>
      <c r="AH61" s="168" t="str">
        <f t="shared" si="0"/>
        <v>Refrigerator-Bottom Freezer-Automatic-No-No-Yes-Yes</v>
      </c>
      <c r="AI61" s="168" t="s">
        <v>269</v>
      </c>
      <c r="AJ61" s="168">
        <v>9.25</v>
      </c>
      <c r="AK61" s="169">
        <v>475.4</v>
      </c>
      <c r="AL61" s="169">
        <f t="shared" si="1"/>
        <v>788.05</v>
      </c>
      <c r="AM61" s="168">
        <f t="shared" si="2"/>
        <v>788</v>
      </c>
      <c r="AN61" s="168">
        <f t="shared" si="3"/>
        <v>709</v>
      </c>
      <c r="AO61" s="164" t="str">
        <f t="shared" si="4"/>
        <v>Yes</v>
      </c>
      <c r="AP61" s="164">
        <f t="shared" si="5"/>
        <v>79</v>
      </c>
    </row>
    <row r="62" spans="2:42">
      <c r="B62" s="164">
        <v>2216767</v>
      </c>
      <c r="C62" s="164" t="s">
        <v>169</v>
      </c>
      <c r="D62" s="164" t="s">
        <v>477</v>
      </c>
      <c r="E62" s="164"/>
      <c r="F62" s="164" t="s">
        <v>191</v>
      </c>
      <c r="G62" s="164" t="s">
        <v>162</v>
      </c>
      <c r="H62" s="164" t="s">
        <v>163</v>
      </c>
      <c r="I62" s="164" t="s">
        <v>163</v>
      </c>
      <c r="J62" s="164" t="s">
        <v>182</v>
      </c>
      <c r="K62" s="164" t="s">
        <v>182</v>
      </c>
      <c r="L62" s="164" t="s">
        <v>182</v>
      </c>
      <c r="M62" s="164">
        <v>69.900000000000006</v>
      </c>
      <c r="N62" s="164">
        <v>35.6</v>
      </c>
      <c r="O62" s="165">
        <v>21.9</v>
      </c>
      <c r="P62" s="165">
        <v>27.1</v>
      </c>
      <c r="Q62" s="164">
        <v>654</v>
      </c>
      <c r="R62" s="164">
        <v>726</v>
      </c>
      <c r="S62" s="166">
        <v>0.1</v>
      </c>
      <c r="T62" s="164" t="s">
        <v>163</v>
      </c>
      <c r="U62" s="164"/>
      <c r="V62" s="167">
        <v>41838</v>
      </c>
      <c r="W62" s="167">
        <v>41849</v>
      </c>
      <c r="X62" s="164" t="s">
        <v>387</v>
      </c>
      <c r="Y62" s="164" t="s">
        <v>478</v>
      </c>
      <c r="Z62" s="164" t="s">
        <v>163</v>
      </c>
      <c r="AA62" s="168" t="s">
        <v>184</v>
      </c>
      <c r="AB62" s="168" t="s">
        <v>191</v>
      </c>
      <c r="AC62" s="168" t="s">
        <v>162</v>
      </c>
      <c r="AD62" s="168" t="s">
        <v>163</v>
      </c>
      <c r="AE62" s="168" t="s">
        <v>163</v>
      </c>
      <c r="AF62" s="168" t="s">
        <v>182</v>
      </c>
      <c r="AG62" s="168" t="s">
        <v>182</v>
      </c>
      <c r="AH62" s="168" t="str">
        <f t="shared" si="0"/>
        <v>Refrigerator-Bottom Freezer-Automatic-No-No-Yes-Yes</v>
      </c>
      <c r="AI62" s="168" t="s">
        <v>269</v>
      </c>
      <c r="AJ62" s="168">
        <v>9.25</v>
      </c>
      <c r="AK62" s="169">
        <v>475.4</v>
      </c>
      <c r="AL62" s="169">
        <f t="shared" si="1"/>
        <v>726.07500000000005</v>
      </c>
      <c r="AM62" s="168">
        <f t="shared" si="2"/>
        <v>726</v>
      </c>
      <c r="AN62" s="168">
        <f t="shared" si="3"/>
        <v>654</v>
      </c>
      <c r="AO62" s="164" t="str">
        <f t="shared" si="4"/>
        <v>Yes</v>
      </c>
      <c r="AP62" s="164">
        <f t="shared" si="5"/>
        <v>72</v>
      </c>
    </row>
    <row r="63" spans="2:42">
      <c r="B63" s="164">
        <v>2216770</v>
      </c>
      <c r="C63" s="164" t="s">
        <v>169</v>
      </c>
      <c r="D63" s="164" t="s">
        <v>479</v>
      </c>
      <c r="E63" s="164"/>
      <c r="F63" s="164" t="s">
        <v>191</v>
      </c>
      <c r="G63" s="164" t="s">
        <v>162</v>
      </c>
      <c r="H63" s="164" t="s">
        <v>163</v>
      </c>
      <c r="I63" s="164" t="s">
        <v>163</v>
      </c>
      <c r="J63" s="164" t="s">
        <v>182</v>
      </c>
      <c r="K63" s="164" t="s">
        <v>182</v>
      </c>
      <c r="L63" s="164" t="s">
        <v>182</v>
      </c>
      <c r="M63" s="164">
        <v>69.900000000000006</v>
      </c>
      <c r="N63" s="164">
        <v>35.6</v>
      </c>
      <c r="O63" s="165">
        <v>21.9</v>
      </c>
      <c r="P63" s="165">
        <v>27.1</v>
      </c>
      <c r="Q63" s="164">
        <v>654</v>
      </c>
      <c r="R63" s="164">
        <v>726</v>
      </c>
      <c r="S63" s="166">
        <v>0.1</v>
      </c>
      <c r="T63" s="164" t="s">
        <v>163</v>
      </c>
      <c r="U63" s="164"/>
      <c r="V63" s="167">
        <v>41838</v>
      </c>
      <c r="W63" s="167">
        <v>41849</v>
      </c>
      <c r="X63" s="164" t="s">
        <v>387</v>
      </c>
      <c r="Y63" s="164" t="s">
        <v>480</v>
      </c>
      <c r="Z63" s="164" t="s">
        <v>163</v>
      </c>
      <c r="AA63" s="168" t="s">
        <v>184</v>
      </c>
      <c r="AB63" s="168" t="s">
        <v>191</v>
      </c>
      <c r="AC63" s="168" t="s">
        <v>162</v>
      </c>
      <c r="AD63" s="168" t="s">
        <v>163</v>
      </c>
      <c r="AE63" s="168" t="s">
        <v>163</v>
      </c>
      <c r="AF63" s="168" t="s">
        <v>182</v>
      </c>
      <c r="AG63" s="168" t="s">
        <v>182</v>
      </c>
      <c r="AH63" s="168" t="str">
        <f t="shared" si="0"/>
        <v>Refrigerator-Bottom Freezer-Automatic-No-No-Yes-Yes</v>
      </c>
      <c r="AI63" s="168" t="s">
        <v>269</v>
      </c>
      <c r="AJ63" s="168">
        <v>9.25</v>
      </c>
      <c r="AK63" s="169">
        <v>475.4</v>
      </c>
      <c r="AL63" s="169">
        <f t="shared" si="1"/>
        <v>726.07500000000005</v>
      </c>
      <c r="AM63" s="168">
        <f t="shared" si="2"/>
        <v>726</v>
      </c>
      <c r="AN63" s="168">
        <f t="shared" si="3"/>
        <v>654</v>
      </c>
      <c r="AO63" s="164" t="str">
        <f t="shared" si="4"/>
        <v>Yes</v>
      </c>
      <c r="AP63" s="164">
        <f t="shared" si="5"/>
        <v>72</v>
      </c>
    </row>
    <row r="64" spans="2:42">
      <c r="B64" s="164">
        <v>2216590</v>
      </c>
      <c r="C64" s="164" t="s">
        <v>169</v>
      </c>
      <c r="D64" s="164" t="s">
        <v>481</v>
      </c>
      <c r="E64" s="164"/>
      <c r="F64" s="164" t="s">
        <v>191</v>
      </c>
      <c r="G64" s="164" t="s">
        <v>162</v>
      </c>
      <c r="H64" s="164" t="s">
        <v>163</v>
      </c>
      <c r="I64" s="164" t="s">
        <v>163</v>
      </c>
      <c r="J64" s="164" t="s">
        <v>163</v>
      </c>
      <c r="K64" s="164" t="s">
        <v>182</v>
      </c>
      <c r="L64" s="164" t="s">
        <v>182</v>
      </c>
      <c r="M64" s="164">
        <v>69.900000000000006</v>
      </c>
      <c r="N64" s="164">
        <v>35.6</v>
      </c>
      <c r="O64" s="165">
        <v>22.4</v>
      </c>
      <c r="P64" s="165">
        <v>27.5</v>
      </c>
      <c r="Q64" s="164">
        <v>580</v>
      </c>
      <c r="R64" s="164">
        <v>644</v>
      </c>
      <c r="S64" s="166">
        <v>0.1</v>
      </c>
      <c r="T64" s="164" t="s">
        <v>163</v>
      </c>
      <c r="U64" s="164"/>
      <c r="V64" s="167">
        <v>41838</v>
      </c>
      <c r="W64" s="167">
        <v>41837</v>
      </c>
      <c r="X64" s="164" t="s">
        <v>387</v>
      </c>
      <c r="Y64" s="164" t="s">
        <v>482</v>
      </c>
      <c r="Z64" s="164" t="s">
        <v>163</v>
      </c>
      <c r="AA64" s="168" t="s">
        <v>184</v>
      </c>
      <c r="AB64" s="168" t="s">
        <v>191</v>
      </c>
      <c r="AC64" s="168" t="s">
        <v>162</v>
      </c>
      <c r="AD64" s="168" t="s">
        <v>163</v>
      </c>
      <c r="AE64" s="168" t="s">
        <v>163</v>
      </c>
      <c r="AF64" s="168" t="s">
        <v>163</v>
      </c>
      <c r="AG64" s="168" t="s">
        <v>182</v>
      </c>
      <c r="AH64" s="168" t="str">
        <f t="shared" si="0"/>
        <v>Refrigerator-Bottom Freezer-Automatic-No-No-No-Yes</v>
      </c>
      <c r="AI64" s="168" t="s">
        <v>261</v>
      </c>
      <c r="AJ64" s="168">
        <v>8.85</v>
      </c>
      <c r="AK64" s="169">
        <v>401</v>
      </c>
      <c r="AL64" s="169">
        <f t="shared" si="1"/>
        <v>644.375</v>
      </c>
      <c r="AM64" s="168">
        <f t="shared" si="2"/>
        <v>644</v>
      </c>
      <c r="AN64" s="168">
        <f t="shared" si="3"/>
        <v>580</v>
      </c>
      <c r="AO64" s="164" t="str">
        <f t="shared" si="4"/>
        <v>Yes</v>
      </c>
      <c r="AP64" s="164">
        <f t="shared" si="5"/>
        <v>64</v>
      </c>
    </row>
    <row r="65" spans="2:42">
      <c r="B65" s="164">
        <v>2216585</v>
      </c>
      <c r="C65" s="164" t="s">
        <v>169</v>
      </c>
      <c r="D65" s="164" t="s">
        <v>483</v>
      </c>
      <c r="E65" s="164"/>
      <c r="F65" s="164" t="s">
        <v>191</v>
      </c>
      <c r="G65" s="164" t="s">
        <v>162</v>
      </c>
      <c r="H65" s="164" t="s">
        <v>163</v>
      </c>
      <c r="I65" s="164" t="s">
        <v>163</v>
      </c>
      <c r="J65" s="164" t="s">
        <v>163</v>
      </c>
      <c r="K65" s="164" t="s">
        <v>182</v>
      </c>
      <c r="L65" s="164" t="s">
        <v>163</v>
      </c>
      <c r="M65" s="164">
        <v>69.900000000000006</v>
      </c>
      <c r="N65" s="164">
        <v>35.6</v>
      </c>
      <c r="O65" s="165">
        <v>27.6</v>
      </c>
      <c r="P65" s="165">
        <v>34.299999999999997</v>
      </c>
      <c r="Q65" s="164">
        <v>634</v>
      </c>
      <c r="R65" s="164">
        <v>705</v>
      </c>
      <c r="S65" s="166">
        <v>0.1</v>
      </c>
      <c r="T65" s="164" t="s">
        <v>163</v>
      </c>
      <c r="U65" s="164"/>
      <c r="V65" s="167">
        <v>41838</v>
      </c>
      <c r="W65" s="167">
        <v>41837</v>
      </c>
      <c r="X65" s="164" t="s">
        <v>387</v>
      </c>
      <c r="Y65" s="164" t="s">
        <v>484</v>
      </c>
      <c r="Z65" s="164" t="s">
        <v>163</v>
      </c>
      <c r="AA65" s="168" t="s">
        <v>184</v>
      </c>
      <c r="AB65" s="168" t="s">
        <v>191</v>
      </c>
      <c r="AC65" s="168" t="s">
        <v>162</v>
      </c>
      <c r="AD65" s="168" t="s">
        <v>163</v>
      </c>
      <c r="AE65" s="168" t="s">
        <v>163</v>
      </c>
      <c r="AF65" s="168" t="s">
        <v>163</v>
      </c>
      <c r="AG65" s="168" t="s">
        <v>182</v>
      </c>
      <c r="AH65" s="168" t="str">
        <f t="shared" si="0"/>
        <v>Refrigerator-Bottom Freezer-Automatic-No-No-No-Yes</v>
      </c>
      <c r="AI65" s="168" t="s">
        <v>261</v>
      </c>
      <c r="AJ65" s="168">
        <v>8.85</v>
      </c>
      <c r="AK65" s="169">
        <v>401</v>
      </c>
      <c r="AL65" s="169">
        <f t="shared" si="1"/>
        <v>704.55499999999995</v>
      </c>
      <c r="AM65" s="168">
        <f t="shared" si="2"/>
        <v>705</v>
      </c>
      <c r="AN65" s="168">
        <f t="shared" si="3"/>
        <v>634</v>
      </c>
      <c r="AO65" s="164" t="str">
        <f t="shared" si="4"/>
        <v>Yes</v>
      </c>
      <c r="AP65" s="164">
        <f t="shared" si="5"/>
        <v>71</v>
      </c>
    </row>
    <row r="66" spans="2:42">
      <c r="B66" s="164">
        <v>2214694</v>
      </c>
      <c r="C66" s="164" t="s">
        <v>169</v>
      </c>
      <c r="D66" s="164" t="s">
        <v>485</v>
      </c>
      <c r="E66" s="164"/>
      <c r="F66" s="164" t="s">
        <v>192</v>
      </c>
      <c r="G66" s="164" t="s">
        <v>162</v>
      </c>
      <c r="H66" s="164" t="s">
        <v>163</v>
      </c>
      <c r="I66" s="164" t="s">
        <v>163</v>
      </c>
      <c r="J66" s="164" t="s">
        <v>182</v>
      </c>
      <c r="K66" s="164" t="s">
        <v>182</v>
      </c>
      <c r="L66" s="164" t="s">
        <v>163</v>
      </c>
      <c r="M66" s="164">
        <v>69.900000000000006</v>
      </c>
      <c r="N66" s="164">
        <v>32.6</v>
      </c>
      <c r="O66" s="165">
        <v>22.2</v>
      </c>
      <c r="P66" s="165">
        <v>28.2</v>
      </c>
      <c r="Q66" s="164">
        <v>606</v>
      </c>
      <c r="R66" s="164">
        <v>674</v>
      </c>
      <c r="S66" s="166">
        <v>0.1</v>
      </c>
      <c r="T66" s="164" t="s">
        <v>163</v>
      </c>
      <c r="U66" s="164"/>
      <c r="V66" s="167">
        <v>41841</v>
      </c>
      <c r="W66" s="167">
        <v>41827</v>
      </c>
      <c r="X66" s="164" t="s">
        <v>387</v>
      </c>
      <c r="Y66" s="164" t="s">
        <v>486</v>
      </c>
      <c r="Z66" s="164" t="s">
        <v>163</v>
      </c>
      <c r="AA66" s="168" t="s">
        <v>184</v>
      </c>
      <c r="AB66" s="168" t="s">
        <v>192</v>
      </c>
      <c r="AC66" s="168" t="s">
        <v>162</v>
      </c>
      <c r="AD66" s="168" t="s">
        <v>163</v>
      </c>
      <c r="AE66" s="168" t="s">
        <v>163</v>
      </c>
      <c r="AF66" s="168" t="s">
        <v>182</v>
      </c>
      <c r="AG66" s="168" t="s">
        <v>182</v>
      </c>
      <c r="AH66" s="168" t="str">
        <f t="shared" si="0"/>
        <v>Refrigerator-Side-by-Side-Automatic-No-No-Yes-Yes</v>
      </c>
      <c r="AI66" s="168">
        <v>7</v>
      </c>
      <c r="AJ66" s="168">
        <v>8.5399999999999991</v>
      </c>
      <c r="AK66" s="169">
        <v>432.8</v>
      </c>
      <c r="AL66" s="169">
        <f t="shared" si="1"/>
        <v>673.62799999999993</v>
      </c>
      <c r="AM66" s="168">
        <f t="shared" si="2"/>
        <v>674</v>
      </c>
      <c r="AN66" s="168">
        <f t="shared" si="3"/>
        <v>606</v>
      </c>
      <c r="AO66" s="164" t="str">
        <f t="shared" si="4"/>
        <v>Yes</v>
      </c>
      <c r="AP66" s="164">
        <f t="shared" si="5"/>
        <v>68</v>
      </c>
    </row>
    <row r="67" spans="2:42">
      <c r="B67" s="164">
        <v>2214697</v>
      </c>
      <c r="C67" s="164" t="s">
        <v>169</v>
      </c>
      <c r="D67" s="164" t="s">
        <v>487</v>
      </c>
      <c r="E67" s="164"/>
      <c r="F67" s="164" t="s">
        <v>192</v>
      </c>
      <c r="G67" s="164" t="s">
        <v>162</v>
      </c>
      <c r="H67" s="164" t="s">
        <v>163</v>
      </c>
      <c r="I67" s="164" t="s">
        <v>163</v>
      </c>
      <c r="J67" s="164" t="s">
        <v>182</v>
      </c>
      <c r="K67" s="164" t="s">
        <v>182</v>
      </c>
      <c r="L67" s="164" t="s">
        <v>163</v>
      </c>
      <c r="M67" s="164">
        <v>69.900000000000006</v>
      </c>
      <c r="N67" s="164">
        <v>35.6</v>
      </c>
      <c r="O67" s="165">
        <v>25.5</v>
      </c>
      <c r="P67" s="165">
        <v>32.4</v>
      </c>
      <c r="Q67" s="164">
        <v>639</v>
      </c>
      <c r="R67" s="164">
        <v>709</v>
      </c>
      <c r="S67" s="166">
        <v>0.1</v>
      </c>
      <c r="T67" s="164" t="s">
        <v>163</v>
      </c>
      <c r="U67" s="164"/>
      <c r="V67" s="167">
        <v>41841</v>
      </c>
      <c r="W67" s="167">
        <v>41827</v>
      </c>
      <c r="X67" s="164" t="s">
        <v>387</v>
      </c>
      <c r="Y67" s="164" t="s">
        <v>488</v>
      </c>
      <c r="Z67" s="164" t="s">
        <v>163</v>
      </c>
      <c r="AA67" s="168" t="s">
        <v>184</v>
      </c>
      <c r="AB67" s="168" t="s">
        <v>192</v>
      </c>
      <c r="AC67" s="168" t="s">
        <v>162</v>
      </c>
      <c r="AD67" s="168" t="s">
        <v>163</v>
      </c>
      <c r="AE67" s="168" t="s">
        <v>163</v>
      </c>
      <c r="AF67" s="168" t="s">
        <v>182</v>
      </c>
      <c r="AG67" s="168" t="s">
        <v>182</v>
      </c>
      <c r="AH67" s="168" t="str">
        <f t="shared" si="0"/>
        <v>Refrigerator-Side-by-Side-Automatic-No-No-Yes-Yes</v>
      </c>
      <c r="AI67" s="168">
        <v>7</v>
      </c>
      <c r="AJ67" s="168">
        <v>8.5399999999999991</v>
      </c>
      <c r="AK67" s="169">
        <v>432.8</v>
      </c>
      <c r="AL67" s="169">
        <f t="shared" si="1"/>
        <v>709.49599999999998</v>
      </c>
      <c r="AM67" s="168">
        <f t="shared" si="2"/>
        <v>709</v>
      </c>
      <c r="AN67" s="168">
        <f t="shared" si="3"/>
        <v>639</v>
      </c>
      <c r="AO67" s="164" t="str">
        <f t="shared" si="4"/>
        <v>Yes</v>
      </c>
      <c r="AP67" s="164">
        <f t="shared" si="5"/>
        <v>70</v>
      </c>
    </row>
    <row r="68" spans="2:42">
      <c r="B68" s="164">
        <v>2214700</v>
      </c>
      <c r="C68" s="164" t="s">
        <v>169</v>
      </c>
      <c r="D68" s="164" t="s">
        <v>489</v>
      </c>
      <c r="E68" s="164"/>
      <c r="F68" s="164" t="s">
        <v>192</v>
      </c>
      <c r="G68" s="164" t="s">
        <v>162</v>
      </c>
      <c r="H68" s="164" t="s">
        <v>163</v>
      </c>
      <c r="I68" s="164" t="s">
        <v>163</v>
      </c>
      <c r="J68" s="164" t="s">
        <v>182</v>
      </c>
      <c r="K68" s="164" t="s">
        <v>182</v>
      </c>
      <c r="L68" s="164" t="s">
        <v>163</v>
      </c>
      <c r="M68" s="164">
        <v>69.900000000000006</v>
      </c>
      <c r="N68" s="164">
        <v>35.6</v>
      </c>
      <c r="O68" s="165">
        <v>25.5</v>
      </c>
      <c r="P68" s="165">
        <v>32.4</v>
      </c>
      <c r="Q68" s="164">
        <v>639</v>
      </c>
      <c r="R68" s="164">
        <v>709</v>
      </c>
      <c r="S68" s="166">
        <v>0.1</v>
      </c>
      <c r="T68" s="164" t="s">
        <v>163</v>
      </c>
      <c r="U68" s="164"/>
      <c r="V68" s="167">
        <v>41841</v>
      </c>
      <c r="W68" s="167">
        <v>41827</v>
      </c>
      <c r="X68" s="164" t="s">
        <v>387</v>
      </c>
      <c r="Y68" s="164" t="s">
        <v>490</v>
      </c>
      <c r="Z68" s="164" t="s">
        <v>163</v>
      </c>
      <c r="AA68" s="168" t="s">
        <v>184</v>
      </c>
      <c r="AB68" s="168" t="s">
        <v>192</v>
      </c>
      <c r="AC68" s="168" t="s">
        <v>162</v>
      </c>
      <c r="AD68" s="168" t="s">
        <v>163</v>
      </c>
      <c r="AE68" s="168" t="s">
        <v>163</v>
      </c>
      <c r="AF68" s="168" t="s">
        <v>182</v>
      </c>
      <c r="AG68" s="168" t="s">
        <v>182</v>
      </c>
      <c r="AH68" s="168" t="str">
        <f t="shared" si="0"/>
        <v>Refrigerator-Side-by-Side-Automatic-No-No-Yes-Yes</v>
      </c>
      <c r="AI68" s="168">
        <v>7</v>
      </c>
      <c r="AJ68" s="168">
        <v>8.5399999999999991</v>
      </c>
      <c r="AK68" s="169">
        <v>432.8</v>
      </c>
      <c r="AL68" s="169">
        <f t="shared" si="1"/>
        <v>709.49599999999998</v>
      </c>
      <c r="AM68" s="168">
        <f t="shared" si="2"/>
        <v>709</v>
      </c>
      <c r="AN68" s="168">
        <f t="shared" si="3"/>
        <v>639</v>
      </c>
      <c r="AO68" s="164" t="str">
        <f t="shared" si="4"/>
        <v>Yes</v>
      </c>
      <c r="AP68" s="164">
        <f t="shared" si="5"/>
        <v>70</v>
      </c>
    </row>
    <row r="69" spans="2:42">
      <c r="B69" s="164">
        <v>2211362</v>
      </c>
      <c r="C69" s="164" t="s">
        <v>169</v>
      </c>
      <c r="D69" s="164" t="s">
        <v>491</v>
      </c>
      <c r="E69" s="164"/>
      <c r="F69" s="164" t="s">
        <v>191</v>
      </c>
      <c r="G69" s="164" t="s">
        <v>162</v>
      </c>
      <c r="H69" s="164" t="s">
        <v>163</v>
      </c>
      <c r="I69" s="164" t="s">
        <v>163</v>
      </c>
      <c r="J69" s="164" t="s">
        <v>182</v>
      </c>
      <c r="K69" s="164" t="s">
        <v>182</v>
      </c>
      <c r="L69" s="164" t="s">
        <v>163</v>
      </c>
      <c r="M69" s="164">
        <v>69.900000000000006</v>
      </c>
      <c r="N69" s="164">
        <v>35.6</v>
      </c>
      <c r="O69" s="165">
        <v>27.2</v>
      </c>
      <c r="P69" s="165">
        <v>33.799999999999997</v>
      </c>
      <c r="Q69" s="164">
        <v>709</v>
      </c>
      <c r="R69" s="164">
        <v>788</v>
      </c>
      <c r="S69" s="166">
        <v>0.1</v>
      </c>
      <c r="T69" s="164" t="s">
        <v>163</v>
      </c>
      <c r="U69" s="164"/>
      <c r="V69" s="167">
        <v>41778</v>
      </c>
      <c r="W69" s="167">
        <v>41781</v>
      </c>
      <c r="X69" s="164" t="s">
        <v>387</v>
      </c>
      <c r="Y69" s="164" t="s">
        <v>492</v>
      </c>
      <c r="Z69" s="164" t="s">
        <v>163</v>
      </c>
      <c r="AA69" s="168" t="s">
        <v>184</v>
      </c>
      <c r="AB69" s="168" t="s">
        <v>191</v>
      </c>
      <c r="AC69" s="168" t="s">
        <v>162</v>
      </c>
      <c r="AD69" s="168" t="s">
        <v>163</v>
      </c>
      <c r="AE69" s="168" t="s">
        <v>163</v>
      </c>
      <c r="AF69" s="168" t="s">
        <v>182</v>
      </c>
      <c r="AG69" s="168" t="s">
        <v>182</v>
      </c>
      <c r="AH69" s="168" t="str">
        <f t="shared" si="0"/>
        <v>Refrigerator-Bottom Freezer-Automatic-No-No-Yes-Yes</v>
      </c>
      <c r="AI69" s="168" t="s">
        <v>269</v>
      </c>
      <c r="AJ69" s="168">
        <v>9.25</v>
      </c>
      <c r="AK69" s="169">
        <v>475.4</v>
      </c>
      <c r="AL69" s="169">
        <f t="shared" si="1"/>
        <v>788.05</v>
      </c>
      <c r="AM69" s="168">
        <f t="shared" si="2"/>
        <v>788</v>
      </c>
      <c r="AN69" s="168">
        <f t="shared" si="3"/>
        <v>709</v>
      </c>
      <c r="AO69" s="164" t="str">
        <f t="shared" si="4"/>
        <v>Yes</v>
      </c>
      <c r="AP69" s="164">
        <f t="shared" si="5"/>
        <v>79</v>
      </c>
    </row>
    <row r="70" spans="2:42">
      <c r="B70" s="164">
        <v>2216586</v>
      </c>
      <c r="C70" s="164" t="s">
        <v>169</v>
      </c>
      <c r="D70" s="164" t="s">
        <v>493</v>
      </c>
      <c r="E70" s="164"/>
      <c r="F70" s="164" t="s">
        <v>191</v>
      </c>
      <c r="G70" s="164" t="s">
        <v>162</v>
      </c>
      <c r="H70" s="164" t="s">
        <v>163</v>
      </c>
      <c r="I70" s="164" t="s">
        <v>163</v>
      </c>
      <c r="J70" s="164" t="s">
        <v>182</v>
      </c>
      <c r="K70" s="164" t="s">
        <v>182</v>
      </c>
      <c r="L70" s="164" t="s">
        <v>163</v>
      </c>
      <c r="M70" s="164">
        <v>69.900000000000006</v>
      </c>
      <c r="N70" s="164">
        <v>35.6</v>
      </c>
      <c r="O70" s="165">
        <v>27.2</v>
      </c>
      <c r="P70" s="165">
        <v>33.799999999999997</v>
      </c>
      <c r="Q70" s="164">
        <v>709</v>
      </c>
      <c r="R70" s="164">
        <v>788</v>
      </c>
      <c r="S70" s="166">
        <v>0.1</v>
      </c>
      <c r="T70" s="164" t="s">
        <v>163</v>
      </c>
      <c r="U70" s="164"/>
      <c r="V70" s="167">
        <v>41838</v>
      </c>
      <c r="W70" s="167">
        <v>41837</v>
      </c>
      <c r="X70" s="164" t="s">
        <v>387</v>
      </c>
      <c r="Y70" s="164" t="s">
        <v>494</v>
      </c>
      <c r="Z70" s="164" t="s">
        <v>163</v>
      </c>
      <c r="AA70" s="168" t="s">
        <v>184</v>
      </c>
      <c r="AB70" s="168" t="s">
        <v>191</v>
      </c>
      <c r="AC70" s="168" t="s">
        <v>162</v>
      </c>
      <c r="AD70" s="168" t="s">
        <v>163</v>
      </c>
      <c r="AE70" s="168" t="s">
        <v>163</v>
      </c>
      <c r="AF70" s="168" t="s">
        <v>182</v>
      </c>
      <c r="AG70" s="168" t="s">
        <v>182</v>
      </c>
      <c r="AH70" s="168" t="str">
        <f t="shared" si="0"/>
        <v>Refrigerator-Bottom Freezer-Automatic-No-No-Yes-Yes</v>
      </c>
      <c r="AI70" s="168" t="s">
        <v>269</v>
      </c>
      <c r="AJ70" s="168">
        <v>9.25</v>
      </c>
      <c r="AK70" s="169">
        <v>475.4</v>
      </c>
      <c r="AL70" s="169">
        <f t="shared" si="1"/>
        <v>788.05</v>
      </c>
      <c r="AM70" s="168">
        <f t="shared" si="2"/>
        <v>788</v>
      </c>
      <c r="AN70" s="168">
        <f t="shared" si="3"/>
        <v>709</v>
      </c>
      <c r="AO70" s="164" t="str">
        <f t="shared" si="4"/>
        <v>Yes</v>
      </c>
      <c r="AP70" s="164">
        <f t="shared" si="5"/>
        <v>79</v>
      </c>
    </row>
    <row r="71" spans="2:42">
      <c r="B71" s="164">
        <v>2211364</v>
      </c>
      <c r="C71" s="164" t="s">
        <v>169</v>
      </c>
      <c r="D71" s="164" t="s">
        <v>495</v>
      </c>
      <c r="E71" s="164"/>
      <c r="F71" s="164" t="s">
        <v>191</v>
      </c>
      <c r="G71" s="164" t="s">
        <v>162</v>
      </c>
      <c r="H71" s="164" t="s">
        <v>163</v>
      </c>
      <c r="I71" s="164" t="s">
        <v>163</v>
      </c>
      <c r="J71" s="164" t="s">
        <v>182</v>
      </c>
      <c r="K71" s="164" t="s">
        <v>182</v>
      </c>
      <c r="L71" s="164" t="s">
        <v>182</v>
      </c>
      <c r="M71" s="164">
        <v>69.900000000000006</v>
      </c>
      <c r="N71" s="164">
        <v>35.6</v>
      </c>
      <c r="O71" s="165">
        <v>21.9</v>
      </c>
      <c r="P71" s="165">
        <v>27.1</v>
      </c>
      <c r="Q71" s="164">
        <v>654</v>
      </c>
      <c r="R71" s="164">
        <v>726</v>
      </c>
      <c r="S71" s="166">
        <v>0.1</v>
      </c>
      <c r="T71" s="164" t="s">
        <v>163</v>
      </c>
      <c r="U71" s="164"/>
      <c r="V71" s="167">
        <v>41778</v>
      </c>
      <c r="W71" s="167">
        <v>41781</v>
      </c>
      <c r="X71" s="164" t="s">
        <v>387</v>
      </c>
      <c r="Y71" s="164" t="s">
        <v>496</v>
      </c>
      <c r="Z71" s="164" t="s">
        <v>163</v>
      </c>
      <c r="AA71" s="168" t="s">
        <v>184</v>
      </c>
      <c r="AB71" s="168" t="s">
        <v>191</v>
      </c>
      <c r="AC71" s="168" t="s">
        <v>162</v>
      </c>
      <c r="AD71" s="168" t="s">
        <v>163</v>
      </c>
      <c r="AE71" s="168" t="s">
        <v>163</v>
      </c>
      <c r="AF71" s="168" t="s">
        <v>182</v>
      </c>
      <c r="AG71" s="168" t="s">
        <v>182</v>
      </c>
      <c r="AH71" s="168" t="str">
        <f t="shared" si="0"/>
        <v>Refrigerator-Bottom Freezer-Automatic-No-No-Yes-Yes</v>
      </c>
      <c r="AI71" s="168" t="s">
        <v>269</v>
      </c>
      <c r="AJ71" s="168">
        <v>9.25</v>
      </c>
      <c r="AK71" s="169">
        <v>475.4</v>
      </c>
      <c r="AL71" s="169">
        <f t="shared" si="1"/>
        <v>726.07500000000005</v>
      </c>
      <c r="AM71" s="168">
        <f t="shared" si="2"/>
        <v>726</v>
      </c>
      <c r="AN71" s="168">
        <f t="shared" si="3"/>
        <v>654</v>
      </c>
      <c r="AO71" s="164" t="str">
        <f t="shared" si="4"/>
        <v>Yes</v>
      </c>
      <c r="AP71" s="164">
        <f t="shared" si="5"/>
        <v>72</v>
      </c>
    </row>
    <row r="72" spans="2:42">
      <c r="B72" s="164">
        <v>2216766</v>
      </c>
      <c r="C72" s="164" t="s">
        <v>169</v>
      </c>
      <c r="D72" s="164" t="s">
        <v>497</v>
      </c>
      <c r="E72" s="164"/>
      <c r="F72" s="164" t="s">
        <v>191</v>
      </c>
      <c r="G72" s="164" t="s">
        <v>162</v>
      </c>
      <c r="H72" s="164" t="s">
        <v>163</v>
      </c>
      <c r="I72" s="164" t="s">
        <v>163</v>
      </c>
      <c r="J72" s="164" t="s">
        <v>182</v>
      </c>
      <c r="K72" s="164" t="s">
        <v>182</v>
      </c>
      <c r="L72" s="164" t="s">
        <v>182</v>
      </c>
      <c r="M72" s="164">
        <v>69.900000000000006</v>
      </c>
      <c r="N72" s="164">
        <v>35.6</v>
      </c>
      <c r="O72" s="165">
        <v>21.9</v>
      </c>
      <c r="P72" s="165">
        <v>27.1</v>
      </c>
      <c r="Q72" s="164">
        <v>654</v>
      </c>
      <c r="R72" s="164">
        <v>726</v>
      </c>
      <c r="S72" s="166">
        <v>0.1</v>
      </c>
      <c r="T72" s="164" t="s">
        <v>163</v>
      </c>
      <c r="U72" s="164"/>
      <c r="V72" s="167">
        <v>41838</v>
      </c>
      <c r="W72" s="167">
        <v>41849</v>
      </c>
      <c r="X72" s="164" t="s">
        <v>387</v>
      </c>
      <c r="Y72" s="164" t="s">
        <v>498</v>
      </c>
      <c r="Z72" s="164" t="s">
        <v>163</v>
      </c>
      <c r="AA72" s="168" t="s">
        <v>184</v>
      </c>
      <c r="AB72" s="168" t="s">
        <v>191</v>
      </c>
      <c r="AC72" s="168" t="s">
        <v>162</v>
      </c>
      <c r="AD72" s="168" t="s">
        <v>163</v>
      </c>
      <c r="AE72" s="168" t="s">
        <v>163</v>
      </c>
      <c r="AF72" s="168" t="s">
        <v>182</v>
      </c>
      <c r="AG72" s="168" t="s">
        <v>182</v>
      </c>
      <c r="AH72" s="168" t="str">
        <f t="shared" si="0"/>
        <v>Refrigerator-Bottom Freezer-Automatic-No-No-Yes-Yes</v>
      </c>
      <c r="AI72" s="168" t="s">
        <v>269</v>
      </c>
      <c r="AJ72" s="168">
        <v>9.25</v>
      </c>
      <c r="AK72" s="169">
        <v>475.4</v>
      </c>
      <c r="AL72" s="169">
        <f t="shared" si="1"/>
        <v>726.07500000000005</v>
      </c>
      <c r="AM72" s="168">
        <f t="shared" si="2"/>
        <v>726</v>
      </c>
      <c r="AN72" s="168">
        <f t="shared" si="3"/>
        <v>654</v>
      </c>
      <c r="AO72" s="164" t="str">
        <f t="shared" si="4"/>
        <v>Yes</v>
      </c>
      <c r="AP72" s="164">
        <f t="shared" si="5"/>
        <v>72</v>
      </c>
    </row>
    <row r="73" spans="2:42">
      <c r="B73" s="164">
        <v>2216591</v>
      </c>
      <c r="C73" s="164" t="s">
        <v>169</v>
      </c>
      <c r="D73" s="164" t="s">
        <v>499</v>
      </c>
      <c r="E73" s="164"/>
      <c r="F73" s="164" t="s">
        <v>191</v>
      </c>
      <c r="G73" s="164" t="s">
        <v>162</v>
      </c>
      <c r="H73" s="164" t="s">
        <v>163</v>
      </c>
      <c r="I73" s="164" t="s">
        <v>163</v>
      </c>
      <c r="J73" s="164" t="s">
        <v>163</v>
      </c>
      <c r="K73" s="164" t="s">
        <v>182</v>
      </c>
      <c r="L73" s="164" t="s">
        <v>182</v>
      </c>
      <c r="M73" s="164">
        <v>69.900000000000006</v>
      </c>
      <c r="N73" s="164">
        <v>35.6</v>
      </c>
      <c r="O73" s="165">
        <v>22.4</v>
      </c>
      <c r="P73" s="165">
        <v>27.5</v>
      </c>
      <c r="Q73" s="164">
        <v>580</v>
      </c>
      <c r="R73" s="164">
        <v>644</v>
      </c>
      <c r="S73" s="166">
        <v>0.1</v>
      </c>
      <c r="T73" s="164" t="s">
        <v>163</v>
      </c>
      <c r="U73" s="164"/>
      <c r="V73" s="167">
        <v>41838</v>
      </c>
      <c r="W73" s="167">
        <v>41837</v>
      </c>
      <c r="X73" s="164" t="s">
        <v>387</v>
      </c>
      <c r="Y73" s="164" t="s">
        <v>500</v>
      </c>
      <c r="Z73" s="164" t="s">
        <v>163</v>
      </c>
      <c r="AA73" s="168" t="s">
        <v>184</v>
      </c>
      <c r="AB73" s="168" t="s">
        <v>191</v>
      </c>
      <c r="AC73" s="168" t="s">
        <v>162</v>
      </c>
      <c r="AD73" s="168" t="s">
        <v>163</v>
      </c>
      <c r="AE73" s="168" t="s">
        <v>163</v>
      </c>
      <c r="AF73" s="168" t="s">
        <v>163</v>
      </c>
      <c r="AG73" s="168" t="s">
        <v>182</v>
      </c>
      <c r="AH73" s="168" t="str">
        <f t="shared" si="0"/>
        <v>Refrigerator-Bottom Freezer-Automatic-No-No-No-Yes</v>
      </c>
      <c r="AI73" s="168" t="s">
        <v>261</v>
      </c>
      <c r="AJ73" s="168">
        <v>8.85</v>
      </c>
      <c r="AK73" s="169">
        <v>401</v>
      </c>
      <c r="AL73" s="169">
        <f t="shared" si="1"/>
        <v>644.375</v>
      </c>
      <c r="AM73" s="168">
        <f t="shared" si="2"/>
        <v>644</v>
      </c>
      <c r="AN73" s="168">
        <f t="shared" si="3"/>
        <v>580</v>
      </c>
      <c r="AO73" s="164" t="str">
        <f t="shared" si="4"/>
        <v>Yes</v>
      </c>
      <c r="AP73" s="164">
        <f t="shared" si="5"/>
        <v>64</v>
      </c>
    </row>
    <row r="74" spans="2:42">
      <c r="B74" s="164">
        <v>2214696</v>
      </c>
      <c r="C74" s="164" t="s">
        <v>169</v>
      </c>
      <c r="D74" s="164" t="s">
        <v>501</v>
      </c>
      <c r="E74" s="164"/>
      <c r="F74" s="164" t="s">
        <v>192</v>
      </c>
      <c r="G74" s="164" t="s">
        <v>162</v>
      </c>
      <c r="H74" s="164" t="s">
        <v>163</v>
      </c>
      <c r="I74" s="164" t="s">
        <v>163</v>
      </c>
      <c r="J74" s="164" t="s">
        <v>182</v>
      </c>
      <c r="K74" s="164" t="s">
        <v>182</v>
      </c>
      <c r="L74" s="164" t="s">
        <v>163</v>
      </c>
      <c r="M74" s="164">
        <v>69.900000000000006</v>
      </c>
      <c r="N74" s="164">
        <v>32.6</v>
      </c>
      <c r="O74" s="165">
        <v>22.2</v>
      </c>
      <c r="P74" s="165">
        <v>28.2</v>
      </c>
      <c r="Q74" s="164">
        <v>606</v>
      </c>
      <c r="R74" s="164">
        <v>674</v>
      </c>
      <c r="S74" s="166">
        <v>0.1</v>
      </c>
      <c r="T74" s="164" t="s">
        <v>163</v>
      </c>
      <c r="U74" s="164"/>
      <c r="V74" s="167">
        <v>41841</v>
      </c>
      <c r="W74" s="167">
        <v>41827</v>
      </c>
      <c r="X74" s="164" t="s">
        <v>387</v>
      </c>
      <c r="Y74" s="164" t="s">
        <v>502</v>
      </c>
      <c r="Z74" s="164" t="s">
        <v>163</v>
      </c>
      <c r="AA74" s="168" t="s">
        <v>184</v>
      </c>
      <c r="AB74" s="168" t="s">
        <v>192</v>
      </c>
      <c r="AC74" s="168" t="s">
        <v>162</v>
      </c>
      <c r="AD74" s="168" t="s">
        <v>163</v>
      </c>
      <c r="AE74" s="168" t="s">
        <v>163</v>
      </c>
      <c r="AF74" s="168" t="s">
        <v>182</v>
      </c>
      <c r="AG74" s="168" t="s">
        <v>182</v>
      </c>
      <c r="AH74" s="168" t="str">
        <f t="shared" si="0"/>
        <v>Refrigerator-Side-by-Side-Automatic-No-No-Yes-Yes</v>
      </c>
      <c r="AI74" s="168">
        <v>7</v>
      </c>
      <c r="AJ74" s="168">
        <v>8.5399999999999991</v>
      </c>
      <c r="AK74" s="169">
        <v>432.8</v>
      </c>
      <c r="AL74" s="169">
        <f t="shared" si="1"/>
        <v>673.62799999999993</v>
      </c>
      <c r="AM74" s="168">
        <f t="shared" si="2"/>
        <v>674</v>
      </c>
      <c r="AN74" s="168">
        <f t="shared" si="3"/>
        <v>606</v>
      </c>
      <c r="AO74" s="164" t="str">
        <f t="shared" si="4"/>
        <v>Yes</v>
      </c>
      <c r="AP74" s="164">
        <f t="shared" si="5"/>
        <v>68</v>
      </c>
    </row>
    <row r="75" spans="2:42">
      <c r="B75" s="164">
        <v>2214701</v>
      </c>
      <c r="C75" s="164" t="s">
        <v>169</v>
      </c>
      <c r="D75" s="164" t="s">
        <v>503</v>
      </c>
      <c r="E75" s="164"/>
      <c r="F75" s="164" t="s">
        <v>192</v>
      </c>
      <c r="G75" s="164" t="s">
        <v>162</v>
      </c>
      <c r="H75" s="164" t="s">
        <v>163</v>
      </c>
      <c r="I75" s="164" t="s">
        <v>163</v>
      </c>
      <c r="J75" s="164" t="s">
        <v>182</v>
      </c>
      <c r="K75" s="164" t="s">
        <v>182</v>
      </c>
      <c r="L75" s="164" t="s">
        <v>163</v>
      </c>
      <c r="M75" s="164">
        <v>69.900000000000006</v>
      </c>
      <c r="N75" s="164">
        <v>35.6</v>
      </c>
      <c r="O75" s="165">
        <v>25.5</v>
      </c>
      <c r="P75" s="165">
        <v>32.4</v>
      </c>
      <c r="Q75" s="164">
        <v>639</v>
      </c>
      <c r="R75" s="164">
        <v>709</v>
      </c>
      <c r="S75" s="166">
        <v>0.1</v>
      </c>
      <c r="T75" s="164" t="s">
        <v>163</v>
      </c>
      <c r="U75" s="164"/>
      <c r="V75" s="167">
        <v>41841</v>
      </c>
      <c r="W75" s="167">
        <v>41827</v>
      </c>
      <c r="X75" s="164" t="s">
        <v>387</v>
      </c>
      <c r="Y75" s="164" t="s">
        <v>504</v>
      </c>
      <c r="Z75" s="164" t="s">
        <v>163</v>
      </c>
      <c r="AA75" s="168" t="s">
        <v>184</v>
      </c>
      <c r="AB75" s="168" t="s">
        <v>192</v>
      </c>
      <c r="AC75" s="168" t="s">
        <v>162</v>
      </c>
      <c r="AD75" s="168" t="s">
        <v>163</v>
      </c>
      <c r="AE75" s="168" t="s">
        <v>163</v>
      </c>
      <c r="AF75" s="168" t="s">
        <v>182</v>
      </c>
      <c r="AG75" s="168" t="s">
        <v>182</v>
      </c>
      <c r="AH75" s="168" t="str">
        <f t="shared" si="0"/>
        <v>Refrigerator-Side-by-Side-Automatic-No-No-Yes-Yes</v>
      </c>
      <c r="AI75" s="168">
        <v>7</v>
      </c>
      <c r="AJ75" s="168">
        <v>8.5399999999999991</v>
      </c>
      <c r="AK75" s="169">
        <v>432.8</v>
      </c>
      <c r="AL75" s="169">
        <f t="shared" si="1"/>
        <v>709.49599999999998</v>
      </c>
      <c r="AM75" s="168">
        <f t="shared" si="2"/>
        <v>709</v>
      </c>
      <c r="AN75" s="168">
        <f t="shared" si="3"/>
        <v>639</v>
      </c>
      <c r="AO75" s="164" t="str">
        <f t="shared" si="4"/>
        <v>Yes</v>
      </c>
      <c r="AP75" s="164">
        <f t="shared" si="5"/>
        <v>70</v>
      </c>
    </row>
    <row r="76" spans="2:42">
      <c r="B76" s="164">
        <v>2210419</v>
      </c>
      <c r="C76" s="164" t="s">
        <v>169</v>
      </c>
      <c r="D76" s="164" t="s">
        <v>505</v>
      </c>
      <c r="E76" s="164"/>
      <c r="F76" s="164" t="s">
        <v>194</v>
      </c>
      <c r="G76" s="164" t="s">
        <v>188</v>
      </c>
      <c r="H76" s="164" t="s">
        <v>182</v>
      </c>
      <c r="I76" s="164" t="s">
        <v>163</v>
      </c>
      <c r="J76" s="164" t="s">
        <v>163</v>
      </c>
      <c r="K76" s="164" t="s">
        <v>163</v>
      </c>
      <c r="L76" s="164" t="s">
        <v>163</v>
      </c>
      <c r="M76" s="164">
        <v>19.399999999999999</v>
      </c>
      <c r="N76" s="164">
        <v>18.600000000000001</v>
      </c>
      <c r="O76" s="165">
        <v>1.6</v>
      </c>
      <c r="P76" s="165">
        <v>1.6</v>
      </c>
      <c r="Q76" s="164">
        <v>207</v>
      </c>
      <c r="R76" s="164">
        <v>267</v>
      </c>
      <c r="S76" s="166">
        <v>0.22</v>
      </c>
      <c r="T76" s="164" t="s">
        <v>163</v>
      </c>
      <c r="U76" s="164"/>
      <c r="V76" s="167">
        <v>41713</v>
      </c>
      <c r="W76" s="167">
        <v>41718</v>
      </c>
      <c r="X76" s="164" t="s">
        <v>506</v>
      </c>
      <c r="Y76" s="164" t="s">
        <v>507</v>
      </c>
      <c r="Z76" s="164" t="s">
        <v>163</v>
      </c>
      <c r="AA76" s="168" t="s">
        <v>184</v>
      </c>
      <c r="AB76" s="168" t="s">
        <v>194</v>
      </c>
      <c r="AC76" s="168" t="s">
        <v>188</v>
      </c>
      <c r="AD76" s="168" t="s">
        <v>182</v>
      </c>
      <c r="AE76" s="168" t="s">
        <v>163</v>
      </c>
      <c r="AF76" s="168" t="s">
        <v>163</v>
      </c>
      <c r="AG76" s="168" t="s">
        <v>163</v>
      </c>
      <c r="AH76" s="168" t="str">
        <f t="shared" si="0"/>
        <v>Refrigerator-Compact-Manual-Yes-No-No-No</v>
      </c>
      <c r="AI76" s="168" t="s">
        <v>315</v>
      </c>
      <c r="AJ76" s="168">
        <v>7.84</v>
      </c>
      <c r="AK76" s="169">
        <v>219.1</v>
      </c>
      <c r="AL76" s="169">
        <f t="shared" si="1"/>
        <v>231.64400000000001</v>
      </c>
      <c r="AM76" s="168">
        <f t="shared" si="2"/>
        <v>267</v>
      </c>
      <c r="AN76" s="168">
        <f t="shared" si="3"/>
        <v>207</v>
      </c>
      <c r="AO76" s="164" t="str">
        <f t="shared" si="4"/>
        <v>Yes</v>
      </c>
      <c r="AP76" s="164">
        <f t="shared" si="5"/>
        <v>60</v>
      </c>
    </row>
    <row r="77" spans="2:42">
      <c r="B77" s="164">
        <v>2210420</v>
      </c>
      <c r="C77" s="164" t="s">
        <v>169</v>
      </c>
      <c r="D77" s="164" t="s">
        <v>508</v>
      </c>
      <c r="E77" s="164"/>
      <c r="F77" s="164" t="s">
        <v>194</v>
      </c>
      <c r="G77" s="164" t="s">
        <v>188</v>
      </c>
      <c r="H77" s="164" t="s">
        <v>182</v>
      </c>
      <c r="I77" s="164" t="s">
        <v>163</v>
      </c>
      <c r="J77" s="164" t="s">
        <v>163</v>
      </c>
      <c r="K77" s="164" t="s">
        <v>163</v>
      </c>
      <c r="L77" s="164" t="s">
        <v>163</v>
      </c>
      <c r="M77" s="164">
        <v>19.399999999999999</v>
      </c>
      <c r="N77" s="164">
        <v>18.600000000000001</v>
      </c>
      <c r="O77" s="165">
        <v>1.6</v>
      </c>
      <c r="P77" s="165">
        <v>1.6</v>
      </c>
      <c r="Q77" s="164">
        <v>207</v>
      </c>
      <c r="R77" s="164">
        <v>267</v>
      </c>
      <c r="S77" s="166">
        <v>0.22</v>
      </c>
      <c r="T77" s="164" t="s">
        <v>163</v>
      </c>
      <c r="U77" s="164"/>
      <c r="V77" s="167">
        <v>41713</v>
      </c>
      <c r="W77" s="167">
        <v>41718</v>
      </c>
      <c r="X77" s="164" t="s">
        <v>506</v>
      </c>
      <c r="Y77" s="164" t="s">
        <v>509</v>
      </c>
      <c r="Z77" s="164" t="s">
        <v>163</v>
      </c>
      <c r="AA77" s="168" t="s">
        <v>184</v>
      </c>
      <c r="AB77" s="168" t="s">
        <v>194</v>
      </c>
      <c r="AC77" s="168" t="s">
        <v>188</v>
      </c>
      <c r="AD77" s="168" t="s">
        <v>182</v>
      </c>
      <c r="AE77" s="168" t="s">
        <v>163</v>
      </c>
      <c r="AF77" s="168" t="s">
        <v>163</v>
      </c>
      <c r="AG77" s="168" t="s">
        <v>163</v>
      </c>
      <c r="AH77" s="168" t="str">
        <f t="shared" ref="AH77:AH140" si="7">CONCATENATE(AA77,"-",AB77,"-",AC77,"-",AD77,"-",AE77,"-",AF77,"-",AG77)</f>
        <v>Refrigerator-Compact-Manual-Yes-No-No-No</v>
      </c>
      <c r="AI77" s="168" t="s">
        <v>315</v>
      </c>
      <c r="AJ77" s="168">
        <v>7.84</v>
      </c>
      <c r="AK77" s="169">
        <v>219.1</v>
      </c>
      <c r="AL77" s="169">
        <f t="shared" ref="AL77:AL140" si="8">AJ77*P77+AK77</f>
        <v>231.64400000000001</v>
      </c>
      <c r="AM77" s="168">
        <f t="shared" ref="AM77:AM140" si="9">R77</f>
        <v>267</v>
      </c>
      <c r="AN77" s="168">
        <f t="shared" ref="AN77:AN140" si="10">Q77</f>
        <v>207</v>
      </c>
      <c r="AO77" s="164" t="str">
        <f t="shared" ref="AO77:AO140" si="11">IF(AN77&lt;AM77,"Yes","No")</f>
        <v>Yes</v>
      </c>
      <c r="AP77" s="164">
        <f t="shared" ref="AP77:AP140" si="12">AM77-AN77</f>
        <v>60</v>
      </c>
    </row>
    <row r="78" spans="2:42">
      <c r="B78" s="164">
        <v>2210421</v>
      </c>
      <c r="C78" s="164" t="s">
        <v>169</v>
      </c>
      <c r="D78" s="164" t="s">
        <v>510</v>
      </c>
      <c r="E78" s="164"/>
      <c r="F78" s="164" t="s">
        <v>194</v>
      </c>
      <c r="G78" s="164" t="s">
        <v>188</v>
      </c>
      <c r="H78" s="164" t="s">
        <v>182</v>
      </c>
      <c r="I78" s="164" t="s">
        <v>163</v>
      </c>
      <c r="J78" s="164" t="s">
        <v>163</v>
      </c>
      <c r="K78" s="164" t="s">
        <v>163</v>
      </c>
      <c r="L78" s="164" t="s">
        <v>163</v>
      </c>
      <c r="M78" s="164">
        <v>24.8</v>
      </c>
      <c r="N78" s="164">
        <v>17.5</v>
      </c>
      <c r="O78" s="165">
        <v>2.4</v>
      </c>
      <c r="P78" s="165">
        <v>2.4</v>
      </c>
      <c r="Q78" s="164">
        <v>213</v>
      </c>
      <c r="R78" s="164">
        <v>274</v>
      </c>
      <c r="S78" s="166">
        <v>0.22</v>
      </c>
      <c r="T78" s="164" t="s">
        <v>163</v>
      </c>
      <c r="U78" s="164"/>
      <c r="V78" s="167">
        <v>41713</v>
      </c>
      <c r="W78" s="167">
        <v>41718</v>
      </c>
      <c r="X78" s="164" t="s">
        <v>506</v>
      </c>
      <c r="Y78" s="164" t="s">
        <v>511</v>
      </c>
      <c r="Z78" s="164" t="s">
        <v>163</v>
      </c>
      <c r="AA78" s="168" t="s">
        <v>184</v>
      </c>
      <c r="AB78" s="168" t="s">
        <v>194</v>
      </c>
      <c r="AC78" s="168" t="s">
        <v>188</v>
      </c>
      <c r="AD78" s="168" t="s">
        <v>182</v>
      </c>
      <c r="AE78" s="168" t="s">
        <v>163</v>
      </c>
      <c r="AF78" s="168" t="s">
        <v>163</v>
      </c>
      <c r="AG78" s="168" t="s">
        <v>163</v>
      </c>
      <c r="AH78" s="168" t="str">
        <f t="shared" si="7"/>
        <v>Refrigerator-Compact-Manual-Yes-No-No-No</v>
      </c>
      <c r="AI78" s="168" t="s">
        <v>315</v>
      </c>
      <c r="AJ78" s="168">
        <v>7.84</v>
      </c>
      <c r="AK78" s="169">
        <v>219.1</v>
      </c>
      <c r="AL78" s="169">
        <f t="shared" si="8"/>
        <v>237.916</v>
      </c>
      <c r="AM78" s="168">
        <f t="shared" si="9"/>
        <v>274</v>
      </c>
      <c r="AN78" s="168">
        <f t="shared" si="10"/>
        <v>213</v>
      </c>
      <c r="AO78" s="164" t="str">
        <f t="shared" si="11"/>
        <v>Yes</v>
      </c>
      <c r="AP78" s="164">
        <f t="shared" si="12"/>
        <v>61</v>
      </c>
    </row>
    <row r="79" spans="2:42">
      <c r="B79" s="164">
        <v>2210422</v>
      </c>
      <c r="C79" s="164" t="s">
        <v>169</v>
      </c>
      <c r="D79" s="164" t="s">
        <v>512</v>
      </c>
      <c r="E79" s="164"/>
      <c r="F79" s="164" t="s">
        <v>194</v>
      </c>
      <c r="G79" s="164" t="s">
        <v>188</v>
      </c>
      <c r="H79" s="164" t="s">
        <v>182</v>
      </c>
      <c r="I79" s="164" t="s">
        <v>163</v>
      </c>
      <c r="J79" s="164" t="s">
        <v>163</v>
      </c>
      <c r="K79" s="164" t="s">
        <v>163</v>
      </c>
      <c r="L79" s="164" t="s">
        <v>163</v>
      </c>
      <c r="M79" s="164">
        <v>33.9</v>
      </c>
      <c r="N79" s="164">
        <v>19.7</v>
      </c>
      <c r="O79" s="165">
        <v>3.3</v>
      </c>
      <c r="P79" s="165">
        <v>3.3</v>
      </c>
      <c r="Q79" s="164">
        <v>220</v>
      </c>
      <c r="R79" s="164">
        <v>282</v>
      </c>
      <c r="S79" s="166">
        <v>0.22</v>
      </c>
      <c r="T79" s="164" t="s">
        <v>163</v>
      </c>
      <c r="U79" s="164"/>
      <c r="V79" s="167">
        <v>41713</v>
      </c>
      <c r="W79" s="167">
        <v>41718</v>
      </c>
      <c r="X79" s="164" t="s">
        <v>506</v>
      </c>
      <c r="Y79" s="164" t="s">
        <v>513</v>
      </c>
      <c r="Z79" s="164" t="s">
        <v>163</v>
      </c>
      <c r="AA79" s="168" t="s">
        <v>184</v>
      </c>
      <c r="AB79" s="168" t="s">
        <v>194</v>
      </c>
      <c r="AC79" s="168" t="s">
        <v>188</v>
      </c>
      <c r="AD79" s="168" t="s">
        <v>182</v>
      </c>
      <c r="AE79" s="168" t="s">
        <v>163</v>
      </c>
      <c r="AF79" s="168" t="s">
        <v>163</v>
      </c>
      <c r="AG79" s="168" t="s">
        <v>163</v>
      </c>
      <c r="AH79" s="168" t="str">
        <f t="shared" si="7"/>
        <v>Refrigerator-Compact-Manual-Yes-No-No-No</v>
      </c>
      <c r="AI79" s="168" t="s">
        <v>315</v>
      </c>
      <c r="AJ79" s="168">
        <v>7.84</v>
      </c>
      <c r="AK79" s="169">
        <v>219.1</v>
      </c>
      <c r="AL79" s="169">
        <f t="shared" si="8"/>
        <v>244.97199999999998</v>
      </c>
      <c r="AM79" s="168">
        <f t="shared" si="9"/>
        <v>282</v>
      </c>
      <c r="AN79" s="168">
        <f t="shared" si="10"/>
        <v>220</v>
      </c>
      <c r="AO79" s="164" t="str">
        <f t="shared" si="11"/>
        <v>Yes</v>
      </c>
      <c r="AP79" s="164">
        <f t="shared" si="12"/>
        <v>62</v>
      </c>
    </row>
    <row r="80" spans="2:42">
      <c r="B80" s="164">
        <v>2210423</v>
      </c>
      <c r="C80" s="164" t="s">
        <v>169</v>
      </c>
      <c r="D80" s="164" t="s">
        <v>514</v>
      </c>
      <c r="E80" s="164"/>
      <c r="F80" s="164" t="s">
        <v>194</v>
      </c>
      <c r="G80" s="164" t="s">
        <v>162</v>
      </c>
      <c r="H80" s="164" t="s">
        <v>182</v>
      </c>
      <c r="I80" s="164" t="s">
        <v>163</v>
      </c>
      <c r="J80" s="164" t="s">
        <v>163</v>
      </c>
      <c r="K80" s="164" t="s">
        <v>163</v>
      </c>
      <c r="L80" s="164" t="s">
        <v>163</v>
      </c>
      <c r="M80" s="164">
        <v>33</v>
      </c>
      <c r="N80" s="164">
        <v>18.5</v>
      </c>
      <c r="O80" s="165">
        <v>3.1</v>
      </c>
      <c r="P80" s="165">
        <v>3.8</v>
      </c>
      <c r="Q80" s="164">
        <v>270</v>
      </c>
      <c r="R80" s="164">
        <v>358</v>
      </c>
      <c r="S80" s="166">
        <v>0.25</v>
      </c>
      <c r="T80" s="164" t="s">
        <v>163</v>
      </c>
      <c r="U80" s="164"/>
      <c r="V80" s="167">
        <v>41713</v>
      </c>
      <c r="W80" s="167">
        <v>41718</v>
      </c>
      <c r="X80" s="164" t="s">
        <v>506</v>
      </c>
      <c r="Y80" s="164" t="s">
        <v>515</v>
      </c>
      <c r="Z80" s="164" t="s">
        <v>163</v>
      </c>
      <c r="AA80" s="168" t="s">
        <v>184</v>
      </c>
      <c r="AB80" s="168" t="s">
        <v>194</v>
      </c>
      <c r="AC80" s="168" t="s">
        <v>162</v>
      </c>
      <c r="AD80" s="168" t="s">
        <v>182</v>
      </c>
      <c r="AE80" s="168" t="s">
        <v>163</v>
      </c>
      <c r="AF80" s="168" t="s">
        <v>163</v>
      </c>
      <c r="AG80" s="168" t="s">
        <v>163</v>
      </c>
      <c r="AH80" s="168" t="str">
        <f t="shared" si="7"/>
        <v>Refrigerator-Compact-Automatic-Yes-No-No-No</v>
      </c>
      <c r="AI80" s="168" t="s">
        <v>329</v>
      </c>
      <c r="AJ80" s="168">
        <v>9.17</v>
      </c>
      <c r="AK80" s="169">
        <v>259.3</v>
      </c>
      <c r="AL80" s="169">
        <f t="shared" si="8"/>
        <v>294.14600000000002</v>
      </c>
      <c r="AM80" s="168">
        <f t="shared" si="9"/>
        <v>358</v>
      </c>
      <c r="AN80" s="168">
        <f t="shared" si="10"/>
        <v>270</v>
      </c>
      <c r="AO80" s="164" t="str">
        <f t="shared" si="11"/>
        <v>Yes</v>
      </c>
      <c r="AP80" s="164">
        <f t="shared" si="12"/>
        <v>88</v>
      </c>
    </row>
    <row r="81" spans="2:42">
      <c r="B81" s="164">
        <v>2210424</v>
      </c>
      <c r="C81" s="164" t="s">
        <v>169</v>
      </c>
      <c r="D81" s="164" t="s">
        <v>516</v>
      </c>
      <c r="E81" s="164"/>
      <c r="F81" s="164" t="s">
        <v>194</v>
      </c>
      <c r="G81" s="164" t="s">
        <v>162</v>
      </c>
      <c r="H81" s="164" t="s">
        <v>182</v>
      </c>
      <c r="I81" s="164" t="s">
        <v>163</v>
      </c>
      <c r="J81" s="164" t="s">
        <v>163</v>
      </c>
      <c r="K81" s="164" t="s">
        <v>163</v>
      </c>
      <c r="L81" s="164" t="s">
        <v>163</v>
      </c>
      <c r="M81" s="164">
        <v>33</v>
      </c>
      <c r="N81" s="164">
        <v>18.5</v>
      </c>
      <c r="O81" s="165">
        <v>3.1</v>
      </c>
      <c r="P81" s="165">
        <v>3.8</v>
      </c>
      <c r="Q81" s="164">
        <v>270</v>
      </c>
      <c r="R81" s="164">
        <v>358</v>
      </c>
      <c r="S81" s="166">
        <v>0.25</v>
      </c>
      <c r="T81" s="164" t="s">
        <v>163</v>
      </c>
      <c r="U81" s="164"/>
      <c r="V81" s="167">
        <v>41713</v>
      </c>
      <c r="W81" s="167">
        <v>41718</v>
      </c>
      <c r="X81" s="164" t="s">
        <v>506</v>
      </c>
      <c r="Y81" s="164" t="s">
        <v>517</v>
      </c>
      <c r="Z81" s="164" t="s">
        <v>163</v>
      </c>
      <c r="AA81" s="168" t="s">
        <v>184</v>
      </c>
      <c r="AB81" s="168" t="s">
        <v>194</v>
      </c>
      <c r="AC81" s="168" t="s">
        <v>162</v>
      </c>
      <c r="AD81" s="168" t="s">
        <v>182</v>
      </c>
      <c r="AE81" s="168" t="s">
        <v>163</v>
      </c>
      <c r="AF81" s="168" t="s">
        <v>163</v>
      </c>
      <c r="AG81" s="168" t="s">
        <v>163</v>
      </c>
      <c r="AH81" s="168" t="str">
        <f t="shared" si="7"/>
        <v>Refrigerator-Compact-Automatic-Yes-No-No-No</v>
      </c>
      <c r="AI81" s="168" t="s">
        <v>329</v>
      </c>
      <c r="AJ81" s="168">
        <v>9.17</v>
      </c>
      <c r="AK81" s="169">
        <v>259.3</v>
      </c>
      <c r="AL81" s="169">
        <f t="shared" si="8"/>
        <v>294.14600000000002</v>
      </c>
      <c r="AM81" s="168">
        <f t="shared" si="9"/>
        <v>358</v>
      </c>
      <c r="AN81" s="168">
        <f t="shared" si="10"/>
        <v>270</v>
      </c>
      <c r="AO81" s="164" t="str">
        <f t="shared" si="11"/>
        <v>Yes</v>
      </c>
      <c r="AP81" s="164">
        <f t="shared" si="12"/>
        <v>88</v>
      </c>
    </row>
    <row r="82" spans="2:42">
      <c r="B82" s="164">
        <v>2210425</v>
      </c>
      <c r="C82" s="164" t="s">
        <v>169</v>
      </c>
      <c r="D82" s="164" t="s">
        <v>518</v>
      </c>
      <c r="E82" s="164"/>
      <c r="F82" s="164" t="s">
        <v>194</v>
      </c>
      <c r="G82" s="164" t="s">
        <v>162</v>
      </c>
      <c r="H82" s="164" t="s">
        <v>182</v>
      </c>
      <c r="I82" s="164" t="s">
        <v>163</v>
      </c>
      <c r="J82" s="164" t="s">
        <v>163</v>
      </c>
      <c r="K82" s="164" t="s">
        <v>163</v>
      </c>
      <c r="L82" s="164" t="s">
        <v>163</v>
      </c>
      <c r="M82" s="164">
        <v>33</v>
      </c>
      <c r="N82" s="164">
        <v>18.5</v>
      </c>
      <c r="O82" s="165">
        <v>3.1</v>
      </c>
      <c r="P82" s="165">
        <v>3.8</v>
      </c>
      <c r="Q82" s="164">
        <v>270</v>
      </c>
      <c r="R82" s="164">
        <v>358</v>
      </c>
      <c r="S82" s="166">
        <v>0.25</v>
      </c>
      <c r="T82" s="164" t="s">
        <v>163</v>
      </c>
      <c r="U82" s="164"/>
      <c r="V82" s="167">
        <v>41713</v>
      </c>
      <c r="W82" s="167">
        <v>41718</v>
      </c>
      <c r="X82" s="164" t="s">
        <v>506</v>
      </c>
      <c r="Y82" s="164" t="s">
        <v>519</v>
      </c>
      <c r="Z82" s="164" t="s">
        <v>163</v>
      </c>
      <c r="AA82" s="168" t="s">
        <v>184</v>
      </c>
      <c r="AB82" s="168" t="s">
        <v>194</v>
      </c>
      <c r="AC82" s="168" t="s">
        <v>162</v>
      </c>
      <c r="AD82" s="168" t="s">
        <v>182</v>
      </c>
      <c r="AE82" s="168" t="s">
        <v>163</v>
      </c>
      <c r="AF82" s="168" t="s">
        <v>163</v>
      </c>
      <c r="AG82" s="168" t="s">
        <v>163</v>
      </c>
      <c r="AH82" s="168" t="str">
        <f t="shared" si="7"/>
        <v>Refrigerator-Compact-Automatic-Yes-No-No-No</v>
      </c>
      <c r="AI82" s="168" t="s">
        <v>329</v>
      </c>
      <c r="AJ82" s="168">
        <v>9.17</v>
      </c>
      <c r="AK82" s="169">
        <v>259.3</v>
      </c>
      <c r="AL82" s="169">
        <f t="shared" si="8"/>
        <v>294.14600000000002</v>
      </c>
      <c r="AM82" s="168">
        <f t="shared" si="9"/>
        <v>358</v>
      </c>
      <c r="AN82" s="168">
        <f t="shared" si="10"/>
        <v>270</v>
      </c>
      <c r="AO82" s="164" t="str">
        <f t="shared" si="11"/>
        <v>Yes</v>
      </c>
      <c r="AP82" s="164">
        <f t="shared" si="12"/>
        <v>88</v>
      </c>
    </row>
    <row r="83" spans="2:42">
      <c r="B83" s="164">
        <v>2218001</v>
      </c>
      <c r="C83" s="164" t="s">
        <v>520</v>
      </c>
      <c r="D83" s="164" t="s">
        <v>521</v>
      </c>
      <c r="E83" s="164"/>
      <c r="F83" s="164" t="s">
        <v>194</v>
      </c>
      <c r="G83" s="164" t="s">
        <v>162</v>
      </c>
      <c r="H83" s="164" t="s">
        <v>182</v>
      </c>
      <c r="I83" s="164" t="s">
        <v>163</v>
      </c>
      <c r="J83" s="164" t="s">
        <v>163</v>
      </c>
      <c r="K83" s="164" t="s">
        <v>163</v>
      </c>
      <c r="L83" s="164" t="s">
        <v>163</v>
      </c>
      <c r="M83" s="164">
        <v>25</v>
      </c>
      <c r="N83" s="164">
        <v>18.600000000000001</v>
      </c>
      <c r="O83" s="165">
        <v>2.2999999999999998</v>
      </c>
      <c r="P83" s="165">
        <v>2.2999999999999998</v>
      </c>
      <c r="Q83" s="164">
        <v>223</v>
      </c>
      <c r="R83" s="164">
        <v>280</v>
      </c>
      <c r="S83" s="166">
        <v>0.2</v>
      </c>
      <c r="T83" s="164" t="s">
        <v>163</v>
      </c>
      <c r="U83" s="164" t="s">
        <v>163</v>
      </c>
      <c r="V83" s="167">
        <v>41876</v>
      </c>
      <c r="W83" s="167">
        <v>41878</v>
      </c>
      <c r="X83" s="164" t="s">
        <v>506</v>
      </c>
      <c r="Y83" s="164" t="s">
        <v>522</v>
      </c>
      <c r="Z83" s="164" t="s">
        <v>163</v>
      </c>
      <c r="AA83" s="168" t="s">
        <v>184</v>
      </c>
      <c r="AB83" s="168" t="s">
        <v>194</v>
      </c>
      <c r="AC83" s="168" t="s">
        <v>162</v>
      </c>
      <c r="AD83" s="168" t="s">
        <v>182</v>
      </c>
      <c r="AE83" s="168" t="s">
        <v>163</v>
      </c>
      <c r="AF83" s="168" t="s">
        <v>163</v>
      </c>
      <c r="AG83" s="168" t="s">
        <v>163</v>
      </c>
      <c r="AH83" s="168" t="str">
        <f t="shared" si="7"/>
        <v>Refrigerator-Compact-Automatic-Yes-No-No-No</v>
      </c>
      <c r="AI83" s="168" t="s">
        <v>329</v>
      </c>
      <c r="AJ83" s="168">
        <v>9.17</v>
      </c>
      <c r="AK83" s="169">
        <v>259.3</v>
      </c>
      <c r="AL83" s="169">
        <f t="shared" si="8"/>
        <v>280.39100000000002</v>
      </c>
      <c r="AM83" s="168">
        <f t="shared" si="9"/>
        <v>280</v>
      </c>
      <c r="AN83" s="168">
        <f t="shared" si="10"/>
        <v>223</v>
      </c>
      <c r="AO83" s="164" t="str">
        <f t="shared" si="11"/>
        <v>Yes</v>
      </c>
      <c r="AP83" s="164">
        <f t="shared" si="12"/>
        <v>57</v>
      </c>
    </row>
    <row r="84" spans="2:42">
      <c r="B84" s="164">
        <v>2218005</v>
      </c>
      <c r="C84" s="164" t="s">
        <v>520</v>
      </c>
      <c r="D84" s="164" t="s">
        <v>523</v>
      </c>
      <c r="E84" s="164"/>
      <c r="F84" s="164" t="s">
        <v>194</v>
      </c>
      <c r="G84" s="164" t="s">
        <v>162</v>
      </c>
      <c r="H84" s="164" t="s">
        <v>182</v>
      </c>
      <c r="I84" s="164" t="s">
        <v>163</v>
      </c>
      <c r="J84" s="164" t="s">
        <v>163</v>
      </c>
      <c r="K84" s="164" t="s">
        <v>163</v>
      </c>
      <c r="L84" s="164" t="s">
        <v>163</v>
      </c>
      <c r="M84" s="164">
        <v>33.299999999999997</v>
      </c>
      <c r="N84" s="164">
        <v>18.600000000000001</v>
      </c>
      <c r="O84" s="165">
        <v>3</v>
      </c>
      <c r="P84" s="165">
        <v>3.6</v>
      </c>
      <c r="Q84" s="164">
        <v>319</v>
      </c>
      <c r="R84" s="164">
        <v>357</v>
      </c>
      <c r="S84" s="166">
        <v>0.11</v>
      </c>
      <c r="T84" s="164" t="s">
        <v>163</v>
      </c>
      <c r="U84" s="164" t="s">
        <v>163</v>
      </c>
      <c r="V84" s="167">
        <v>41852</v>
      </c>
      <c r="W84" s="167">
        <v>41878</v>
      </c>
      <c r="X84" s="164" t="s">
        <v>506</v>
      </c>
      <c r="Y84" s="164" t="s">
        <v>524</v>
      </c>
      <c r="Z84" s="164" t="s">
        <v>163</v>
      </c>
      <c r="AA84" s="168" t="s">
        <v>184</v>
      </c>
      <c r="AB84" s="168" t="s">
        <v>194</v>
      </c>
      <c r="AC84" s="168" t="s">
        <v>162</v>
      </c>
      <c r="AD84" s="168" t="s">
        <v>182</v>
      </c>
      <c r="AE84" s="168" t="s">
        <v>163</v>
      </c>
      <c r="AF84" s="168" t="s">
        <v>163</v>
      </c>
      <c r="AG84" s="168" t="s">
        <v>163</v>
      </c>
      <c r="AH84" s="168" t="str">
        <f t="shared" si="7"/>
        <v>Refrigerator-Compact-Automatic-Yes-No-No-No</v>
      </c>
      <c r="AI84" s="168" t="s">
        <v>329</v>
      </c>
      <c r="AJ84" s="168">
        <v>9.17</v>
      </c>
      <c r="AK84" s="169">
        <v>259.3</v>
      </c>
      <c r="AL84" s="169">
        <f t="shared" si="8"/>
        <v>292.31200000000001</v>
      </c>
      <c r="AM84" s="168">
        <f t="shared" si="9"/>
        <v>357</v>
      </c>
      <c r="AN84" s="168">
        <f t="shared" si="10"/>
        <v>319</v>
      </c>
      <c r="AO84" s="164" t="str">
        <f t="shared" si="11"/>
        <v>Yes</v>
      </c>
      <c r="AP84" s="164">
        <f t="shared" si="12"/>
        <v>38</v>
      </c>
    </row>
    <row r="85" spans="2:42">
      <c r="B85" s="164">
        <v>2218013</v>
      </c>
      <c r="C85" s="164" t="s">
        <v>520</v>
      </c>
      <c r="D85" s="164" t="s">
        <v>525</v>
      </c>
      <c r="E85" s="164"/>
      <c r="F85" s="164" t="s">
        <v>194</v>
      </c>
      <c r="G85" s="164" t="s">
        <v>162</v>
      </c>
      <c r="H85" s="164" t="s">
        <v>182</v>
      </c>
      <c r="I85" s="164" t="s">
        <v>163</v>
      </c>
      <c r="J85" s="164" t="s">
        <v>163</v>
      </c>
      <c r="K85" s="164" t="s">
        <v>163</v>
      </c>
      <c r="L85" s="164" t="s">
        <v>163</v>
      </c>
      <c r="M85" s="164">
        <v>33.299999999999997</v>
      </c>
      <c r="N85" s="164">
        <v>18.600000000000001</v>
      </c>
      <c r="O85" s="165">
        <v>3.6</v>
      </c>
      <c r="P85" s="165">
        <v>3.6</v>
      </c>
      <c r="Q85" s="164">
        <v>319</v>
      </c>
      <c r="R85" s="164">
        <v>292</v>
      </c>
      <c r="S85" s="166">
        <v>-0.09</v>
      </c>
      <c r="T85" s="164" t="s">
        <v>163</v>
      </c>
      <c r="U85" s="164" t="s">
        <v>163</v>
      </c>
      <c r="V85" s="167">
        <v>41869</v>
      </c>
      <c r="W85" s="167">
        <v>41878</v>
      </c>
      <c r="X85" s="164" t="s">
        <v>506</v>
      </c>
      <c r="Y85" s="164" t="s">
        <v>526</v>
      </c>
      <c r="Z85" s="164" t="s">
        <v>163</v>
      </c>
      <c r="AA85" s="168" t="s">
        <v>184</v>
      </c>
      <c r="AB85" s="168" t="s">
        <v>194</v>
      </c>
      <c r="AC85" s="168" t="s">
        <v>162</v>
      </c>
      <c r="AD85" s="168" t="s">
        <v>182</v>
      </c>
      <c r="AE85" s="168" t="s">
        <v>163</v>
      </c>
      <c r="AF85" s="168" t="s">
        <v>163</v>
      </c>
      <c r="AG85" s="168" t="s">
        <v>163</v>
      </c>
      <c r="AH85" s="168" t="str">
        <f t="shared" si="7"/>
        <v>Refrigerator-Compact-Automatic-Yes-No-No-No</v>
      </c>
      <c r="AI85" s="168" t="s">
        <v>329</v>
      </c>
      <c r="AJ85" s="168">
        <v>9.17</v>
      </c>
      <c r="AK85" s="169">
        <v>259.3</v>
      </c>
      <c r="AL85" s="169">
        <f t="shared" si="8"/>
        <v>292.31200000000001</v>
      </c>
      <c r="AM85" s="168">
        <f t="shared" si="9"/>
        <v>292</v>
      </c>
      <c r="AN85" s="168">
        <f t="shared" si="10"/>
        <v>319</v>
      </c>
      <c r="AO85" s="164" t="str">
        <f t="shared" si="11"/>
        <v>No</v>
      </c>
      <c r="AP85" s="164">
        <f t="shared" si="12"/>
        <v>-27</v>
      </c>
    </row>
    <row r="86" spans="2:42">
      <c r="B86" s="164">
        <v>2218024</v>
      </c>
      <c r="C86" s="164" t="s">
        <v>520</v>
      </c>
      <c r="D86" s="164" t="s">
        <v>527</v>
      </c>
      <c r="E86" s="164"/>
      <c r="F86" s="164" t="s">
        <v>194</v>
      </c>
      <c r="G86" s="164" t="s">
        <v>162</v>
      </c>
      <c r="H86" s="164" t="s">
        <v>182</v>
      </c>
      <c r="I86" s="164" t="s">
        <v>163</v>
      </c>
      <c r="J86" s="164" t="s">
        <v>163</v>
      </c>
      <c r="K86" s="164" t="s">
        <v>163</v>
      </c>
      <c r="L86" s="164" t="s">
        <v>163</v>
      </c>
      <c r="M86" s="164">
        <v>46</v>
      </c>
      <c r="N86" s="164">
        <v>18.600000000000001</v>
      </c>
      <c r="O86" s="165">
        <v>4.8</v>
      </c>
      <c r="P86" s="165">
        <v>5.8</v>
      </c>
      <c r="Q86" s="164">
        <v>346</v>
      </c>
      <c r="R86" s="164">
        <v>408</v>
      </c>
      <c r="S86" s="166">
        <v>0.15</v>
      </c>
      <c r="T86" s="164" t="s">
        <v>163</v>
      </c>
      <c r="U86" s="164" t="s">
        <v>163</v>
      </c>
      <c r="V86" s="167">
        <v>41887</v>
      </c>
      <c r="W86" s="167">
        <v>41878</v>
      </c>
      <c r="X86" s="164" t="s">
        <v>506</v>
      </c>
      <c r="Y86" s="164" t="s">
        <v>528</v>
      </c>
      <c r="Z86" s="164" t="s">
        <v>163</v>
      </c>
      <c r="AA86" s="168" t="s">
        <v>184</v>
      </c>
      <c r="AB86" s="168" t="s">
        <v>194</v>
      </c>
      <c r="AC86" s="168" t="s">
        <v>162</v>
      </c>
      <c r="AD86" s="168" t="s">
        <v>182</v>
      </c>
      <c r="AE86" s="168" t="s">
        <v>163</v>
      </c>
      <c r="AF86" s="168" t="s">
        <v>163</v>
      </c>
      <c r="AG86" s="168" t="s">
        <v>163</v>
      </c>
      <c r="AH86" s="168" t="str">
        <f t="shared" si="7"/>
        <v>Refrigerator-Compact-Automatic-Yes-No-No-No</v>
      </c>
      <c r="AI86" s="168" t="s">
        <v>329</v>
      </c>
      <c r="AJ86" s="168">
        <v>9.17</v>
      </c>
      <c r="AK86" s="169">
        <v>259.3</v>
      </c>
      <c r="AL86" s="169">
        <f t="shared" si="8"/>
        <v>312.48599999999999</v>
      </c>
      <c r="AM86" s="168">
        <f t="shared" si="9"/>
        <v>408</v>
      </c>
      <c r="AN86" s="168">
        <f t="shared" si="10"/>
        <v>346</v>
      </c>
      <c r="AO86" s="164" t="str">
        <f t="shared" si="11"/>
        <v>Yes</v>
      </c>
      <c r="AP86" s="164">
        <f t="shared" si="12"/>
        <v>62</v>
      </c>
    </row>
    <row r="87" spans="2:42">
      <c r="B87" s="164">
        <v>2206035</v>
      </c>
      <c r="C87" s="164" t="s">
        <v>174</v>
      </c>
      <c r="D87" s="164" t="s">
        <v>529</v>
      </c>
      <c r="E87" s="164"/>
      <c r="F87" s="164" t="s">
        <v>194</v>
      </c>
      <c r="G87" s="164" t="s">
        <v>188</v>
      </c>
      <c r="H87" s="164" t="s">
        <v>182</v>
      </c>
      <c r="I87" s="164" t="s">
        <v>163</v>
      </c>
      <c r="J87" s="164" t="s">
        <v>163</v>
      </c>
      <c r="K87" s="164" t="s">
        <v>163</v>
      </c>
      <c r="L87" s="164" t="s">
        <v>163</v>
      </c>
      <c r="M87" s="164">
        <v>33.1</v>
      </c>
      <c r="N87" s="164">
        <v>19.899999999999999</v>
      </c>
      <c r="O87" s="165">
        <v>4.2</v>
      </c>
      <c r="P87" s="165">
        <v>4.2</v>
      </c>
      <c r="Q87" s="164">
        <v>228</v>
      </c>
      <c r="R87" s="164">
        <v>290</v>
      </c>
      <c r="S87" s="166">
        <v>0.21</v>
      </c>
      <c r="T87" s="164" t="s">
        <v>163</v>
      </c>
      <c r="U87" s="164"/>
      <c r="V87" s="167">
        <v>41711</v>
      </c>
      <c r="W87" s="167">
        <v>41705</v>
      </c>
      <c r="X87" s="164" t="s">
        <v>387</v>
      </c>
      <c r="Y87" s="164" t="s">
        <v>530</v>
      </c>
      <c r="Z87" s="164" t="s">
        <v>163</v>
      </c>
      <c r="AA87" s="168" t="s">
        <v>184</v>
      </c>
      <c r="AB87" s="168" t="s">
        <v>194</v>
      </c>
      <c r="AC87" s="168" t="s">
        <v>188</v>
      </c>
      <c r="AD87" s="168" t="s">
        <v>182</v>
      </c>
      <c r="AE87" s="168" t="s">
        <v>163</v>
      </c>
      <c r="AF87" s="168" t="s">
        <v>163</v>
      </c>
      <c r="AG87" s="168" t="s">
        <v>163</v>
      </c>
      <c r="AH87" s="168" t="str">
        <f t="shared" si="7"/>
        <v>Refrigerator-Compact-Manual-Yes-No-No-No</v>
      </c>
      <c r="AI87" s="168" t="s">
        <v>315</v>
      </c>
      <c r="AJ87" s="168">
        <v>7.84</v>
      </c>
      <c r="AK87" s="169">
        <v>219.1</v>
      </c>
      <c r="AL87" s="169">
        <f t="shared" si="8"/>
        <v>252.02799999999999</v>
      </c>
      <c r="AM87" s="168">
        <f t="shared" si="9"/>
        <v>290</v>
      </c>
      <c r="AN87" s="168">
        <f t="shared" si="10"/>
        <v>228</v>
      </c>
      <c r="AO87" s="164" t="str">
        <f t="shared" si="11"/>
        <v>Yes</v>
      </c>
      <c r="AP87" s="164">
        <f t="shared" si="12"/>
        <v>62</v>
      </c>
    </row>
    <row r="88" spans="2:42">
      <c r="B88" s="164">
        <v>2210481</v>
      </c>
      <c r="C88" s="164" t="s">
        <v>531</v>
      </c>
      <c r="D88" s="164" t="s">
        <v>532</v>
      </c>
      <c r="E88" s="164"/>
      <c r="F88" s="164" t="s">
        <v>194</v>
      </c>
      <c r="G88" s="164" t="s">
        <v>188</v>
      </c>
      <c r="H88" s="164" t="s">
        <v>182</v>
      </c>
      <c r="I88" s="164" t="s">
        <v>163</v>
      </c>
      <c r="J88" s="164" t="s">
        <v>163</v>
      </c>
      <c r="K88" s="164" t="s">
        <v>163</v>
      </c>
      <c r="L88" s="164" t="s">
        <v>163</v>
      </c>
      <c r="M88" s="164">
        <v>24.8</v>
      </c>
      <c r="N88" s="164">
        <v>17.5</v>
      </c>
      <c r="O88" s="165">
        <v>2.4</v>
      </c>
      <c r="P88" s="165">
        <v>2.4</v>
      </c>
      <c r="Q88" s="164">
        <v>213</v>
      </c>
      <c r="R88" s="164">
        <v>274</v>
      </c>
      <c r="S88" s="166">
        <v>0.22</v>
      </c>
      <c r="T88" s="164" t="s">
        <v>163</v>
      </c>
      <c r="U88" s="164"/>
      <c r="V88" s="167">
        <v>41789</v>
      </c>
      <c r="W88" s="167">
        <v>41772</v>
      </c>
      <c r="X88" s="164" t="s">
        <v>506</v>
      </c>
      <c r="Y88" s="164" t="s">
        <v>533</v>
      </c>
      <c r="Z88" s="164" t="s">
        <v>163</v>
      </c>
      <c r="AA88" s="168" t="s">
        <v>184</v>
      </c>
      <c r="AB88" s="168" t="s">
        <v>194</v>
      </c>
      <c r="AC88" s="168" t="s">
        <v>188</v>
      </c>
      <c r="AD88" s="168" t="s">
        <v>182</v>
      </c>
      <c r="AE88" s="168" t="s">
        <v>163</v>
      </c>
      <c r="AF88" s="168" t="s">
        <v>163</v>
      </c>
      <c r="AG88" s="168" t="s">
        <v>163</v>
      </c>
      <c r="AH88" s="168" t="str">
        <f t="shared" si="7"/>
        <v>Refrigerator-Compact-Manual-Yes-No-No-No</v>
      </c>
      <c r="AI88" s="168" t="s">
        <v>315</v>
      </c>
      <c r="AJ88" s="168">
        <v>7.84</v>
      </c>
      <c r="AK88" s="169">
        <v>219.1</v>
      </c>
      <c r="AL88" s="169">
        <f t="shared" si="8"/>
        <v>237.916</v>
      </c>
      <c r="AM88" s="168">
        <f t="shared" si="9"/>
        <v>274</v>
      </c>
      <c r="AN88" s="168">
        <f t="shared" si="10"/>
        <v>213</v>
      </c>
      <c r="AO88" s="164" t="str">
        <f t="shared" si="11"/>
        <v>Yes</v>
      </c>
      <c r="AP88" s="164">
        <f t="shared" si="12"/>
        <v>61</v>
      </c>
    </row>
    <row r="89" spans="2:42">
      <c r="B89" s="164">
        <v>2210454</v>
      </c>
      <c r="C89" s="164" t="s">
        <v>531</v>
      </c>
      <c r="D89" s="164" t="s">
        <v>534</v>
      </c>
      <c r="E89" s="164"/>
      <c r="F89" s="164" t="s">
        <v>194</v>
      </c>
      <c r="G89" s="164" t="s">
        <v>188</v>
      </c>
      <c r="H89" s="164" t="s">
        <v>182</v>
      </c>
      <c r="I89" s="164" t="s">
        <v>163</v>
      </c>
      <c r="J89" s="164" t="s">
        <v>163</v>
      </c>
      <c r="K89" s="164" t="s">
        <v>163</v>
      </c>
      <c r="L89" s="164" t="s">
        <v>163</v>
      </c>
      <c r="M89" s="164">
        <v>33.9</v>
      </c>
      <c r="N89" s="164">
        <v>19.7</v>
      </c>
      <c r="O89" s="165">
        <v>4.4000000000000004</v>
      </c>
      <c r="P89" s="165">
        <v>4.4000000000000004</v>
      </c>
      <c r="Q89" s="164">
        <v>226</v>
      </c>
      <c r="R89" s="164">
        <v>292</v>
      </c>
      <c r="S89" s="166">
        <v>0.23</v>
      </c>
      <c r="T89" s="164" t="s">
        <v>163</v>
      </c>
      <c r="U89" s="164"/>
      <c r="V89" s="167">
        <v>41759</v>
      </c>
      <c r="W89" s="167">
        <v>41752</v>
      </c>
      <c r="X89" s="164" t="s">
        <v>506</v>
      </c>
      <c r="Y89" s="164" t="s">
        <v>535</v>
      </c>
      <c r="Z89" s="164" t="s">
        <v>163</v>
      </c>
      <c r="AA89" s="168" t="s">
        <v>184</v>
      </c>
      <c r="AB89" s="168" t="s">
        <v>194</v>
      </c>
      <c r="AC89" s="168" t="s">
        <v>188</v>
      </c>
      <c r="AD89" s="168" t="s">
        <v>182</v>
      </c>
      <c r="AE89" s="168" t="s">
        <v>163</v>
      </c>
      <c r="AF89" s="168" t="s">
        <v>163</v>
      </c>
      <c r="AG89" s="168" t="s">
        <v>163</v>
      </c>
      <c r="AH89" s="168" t="str">
        <f t="shared" si="7"/>
        <v>Refrigerator-Compact-Manual-Yes-No-No-No</v>
      </c>
      <c r="AI89" s="168" t="s">
        <v>315</v>
      </c>
      <c r="AJ89" s="168">
        <v>7.84</v>
      </c>
      <c r="AK89" s="169">
        <v>219.1</v>
      </c>
      <c r="AL89" s="169">
        <f t="shared" si="8"/>
        <v>253.596</v>
      </c>
      <c r="AM89" s="168">
        <f t="shared" si="9"/>
        <v>292</v>
      </c>
      <c r="AN89" s="168">
        <f t="shared" si="10"/>
        <v>226</v>
      </c>
      <c r="AO89" s="164" t="str">
        <f t="shared" si="11"/>
        <v>Yes</v>
      </c>
      <c r="AP89" s="164">
        <f t="shared" si="12"/>
        <v>66</v>
      </c>
    </row>
    <row r="90" spans="2:42">
      <c r="B90" s="164">
        <v>2214123</v>
      </c>
      <c r="C90" s="164" t="s">
        <v>531</v>
      </c>
      <c r="D90" s="164" t="s">
        <v>536</v>
      </c>
      <c r="E90" s="164"/>
      <c r="F90" s="164" t="s">
        <v>193</v>
      </c>
      <c r="G90" s="164" t="s">
        <v>162</v>
      </c>
      <c r="H90" s="164" t="s">
        <v>163</v>
      </c>
      <c r="I90" s="164" t="s">
        <v>163</v>
      </c>
      <c r="J90" s="164" t="s">
        <v>163</v>
      </c>
      <c r="K90" s="164" t="s">
        <v>163</v>
      </c>
      <c r="L90" s="164" t="s">
        <v>163</v>
      </c>
      <c r="M90" s="164">
        <v>59.8</v>
      </c>
      <c r="N90" s="164">
        <v>24</v>
      </c>
      <c r="O90" s="165">
        <v>9.9</v>
      </c>
      <c r="P90" s="165">
        <v>9.9</v>
      </c>
      <c r="Q90" s="164">
        <v>296</v>
      </c>
      <c r="R90" s="164">
        <v>314</v>
      </c>
      <c r="S90" s="166">
        <v>0.06</v>
      </c>
      <c r="T90" s="164" t="s">
        <v>163</v>
      </c>
      <c r="U90" s="164"/>
      <c r="V90" s="167">
        <v>41816</v>
      </c>
      <c r="W90" s="167">
        <v>41800</v>
      </c>
      <c r="X90" s="164" t="s">
        <v>387</v>
      </c>
      <c r="Y90" s="164" t="s">
        <v>537</v>
      </c>
      <c r="Z90" s="164" t="s">
        <v>163</v>
      </c>
      <c r="AA90" s="168" t="s">
        <v>184</v>
      </c>
      <c r="AB90" s="168" t="s">
        <v>193</v>
      </c>
      <c r="AC90" s="168" t="s">
        <v>162</v>
      </c>
      <c r="AD90" s="168" t="s">
        <v>163</v>
      </c>
      <c r="AE90" s="168" t="s">
        <v>163</v>
      </c>
      <c r="AF90" s="168" t="s">
        <v>163</v>
      </c>
      <c r="AG90" s="168" t="s">
        <v>163</v>
      </c>
      <c r="AH90" s="168" t="str">
        <f t="shared" si="7"/>
        <v>Refrigerator-Top Freezer-Automatic-No-No-No-No</v>
      </c>
      <c r="AI90" s="168">
        <v>3</v>
      </c>
      <c r="AJ90" s="168">
        <v>8.07</v>
      </c>
      <c r="AK90" s="169">
        <v>233.7</v>
      </c>
      <c r="AL90" s="169">
        <f t="shared" si="8"/>
        <v>313.59299999999996</v>
      </c>
      <c r="AM90" s="168">
        <f t="shared" si="9"/>
        <v>314</v>
      </c>
      <c r="AN90" s="168">
        <f t="shared" si="10"/>
        <v>296</v>
      </c>
      <c r="AO90" s="164" t="str">
        <f t="shared" si="11"/>
        <v>Yes</v>
      </c>
      <c r="AP90" s="164">
        <f t="shared" si="12"/>
        <v>18</v>
      </c>
    </row>
    <row r="91" spans="2:42">
      <c r="B91" s="164">
        <v>2214124</v>
      </c>
      <c r="C91" s="164" t="s">
        <v>531</v>
      </c>
      <c r="D91" s="164" t="s">
        <v>538</v>
      </c>
      <c r="E91" s="164"/>
      <c r="F91" s="164" t="s">
        <v>193</v>
      </c>
      <c r="G91" s="164" t="s">
        <v>162</v>
      </c>
      <c r="H91" s="164" t="s">
        <v>163</v>
      </c>
      <c r="I91" s="164" t="s">
        <v>163</v>
      </c>
      <c r="J91" s="164" t="s">
        <v>163</v>
      </c>
      <c r="K91" s="164" t="s">
        <v>163</v>
      </c>
      <c r="L91" s="164" t="s">
        <v>163</v>
      </c>
      <c r="M91" s="164">
        <v>59.8</v>
      </c>
      <c r="N91" s="164">
        <v>24</v>
      </c>
      <c r="O91" s="165">
        <v>9.9</v>
      </c>
      <c r="P91" s="165">
        <v>9.9</v>
      </c>
      <c r="Q91" s="164">
        <v>296</v>
      </c>
      <c r="R91" s="164">
        <v>314</v>
      </c>
      <c r="S91" s="166">
        <v>0.06</v>
      </c>
      <c r="T91" s="164" t="s">
        <v>163</v>
      </c>
      <c r="U91" s="164"/>
      <c r="V91" s="167">
        <v>41816</v>
      </c>
      <c r="W91" s="167">
        <v>41800</v>
      </c>
      <c r="X91" s="164" t="s">
        <v>387</v>
      </c>
      <c r="Y91" s="164" t="s">
        <v>539</v>
      </c>
      <c r="Z91" s="164" t="s">
        <v>163</v>
      </c>
      <c r="AA91" s="168" t="s">
        <v>184</v>
      </c>
      <c r="AB91" s="168" t="s">
        <v>193</v>
      </c>
      <c r="AC91" s="168" t="s">
        <v>162</v>
      </c>
      <c r="AD91" s="168" t="s">
        <v>163</v>
      </c>
      <c r="AE91" s="168" t="s">
        <v>163</v>
      </c>
      <c r="AF91" s="168" t="s">
        <v>163</v>
      </c>
      <c r="AG91" s="168" t="s">
        <v>163</v>
      </c>
      <c r="AH91" s="168" t="str">
        <f t="shared" si="7"/>
        <v>Refrigerator-Top Freezer-Automatic-No-No-No-No</v>
      </c>
      <c r="AI91" s="168">
        <v>3</v>
      </c>
      <c r="AJ91" s="168">
        <v>8.07</v>
      </c>
      <c r="AK91" s="169">
        <v>233.7</v>
      </c>
      <c r="AL91" s="169">
        <f t="shared" si="8"/>
        <v>313.59299999999996</v>
      </c>
      <c r="AM91" s="168">
        <f t="shared" si="9"/>
        <v>314</v>
      </c>
      <c r="AN91" s="168">
        <f t="shared" si="10"/>
        <v>296</v>
      </c>
      <c r="AO91" s="164" t="str">
        <f t="shared" si="11"/>
        <v>Yes</v>
      </c>
      <c r="AP91" s="164">
        <f t="shared" si="12"/>
        <v>18</v>
      </c>
    </row>
    <row r="92" spans="2:42">
      <c r="B92" s="164">
        <v>2214122</v>
      </c>
      <c r="C92" s="164" t="s">
        <v>531</v>
      </c>
      <c r="D92" s="164" t="s">
        <v>540</v>
      </c>
      <c r="E92" s="164"/>
      <c r="F92" s="164" t="s">
        <v>193</v>
      </c>
      <c r="G92" s="164" t="s">
        <v>162</v>
      </c>
      <c r="H92" s="164" t="s">
        <v>163</v>
      </c>
      <c r="I92" s="164" t="s">
        <v>163</v>
      </c>
      <c r="J92" s="164" t="s">
        <v>163</v>
      </c>
      <c r="K92" s="164" t="s">
        <v>163</v>
      </c>
      <c r="L92" s="164" t="s">
        <v>163</v>
      </c>
      <c r="M92" s="164">
        <v>59.8</v>
      </c>
      <c r="N92" s="164">
        <v>24</v>
      </c>
      <c r="O92" s="165">
        <v>9.9</v>
      </c>
      <c r="P92" s="165">
        <v>9.9</v>
      </c>
      <c r="Q92" s="164">
        <v>296</v>
      </c>
      <c r="R92" s="164">
        <v>314</v>
      </c>
      <c r="S92" s="166">
        <v>0.06</v>
      </c>
      <c r="T92" s="164" t="s">
        <v>163</v>
      </c>
      <c r="U92" s="164"/>
      <c r="V92" s="167">
        <v>41816</v>
      </c>
      <c r="W92" s="167">
        <v>41800</v>
      </c>
      <c r="X92" s="164" t="s">
        <v>387</v>
      </c>
      <c r="Y92" s="164" t="s">
        <v>541</v>
      </c>
      <c r="Z92" s="164" t="s">
        <v>163</v>
      </c>
      <c r="AA92" s="168" t="s">
        <v>184</v>
      </c>
      <c r="AB92" s="168" t="s">
        <v>193</v>
      </c>
      <c r="AC92" s="168" t="s">
        <v>162</v>
      </c>
      <c r="AD92" s="168" t="s">
        <v>163</v>
      </c>
      <c r="AE92" s="168" t="s">
        <v>163</v>
      </c>
      <c r="AF92" s="168" t="s">
        <v>163</v>
      </c>
      <c r="AG92" s="168" t="s">
        <v>163</v>
      </c>
      <c r="AH92" s="168" t="str">
        <f t="shared" si="7"/>
        <v>Refrigerator-Top Freezer-Automatic-No-No-No-No</v>
      </c>
      <c r="AI92" s="168">
        <v>3</v>
      </c>
      <c r="AJ92" s="168">
        <v>8.07</v>
      </c>
      <c r="AK92" s="169">
        <v>233.7</v>
      </c>
      <c r="AL92" s="169">
        <f t="shared" si="8"/>
        <v>313.59299999999996</v>
      </c>
      <c r="AM92" s="168">
        <f t="shared" si="9"/>
        <v>314</v>
      </c>
      <c r="AN92" s="168">
        <f t="shared" si="10"/>
        <v>296</v>
      </c>
      <c r="AO92" s="164" t="str">
        <f t="shared" si="11"/>
        <v>Yes</v>
      </c>
      <c r="AP92" s="164">
        <f t="shared" si="12"/>
        <v>18</v>
      </c>
    </row>
    <row r="93" spans="2:42">
      <c r="B93" s="164">
        <v>2214126</v>
      </c>
      <c r="C93" s="164" t="s">
        <v>531</v>
      </c>
      <c r="D93" s="164" t="s">
        <v>542</v>
      </c>
      <c r="E93" s="164"/>
      <c r="F93" s="164" t="s">
        <v>193</v>
      </c>
      <c r="G93" s="164" t="s">
        <v>162</v>
      </c>
      <c r="H93" s="164" t="s">
        <v>163</v>
      </c>
      <c r="I93" s="164" t="s">
        <v>163</v>
      </c>
      <c r="J93" s="164" t="s">
        <v>163</v>
      </c>
      <c r="K93" s="164" t="s">
        <v>163</v>
      </c>
      <c r="L93" s="164" t="s">
        <v>163</v>
      </c>
      <c r="M93" s="164">
        <v>59.8</v>
      </c>
      <c r="N93" s="164">
        <v>24</v>
      </c>
      <c r="O93" s="165">
        <v>11.5</v>
      </c>
      <c r="P93" s="165">
        <v>11.5</v>
      </c>
      <c r="Q93" s="164">
        <v>311</v>
      </c>
      <c r="R93" s="164">
        <v>327</v>
      </c>
      <c r="S93" s="166">
        <v>0.05</v>
      </c>
      <c r="T93" s="164" t="s">
        <v>163</v>
      </c>
      <c r="U93" s="164"/>
      <c r="V93" s="167">
        <v>41816</v>
      </c>
      <c r="W93" s="167">
        <v>41800</v>
      </c>
      <c r="X93" s="164" t="s">
        <v>387</v>
      </c>
      <c r="Y93" s="164" t="s">
        <v>543</v>
      </c>
      <c r="Z93" s="164" t="s">
        <v>163</v>
      </c>
      <c r="AA93" s="168" t="s">
        <v>184</v>
      </c>
      <c r="AB93" s="168" t="s">
        <v>193</v>
      </c>
      <c r="AC93" s="168" t="s">
        <v>162</v>
      </c>
      <c r="AD93" s="168" t="s">
        <v>163</v>
      </c>
      <c r="AE93" s="168" t="s">
        <v>163</v>
      </c>
      <c r="AF93" s="168" t="s">
        <v>163</v>
      </c>
      <c r="AG93" s="168" t="s">
        <v>163</v>
      </c>
      <c r="AH93" s="168" t="str">
        <f t="shared" si="7"/>
        <v>Refrigerator-Top Freezer-Automatic-No-No-No-No</v>
      </c>
      <c r="AI93" s="168">
        <v>3</v>
      </c>
      <c r="AJ93" s="168">
        <v>8.07</v>
      </c>
      <c r="AK93" s="169">
        <v>233.7</v>
      </c>
      <c r="AL93" s="169">
        <f t="shared" si="8"/>
        <v>326.505</v>
      </c>
      <c r="AM93" s="168">
        <f t="shared" si="9"/>
        <v>327</v>
      </c>
      <c r="AN93" s="168">
        <f t="shared" si="10"/>
        <v>311</v>
      </c>
      <c r="AO93" s="164" t="str">
        <f t="shared" si="11"/>
        <v>Yes</v>
      </c>
      <c r="AP93" s="164">
        <f t="shared" si="12"/>
        <v>16</v>
      </c>
    </row>
    <row r="94" spans="2:42">
      <c r="B94" s="164">
        <v>2214127</v>
      </c>
      <c r="C94" s="164" t="s">
        <v>531</v>
      </c>
      <c r="D94" s="164" t="s">
        <v>544</v>
      </c>
      <c r="E94" s="164"/>
      <c r="F94" s="164" t="s">
        <v>193</v>
      </c>
      <c r="G94" s="164" t="s">
        <v>162</v>
      </c>
      <c r="H94" s="164" t="s">
        <v>163</v>
      </c>
      <c r="I94" s="164" t="s">
        <v>163</v>
      </c>
      <c r="J94" s="164" t="s">
        <v>163</v>
      </c>
      <c r="K94" s="164" t="s">
        <v>163</v>
      </c>
      <c r="L94" s="164" t="s">
        <v>163</v>
      </c>
      <c r="M94" s="164">
        <v>59.8</v>
      </c>
      <c r="N94" s="164">
        <v>24</v>
      </c>
      <c r="O94" s="165">
        <v>11.5</v>
      </c>
      <c r="P94" s="165">
        <v>11.5</v>
      </c>
      <c r="Q94" s="164">
        <v>311</v>
      </c>
      <c r="R94" s="164">
        <v>327</v>
      </c>
      <c r="S94" s="166">
        <v>0.05</v>
      </c>
      <c r="T94" s="164" t="s">
        <v>163</v>
      </c>
      <c r="U94" s="164"/>
      <c r="V94" s="167">
        <v>41816</v>
      </c>
      <c r="W94" s="167">
        <v>41800</v>
      </c>
      <c r="X94" s="164" t="s">
        <v>387</v>
      </c>
      <c r="Y94" s="164" t="s">
        <v>545</v>
      </c>
      <c r="Z94" s="164" t="s">
        <v>163</v>
      </c>
      <c r="AA94" s="168" t="s">
        <v>184</v>
      </c>
      <c r="AB94" s="168" t="s">
        <v>193</v>
      </c>
      <c r="AC94" s="168" t="s">
        <v>162</v>
      </c>
      <c r="AD94" s="168" t="s">
        <v>163</v>
      </c>
      <c r="AE94" s="168" t="s">
        <v>163</v>
      </c>
      <c r="AF94" s="168" t="s">
        <v>163</v>
      </c>
      <c r="AG94" s="168" t="s">
        <v>163</v>
      </c>
      <c r="AH94" s="168" t="str">
        <f t="shared" si="7"/>
        <v>Refrigerator-Top Freezer-Automatic-No-No-No-No</v>
      </c>
      <c r="AI94" s="168">
        <v>3</v>
      </c>
      <c r="AJ94" s="168">
        <v>8.07</v>
      </c>
      <c r="AK94" s="169">
        <v>233.7</v>
      </c>
      <c r="AL94" s="169">
        <f t="shared" si="8"/>
        <v>326.505</v>
      </c>
      <c r="AM94" s="168">
        <f t="shared" si="9"/>
        <v>327</v>
      </c>
      <c r="AN94" s="168">
        <f t="shared" si="10"/>
        <v>311</v>
      </c>
      <c r="AO94" s="164" t="str">
        <f t="shared" si="11"/>
        <v>Yes</v>
      </c>
      <c r="AP94" s="164">
        <f t="shared" si="12"/>
        <v>16</v>
      </c>
    </row>
    <row r="95" spans="2:42">
      <c r="B95" s="164">
        <v>2214125</v>
      </c>
      <c r="C95" s="164" t="s">
        <v>531</v>
      </c>
      <c r="D95" s="164" t="s">
        <v>546</v>
      </c>
      <c r="E95" s="164"/>
      <c r="F95" s="164" t="s">
        <v>193</v>
      </c>
      <c r="G95" s="164" t="s">
        <v>162</v>
      </c>
      <c r="H95" s="164" t="s">
        <v>163</v>
      </c>
      <c r="I95" s="164" t="s">
        <v>163</v>
      </c>
      <c r="J95" s="164" t="s">
        <v>163</v>
      </c>
      <c r="K95" s="164" t="s">
        <v>163</v>
      </c>
      <c r="L95" s="164" t="s">
        <v>163</v>
      </c>
      <c r="M95" s="164">
        <v>59.8</v>
      </c>
      <c r="N95" s="164">
        <v>24</v>
      </c>
      <c r="O95" s="165">
        <v>11.5</v>
      </c>
      <c r="P95" s="165">
        <v>11.5</v>
      </c>
      <c r="Q95" s="164">
        <v>311</v>
      </c>
      <c r="R95" s="164">
        <v>327</v>
      </c>
      <c r="S95" s="166">
        <v>0.05</v>
      </c>
      <c r="T95" s="164" t="s">
        <v>163</v>
      </c>
      <c r="U95" s="164"/>
      <c r="V95" s="167">
        <v>41816</v>
      </c>
      <c r="W95" s="167">
        <v>41800</v>
      </c>
      <c r="X95" s="164" t="s">
        <v>387</v>
      </c>
      <c r="Y95" s="164" t="s">
        <v>547</v>
      </c>
      <c r="Z95" s="164" t="s">
        <v>163</v>
      </c>
      <c r="AA95" s="168" t="s">
        <v>184</v>
      </c>
      <c r="AB95" s="168" t="s">
        <v>193</v>
      </c>
      <c r="AC95" s="168" t="s">
        <v>162</v>
      </c>
      <c r="AD95" s="168" t="s">
        <v>163</v>
      </c>
      <c r="AE95" s="168" t="s">
        <v>163</v>
      </c>
      <c r="AF95" s="168" t="s">
        <v>163</v>
      </c>
      <c r="AG95" s="168" t="s">
        <v>163</v>
      </c>
      <c r="AH95" s="168" t="str">
        <f t="shared" si="7"/>
        <v>Refrigerator-Top Freezer-Automatic-No-No-No-No</v>
      </c>
      <c r="AI95" s="168">
        <v>3</v>
      </c>
      <c r="AJ95" s="168">
        <v>8.07</v>
      </c>
      <c r="AK95" s="169">
        <v>233.7</v>
      </c>
      <c r="AL95" s="169">
        <f t="shared" si="8"/>
        <v>326.505</v>
      </c>
      <c r="AM95" s="168">
        <f t="shared" si="9"/>
        <v>327</v>
      </c>
      <c r="AN95" s="168">
        <f t="shared" si="10"/>
        <v>311</v>
      </c>
      <c r="AO95" s="164" t="str">
        <f t="shared" si="11"/>
        <v>Yes</v>
      </c>
      <c r="AP95" s="164">
        <f t="shared" si="12"/>
        <v>16</v>
      </c>
    </row>
    <row r="96" spans="2:42">
      <c r="B96" s="164">
        <v>2210482</v>
      </c>
      <c r="C96" s="164" t="s">
        <v>531</v>
      </c>
      <c r="D96" s="164" t="s">
        <v>548</v>
      </c>
      <c r="E96" s="164"/>
      <c r="F96" s="164" t="s">
        <v>194</v>
      </c>
      <c r="G96" s="164" t="s">
        <v>162</v>
      </c>
      <c r="H96" s="164" t="s">
        <v>182</v>
      </c>
      <c r="I96" s="164" t="s">
        <v>163</v>
      </c>
      <c r="J96" s="164" t="s">
        <v>163</v>
      </c>
      <c r="K96" s="164" t="s">
        <v>163</v>
      </c>
      <c r="L96" s="164" t="s">
        <v>163</v>
      </c>
      <c r="M96" s="164">
        <v>33</v>
      </c>
      <c r="N96" s="164">
        <v>18.5</v>
      </c>
      <c r="O96" s="165">
        <v>3.1</v>
      </c>
      <c r="P96" s="165">
        <v>3.8</v>
      </c>
      <c r="Q96" s="164">
        <v>270</v>
      </c>
      <c r="R96" s="164">
        <v>358</v>
      </c>
      <c r="S96" s="166">
        <v>0.25</v>
      </c>
      <c r="T96" s="164" t="s">
        <v>163</v>
      </c>
      <c r="U96" s="164"/>
      <c r="V96" s="167">
        <v>41789</v>
      </c>
      <c r="W96" s="167">
        <v>41772</v>
      </c>
      <c r="X96" s="164" t="s">
        <v>506</v>
      </c>
      <c r="Y96" s="164" t="s">
        <v>549</v>
      </c>
      <c r="Z96" s="164" t="s">
        <v>163</v>
      </c>
      <c r="AA96" s="168" t="s">
        <v>184</v>
      </c>
      <c r="AB96" s="168" t="s">
        <v>194</v>
      </c>
      <c r="AC96" s="168" t="s">
        <v>162</v>
      </c>
      <c r="AD96" s="168" t="s">
        <v>182</v>
      </c>
      <c r="AE96" s="168" t="s">
        <v>163</v>
      </c>
      <c r="AF96" s="168" t="s">
        <v>163</v>
      </c>
      <c r="AG96" s="168" t="s">
        <v>163</v>
      </c>
      <c r="AH96" s="168" t="str">
        <f t="shared" si="7"/>
        <v>Refrigerator-Compact-Automatic-Yes-No-No-No</v>
      </c>
      <c r="AI96" s="168" t="s">
        <v>329</v>
      </c>
      <c r="AJ96" s="168">
        <v>9.17</v>
      </c>
      <c r="AK96" s="169">
        <v>259.3</v>
      </c>
      <c r="AL96" s="169">
        <f t="shared" si="8"/>
        <v>294.14600000000002</v>
      </c>
      <c r="AM96" s="168">
        <f t="shared" si="9"/>
        <v>358</v>
      </c>
      <c r="AN96" s="168">
        <f t="shared" si="10"/>
        <v>270</v>
      </c>
      <c r="AO96" s="164" t="str">
        <f t="shared" si="11"/>
        <v>Yes</v>
      </c>
      <c r="AP96" s="164">
        <f t="shared" si="12"/>
        <v>88</v>
      </c>
    </row>
    <row r="97" spans="2:42">
      <c r="B97" s="164">
        <v>2210483</v>
      </c>
      <c r="C97" s="164" t="s">
        <v>531</v>
      </c>
      <c r="D97" s="164" t="s">
        <v>550</v>
      </c>
      <c r="E97" s="164"/>
      <c r="F97" s="164" t="s">
        <v>194</v>
      </c>
      <c r="G97" s="164" t="s">
        <v>188</v>
      </c>
      <c r="H97" s="164" t="s">
        <v>182</v>
      </c>
      <c r="I97" s="164" t="s">
        <v>163</v>
      </c>
      <c r="J97" s="164" t="s">
        <v>163</v>
      </c>
      <c r="K97" s="164" t="s">
        <v>163</v>
      </c>
      <c r="L97" s="164" t="s">
        <v>163</v>
      </c>
      <c r="M97" s="164">
        <v>24.8</v>
      </c>
      <c r="N97" s="164">
        <v>17.5</v>
      </c>
      <c r="O97" s="165">
        <v>2.4</v>
      </c>
      <c r="P97" s="165">
        <v>2.4</v>
      </c>
      <c r="Q97" s="164">
        <v>213</v>
      </c>
      <c r="R97" s="164">
        <v>274</v>
      </c>
      <c r="S97" s="166">
        <v>0.22</v>
      </c>
      <c r="T97" s="164" t="s">
        <v>163</v>
      </c>
      <c r="U97" s="164"/>
      <c r="V97" s="167">
        <v>41789</v>
      </c>
      <c r="W97" s="167">
        <v>41772</v>
      </c>
      <c r="X97" s="164" t="s">
        <v>506</v>
      </c>
      <c r="Y97" s="164" t="s">
        <v>551</v>
      </c>
      <c r="Z97" s="164" t="s">
        <v>163</v>
      </c>
      <c r="AA97" s="168" t="s">
        <v>184</v>
      </c>
      <c r="AB97" s="168" t="s">
        <v>194</v>
      </c>
      <c r="AC97" s="168" t="s">
        <v>188</v>
      </c>
      <c r="AD97" s="168" t="s">
        <v>182</v>
      </c>
      <c r="AE97" s="168" t="s">
        <v>163</v>
      </c>
      <c r="AF97" s="168" t="s">
        <v>163</v>
      </c>
      <c r="AG97" s="168" t="s">
        <v>163</v>
      </c>
      <c r="AH97" s="168" t="str">
        <f t="shared" si="7"/>
        <v>Refrigerator-Compact-Manual-Yes-No-No-No</v>
      </c>
      <c r="AI97" s="168" t="s">
        <v>315</v>
      </c>
      <c r="AJ97" s="168">
        <v>7.84</v>
      </c>
      <c r="AK97" s="169">
        <v>219.1</v>
      </c>
      <c r="AL97" s="169">
        <f t="shared" si="8"/>
        <v>237.916</v>
      </c>
      <c r="AM97" s="168">
        <f t="shared" si="9"/>
        <v>274</v>
      </c>
      <c r="AN97" s="168">
        <f t="shared" si="10"/>
        <v>213</v>
      </c>
      <c r="AO97" s="164" t="str">
        <f t="shared" si="11"/>
        <v>Yes</v>
      </c>
      <c r="AP97" s="164">
        <f t="shared" si="12"/>
        <v>61</v>
      </c>
    </row>
    <row r="98" spans="2:42">
      <c r="B98" s="164">
        <v>2210484</v>
      </c>
      <c r="C98" s="164" t="s">
        <v>531</v>
      </c>
      <c r="D98" s="164" t="s">
        <v>552</v>
      </c>
      <c r="E98" s="164"/>
      <c r="F98" s="164" t="s">
        <v>194</v>
      </c>
      <c r="G98" s="164" t="s">
        <v>162</v>
      </c>
      <c r="H98" s="164" t="s">
        <v>182</v>
      </c>
      <c r="I98" s="164" t="s">
        <v>163</v>
      </c>
      <c r="J98" s="164" t="s">
        <v>163</v>
      </c>
      <c r="K98" s="164" t="s">
        <v>163</v>
      </c>
      <c r="L98" s="164" t="s">
        <v>163</v>
      </c>
      <c r="M98" s="164">
        <v>33</v>
      </c>
      <c r="N98" s="164">
        <v>18.5</v>
      </c>
      <c r="O98" s="165">
        <v>3.1</v>
      </c>
      <c r="P98" s="165">
        <v>3.8</v>
      </c>
      <c r="Q98" s="164">
        <v>270</v>
      </c>
      <c r="R98" s="164">
        <v>358</v>
      </c>
      <c r="S98" s="166">
        <v>0.25</v>
      </c>
      <c r="T98" s="164" t="s">
        <v>163</v>
      </c>
      <c r="U98" s="164"/>
      <c r="V98" s="167">
        <v>41789</v>
      </c>
      <c r="W98" s="167">
        <v>41772</v>
      </c>
      <c r="X98" s="164" t="s">
        <v>506</v>
      </c>
      <c r="Y98" s="164" t="s">
        <v>553</v>
      </c>
      <c r="Z98" s="164" t="s">
        <v>163</v>
      </c>
      <c r="AA98" s="168" t="s">
        <v>184</v>
      </c>
      <c r="AB98" s="168" t="s">
        <v>194</v>
      </c>
      <c r="AC98" s="168" t="s">
        <v>162</v>
      </c>
      <c r="AD98" s="168" t="s">
        <v>182</v>
      </c>
      <c r="AE98" s="168" t="s">
        <v>163</v>
      </c>
      <c r="AF98" s="168" t="s">
        <v>163</v>
      </c>
      <c r="AG98" s="168" t="s">
        <v>163</v>
      </c>
      <c r="AH98" s="168" t="str">
        <f t="shared" si="7"/>
        <v>Refrigerator-Compact-Automatic-Yes-No-No-No</v>
      </c>
      <c r="AI98" s="168" t="s">
        <v>329</v>
      </c>
      <c r="AJ98" s="168">
        <v>9.17</v>
      </c>
      <c r="AK98" s="169">
        <v>259.3</v>
      </c>
      <c r="AL98" s="169">
        <f t="shared" si="8"/>
        <v>294.14600000000002</v>
      </c>
      <c r="AM98" s="168">
        <f t="shared" si="9"/>
        <v>358</v>
      </c>
      <c r="AN98" s="168">
        <f t="shared" si="10"/>
        <v>270</v>
      </c>
      <c r="AO98" s="164" t="str">
        <f t="shared" si="11"/>
        <v>Yes</v>
      </c>
      <c r="AP98" s="164">
        <f t="shared" si="12"/>
        <v>88</v>
      </c>
    </row>
    <row r="99" spans="2:42">
      <c r="B99" s="164">
        <v>2210485</v>
      </c>
      <c r="C99" s="164" t="s">
        <v>531</v>
      </c>
      <c r="D99" s="164" t="s">
        <v>554</v>
      </c>
      <c r="E99" s="164"/>
      <c r="F99" s="164" t="s">
        <v>194</v>
      </c>
      <c r="G99" s="164" t="s">
        <v>162</v>
      </c>
      <c r="H99" s="164" t="s">
        <v>182</v>
      </c>
      <c r="I99" s="164" t="s">
        <v>163</v>
      </c>
      <c r="J99" s="164" t="s">
        <v>163</v>
      </c>
      <c r="K99" s="164" t="s">
        <v>163</v>
      </c>
      <c r="L99" s="164" t="s">
        <v>163</v>
      </c>
      <c r="M99" s="164">
        <v>33</v>
      </c>
      <c r="N99" s="164">
        <v>18.5</v>
      </c>
      <c r="O99" s="165">
        <v>3.1</v>
      </c>
      <c r="P99" s="165">
        <v>3.8</v>
      </c>
      <c r="Q99" s="164">
        <v>270</v>
      </c>
      <c r="R99" s="164">
        <v>358</v>
      </c>
      <c r="S99" s="166">
        <v>0.25</v>
      </c>
      <c r="T99" s="164" t="s">
        <v>163</v>
      </c>
      <c r="U99" s="164"/>
      <c r="V99" s="167">
        <v>41789</v>
      </c>
      <c r="W99" s="167">
        <v>41772</v>
      </c>
      <c r="X99" s="164" t="s">
        <v>506</v>
      </c>
      <c r="Y99" s="164" t="s">
        <v>555</v>
      </c>
      <c r="Z99" s="164" t="s">
        <v>163</v>
      </c>
      <c r="AA99" s="168" t="s">
        <v>184</v>
      </c>
      <c r="AB99" s="168" t="s">
        <v>194</v>
      </c>
      <c r="AC99" s="168" t="s">
        <v>162</v>
      </c>
      <c r="AD99" s="168" t="s">
        <v>182</v>
      </c>
      <c r="AE99" s="168" t="s">
        <v>163</v>
      </c>
      <c r="AF99" s="168" t="s">
        <v>163</v>
      </c>
      <c r="AG99" s="168" t="s">
        <v>163</v>
      </c>
      <c r="AH99" s="168" t="str">
        <f t="shared" si="7"/>
        <v>Refrigerator-Compact-Automatic-Yes-No-No-No</v>
      </c>
      <c r="AI99" s="168" t="s">
        <v>329</v>
      </c>
      <c r="AJ99" s="168">
        <v>9.17</v>
      </c>
      <c r="AK99" s="169">
        <v>259.3</v>
      </c>
      <c r="AL99" s="169">
        <f t="shared" si="8"/>
        <v>294.14600000000002</v>
      </c>
      <c r="AM99" s="168">
        <f t="shared" si="9"/>
        <v>358</v>
      </c>
      <c r="AN99" s="168">
        <f t="shared" si="10"/>
        <v>270</v>
      </c>
      <c r="AO99" s="164" t="str">
        <f t="shared" si="11"/>
        <v>Yes</v>
      </c>
      <c r="AP99" s="164">
        <f t="shared" si="12"/>
        <v>88</v>
      </c>
    </row>
    <row r="100" spans="2:42">
      <c r="B100" s="164">
        <v>2216363</v>
      </c>
      <c r="C100" s="164" t="s">
        <v>164</v>
      </c>
      <c r="D100" s="164" t="s">
        <v>556</v>
      </c>
      <c r="E100" s="164"/>
      <c r="F100" s="164" t="s">
        <v>194</v>
      </c>
      <c r="G100" s="164" t="s">
        <v>162</v>
      </c>
      <c r="H100" s="164" t="s">
        <v>182</v>
      </c>
      <c r="I100" s="164" t="s">
        <v>163</v>
      </c>
      <c r="J100" s="164" t="s">
        <v>163</v>
      </c>
      <c r="K100" s="164" t="s">
        <v>163</v>
      </c>
      <c r="L100" s="164" t="s">
        <v>163</v>
      </c>
      <c r="M100" s="164">
        <v>25</v>
      </c>
      <c r="N100" s="164">
        <v>18.5</v>
      </c>
      <c r="O100" s="165">
        <v>2.2000000000000002</v>
      </c>
      <c r="P100" s="165">
        <v>2.2000000000000002</v>
      </c>
      <c r="Q100" s="164">
        <v>230</v>
      </c>
      <c r="R100" s="164">
        <v>279</v>
      </c>
      <c r="S100" s="166">
        <v>0.18</v>
      </c>
      <c r="T100" s="164" t="s">
        <v>163</v>
      </c>
      <c r="U100" s="164"/>
      <c r="V100" s="167">
        <v>41841</v>
      </c>
      <c r="W100" s="167">
        <v>41842</v>
      </c>
      <c r="X100" s="164" t="s">
        <v>506</v>
      </c>
      <c r="Y100" s="164" t="s">
        <v>557</v>
      </c>
      <c r="Z100" s="164" t="s">
        <v>163</v>
      </c>
      <c r="AA100" s="168" t="s">
        <v>184</v>
      </c>
      <c r="AB100" s="168" t="s">
        <v>194</v>
      </c>
      <c r="AC100" s="168" t="s">
        <v>162</v>
      </c>
      <c r="AD100" s="168" t="s">
        <v>182</v>
      </c>
      <c r="AE100" s="168" t="s">
        <v>163</v>
      </c>
      <c r="AF100" s="168" t="s">
        <v>163</v>
      </c>
      <c r="AG100" s="168" t="s">
        <v>163</v>
      </c>
      <c r="AH100" s="168" t="str">
        <f t="shared" si="7"/>
        <v>Refrigerator-Compact-Automatic-Yes-No-No-No</v>
      </c>
      <c r="AI100" s="168" t="s">
        <v>329</v>
      </c>
      <c r="AJ100" s="168">
        <v>9.17</v>
      </c>
      <c r="AK100" s="169">
        <v>259.3</v>
      </c>
      <c r="AL100" s="169">
        <f t="shared" si="8"/>
        <v>279.47399999999999</v>
      </c>
      <c r="AM100" s="168">
        <f t="shared" si="9"/>
        <v>279</v>
      </c>
      <c r="AN100" s="168">
        <f t="shared" si="10"/>
        <v>230</v>
      </c>
      <c r="AO100" s="164" t="str">
        <f t="shared" si="11"/>
        <v>Yes</v>
      </c>
      <c r="AP100" s="164">
        <f t="shared" si="12"/>
        <v>49</v>
      </c>
    </row>
    <row r="101" spans="2:42">
      <c r="B101" s="164">
        <v>2215460</v>
      </c>
      <c r="C101" s="164" t="s">
        <v>164</v>
      </c>
      <c r="D101" s="164" t="s">
        <v>558</v>
      </c>
      <c r="E101" s="164"/>
      <c r="F101" s="164" t="s">
        <v>194</v>
      </c>
      <c r="G101" s="164" t="s">
        <v>162</v>
      </c>
      <c r="H101" s="164" t="s">
        <v>182</v>
      </c>
      <c r="I101" s="164" t="s">
        <v>163</v>
      </c>
      <c r="J101" s="164" t="s">
        <v>163</v>
      </c>
      <c r="K101" s="164" t="s">
        <v>163</v>
      </c>
      <c r="L101" s="164" t="s">
        <v>163</v>
      </c>
      <c r="M101" s="164">
        <v>33.5</v>
      </c>
      <c r="N101" s="164">
        <v>18.7</v>
      </c>
      <c r="O101" s="165">
        <v>3.2</v>
      </c>
      <c r="P101" s="165">
        <v>3.2</v>
      </c>
      <c r="Q101" s="164">
        <v>259</v>
      </c>
      <c r="R101" s="164">
        <v>289</v>
      </c>
      <c r="S101" s="166">
        <v>0.1</v>
      </c>
      <c r="T101" s="164" t="s">
        <v>163</v>
      </c>
      <c r="U101" s="164"/>
      <c r="V101" s="167">
        <v>41829</v>
      </c>
      <c r="W101" s="167">
        <v>41830</v>
      </c>
      <c r="X101" s="164" t="s">
        <v>506</v>
      </c>
      <c r="Y101" s="164" t="s">
        <v>559</v>
      </c>
      <c r="Z101" s="164" t="s">
        <v>163</v>
      </c>
      <c r="AA101" s="168" t="s">
        <v>184</v>
      </c>
      <c r="AB101" s="168" t="s">
        <v>194</v>
      </c>
      <c r="AC101" s="168" t="s">
        <v>162</v>
      </c>
      <c r="AD101" s="168" t="s">
        <v>182</v>
      </c>
      <c r="AE101" s="168" t="s">
        <v>163</v>
      </c>
      <c r="AF101" s="168" t="s">
        <v>163</v>
      </c>
      <c r="AG101" s="168" t="s">
        <v>163</v>
      </c>
      <c r="AH101" s="168" t="str">
        <f t="shared" si="7"/>
        <v>Refrigerator-Compact-Automatic-Yes-No-No-No</v>
      </c>
      <c r="AI101" s="168" t="s">
        <v>329</v>
      </c>
      <c r="AJ101" s="168">
        <v>9.17</v>
      </c>
      <c r="AK101" s="169">
        <v>259.3</v>
      </c>
      <c r="AL101" s="169">
        <f t="shared" si="8"/>
        <v>288.64400000000001</v>
      </c>
      <c r="AM101" s="168">
        <f t="shared" si="9"/>
        <v>289</v>
      </c>
      <c r="AN101" s="168">
        <f t="shared" si="10"/>
        <v>259</v>
      </c>
      <c r="AO101" s="164" t="str">
        <f t="shared" si="11"/>
        <v>Yes</v>
      </c>
      <c r="AP101" s="164">
        <f t="shared" si="12"/>
        <v>30</v>
      </c>
    </row>
    <row r="102" spans="2:42">
      <c r="B102" s="164">
        <v>2215426</v>
      </c>
      <c r="C102" s="164" t="s">
        <v>164</v>
      </c>
      <c r="D102" s="164" t="s">
        <v>560</v>
      </c>
      <c r="E102" s="164"/>
      <c r="F102" s="164" t="s">
        <v>194</v>
      </c>
      <c r="G102" s="164" t="s">
        <v>162</v>
      </c>
      <c r="H102" s="164" t="s">
        <v>182</v>
      </c>
      <c r="I102" s="164" t="s">
        <v>163</v>
      </c>
      <c r="J102" s="164" t="s">
        <v>163</v>
      </c>
      <c r="K102" s="164" t="s">
        <v>163</v>
      </c>
      <c r="L102" s="164" t="s">
        <v>163</v>
      </c>
      <c r="M102" s="164">
        <v>32.700000000000003</v>
      </c>
      <c r="N102" s="164">
        <v>19.7</v>
      </c>
      <c r="O102" s="165">
        <v>4.4000000000000004</v>
      </c>
      <c r="P102" s="165">
        <v>4.4000000000000004</v>
      </c>
      <c r="Q102" s="164">
        <v>269</v>
      </c>
      <c r="R102" s="164">
        <v>300</v>
      </c>
      <c r="S102" s="166">
        <v>0.1</v>
      </c>
      <c r="T102" s="164" t="s">
        <v>163</v>
      </c>
      <c r="U102" s="164"/>
      <c r="V102" s="167">
        <v>41829</v>
      </c>
      <c r="W102" s="167">
        <v>41830</v>
      </c>
      <c r="X102" s="164" t="s">
        <v>506</v>
      </c>
      <c r="Y102" s="164" t="s">
        <v>561</v>
      </c>
      <c r="Z102" s="164" t="s">
        <v>163</v>
      </c>
      <c r="AA102" s="168" t="s">
        <v>184</v>
      </c>
      <c r="AB102" s="168" t="s">
        <v>194</v>
      </c>
      <c r="AC102" s="168" t="s">
        <v>162</v>
      </c>
      <c r="AD102" s="168" t="s">
        <v>182</v>
      </c>
      <c r="AE102" s="168" t="s">
        <v>163</v>
      </c>
      <c r="AF102" s="168" t="s">
        <v>163</v>
      </c>
      <c r="AG102" s="168" t="s">
        <v>163</v>
      </c>
      <c r="AH102" s="168" t="str">
        <f t="shared" si="7"/>
        <v>Refrigerator-Compact-Automatic-Yes-No-No-No</v>
      </c>
      <c r="AI102" s="168" t="s">
        <v>329</v>
      </c>
      <c r="AJ102" s="168">
        <v>9.17</v>
      </c>
      <c r="AK102" s="169">
        <v>259.3</v>
      </c>
      <c r="AL102" s="169">
        <f t="shared" si="8"/>
        <v>299.64800000000002</v>
      </c>
      <c r="AM102" s="168">
        <f t="shared" si="9"/>
        <v>300</v>
      </c>
      <c r="AN102" s="168">
        <f t="shared" si="10"/>
        <v>269</v>
      </c>
      <c r="AO102" s="164" t="str">
        <f t="shared" si="11"/>
        <v>Yes</v>
      </c>
      <c r="AP102" s="164">
        <f t="shared" si="12"/>
        <v>31</v>
      </c>
    </row>
    <row r="103" spans="2:42">
      <c r="B103" s="164">
        <v>2215434</v>
      </c>
      <c r="C103" s="164" t="s">
        <v>164</v>
      </c>
      <c r="D103" s="164" t="s">
        <v>562</v>
      </c>
      <c r="E103" s="164"/>
      <c r="F103" s="164" t="s">
        <v>194</v>
      </c>
      <c r="G103" s="164" t="s">
        <v>162</v>
      </c>
      <c r="H103" s="164" t="s">
        <v>182</v>
      </c>
      <c r="I103" s="164" t="s">
        <v>163</v>
      </c>
      <c r="J103" s="164" t="s">
        <v>163</v>
      </c>
      <c r="K103" s="164" t="s">
        <v>163</v>
      </c>
      <c r="L103" s="164" t="s">
        <v>163</v>
      </c>
      <c r="M103" s="164">
        <v>43.5</v>
      </c>
      <c r="N103" s="164">
        <v>19.100000000000001</v>
      </c>
      <c r="O103" s="165">
        <v>4.3</v>
      </c>
      <c r="P103" s="165">
        <v>5.0999999999999996</v>
      </c>
      <c r="Q103" s="164">
        <v>359</v>
      </c>
      <c r="R103" s="164">
        <v>399</v>
      </c>
      <c r="S103" s="166">
        <v>0.1</v>
      </c>
      <c r="T103" s="164" t="s">
        <v>163</v>
      </c>
      <c r="U103" s="164"/>
      <c r="V103" s="167">
        <v>41815</v>
      </c>
      <c r="W103" s="167">
        <v>41815</v>
      </c>
      <c r="X103" s="164" t="s">
        <v>387</v>
      </c>
      <c r="Y103" s="164" t="s">
        <v>563</v>
      </c>
      <c r="Z103" s="164" t="s">
        <v>163</v>
      </c>
      <c r="AA103" s="168" t="s">
        <v>184</v>
      </c>
      <c r="AB103" s="168" t="s">
        <v>194</v>
      </c>
      <c r="AC103" s="168" t="s">
        <v>162</v>
      </c>
      <c r="AD103" s="168" t="s">
        <v>182</v>
      </c>
      <c r="AE103" s="168" t="s">
        <v>163</v>
      </c>
      <c r="AF103" s="168" t="s">
        <v>163</v>
      </c>
      <c r="AG103" s="168" t="s">
        <v>163</v>
      </c>
      <c r="AH103" s="168" t="str">
        <f t="shared" si="7"/>
        <v>Refrigerator-Compact-Automatic-Yes-No-No-No</v>
      </c>
      <c r="AI103" s="168" t="s">
        <v>329</v>
      </c>
      <c r="AJ103" s="168">
        <v>9.17</v>
      </c>
      <c r="AK103" s="169">
        <v>259.3</v>
      </c>
      <c r="AL103" s="169">
        <f t="shared" si="8"/>
        <v>306.06700000000001</v>
      </c>
      <c r="AM103" s="168">
        <f t="shared" si="9"/>
        <v>399</v>
      </c>
      <c r="AN103" s="168">
        <f t="shared" si="10"/>
        <v>359</v>
      </c>
      <c r="AO103" s="164" t="str">
        <f t="shared" si="11"/>
        <v>Yes</v>
      </c>
      <c r="AP103" s="164">
        <f t="shared" si="12"/>
        <v>40</v>
      </c>
    </row>
    <row r="104" spans="2:42">
      <c r="B104" s="164">
        <v>2214594</v>
      </c>
      <c r="C104" s="164" t="s">
        <v>164</v>
      </c>
      <c r="D104" s="164" t="s">
        <v>564</v>
      </c>
      <c r="E104" s="164"/>
      <c r="F104" s="164" t="s">
        <v>194</v>
      </c>
      <c r="G104" s="164" t="s">
        <v>162</v>
      </c>
      <c r="H104" s="164" t="s">
        <v>182</v>
      </c>
      <c r="I104" s="164" t="s">
        <v>163</v>
      </c>
      <c r="J104" s="164" t="s">
        <v>163</v>
      </c>
      <c r="K104" s="164" t="s">
        <v>163</v>
      </c>
      <c r="L104" s="164" t="s">
        <v>163</v>
      </c>
      <c r="M104" s="164">
        <v>44.4</v>
      </c>
      <c r="N104" s="164">
        <v>19.100000000000001</v>
      </c>
      <c r="O104" s="165">
        <v>4.5</v>
      </c>
      <c r="P104" s="165">
        <v>5.6</v>
      </c>
      <c r="Q104" s="164">
        <v>340</v>
      </c>
      <c r="R104" s="164">
        <v>405</v>
      </c>
      <c r="S104" s="166">
        <v>0.16</v>
      </c>
      <c r="T104" s="164" t="s">
        <v>163</v>
      </c>
      <c r="U104" s="164"/>
      <c r="V104" s="167">
        <v>41827</v>
      </c>
      <c r="W104" s="167">
        <v>41827</v>
      </c>
      <c r="X104" s="164" t="s">
        <v>506</v>
      </c>
      <c r="Y104" s="164" t="s">
        <v>565</v>
      </c>
      <c r="Z104" s="164" t="s">
        <v>163</v>
      </c>
      <c r="AA104" s="168" t="s">
        <v>184</v>
      </c>
      <c r="AB104" s="168" t="s">
        <v>194</v>
      </c>
      <c r="AC104" s="168" t="s">
        <v>162</v>
      </c>
      <c r="AD104" s="168" t="s">
        <v>182</v>
      </c>
      <c r="AE104" s="168" t="s">
        <v>163</v>
      </c>
      <c r="AF104" s="168" t="s">
        <v>163</v>
      </c>
      <c r="AG104" s="168" t="s">
        <v>163</v>
      </c>
      <c r="AH104" s="168" t="str">
        <f t="shared" si="7"/>
        <v>Refrigerator-Compact-Automatic-Yes-No-No-No</v>
      </c>
      <c r="AI104" s="168" t="s">
        <v>329</v>
      </c>
      <c r="AJ104" s="168">
        <v>9.17</v>
      </c>
      <c r="AK104" s="169">
        <v>259.3</v>
      </c>
      <c r="AL104" s="169">
        <f t="shared" si="8"/>
        <v>310.65199999999999</v>
      </c>
      <c r="AM104" s="168">
        <f t="shared" si="9"/>
        <v>405</v>
      </c>
      <c r="AN104" s="168">
        <f t="shared" si="10"/>
        <v>340</v>
      </c>
      <c r="AO104" s="164" t="str">
        <f t="shared" si="11"/>
        <v>Yes</v>
      </c>
      <c r="AP104" s="164">
        <f t="shared" si="12"/>
        <v>65</v>
      </c>
    </row>
    <row r="105" spans="2:42">
      <c r="B105" s="164">
        <v>2215468</v>
      </c>
      <c r="C105" s="164" t="s">
        <v>164</v>
      </c>
      <c r="D105" s="164" t="s">
        <v>566</v>
      </c>
      <c r="E105" s="164" t="s">
        <v>567</v>
      </c>
      <c r="F105" s="164" t="s">
        <v>194</v>
      </c>
      <c r="G105" s="164" t="s">
        <v>162</v>
      </c>
      <c r="H105" s="164" t="s">
        <v>182</v>
      </c>
      <c r="I105" s="164" t="s">
        <v>163</v>
      </c>
      <c r="J105" s="164" t="s">
        <v>163</v>
      </c>
      <c r="K105" s="164" t="s">
        <v>163</v>
      </c>
      <c r="L105" s="164" t="s">
        <v>163</v>
      </c>
      <c r="M105" s="164">
        <v>33.5</v>
      </c>
      <c r="N105" s="164">
        <v>18.899999999999999</v>
      </c>
      <c r="O105" s="165">
        <v>3.1</v>
      </c>
      <c r="P105" s="165">
        <v>3.7</v>
      </c>
      <c r="Q105" s="164">
        <v>320</v>
      </c>
      <c r="R105" s="164">
        <v>358</v>
      </c>
      <c r="S105" s="166">
        <v>0.11</v>
      </c>
      <c r="T105" s="164" t="s">
        <v>163</v>
      </c>
      <c r="U105" s="164"/>
      <c r="V105" s="167">
        <v>41829</v>
      </c>
      <c r="W105" s="167">
        <v>41830</v>
      </c>
      <c r="X105" s="164" t="s">
        <v>506</v>
      </c>
      <c r="Y105" s="164" t="s">
        <v>568</v>
      </c>
      <c r="Z105" s="164" t="s">
        <v>163</v>
      </c>
      <c r="AA105" s="168" t="s">
        <v>184</v>
      </c>
      <c r="AB105" s="168" t="s">
        <v>194</v>
      </c>
      <c r="AC105" s="168" t="s">
        <v>162</v>
      </c>
      <c r="AD105" s="168" t="s">
        <v>182</v>
      </c>
      <c r="AE105" s="168" t="s">
        <v>163</v>
      </c>
      <c r="AF105" s="168" t="s">
        <v>163</v>
      </c>
      <c r="AG105" s="168" t="s">
        <v>163</v>
      </c>
      <c r="AH105" s="168" t="str">
        <f t="shared" si="7"/>
        <v>Refrigerator-Compact-Automatic-Yes-No-No-No</v>
      </c>
      <c r="AI105" s="168" t="s">
        <v>329</v>
      </c>
      <c r="AJ105" s="168">
        <v>9.17</v>
      </c>
      <c r="AK105" s="169">
        <v>259.3</v>
      </c>
      <c r="AL105" s="169">
        <f t="shared" si="8"/>
        <v>293.22900000000004</v>
      </c>
      <c r="AM105" s="168">
        <f t="shared" si="9"/>
        <v>358</v>
      </c>
      <c r="AN105" s="168">
        <f t="shared" si="10"/>
        <v>320</v>
      </c>
      <c r="AO105" s="164" t="str">
        <f t="shared" si="11"/>
        <v>Yes</v>
      </c>
      <c r="AP105" s="164">
        <f t="shared" si="12"/>
        <v>38</v>
      </c>
    </row>
    <row r="106" spans="2:42">
      <c r="B106" s="164">
        <v>2215469</v>
      </c>
      <c r="C106" s="164" t="s">
        <v>164</v>
      </c>
      <c r="D106" s="164" t="s">
        <v>569</v>
      </c>
      <c r="E106" s="164" t="s">
        <v>570</v>
      </c>
      <c r="F106" s="164" t="s">
        <v>194</v>
      </c>
      <c r="G106" s="164" t="s">
        <v>162</v>
      </c>
      <c r="H106" s="164" t="s">
        <v>182</v>
      </c>
      <c r="I106" s="164" t="s">
        <v>163</v>
      </c>
      <c r="J106" s="164" t="s">
        <v>163</v>
      </c>
      <c r="K106" s="164" t="s">
        <v>163</v>
      </c>
      <c r="L106" s="164" t="s">
        <v>163</v>
      </c>
      <c r="M106" s="164">
        <v>56.3</v>
      </c>
      <c r="N106" s="164">
        <v>21.7</v>
      </c>
      <c r="O106" s="165">
        <v>7.4</v>
      </c>
      <c r="P106" s="165">
        <v>8.4</v>
      </c>
      <c r="Q106" s="164">
        <v>345</v>
      </c>
      <c r="R106" s="164">
        <v>385</v>
      </c>
      <c r="S106" s="166">
        <v>0.1</v>
      </c>
      <c r="T106" s="164" t="s">
        <v>163</v>
      </c>
      <c r="U106" s="164"/>
      <c r="V106" s="167">
        <v>41829</v>
      </c>
      <c r="W106" s="167">
        <v>41830</v>
      </c>
      <c r="X106" s="164" t="s">
        <v>506</v>
      </c>
      <c r="Y106" s="164" t="s">
        <v>571</v>
      </c>
      <c r="Z106" s="164" t="s">
        <v>163</v>
      </c>
      <c r="AA106" s="168" t="s">
        <v>184</v>
      </c>
      <c r="AB106" s="168" t="s">
        <v>194</v>
      </c>
      <c r="AC106" s="168" t="s">
        <v>162</v>
      </c>
      <c r="AD106" s="168" t="s">
        <v>182</v>
      </c>
      <c r="AE106" s="168" t="s">
        <v>163</v>
      </c>
      <c r="AF106" s="168" t="s">
        <v>163</v>
      </c>
      <c r="AG106" s="168" t="s">
        <v>163</v>
      </c>
      <c r="AH106" s="168" t="str">
        <f t="shared" si="7"/>
        <v>Refrigerator-Compact-Automatic-Yes-No-No-No</v>
      </c>
      <c r="AI106" s="168" t="s">
        <v>329</v>
      </c>
      <c r="AJ106" s="168">
        <v>9.17</v>
      </c>
      <c r="AK106" s="169">
        <v>259.3</v>
      </c>
      <c r="AL106" s="169">
        <f t="shared" si="8"/>
        <v>336.32800000000003</v>
      </c>
      <c r="AM106" s="168">
        <f t="shared" si="9"/>
        <v>385</v>
      </c>
      <c r="AN106" s="168">
        <f t="shared" si="10"/>
        <v>345</v>
      </c>
      <c r="AO106" s="164" t="str">
        <f t="shared" si="11"/>
        <v>Yes</v>
      </c>
      <c r="AP106" s="164">
        <f t="shared" si="12"/>
        <v>40</v>
      </c>
    </row>
    <row r="107" spans="2:42">
      <c r="B107" s="164">
        <v>2215467</v>
      </c>
      <c r="C107" s="164" t="s">
        <v>164</v>
      </c>
      <c r="D107" s="164" t="s">
        <v>572</v>
      </c>
      <c r="E107" s="164"/>
      <c r="F107" s="164" t="s">
        <v>194</v>
      </c>
      <c r="G107" s="164" t="s">
        <v>188</v>
      </c>
      <c r="H107" s="164" t="s">
        <v>182</v>
      </c>
      <c r="I107" s="164" t="s">
        <v>163</v>
      </c>
      <c r="J107" s="164" t="s">
        <v>163</v>
      </c>
      <c r="K107" s="164" t="s">
        <v>163</v>
      </c>
      <c r="L107" s="164" t="s">
        <v>163</v>
      </c>
      <c r="M107" s="164">
        <v>25.2</v>
      </c>
      <c r="N107" s="164">
        <v>16.100000000000001</v>
      </c>
      <c r="O107" s="165">
        <v>2.4</v>
      </c>
      <c r="P107" s="165">
        <v>2.4</v>
      </c>
      <c r="Q107" s="164">
        <v>212</v>
      </c>
      <c r="R107" s="164">
        <v>274</v>
      </c>
      <c r="S107" s="166">
        <v>0.23</v>
      </c>
      <c r="T107" s="164" t="s">
        <v>163</v>
      </c>
      <c r="U107" s="164"/>
      <c r="V107" s="167">
        <v>41829</v>
      </c>
      <c r="W107" s="167">
        <v>41830</v>
      </c>
      <c r="X107" s="164" t="s">
        <v>506</v>
      </c>
      <c r="Y107" s="164" t="s">
        <v>573</v>
      </c>
      <c r="Z107" s="164" t="s">
        <v>163</v>
      </c>
      <c r="AA107" s="168" t="s">
        <v>184</v>
      </c>
      <c r="AB107" s="168" t="s">
        <v>194</v>
      </c>
      <c r="AC107" s="168" t="s">
        <v>188</v>
      </c>
      <c r="AD107" s="168" t="s">
        <v>182</v>
      </c>
      <c r="AE107" s="168" t="s">
        <v>163</v>
      </c>
      <c r="AF107" s="168" t="s">
        <v>163</v>
      </c>
      <c r="AG107" s="168" t="s">
        <v>163</v>
      </c>
      <c r="AH107" s="168" t="str">
        <f t="shared" si="7"/>
        <v>Refrigerator-Compact-Manual-Yes-No-No-No</v>
      </c>
      <c r="AI107" s="168" t="s">
        <v>315</v>
      </c>
      <c r="AJ107" s="168">
        <v>7.84</v>
      </c>
      <c r="AK107" s="169">
        <v>219.1</v>
      </c>
      <c r="AL107" s="169">
        <f t="shared" si="8"/>
        <v>237.916</v>
      </c>
      <c r="AM107" s="168">
        <f t="shared" si="9"/>
        <v>274</v>
      </c>
      <c r="AN107" s="168">
        <f t="shared" si="10"/>
        <v>212</v>
      </c>
      <c r="AO107" s="164" t="str">
        <f t="shared" si="11"/>
        <v>Yes</v>
      </c>
      <c r="AP107" s="164">
        <f t="shared" si="12"/>
        <v>62</v>
      </c>
    </row>
    <row r="108" spans="2:42">
      <c r="B108" s="164">
        <v>2215457</v>
      </c>
      <c r="C108" s="164" t="s">
        <v>164</v>
      </c>
      <c r="D108" s="164" t="s">
        <v>574</v>
      </c>
      <c r="E108" s="164"/>
      <c r="F108" s="164" t="s">
        <v>194</v>
      </c>
      <c r="G108" s="164" t="s">
        <v>188</v>
      </c>
      <c r="H108" s="164" t="s">
        <v>182</v>
      </c>
      <c r="I108" s="164" t="s">
        <v>163</v>
      </c>
      <c r="J108" s="164" t="s">
        <v>163</v>
      </c>
      <c r="K108" s="164" t="s">
        <v>163</v>
      </c>
      <c r="L108" s="164" t="s">
        <v>163</v>
      </c>
      <c r="M108" s="164">
        <v>33.5</v>
      </c>
      <c r="N108" s="164">
        <v>18.7</v>
      </c>
      <c r="O108" s="165">
        <v>3.3</v>
      </c>
      <c r="P108" s="165">
        <v>3.3</v>
      </c>
      <c r="Q108" s="164">
        <v>220</v>
      </c>
      <c r="R108" s="164">
        <v>282</v>
      </c>
      <c r="S108" s="166">
        <v>0.22</v>
      </c>
      <c r="T108" s="164" t="s">
        <v>163</v>
      </c>
      <c r="U108" s="164"/>
      <c r="V108" s="167">
        <v>41829</v>
      </c>
      <c r="W108" s="167">
        <v>41830</v>
      </c>
      <c r="X108" s="164" t="s">
        <v>506</v>
      </c>
      <c r="Y108" s="164" t="s">
        <v>575</v>
      </c>
      <c r="Z108" s="164" t="s">
        <v>163</v>
      </c>
      <c r="AA108" s="168" t="s">
        <v>184</v>
      </c>
      <c r="AB108" s="168" t="s">
        <v>194</v>
      </c>
      <c r="AC108" s="168" t="s">
        <v>188</v>
      </c>
      <c r="AD108" s="168" t="s">
        <v>182</v>
      </c>
      <c r="AE108" s="168" t="s">
        <v>163</v>
      </c>
      <c r="AF108" s="168" t="s">
        <v>163</v>
      </c>
      <c r="AG108" s="168" t="s">
        <v>163</v>
      </c>
      <c r="AH108" s="168" t="str">
        <f t="shared" si="7"/>
        <v>Refrigerator-Compact-Manual-Yes-No-No-No</v>
      </c>
      <c r="AI108" s="168" t="s">
        <v>315</v>
      </c>
      <c r="AJ108" s="168">
        <v>7.84</v>
      </c>
      <c r="AK108" s="169">
        <v>219.1</v>
      </c>
      <c r="AL108" s="169">
        <f t="shared" si="8"/>
        <v>244.97199999999998</v>
      </c>
      <c r="AM108" s="168">
        <f t="shared" si="9"/>
        <v>282</v>
      </c>
      <c r="AN108" s="168">
        <f t="shared" si="10"/>
        <v>220</v>
      </c>
      <c r="AO108" s="164" t="str">
        <f t="shared" si="11"/>
        <v>Yes</v>
      </c>
      <c r="AP108" s="164">
        <f t="shared" si="12"/>
        <v>62</v>
      </c>
    </row>
    <row r="109" spans="2:42">
      <c r="B109" s="164">
        <v>2215458</v>
      </c>
      <c r="C109" s="164" t="s">
        <v>164</v>
      </c>
      <c r="D109" s="164" t="s">
        <v>576</v>
      </c>
      <c r="E109" s="164"/>
      <c r="F109" s="164" t="s">
        <v>194</v>
      </c>
      <c r="G109" s="164" t="s">
        <v>188</v>
      </c>
      <c r="H109" s="164" t="s">
        <v>182</v>
      </c>
      <c r="I109" s="164" t="s">
        <v>163</v>
      </c>
      <c r="J109" s="164" t="s">
        <v>163</v>
      </c>
      <c r="K109" s="164" t="s">
        <v>163</v>
      </c>
      <c r="L109" s="164" t="s">
        <v>163</v>
      </c>
      <c r="M109" s="164">
        <v>33.5</v>
      </c>
      <c r="N109" s="164">
        <v>19.7</v>
      </c>
      <c r="O109" s="165">
        <v>4</v>
      </c>
      <c r="P109" s="165">
        <v>4</v>
      </c>
      <c r="Q109" s="164">
        <v>225</v>
      </c>
      <c r="R109" s="164">
        <v>288</v>
      </c>
      <c r="S109" s="166">
        <v>0.22</v>
      </c>
      <c r="T109" s="164" t="s">
        <v>163</v>
      </c>
      <c r="U109" s="164"/>
      <c r="V109" s="167">
        <v>41829</v>
      </c>
      <c r="W109" s="167">
        <v>41830</v>
      </c>
      <c r="X109" s="164" t="s">
        <v>506</v>
      </c>
      <c r="Y109" s="164" t="s">
        <v>577</v>
      </c>
      <c r="Z109" s="164" t="s">
        <v>163</v>
      </c>
      <c r="AA109" s="168" t="s">
        <v>184</v>
      </c>
      <c r="AB109" s="168" t="s">
        <v>194</v>
      </c>
      <c r="AC109" s="168" t="s">
        <v>188</v>
      </c>
      <c r="AD109" s="168" t="s">
        <v>182</v>
      </c>
      <c r="AE109" s="168" t="s">
        <v>163</v>
      </c>
      <c r="AF109" s="168" t="s">
        <v>163</v>
      </c>
      <c r="AG109" s="168" t="s">
        <v>163</v>
      </c>
      <c r="AH109" s="168" t="str">
        <f t="shared" si="7"/>
        <v>Refrigerator-Compact-Manual-Yes-No-No-No</v>
      </c>
      <c r="AI109" s="168" t="s">
        <v>315</v>
      </c>
      <c r="AJ109" s="168">
        <v>7.84</v>
      </c>
      <c r="AK109" s="169">
        <v>219.1</v>
      </c>
      <c r="AL109" s="169">
        <f t="shared" si="8"/>
        <v>250.45999999999998</v>
      </c>
      <c r="AM109" s="168">
        <f t="shared" si="9"/>
        <v>288</v>
      </c>
      <c r="AN109" s="168">
        <f t="shared" si="10"/>
        <v>225</v>
      </c>
      <c r="AO109" s="164" t="str">
        <f t="shared" si="11"/>
        <v>Yes</v>
      </c>
      <c r="AP109" s="164">
        <f t="shared" si="12"/>
        <v>63</v>
      </c>
    </row>
    <row r="110" spans="2:42">
      <c r="B110" s="164">
        <v>2215459</v>
      </c>
      <c r="C110" s="164" t="s">
        <v>164</v>
      </c>
      <c r="D110" s="164" t="s">
        <v>578</v>
      </c>
      <c r="E110" s="164"/>
      <c r="F110" s="164" t="s">
        <v>194</v>
      </c>
      <c r="G110" s="164" t="s">
        <v>188</v>
      </c>
      <c r="H110" s="164" t="s">
        <v>182</v>
      </c>
      <c r="I110" s="164" t="s">
        <v>163</v>
      </c>
      <c r="J110" s="164" t="s">
        <v>163</v>
      </c>
      <c r="K110" s="164" t="s">
        <v>163</v>
      </c>
      <c r="L110" s="164" t="s">
        <v>163</v>
      </c>
      <c r="M110" s="164">
        <v>32.700000000000003</v>
      </c>
      <c r="N110" s="164">
        <v>19.7</v>
      </c>
      <c r="O110" s="165">
        <v>4.4000000000000004</v>
      </c>
      <c r="P110" s="165">
        <v>4.4000000000000004</v>
      </c>
      <c r="Q110" s="164">
        <v>228</v>
      </c>
      <c r="R110" s="164">
        <v>292</v>
      </c>
      <c r="S110" s="166">
        <v>0.22</v>
      </c>
      <c r="T110" s="164" t="s">
        <v>163</v>
      </c>
      <c r="U110" s="164"/>
      <c r="V110" s="167">
        <v>41829</v>
      </c>
      <c r="W110" s="167">
        <v>41830</v>
      </c>
      <c r="X110" s="164" t="s">
        <v>506</v>
      </c>
      <c r="Y110" s="164" t="s">
        <v>579</v>
      </c>
      <c r="Z110" s="164" t="s">
        <v>163</v>
      </c>
      <c r="AA110" s="168" t="s">
        <v>184</v>
      </c>
      <c r="AB110" s="168" t="s">
        <v>194</v>
      </c>
      <c r="AC110" s="168" t="s">
        <v>188</v>
      </c>
      <c r="AD110" s="168" t="s">
        <v>182</v>
      </c>
      <c r="AE110" s="168" t="s">
        <v>163</v>
      </c>
      <c r="AF110" s="168" t="s">
        <v>163</v>
      </c>
      <c r="AG110" s="168" t="s">
        <v>163</v>
      </c>
      <c r="AH110" s="168" t="str">
        <f t="shared" si="7"/>
        <v>Refrigerator-Compact-Manual-Yes-No-No-No</v>
      </c>
      <c r="AI110" s="168" t="s">
        <v>315</v>
      </c>
      <c r="AJ110" s="168">
        <v>7.84</v>
      </c>
      <c r="AK110" s="169">
        <v>219.1</v>
      </c>
      <c r="AL110" s="169">
        <f t="shared" si="8"/>
        <v>253.596</v>
      </c>
      <c r="AM110" s="168">
        <f t="shared" si="9"/>
        <v>292</v>
      </c>
      <c r="AN110" s="168">
        <f t="shared" si="10"/>
        <v>228</v>
      </c>
      <c r="AO110" s="164" t="str">
        <f t="shared" si="11"/>
        <v>Yes</v>
      </c>
      <c r="AP110" s="164">
        <f t="shared" si="12"/>
        <v>64</v>
      </c>
    </row>
    <row r="111" spans="2:42">
      <c r="B111" s="164">
        <v>2214119</v>
      </c>
      <c r="C111" s="164" t="s">
        <v>164</v>
      </c>
      <c r="D111" s="164" t="s">
        <v>580</v>
      </c>
      <c r="E111" s="164"/>
      <c r="F111" s="164" t="s">
        <v>194</v>
      </c>
      <c r="G111" s="164" t="s">
        <v>162</v>
      </c>
      <c r="H111" s="164" t="s">
        <v>182</v>
      </c>
      <c r="I111" s="164" t="s">
        <v>163</v>
      </c>
      <c r="J111" s="164" t="s">
        <v>163</v>
      </c>
      <c r="K111" s="164" t="s">
        <v>163</v>
      </c>
      <c r="L111" s="164" t="s">
        <v>182</v>
      </c>
      <c r="M111" s="164">
        <v>33.5</v>
      </c>
      <c r="N111" s="164">
        <v>30.9</v>
      </c>
      <c r="O111" s="165">
        <v>5.6</v>
      </c>
      <c r="P111" s="165">
        <v>7.3</v>
      </c>
      <c r="Q111" s="164">
        <v>338</v>
      </c>
      <c r="R111" s="164">
        <v>379</v>
      </c>
      <c r="S111" s="166">
        <v>0.11</v>
      </c>
      <c r="T111" s="164" t="s">
        <v>163</v>
      </c>
      <c r="U111" s="164"/>
      <c r="V111" s="167">
        <v>41815</v>
      </c>
      <c r="W111" s="167">
        <v>41815</v>
      </c>
      <c r="X111" s="164" t="s">
        <v>387</v>
      </c>
      <c r="Y111" s="164" t="s">
        <v>581</v>
      </c>
      <c r="Z111" s="164" t="s">
        <v>163</v>
      </c>
      <c r="AA111" s="168" t="s">
        <v>184</v>
      </c>
      <c r="AB111" s="168" t="s">
        <v>194</v>
      </c>
      <c r="AC111" s="168" t="s">
        <v>162</v>
      </c>
      <c r="AD111" s="168" t="s">
        <v>182</v>
      </c>
      <c r="AE111" s="168" t="s">
        <v>163</v>
      </c>
      <c r="AF111" s="168" t="s">
        <v>163</v>
      </c>
      <c r="AG111" s="168" t="s">
        <v>163</v>
      </c>
      <c r="AH111" s="168" t="str">
        <f t="shared" si="7"/>
        <v>Refrigerator-Compact-Automatic-Yes-No-No-No</v>
      </c>
      <c r="AI111" s="168" t="s">
        <v>329</v>
      </c>
      <c r="AJ111" s="168">
        <v>9.17</v>
      </c>
      <c r="AK111" s="169">
        <v>259.3</v>
      </c>
      <c r="AL111" s="169">
        <f t="shared" si="8"/>
        <v>326.24099999999999</v>
      </c>
      <c r="AM111" s="168">
        <f t="shared" si="9"/>
        <v>379</v>
      </c>
      <c r="AN111" s="168">
        <f t="shared" si="10"/>
        <v>338</v>
      </c>
      <c r="AO111" s="164" t="str">
        <f t="shared" si="11"/>
        <v>Yes</v>
      </c>
      <c r="AP111" s="164">
        <f t="shared" si="12"/>
        <v>41</v>
      </c>
    </row>
    <row r="112" spans="2:42">
      <c r="B112" s="164">
        <v>2214120</v>
      </c>
      <c r="C112" s="164" t="s">
        <v>164</v>
      </c>
      <c r="D112" s="164" t="s">
        <v>582</v>
      </c>
      <c r="E112" s="164"/>
      <c r="F112" s="164" t="s">
        <v>194</v>
      </c>
      <c r="G112" s="164" t="s">
        <v>162</v>
      </c>
      <c r="H112" s="164" t="s">
        <v>182</v>
      </c>
      <c r="I112" s="164" t="s">
        <v>163</v>
      </c>
      <c r="J112" s="164" t="s">
        <v>163</v>
      </c>
      <c r="K112" s="164" t="s">
        <v>163</v>
      </c>
      <c r="L112" s="164" t="s">
        <v>182</v>
      </c>
      <c r="M112" s="164">
        <v>33.5</v>
      </c>
      <c r="N112" s="164">
        <v>30.9</v>
      </c>
      <c r="O112" s="165">
        <v>5.6</v>
      </c>
      <c r="P112" s="165">
        <v>7.3</v>
      </c>
      <c r="Q112" s="164">
        <v>338</v>
      </c>
      <c r="R112" s="164">
        <v>379</v>
      </c>
      <c r="S112" s="166">
        <v>0.11</v>
      </c>
      <c r="T112" s="164" t="s">
        <v>163</v>
      </c>
      <c r="U112" s="164"/>
      <c r="V112" s="167">
        <v>41815</v>
      </c>
      <c r="W112" s="167">
        <v>41815</v>
      </c>
      <c r="X112" s="164" t="s">
        <v>387</v>
      </c>
      <c r="Y112" s="164" t="s">
        <v>583</v>
      </c>
      <c r="Z112" s="164" t="s">
        <v>163</v>
      </c>
      <c r="AA112" s="168" t="s">
        <v>184</v>
      </c>
      <c r="AB112" s="168" t="s">
        <v>194</v>
      </c>
      <c r="AC112" s="168" t="s">
        <v>162</v>
      </c>
      <c r="AD112" s="168" t="s">
        <v>182</v>
      </c>
      <c r="AE112" s="168" t="s">
        <v>163</v>
      </c>
      <c r="AF112" s="168" t="s">
        <v>163</v>
      </c>
      <c r="AG112" s="168" t="s">
        <v>163</v>
      </c>
      <c r="AH112" s="168" t="str">
        <f t="shared" si="7"/>
        <v>Refrigerator-Compact-Automatic-Yes-No-No-No</v>
      </c>
      <c r="AI112" s="168" t="s">
        <v>329</v>
      </c>
      <c r="AJ112" s="168">
        <v>9.17</v>
      </c>
      <c r="AK112" s="169">
        <v>259.3</v>
      </c>
      <c r="AL112" s="169">
        <f t="shared" si="8"/>
        <v>326.24099999999999</v>
      </c>
      <c r="AM112" s="168">
        <f t="shared" si="9"/>
        <v>379</v>
      </c>
      <c r="AN112" s="168">
        <f t="shared" si="10"/>
        <v>338</v>
      </c>
      <c r="AO112" s="164" t="str">
        <f t="shared" si="11"/>
        <v>Yes</v>
      </c>
      <c r="AP112" s="164">
        <f t="shared" si="12"/>
        <v>41</v>
      </c>
    </row>
    <row r="113" spans="2:42">
      <c r="B113" s="164">
        <v>2207317</v>
      </c>
      <c r="C113" s="164" t="s">
        <v>165</v>
      </c>
      <c r="D113" s="164" t="s">
        <v>584</v>
      </c>
      <c r="E113" s="164"/>
      <c r="F113" s="164" t="s">
        <v>191</v>
      </c>
      <c r="G113" s="164" t="s">
        <v>162</v>
      </c>
      <c r="H113" s="164" t="s">
        <v>163</v>
      </c>
      <c r="I113" s="164" t="s">
        <v>163</v>
      </c>
      <c r="J113" s="164" t="s">
        <v>163</v>
      </c>
      <c r="K113" s="164" t="s">
        <v>163</v>
      </c>
      <c r="L113" s="164" t="s">
        <v>163</v>
      </c>
      <c r="M113" s="164">
        <v>78.7</v>
      </c>
      <c r="N113" s="164">
        <v>23.4</v>
      </c>
      <c r="O113" s="165">
        <v>13.1</v>
      </c>
      <c r="P113" s="165">
        <v>11.6</v>
      </c>
      <c r="Q113" s="164">
        <v>337</v>
      </c>
      <c r="R113" s="164">
        <v>420</v>
      </c>
      <c r="S113" s="166">
        <v>0.2</v>
      </c>
      <c r="T113" s="164" t="s">
        <v>163</v>
      </c>
      <c r="U113" s="164"/>
      <c r="V113" s="167">
        <v>41730</v>
      </c>
      <c r="W113" s="167">
        <v>41730</v>
      </c>
      <c r="X113" s="164" t="s">
        <v>387</v>
      </c>
      <c r="Y113" s="164" t="s">
        <v>585</v>
      </c>
      <c r="Z113" s="164" t="s">
        <v>182</v>
      </c>
      <c r="AA113" s="168" t="s">
        <v>184</v>
      </c>
      <c r="AB113" s="168" t="s">
        <v>191</v>
      </c>
      <c r="AC113" s="168" t="s">
        <v>162</v>
      </c>
      <c r="AD113" s="168" t="s">
        <v>163</v>
      </c>
      <c r="AE113" s="168" t="s">
        <v>163</v>
      </c>
      <c r="AF113" s="168" t="s">
        <v>163</v>
      </c>
      <c r="AG113" s="168" t="s">
        <v>163</v>
      </c>
      <c r="AH113" s="168" t="str">
        <f t="shared" si="7"/>
        <v>Refrigerator-Bottom Freezer-Automatic-No-No-No-No</v>
      </c>
      <c r="AI113" s="168">
        <v>5</v>
      </c>
      <c r="AJ113" s="168">
        <v>8.85</v>
      </c>
      <c r="AK113" s="169">
        <v>317</v>
      </c>
      <c r="AL113" s="169">
        <f t="shared" si="8"/>
        <v>419.65999999999997</v>
      </c>
      <c r="AM113" s="168">
        <f t="shared" si="9"/>
        <v>420</v>
      </c>
      <c r="AN113" s="168">
        <f t="shared" si="10"/>
        <v>337</v>
      </c>
      <c r="AO113" s="164" t="str">
        <f t="shared" si="11"/>
        <v>Yes</v>
      </c>
      <c r="AP113" s="164">
        <f t="shared" si="12"/>
        <v>83</v>
      </c>
    </row>
    <row r="114" spans="2:42">
      <c r="B114" s="164">
        <v>2213357</v>
      </c>
      <c r="C114" s="164" t="s">
        <v>586</v>
      </c>
      <c r="D114" s="164" t="s">
        <v>587</v>
      </c>
      <c r="E114" s="164"/>
      <c r="F114" s="164" t="s">
        <v>194</v>
      </c>
      <c r="G114" s="164" t="s">
        <v>188</v>
      </c>
      <c r="H114" s="164" t="s">
        <v>182</v>
      </c>
      <c r="I114" s="164" t="s">
        <v>163</v>
      </c>
      <c r="J114" s="164" t="s">
        <v>163</v>
      </c>
      <c r="K114" s="164" t="s">
        <v>163</v>
      </c>
      <c r="L114" s="164" t="s">
        <v>163</v>
      </c>
      <c r="M114" s="164">
        <v>20.100000000000001</v>
      </c>
      <c r="N114" s="164">
        <v>17.3</v>
      </c>
      <c r="O114" s="165">
        <v>1.7</v>
      </c>
      <c r="P114" s="165">
        <v>1.7</v>
      </c>
      <c r="Q114" s="164">
        <v>208</v>
      </c>
      <c r="R114" s="164">
        <v>268</v>
      </c>
      <c r="S114" s="166">
        <v>0.22</v>
      </c>
      <c r="T114" s="164" t="s">
        <v>163</v>
      </c>
      <c r="U114" s="164"/>
      <c r="V114" s="167">
        <v>41881</v>
      </c>
      <c r="W114" s="167">
        <v>41716</v>
      </c>
      <c r="X114" s="164" t="s">
        <v>387</v>
      </c>
      <c r="Y114" s="164" t="s">
        <v>588</v>
      </c>
      <c r="Z114" s="164" t="s">
        <v>163</v>
      </c>
      <c r="AA114" s="168" t="s">
        <v>184</v>
      </c>
      <c r="AB114" s="168" t="s">
        <v>194</v>
      </c>
      <c r="AC114" s="168" t="s">
        <v>188</v>
      </c>
      <c r="AD114" s="168" t="s">
        <v>182</v>
      </c>
      <c r="AE114" s="168" t="s">
        <v>163</v>
      </c>
      <c r="AF114" s="168" t="s">
        <v>163</v>
      </c>
      <c r="AG114" s="168" t="s">
        <v>163</v>
      </c>
      <c r="AH114" s="168" t="str">
        <f t="shared" si="7"/>
        <v>Refrigerator-Compact-Manual-Yes-No-No-No</v>
      </c>
      <c r="AI114" s="168" t="s">
        <v>315</v>
      </c>
      <c r="AJ114" s="168">
        <v>7.84</v>
      </c>
      <c r="AK114" s="169">
        <v>219.1</v>
      </c>
      <c r="AL114" s="169">
        <f t="shared" si="8"/>
        <v>232.428</v>
      </c>
      <c r="AM114" s="168">
        <f t="shared" si="9"/>
        <v>268</v>
      </c>
      <c r="AN114" s="168">
        <f t="shared" si="10"/>
        <v>208</v>
      </c>
      <c r="AO114" s="164" t="str">
        <f t="shared" si="11"/>
        <v>Yes</v>
      </c>
      <c r="AP114" s="164">
        <f t="shared" si="12"/>
        <v>60</v>
      </c>
    </row>
    <row r="115" spans="2:42">
      <c r="B115" s="164">
        <v>2210495</v>
      </c>
      <c r="C115" s="164" t="s">
        <v>586</v>
      </c>
      <c r="D115" s="164" t="s">
        <v>589</v>
      </c>
      <c r="E115" s="164"/>
      <c r="F115" s="164" t="s">
        <v>194</v>
      </c>
      <c r="G115" s="164" t="s">
        <v>188</v>
      </c>
      <c r="H115" s="164" t="s">
        <v>182</v>
      </c>
      <c r="I115" s="164" t="s">
        <v>163</v>
      </c>
      <c r="J115" s="164" t="s">
        <v>163</v>
      </c>
      <c r="K115" s="164" t="s">
        <v>163</v>
      </c>
      <c r="L115" s="164" t="s">
        <v>163</v>
      </c>
      <c r="M115" s="164">
        <v>20.100000000000001</v>
      </c>
      <c r="N115" s="164">
        <v>17.3</v>
      </c>
      <c r="O115" s="165">
        <v>1.7</v>
      </c>
      <c r="P115" s="165">
        <v>1.7</v>
      </c>
      <c r="Q115" s="164">
        <v>208</v>
      </c>
      <c r="R115" s="164">
        <v>268</v>
      </c>
      <c r="S115" s="166">
        <v>0.22</v>
      </c>
      <c r="T115" s="164" t="s">
        <v>163</v>
      </c>
      <c r="U115" s="164"/>
      <c r="V115" s="167">
        <v>41881</v>
      </c>
      <c r="W115" s="167">
        <v>41716</v>
      </c>
      <c r="X115" s="164" t="s">
        <v>387</v>
      </c>
      <c r="Y115" s="164" t="s">
        <v>590</v>
      </c>
      <c r="Z115" s="164" t="s">
        <v>163</v>
      </c>
      <c r="AA115" s="168" t="s">
        <v>184</v>
      </c>
      <c r="AB115" s="168" t="s">
        <v>194</v>
      </c>
      <c r="AC115" s="168" t="s">
        <v>188</v>
      </c>
      <c r="AD115" s="168" t="s">
        <v>182</v>
      </c>
      <c r="AE115" s="168" t="s">
        <v>163</v>
      </c>
      <c r="AF115" s="168" t="s">
        <v>163</v>
      </c>
      <c r="AG115" s="168" t="s">
        <v>163</v>
      </c>
      <c r="AH115" s="168" t="str">
        <f t="shared" si="7"/>
        <v>Refrigerator-Compact-Manual-Yes-No-No-No</v>
      </c>
      <c r="AI115" s="168" t="s">
        <v>315</v>
      </c>
      <c r="AJ115" s="168">
        <v>7.84</v>
      </c>
      <c r="AK115" s="169">
        <v>219.1</v>
      </c>
      <c r="AL115" s="169">
        <f t="shared" si="8"/>
        <v>232.428</v>
      </c>
      <c r="AM115" s="168">
        <f t="shared" si="9"/>
        <v>268</v>
      </c>
      <c r="AN115" s="168">
        <f t="shared" si="10"/>
        <v>208</v>
      </c>
      <c r="AO115" s="164" t="str">
        <f t="shared" si="11"/>
        <v>Yes</v>
      </c>
      <c r="AP115" s="164">
        <f t="shared" si="12"/>
        <v>60</v>
      </c>
    </row>
    <row r="116" spans="2:42">
      <c r="B116" s="164">
        <v>2213358</v>
      </c>
      <c r="C116" s="164" t="s">
        <v>586</v>
      </c>
      <c r="D116" s="164" t="s">
        <v>591</v>
      </c>
      <c r="E116" s="164"/>
      <c r="F116" s="164" t="s">
        <v>194</v>
      </c>
      <c r="G116" s="164" t="s">
        <v>188</v>
      </c>
      <c r="H116" s="164" t="s">
        <v>182</v>
      </c>
      <c r="I116" s="164" t="s">
        <v>163</v>
      </c>
      <c r="J116" s="164" t="s">
        <v>163</v>
      </c>
      <c r="K116" s="164" t="s">
        <v>163</v>
      </c>
      <c r="L116" s="164" t="s">
        <v>163</v>
      </c>
      <c r="M116" s="164">
        <v>20.100000000000001</v>
      </c>
      <c r="N116" s="164">
        <v>17.3</v>
      </c>
      <c r="O116" s="165">
        <v>1.7</v>
      </c>
      <c r="P116" s="165">
        <v>1.7</v>
      </c>
      <c r="Q116" s="164">
        <v>208</v>
      </c>
      <c r="R116" s="164">
        <v>268</v>
      </c>
      <c r="S116" s="166">
        <v>0.22</v>
      </c>
      <c r="T116" s="164" t="s">
        <v>163</v>
      </c>
      <c r="U116" s="164"/>
      <c r="V116" s="167">
        <v>41881</v>
      </c>
      <c r="W116" s="167">
        <v>41716</v>
      </c>
      <c r="X116" s="164" t="s">
        <v>387</v>
      </c>
      <c r="Y116" s="164" t="s">
        <v>592</v>
      </c>
      <c r="Z116" s="164" t="s">
        <v>163</v>
      </c>
      <c r="AA116" s="168" t="s">
        <v>184</v>
      </c>
      <c r="AB116" s="168" t="s">
        <v>194</v>
      </c>
      <c r="AC116" s="168" t="s">
        <v>188</v>
      </c>
      <c r="AD116" s="168" t="s">
        <v>182</v>
      </c>
      <c r="AE116" s="168" t="s">
        <v>163</v>
      </c>
      <c r="AF116" s="168" t="s">
        <v>163</v>
      </c>
      <c r="AG116" s="168" t="s">
        <v>163</v>
      </c>
      <c r="AH116" s="168" t="str">
        <f t="shared" si="7"/>
        <v>Refrigerator-Compact-Manual-Yes-No-No-No</v>
      </c>
      <c r="AI116" s="168" t="s">
        <v>315</v>
      </c>
      <c r="AJ116" s="168">
        <v>7.84</v>
      </c>
      <c r="AK116" s="169">
        <v>219.1</v>
      </c>
      <c r="AL116" s="169">
        <f t="shared" si="8"/>
        <v>232.428</v>
      </c>
      <c r="AM116" s="168">
        <f t="shared" si="9"/>
        <v>268</v>
      </c>
      <c r="AN116" s="168">
        <f t="shared" si="10"/>
        <v>208</v>
      </c>
      <c r="AO116" s="164" t="str">
        <f t="shared" si="11"/>
        <v>Yes</v>
      </c>
      <c r="AP116" s="164">
        <f t="shared" si="12"/>
        <v>60</v>
      </c>
    </row>
    <row r="117" spans="2:42">
      <c r="B117" s="164">
        <v>2205162</v>
      </c>
      <c r="C117" s="164" t="s">
        <v>586</v>
      </c>
      <c r="D117" s="164" t="s">
        <v>593</v>
      </c>
      <c r="E117" s="164" t="s">
        <v>594</v>
      </c>
      <c r="F117" s="164" t="s">
        <v>194</v>
      </c>
      <c r="G117" s="164" t="s">
        <v>188</v>
      </c>
      <c r="H117" s="164" t="s">
        <v>182</v>
      </c>
      <c r="I117" s="164" t="s">
        <v>163</v>
      </c>
      <c r="J117" s="164" t="s">
        <v>163</v>
      </c>
      <c r="K117" s="164" t="s">
        <v>163</v>
      </c>
      <c r="L117" s="164" t="s">
        <v>163</v>
      </c>
      <c r="M117" s="164">
        <v>27.2</v>
      </c>
      <c r="N117" s="164">
        <v>17.3</v>
      </c>
      <c r="O117" s="165">
        <v>2.5</v>
      </c>
      <c r="P117" s="165">
        <v>2.5</v>
      </c>
      <c r="Q117" s="164">
        <v>214</v>
      </c>
      <c r="R117" s="164">
        <v>275</v>
      </c>
      <c r="S117" s="166">
        <v>0.22</v>
      </c>
      <c r="T117" s="164" t="s">
        <v>163</v>
      </c>
      <c r="U117" s="164"/>
      <c r="V117" s="167">
        <v>41695</v>
      </c>
      <c r="W117" s="167">
        <v>41697</v>
      </c>
      <c r="X117" s="164" t="s">
        <v>387</v>
      </c>
      <c r="Y117" s="164" t="s">
        <v>595</v>
      </c>
      <c r="Z117" s="164" t="s">
        <v>163</v>
      </c>
      <c r="AA117" s="168" t="s">
        <v>184</v>
      </c>
      <c r="AB117" s="168" t="s">
        <v>194</v>
      </c>
      <c r="AC117" s="168" t="s">
        <v>188</v>
      </c>
      <c r="AD117" s="168" t="s">
        <v>182</v>
      </c>
      <c r="AE117" s="168" t="s">
        <v>163</v>
      </c>
      <c r="AF117" s="168" t="s">
        <v>163</v>
      </c>
      <c r="AG117" s="168" t="s">
        <v>163</v>
      </c>
      <c r="AH117" s="168" t="str">
        <f t="shared" si="7"/>
        <v>Refrigerator-Compact-Manual-Yes-No-No-No</v>
      </c>
      <c r="AI117" s="168" t="s">
        <v>315</v>
      </c>
      <c r="AJ117" s="168">
        <v>7.84</v>
      </c>
      <c r="AK117" s="169">
        <v>219.1</v>
      </c>
      <c r="AL117" s="169">
        <f t="shared" si="8"/>
        <v>238.7</v>
      </c>
      <c r="AM117" s="168">
        <f t="shared" si="9"/>
        <v>275</v>
      </c>
      <c r="AN117" s="168">
        <f t="shared" si="10"/>
        <v>214</v>
      </c>
      <c r="AO117" s="164" t="str">
        <f t="shared" si="11"/>
        <v>Yes</v>
      </c>
      <c r="AP117" s="164">
        <f t="shared" si="12"/>
        <v>61</v>
      </c>
    </row>
    <row r="118" spans="2:42">
      <c r="B118" s="164">
        <v>2205159</v>
      </c>
      <c r="C118" s="164" t="s">
        <v>586</v>
      </c>
      <c r="D118" s="164" t="s">
        <v>596</v>
      </c>
      <c r="E118" s="164" t="s">
        <v>597</v>
      </c>
      <c r="F118" s="164" t="s">
        <v>194</v>
      </c>
      <c r="G118" s="164" t="s">
        <v>188</v>
      </c>
      <c r="H118" s="164" t="s">
        <v>182</v>
      </c>
      <c r="I118" s="164" t="s">
        <v>163</v>
      </c>
      <c r="J118" s="164" t="s">
        <v>163</v>
      </c>
      <c r="K118" s="164" t="s">
        <v>163</v>
      </c>
      <c r="L118" s="164" t="s">
        <v>163</v>
      </c>
      <c r="M118" s="164">
        <v>32.299999999999997</v>
      </c>
      <c r="N118" s="164">
        <v>20.399999999999999</v>
      </c>
      <c r="O118" s="165">
        <v>4.2</v>
      </c>
      <c r="P118" s="165">
        <v>4.2</v>
      </c>
      <c r="Q118" s="164">
        <v>226</v>
      </c>
      <c r="R118" s="164">
        <v>290</v>
      </c>
      <c r="S118" s="166">
        <v>0.22</v>
      </c>
      <c r="T118" s="164" t="s">
        <v>163</v>
      </c>
      <c r="U118" s="164"/>
      <c r="V118" s="167">
        <v>41695</v>
      </c>
      <c r="W118" s="167">
        <v>41697</v>
      </c>
      <c r="X118" s="164" t="s">
        <v>387</v>
      </c>
      <c r="Y118" s="164" t="s">
        <v>598</v>
      </c>
      <c r="Z118" s="164" t="s">
        <v>163</v>
      </c>
      <c r="AA118" s="168" t="s">
        <v>184</v>
      </c>
      <c r="AB118" s="168" t="s">
        <v>194</v>
      </c>
      <c r="AC118" s="168" t="s">
        <v>188</v>
      </c>
      <c r="AD118" s="168" t="s">
        <v>182</v>
      </c>
      <c r="AE118" s="168" t="s">
        <v>163</v>
      </c>
      <c r="AF118" s="168" t="s">
        <v>163</v>
      </c>
      <c r="AG118" s="168" t="s">
        <v>163</v>
      </c>
      <c r="AH118" s="168" t="str">
        <f t="shared" si="7"/>
        <v>Refrigerator-Compact-Manual-Yes-No-No-No</v>
      </c>
      <c r="AI118" s="168" t="s">
        <v>315</v>
      </c>
      <c r="AJ118" s="168">
        <v>7.84</v>
      </c>
      <c r="AK118" s="169">
        <v>219.1</v>
      </c>
      <c r="AL118" s="169">
        <f t="shared" si="8"/>
        <v>252.02799999999999</v>
      </c>
      <c r="AM118" s="168">
        <f t="shared" si="9"/>
        <v>290</v>
      </c>
      <c r="AN118" s="168">
        <f t="shared" si="10"/>
        <v>226</v>
      </c>
      <c r="AO118" s="164" t="str">
        <f t="shared" si="11"/>
        <v>Yes</v>
      </c>
      <c r="AP118" s="164">
        <f t="shared" si="12"/>
        <v>64</v>
      </c>
    </row>
    <row r="119" spans="2:42">
      <c r="B119" s="164">
        <v>2210364</v>
      </c>
      <c r="C119" s="164" t="s">
        <v>586</v>
      </c>
      <c r="D119" s="164" t="s">
        <v>599</v>
      </c>
      <c r="E119" s="164" t="s">
        <v>600</v>
      </c>
      <c r="F119" s="164" t="s">
        <v>194</v>
      </c>
      <c r="G119" s="164" t="s">
        <v>162</v>
      </c>
      <c r="H119" s="164" t="s">
        <v>182</v>
      </c>
      <c r="I119" s="164" t="s">
        <v>163</v>
      </c>
      <c r="J119" s="164" t="s">
        <v>163</v>
      </c>
      <c r="K119" s="164" t="s">
        <v>163</v>
      </c>
      <c r="L119" s="164" t="s">
        <v>163</v>
      </c>
      <c r="M119" s="164">
        <v>33.700000000000003</v>
      </c>
      <c r="N119" s="164">
        <v>18.7</v>
      </c>
      <c r="O119" s="165">
        <v>2.9</v>
      </c>
      <c r="P119" s="165">
        <v>3.6</v>
      </c>
      <c r="Q119" s="164">
        <v>321</v>
      </c>
      <c r="R119" s="164">
        <v>357</v>
      </c>
      <c r="S119" s="166">
        <v>0.1</v>
      </c>
      <c r="T119" s="164" t="s">
        <v>163</v>
      </c>
      <c r="U119" s="164"/>
      <c r="V119" s="167">
        <v>41768</v>
      </c>
      <c r="W119" s="167">
        <v>41772</v>
      </c>
      <c r="X119" s="164" t="s">
        <v>387</v>
      </c>
      <c r="Y119" s="164" t="s">
        <v>601</v>
      </c>
      <c r="Z119" s="164" t="s">
        <v>163</v>
      </c>
      <c r="AA119" s="168" t="s">
        <v>184</v>
      </c>
      <c r="AB119" s="168" t="s">
        <v>194</v>
      </c>
      <c r="AC119" s="168" t="s">
        <v>162</v>
      </c>
      <c r="AD119" s="168" t="s">
        <v>182</v>
      </c>
      <c r="AE119" s="168" t="s">
        <v>163</v>
      </c>
      <c r="AF119" s="168" t="s">
        <v>163</v>
      </c>
      <c r="AG119" s="168" t="s">
        <v>163</v>
      </c>
      <c r="AH119" s="168" t="str">
        <f t="shared" si="7"/>
        <v>Refrigerator-Compact-Automatic-Yes-No-No-No</v>
      </c>
      <c r="AI119" s="168" t="s">
        <v>329</v>
      </c>
      <c r="AJ119" s="168">
        <v>9.17</v>
      </c>
      <c r="AK119" s="169">
        <v>259.3</v>
      </c>
      <c r="AL119" s="169">
        <f t="shared" si="8"/>
        <v>292.31200000000001</v>
      </c>
      <c r="AM119" s="168">
        <f t="shared" si="9"/>
        <v>357</v>
      </c>
      <c r="AN119" s="168">
        <f t="shared" si="10"/>
        <v>321</v>
      </c>
      <c r="AO119" s="164" t="str">
        <f t="shared" si="11"/>
        <v>Yes</v>
      </c>
      <c r="AP119" s="164">
        <f t="shared" si="12"/>
        <v>36</v>
      </c>
    </row>
    <row r="120" spans="2:42">
      <c r="B120" s="164">
        <v>2215454</v>
      </c>
      <c r="C120" s="164" t="s">
        <v>602</v>
      </c>
      <c r="D120" s="164" t="s">
        <v>603</v>
      </c>
      <c r="E120" s="164"/>
      <c r="F120" s="164" t="s">
        <v>194</v>
      </c>
      <c r="G120" s="164" t="s">
        <v>188</v>
      </c>
      <c r="H120" s="164" t="s">
        <v>182</v>
      </c>
      <c r="I120" s="164" t="s">
        <v>163</v>
      </c>
      <c r="J120" s="164" t="s">
        <v>163</v>
      </c>
      <c r="K120" s="164" t="s">
        <v>163</v>
      </c>
      <c r="L120" s="164" t="s">
        <v>163</v>
      </c>
      <c r="M120" s="164">
        <v>20.100000000000001</v>
      </c>
      <c r="N120" s="164">
        <v>17.3</v>
      </c>
      <c r="O120" s="165">
        <v>1.5</v>
      </c>
      <c r="P120" s="165">
        <v>1.5</v>
      </c>
      <c r="Q120" s="164">
        <v>203</v>
      </c>
      <c r="R120" s="164">
        <v>266</v>
      </c>
      <c r="S120" s="166">
        <v>0.24</v>
      </c>
      <c r="T120" s="164" t="s">
        <v>163</v>
      </c>
      <c r="U120" s="164"/>
      <c r="V120" s="167">
        <v>41809</v>
      </c>
      <c r="W120" s="167">
        <v>41810</v>
      </c>
      <c r="X120" s="164" t="s">
        <v>506</v>
      </c>
      <c r="Y120" s="164" t="s">
        <v>604</v>
      </c>
      <c r="Z120" s="164" t="s">
        <v>163</v>
      </c>
      <c r="AA120" s="168" t="s">
        <v>184</v>
      </c>
      <c r="AB120" s="168" t="s">
        <v>194</v>
      </c>
      <c r="AC120" s="168" t="s">
        <v>188</v>
      </c>
      <c r="AD120" s="168" t="s">
        <v>182</v>
      </c>
      <c r="AE120" s="168" t="s">
        <v>163</v>
      </c>
      <c r="AF120" s="168" t="s">
        <v>163</v>
      </c>
      <c r="AG120" s="168" t="s">
        <v>163</v>
      </c>
      <c r="AH120" s="168" t="str">
        <f t="shared" si="7"/>
        <v>Refrigerator-Compact-Manual-Yes-No-No-No</v>
      </c>
      <c r="AI120" s="168" t="s">
        <v>315</v>
      </c>
      <c r="AJ120" s="168">
        <v>7.84</v>
      </c>
      <c r="AK120" s="169">
        <v>219.1</v>
      </c>
      <c r="AL120" s="169">
        <f t="shared" si="8"/>
        <v>230.85999999999999</v>
      </c>
      <c r="AM120" s="168">
        <f t="shared" si="9"/>
        <v>266</v>
      </c>
      <c r="AN120" s="168">
        <f t="shared" si="10"/>
        <v>203</v>
      </c>
      <c r="AO120" s="164" t="str">
        <f t="shared" si="11"/>
        <v>Yes</v>
      </c>
      <c r="AP120" s="164">
        <f t="shared" si="12"/>
        <v>63</v>
      </c>
    </row>
    <row r="121" spans="2:42">
      <c r="B121" s="164">
        <v>2215455</v>
      </c>
      <c r="C121" s="164" t="s">
        <v>602</v>
      </c>
      <c r="D121" s="164" t="s">
        <v>605</v>
      </c>
      <c r="E121" s="164"/>
      <c r="F121" s="164" t="s">
        <v>194</v>
      </c>
      <c r="G121" s="164" t="s">
        <v>188</v>
      </c>
      <c r="H121" s="164" t="s">
        <v>182</v>
      </c>
      <c r="I121" s="164" t="s">
        <v>163</v>
      </c>
      <c r="J121" s="164" t="s">
        <v>163</v>
      </c>
      <c r="K121" s="164" t="s">
        <v>163</v>
      </c>
      <c r="L121" s="164" t="s">
        <v>163</v>
      </c>
      <c r="M121" s="164">
        <v>32.700000000000003</v>
      </c>
      <c r="N121" s="164">
        <v>19.7</v>
      </c>
      <c r="O121" s="165">
        <v>4.4000000000000004</v>
      </c>
      <c r="P121" s="165">
        <v>4.4000000000000004</v>
      </c>
      <c r="Q121" s="164">
        <v>228</v>
      </c>
      <c r="R121" s="164">
        <v>292</v>
      </c>
      <c r="S121" s="166">
        <v>0.22</v>
      </c>
      <c r="T121" s="164" t="s">
        <v>163</v>
      </c>
      <c r="U121" s="164"/>
      <c r="V121" s="167">
        <v>41809</v>
      </c>
      <c r="W121" s="167">
        <v>41810</v>
      </c>
      <c r="X121" s="164" t="s">
        <v>506</v>
      </c>
      <c r="Y121" s="164" t="s">
        <v>606</v>
      </c>
      <c r="Z121" s="164" t="s">
        <v>163</v>
      </c>
      <c r="AA121" s="168" t="s">
        <v>184</v>
      </c>
      <c r="AB121" s="168" t="s">
        <v>194</v>
      </c>
      <c r="AC121" s="168" t="s">
        <v>188</v>
      </c>
      <c r="AD121" s="168" t="s">
        <v>182</v>
      </c>
      <c r="AE121" s="168" t="s">
        <v>163</v>
      </c>
      <c r="AF121" s="168" t="s">
        <v>163</v>
      </c>
      <c r="AG121" s="168" t="s">
        <v>163</v>
      </c>
      <c r="AH121" s="168" t="str">
        <f t="shared" si="7"/>
        <v>Refrigerator-Compact-Manual-Yes-No-No-No</v>
      </c>
      <c r="AI121" s="168" t="s">
        <v>315</v>
      </c>
      <c r="AJ121" s="168">
        <v>7.84</v>
      </c>
      <c r="AK121" s="169">
        <v>219.1</v>
      </c>
      <c r="AL121" s="169">
        <f t="shared" si="8"/>
        <v>253.596</v>
      </c>
      <c r="AM121" s="168">
        <f t="shared" si="9"/>
        <v>292</v>
      </c>
      <c r="AN121" s="168">
        <f t="shared" si="10"/>
        <v>228</v>
      </c>
      <c r="AO121" s="164" t="str">
        <f t="shared" si="11"/>
        <v>Yes</v>
      </c>
      <c r="AP121" s="164">
        <f t="shared" si="12"/>
        <v>64</v>
      </c>
    </row>
    <row r="122" spans="2:42">
      <c r="B122" s="164">
        <v>2215451</v>
      </c>
      <c r="C122" s="164" t="s">
        <v>607</v>
      </c>
      <c r="D122" s="164" t="s">
        <v>608</v>
      </c>
      <c r="E122" s="164"/>
      <c r="F122" s="164" t="s">
        <v>194</v>
      </c>
      <c r="G122" s="164" t="s">
        <v>188</v>
      </c>
      <c r="H122" s="164" t="s">
        <v>182</v>
      </c>
      <c r="I122" s="164" t="s">
        <v>163</v>
      </c>
      <c r="J122" s="164" t="s">
        <v>163</v>
      </c>
      <c r="K122" s="164" t="s">
        <v>163</v>
      </c>
      <c r="L122" s="164" t="s">
        <v>163</v>
      </c>
      <c r="M122" s="164">
        <v>20.100000000000001</v>
      </c>
      <c r="N122" s="164">
        <v>17.3</v>
      </c>
      <c r="O122" s="165">
        <v>1.5</v>
      </c>
      <c r="P122" s="165">
        <v>1.5</v>
      </c>
      <c r="Q122" s="164">
        <v>203</v>
      </c>
      <c r="R122" s="164">
        <v>266</v>
      </c>
      <c r="S122" s="166">
        <v>0.24</v>
      </c>
      <c r="T122" s="164" t="s">
        <v>163</v>
      </c>
      <c r="U122" s="164"/>
      <c r="V122" s="167">
        <v>41809</v>
      </c>
      <c r="W122" s="167">
        <v>41810</v>
      </c>
      <c r="X122" s="164" t="s">
        <v>506</v>
      </c>
      <c r="Y122" s="164" t="s">
        <v>609</v>
      </c>
      <c r="Z122" s="164" t="s">
        <v>163</v>
      </c>
      <c r="AA122" s="168" t="s">
        <v>184</v>
      </c>
      <c r="AB122" s="168" t="s">
        <v>194</v>
      </c>
      <c r="AC122" s="168" t="s">
        <v>188</v>
      </c>
      <c r="AD122" s="168" t="s">
        <v>182</v>
      </c>
      <c r="AE122" s="168" t="s">
        <v>163</v>
      </c>
      <c r="AF122" s="168" t="s">
        <v>163</v>
      </c>
      <c r="AG122" s="168" t="s">
        <v>163</v>
      </c>
      <c r="AH122" s="168" t="str">
        <f t="shared" si="7"/>
        <v>Refrigerator-Compact-Manual-Yes-No-No-No</v>
      </c>
      <c r="AI122" s="168" t="s">
        <v>315</v>
      </c>
      <c r="AJ122" s="168">
        <v>7.84</v>
      </c>
      <c r="AK122" s="169">
        <v>219.1</v>
      </c>
      <c r="AL122" s="169">
        <f t="shared" si="8"/>
        <v>230.85999999999999</v>
      </c>
      <c r="AM122" s="168">
        <f t="shared" si="9"/>
        <v>266</v>
      </c>
      <c r="AN122" s="168">
        <f t="shared" si="10"/>
        <v>203</v>
      </c>
      <c r="AO122" s="164" t="str">
        <f t="shared" si="11"/>
        <v>Yes</v>
      </c>
      <c r="AP122" s="164">
        <f t="shared" si="12"/>
        <v>63</v>
      </c>
    </row>
    <row r="123" spans="2:42">
      <c r="B123" s="164">
        <v>2215461</v>
      </c>
      <c r="C123" s="164" t="s">
        <v>607</v>
      </c>
      <c r="D123" s="164" t="s">
        <v>610</v>
      </c>
      <c r="E123" s="164"/>
      <c r="F123" s="164" t="s">
        <v>194</v>
      </c>
      <c r="G123" s="164" t="s">
        <v>162</v>
      </c>
      <c r="H123" s="164" t="s">
        <v>182</v>
      </c>
      <c r="I123" s="164" t="s">
        <v>163</v>
      </c>
      <c r="J123" s="164" t="s">
        <v>163</v>
      </c>
      <c r="K123" s="164" t="s">
        <v>163</v>
      </c>
      <c r="L123" s="164" t="s">
        <v>163</v>
      </c>
      <c r="M123" s="164">
        <v>33.5</v>
      </c>
      <c r="N123" s="164">
        <v>18.899999999999999</v>
      </c>
      <c r="O123" s="165">
        <v>3.1</v>
      </c>
      <c r="P123" s="165">
        <v>3.7</v>
      </c>
      <c r="Q123" s="164">
        <v>320</v>
      </c>
      <c r="R123" s="164">
        <v>358</v>
      </c>
      <c r="S123" s="166">
        <v>0.11</v>
      </c>
      <c r="T123" s="164" t="s">
        <v>163</v>
      </c>
      <c r="U123" s="164"/>
      <c r="V123" s="167">
        <v>41809</v>
      </c>
      <c r="W123" s="167">
        <v>41810</v>
      </c>
      <c r="X123" s="164" t="s">
        <v>506</v>
      </c>
      <c r="Y123" s="164" t="s">
        <v>611</v>
      </c>
      <c r="Z123" s="164" t="s">
        <v>163</v>
      </c>
      <c r="AA123" s="168" t="s">
        <v>184</v>
      </c>
      <c r="AB123" s="168" t="s">
        <v>194</v>
      </c>
      <c r="AC123" s="168" t="s">
        <v>162</v>
      </c>
      <c r="AD123" s="168" t="s">
        <v>182</v>
      </c>
      <c r="AE123" s="168" t="s">
        <v>163</v>
      </c>
      <c r="AF123" s="168" t="s">
        <v>163</v>
      </c>
      <c r="AG123" s="168" t="s">
        <v>163</v>
      </c>
      <c r="AH123" s="168" t="str">
        <f t="shared" si="7"/>
        <v>Refrigerator-Compact-Automatic-Yes-No-No-No</v>
      </c>
      <c r="AI123" s="168" t="s">
        <v>329</v>
      </c>
      <c r="AJ123" s="168">
        <v>9.17</v>
      </c>
      <c r="AK123" s="169">
        <v>259.3</v>
      </c>
      <c r="AL123" s="169">
        <f t="shared" si="8"/>
        <v>293.22900000000004</v>
      </c>
      <c r="AM123" s="168">
        <f t="shared" si="9"/>
        <v>358</v>
      </c>
      <c r="AN123" s="168">
        <f t="shared" si="10"/>
        <v>320</v>
      </c>
      <c r="AO123" s="164" t="str">
        <f t="shared" si="11"/>
        <v>Yes</v>
      </c>
      <c r="AP123" s="164">
        <f t="shared" si="12"/>
        <v>38</v>
      </c>
    </row>
    <row r="124" spans="2:42">
      <c r="B124" s="164">
        <v>2215452</v>
      </c>
      <c r="C124" s="164" t="s">
        <v>607</v>
      </c>
      <c r="D124" s="164" t="s">
        <v>612</v>
      </c>
      <c r="E124" s="164"/>
      <c r="F124" s="164" t="s">
        <v>194</v>
      </c>
      <c r="G124" s="164" t="s">
        <v>188</v>
      </c>
      <c r="H124" s="164" t="s">
        <v>182</v>
      </c>
      <c r="I124" s="164" t="s">
        <v>163</v>
      </c>
      <c r="J124" s="164" t="s">
        <v>163</v>
      </c>
      <c r="K124" s="164" t="s">
        <v>163</v>
      </c>
      <c r="L124" s="164" t="s">
        <v>163</v>
      </c>
      <c r="M124" s="164">
        <v>33.5</v>
      </c>
      <c r="N124" s="164">
        <v>18.7</v>
      </c>
      <c r="O124" s="165">
        <v>3.3</v>
      </c>
      <c r="P124" s="165">
        <v>3.3</v>
      </c>
      <c r="Q124" s="164">
        <v>220</v>
      </c>
      <c r="R124" s="164">
        <v>282</v>
      </c>
      <c r="S124" s="166">
        <v>0.22</v>
      </c>
      <c r="T124" s="164" t="s">
        <v>163</v>
      </c>
      <c r="U124" s="164"/>
      <c r="V124" s="167">
        <v>41809</v>
      </c>
      <c r="W124" s="167">
        <v>41810</v>
      </c>
      <c r="X124" s="164" t="s">
        <v>506</v>
      </c>
      <c r="Y124" s="164" t="s">
        <v>613</v>
      </c>
      <c r="Z124" s="164" t="s">
        <v>163</v>
      </c>
      <c r="AA124" s="168" t="s">
        <v>184</v>
      </c>
      <c r="AB124" s="168" t="s">
        <v>194</v>
      </c>
      <c r="AC124" s="168" t="s">
        <v>188</v>
      </c>
      <c r="AD124" s="168" t="s">
        <v>182</v>
      </c>
      <c r="AE124" s="168" t="s">
        <v>163</v>
      </c>
      <c r="AF124" s="168" t="s">
        <v>163</v>
      </c>
      <c r="AG124" s="168" t="s">
        <v>163</v>
      </c>
      <c r="AH124" s="168" t="str">
        <f t="shared" si="7"/>
        <v>Refrigerator-Compact-Manual-Yes-No-No-No</v>
      </c>
      <c r="AI124" s="168" t="s">
        <v>315</v>
      </c>
      <c r="AJ124" s="168">
        <v>7.84</v>
      </c>
      <c r="AK124" s="169">
        <v>219.1</v>
      </c>
      <c r="AL124" s="169">
        <f t="shared" si="8"/>
        <v>244.97199999999998</v>
      </c>
      <c r="AM124" s="168">
        <f t="shared" si="9"/>
        <v>282</v>
      </c>
      <c r="AN124" s="168">
        <f t="shared" si="10"/>
        <v>220</v>
      </c>
      <c r="AO124" s="164" t="str">
        <f t="shared" si="11"/>
        <v>Yes</v>
      </c>
      <c r="AP124" s="164">
        <f t="shared" si="12"/>
        <v>62</v>
      </c>
    </row>
    <row r="125" spans="2:42">
      <c r="B125" s="164">
        <v>2215453</v>
      </c>
      <c r="C125" s="164" t="s">
        <v>607</v>
      </c>
      <c r="D125" s="164" t="s">
        <v>614</v>
      </c>
      <c r="E125" s="164"/>
      <c r="F125" s="164" t="s">
        <v>194</v>
      </c>
      <c r="G125" s="164" t="s">
        <v>188</v>
      </c>
      <c r="H125" s="164" t="s">
        <v>182</v>
      </c>
      <c r="I125" s="164" t="s">
        <v>163</v>
      </c>
      <c r="J125" s="164" t="s">
        <v>163</v>
      </c>
      <c r="K125" s="164" t="s">
        <v>163</v>
      </c>
      <c r="L125" s="164" t="s">
        <v>163</v>
      </c>
      <c r="M125" s="164">
        <v>32.700000000000003</v>
      </c>
      <c r="N125" s="164">
        <v>19.7</v>
      </c>
      <c r="O125" s="165">
        <v>4.4000000000000004</v>
      </c>
      <c r="P125" s="165">
        <v>4.4000000000000004</v>
      </c>
      <c r="Q125" s="164">
        <v>228</v>
      </c>
      <c r="R125" s="164">
        <v>292</v>
      </c>
      <c r="S125" s="166">
        <v>0.22</v>
      </c>
      <c r="T125" s="164" t="s">
        <v>163</v>
      </c>
      <c r="U125" s="164"/>
      <c r="V125" s="167">
        <v>41809</v>
      </c>
      <c r="W125" s="167">
        <v>41810</v>
      </c>
      <c r="X125" s="164" t="s">
        <v>506</v>
      </c>
      <c r="Y125" s="164" t="s">
        <v>615</v>
      </c>
      <c r="Z125" s="164" t="s">
        <v>163</v>
      </c>
      <c r="AA125" s="168" t="s">
        <v>184</v>
      </c>
      <c r="AB125" s="168" t="s">
        <v>194</v>
      </c>
      <c r="AC125" s="168" t="s">
        <v>188</v>
      </c>
      <c r="AD125" s="168" t="s">
        <v>182</v>
      </c>
      <c r="AE125" s="168" t="s">
        <v>163</v>
      </c>
      <c r="AF125" s="168" t="s">
        <v>163</v>
      </c>
      <c r="AG125" s="168" t="s">
        <v>163</v>
      </c>
      <c r="AH125" s="168" t="str">
        <f t="shared" si="7"/>
        <v>Refrigerator-Compact-Manual-Yes-No-No-No</v>
      </c>
      <c r="AI125" s="168" t="s">
        <v>315</v>
      </c>
      <c r="AJ125" s="168">
        <v>7.84</v>
      </c>
      <c r="AK125" s="169">
        <v>219.1</v>
      </c>
      <c r="AL125" s="169">
        <f t="shared" si="8"/>
        <v>253.596</v>
      </c>
      <c r="AM125" s="168">
        <f t="shared" si="9"/>
        <v>292</v>
      </c>
      <c r="AN125" s="168">
        <f t="shared" si="10"/>
        <v>228</v>
      </c>
      <c r="AO125" s="164" t="str">
        <f t="shared" si="11"/>
        <v>Yes</v>
      </c>
      <c r="AP125" s="164">
        <f t="shared" si="12"/>
        <v>64</v>
      </c>
    </row>
    <row r="126" spans="2:42">
      <c r="B126" s="164">
        <v>2215470</v>
      </c>
      <c r="C126" s="164" t="s">
        <v>607</v>
      </c>
      <c r="D126" s="164" t="s">
        <v>616</v>
      </c>
      <c r="E126" s="164"/>
      <c r="F126" s="164" t="s">
        <v>194</v>
      </c>
      <c r="G126" s="164" t="s">
        <v>162</v>
      </c>
      <c r="H126" s="164" t="s">
        <v>182</v>
      </c>
      <c r="I126" s="164" t="s">
        <v>163</v>
      </c>
      <c r="J126" s="164" t="s">
        <v>163</v>
      </c>
      <c r="K126" s="164" t="s">
        <v>163</v>
      </c>
      <c r="L126" s="164" t="s">
        <v>163</v>
      </c>
      <c r="M126" s="164">
        <v>56.3</v>
      </c>
      <c r="N126" s="164">
        <v>21.7</v>
      </c>
      <c r="O126" s="165">
        <v>7.4</v>
      </c>
      <c r="P126" s="165">
        <v>8.4</v>
      </c>
      <c r="Q126" s="164">
        <v>345</v>
      </c>
      <c r="R126" s="164">
        <v>385</v>
      </c>
      <c r="S126" s="166">
        <v>0.1</v>
      </c>
      <c r="T126" s="164" t="s">
        <v>163</v>
      </c>
      <c r="U126" s="164"/>
      <c r="V126" s="167">
        <v>41829</v>
      </c>
      <c r="W126" s="167">
        <v>41830</v>
      </c>
      <c r="X126" s="164" t="s">
        <v>506</v>
      </c>
      <c r="Y126" s="164" t="s">
        <v>617</v>
      </c>
      <c r="Z126" s="164" t="s">
        <v>163</v>
      </c>
      <c r="AA126" s="168" t="s">
        <v>184</v>
      </c>
      <c r="AB126" s="168" t="s">
        <v>194</v>
      </c>
      <c r="AC126" s="168" t="s">
        <v>162</v>
      </c>
      <c r="AD126" s="168" t="s">
        <v>182</v>
      </c>
      <c r="AE126" s="168" t="s">
        <v>163</v>
      </c>
      <c r="AF126" s="168" t="s">
        <v>163</v>
      </c>
      <c r="AG126" s="168" t="s">
        <v>163</v>
      </c>
      <c r="AH126" s="168" t="str">
        <f t="shared" si="7"/>
        <v>Refrigerator-Compact-Automatic-Yes-No-No-No</v>
      </c>
      <c r="AI126" s="168" t="s">
        <v>329</v>
      </c>
      <c r="AJ126" s="168">
        <v>9.17</v>
      </c>
      <c r="AK126" s="169">
        <v>259.3</v>
      </c>
      <c r="AL126" s="169">
        <f t="shared" si="8"/>
        <v>336.32800000000003</v>
      </c>
      <c r="AM126" s="168">
        <f t="shared" si="9"/>
        <v>385</v>
      </c>
      <c r="AN126" s="168">
        <f t="shared" si="10"/>
        <v>345</v>
      </c>
      <c r="AO126" s="164" t="str">
        <f t="shared" si="11"/>
        <v>Yes</v>
      </c>
      <c r="AP126" s="164">
        <f t="shared" si="12"/>
        <v>40</v>
      </c>
    </row>
    <row r="127" spans="2:42">
      <c r="B127" s="164">
        <v>2216730</v>
      </c>
      <c r="C127" s="164" t="s">
        <v>168</v>
      </c>
      <c r="D127" s="164" t="s">
        <v>618</v>
      </c>
      <c r="E127" s="164"/>
      <c r="F127" s="164" t="s">
        <v>191</v>
      </c>
      <c r="G127" s="164" t="s">
        <v>162</v>
      </c>
      <c r="H127" s="164" t="s">
        <v>163</v>
      </c>
      <c r="I127" s="164" t="s">
        <v>163</v>
      </c>
      <c r="J127" s="164" t="s">
        <v>163</v>
      </c>
      <c r="K127" s="164" t="s">
        <v>182</v>
      </c>
      <c r="L127" s="164" t="s">
        <v>163</v>
      </c>
      <c r="M127" s="164">
        <v>69.900000000000006</v>
      </c>
      <c r="N127" s="164">
        <v>35.6</v>
      </c>
      <c r="O127" s="165">
        <v>27.6</v>
      </c>
      <c r="P127" s="165">
        <v>34.299999999999997</v>
      </c>
      <c r="Q127" s="164">
        <v>634</v>
      </c>
      <c r="R127" s="164">
        <v>705</v>
      </c>
      <c r="S127" s="166">
        <v>0.1</v>
      </c>
      <c r="T127" s="164" t="s">
        <v>163</v>
      </c>
      <c r="U127" s="164"/>
      <c r="V127" s="167">
        <v>41821</v>
      </c>
      <c r="W127" s="167">
        <v>41850</v>
      </c>
      <c r="X127" s="164" t="s">
        <v>387</v>
      </c>
      <c r="Y127" s="164" t="s">
        <v>619</v>
      </c>
      <c r="Z127" s="164" t="s">
        <v>163</v>
      </c>
      <c r="AA127" s="168" t="s">
        <v>184</v>
      </c>
      <c r="AB127" s="168" t="s">
        <v>191</v>
      </c>
      <c r="AC127" s="168" t="s">
        <v>162</v>
      </c>
      <c r="AD127" s="168" t="s">
        <v>163</v>
      </c>
      <c r="AE127" s="168" t="s">
        <v>163</v>
      </c>
      <c r="AF127" s="168" t="s">
        <v>163</v>
      </c>
      <c r="AG127" s="168" t="s">
        <v>182</v>
      </c>
      <c r="AH127" s="168" t="str">
        <f t="shared" si="7"/>
        <v>Refrigerator-Bottom Freezer-Automatic-No-No-No-Yes</v>
      </c>
      <c r="AI127" s="168" t="s">
        <v>261</v>
      </c>
      <c r="AJ127" s="168">
        <v>8.85</v>
      </c>
      <c r="AK127" s="169">
        <v>401</v>
      </c>
      <c r="AL127" s="169">
        <f t="shared" si="8"/>
        <v>704.55499999999995</v>
      </c>
      <c r="AM127" s="168">
        <f t="shared" si="9"/>
        <v>705</v>
      </c>
      <c r="AN127" s="168">
        <f t="shared" si="10"/>
        <v>634</v>
      </c>
      <c r="AO127" s="164" t="str">
        <f t="shared" si="11"/>
        <v>Yes</v>
      </c>
      <c r="AP127" s="164">
        <f t="shared" si="12"/>
        <v>71</v>
      </c>
    </row>
    <row r="128" spans="2:42">
      <c r="B128" s="164">
        <v>2216733</v>
      </c>
      <c r="C128" s="164" t="s">
        <v>168</v>
      </c>
      <c r="D128" s="164" t="s">
        <v>620</v>
      </c>
      <c r="E128" s="164"/>
      <c r="F128" s="164" t="s">
        <v>191</v>
      </c>
      <c r="G128" s="164" t="s">
        <v>162</v>
      </c>
      <c r="H128" s="164" t="s">
        <v>163</v>
      </c>
      <c r="I128" s="164" t="s">
        <v>163</v>
      </c>
      <c r="J128" s="164" t="s">
        <v>182</v>
      </c>
      <c r="K128" s="164" t="s">
        <v>182</v>
      </c>
      <c r="L128" s="164" t="s">
        <v>163</v>
      </c>
      <c r="M128" s="164">
        <v>69.900000000000006</v>
      </c>
      <c r="N128" s="164">
        <v>35.6</v>
      </c>
      <c r="O128" s="165">
        <v>27.1</v>
      </c>
      <c r="P128" s="165">
        <v>33.799999999999997</v>
      </c>
      <c r="Q128" s="164">
        <v>709</v>
      </c>
      <c r="R128" s="164">
        <v>788</v>
      </c>
      <c r="S128" s="166">
        <v>0.1</v>
      </c>
      <c r="T128" s="164" t="s">
        <v>163</v>
      </c>
      <c r="U128" s="164"/>
      <c r="V128" s="167">
        <v>41821</v>
      </c>
      <c r="W128" s="167">
        <v>41850</v>
      </c>
      <c r="X128" s="164" t="s">
        <v>387</v>
      </c>
      <c r="Y128" s="164" t="s">
        <v>621</v>
      </c>
      <c r="Z128" s="164" t="s">
        <v>163</v>
      </c>
      <c r="AA128" s="168" t="s">
        <v>184</v>
      </c>
      <c r="AB128" s="168" t="s">
        <v>191</v>
      </c>
      <c r="AC128" s="168" t="s">
        <v>162</v>
      </c>
      <c r="AD128" s="168" t="s">
        <v>163</v>
      </c>
      <c r="AE128" s="168" t="s">
        <v>163</v>
      </c>
      <c r="AF128" s="168" t="s">
        <v>182</v>
      </c>
      <c r="AG128" s="168" t="s">
        <v>182</v>
      </c>
      <c r="AH128" s="168" t="str">
        <f t="shared" si="7"/>
        <v>Refrigerator-Bottom Freezer-Automatic-No-No-Yes-Yes</v>
      </c>
      <c r="AI128" s="168" t="s">
        <v>269</v>
      </c>
      <c r="AJ128" s="168">
        <v>9.25</v>
      </c>
      <c r="AK128" s="169">
        <v>475.4</v>
      </c>
      <c r="AL128" s="169">
        <f t="shared" si="8"/>
        <v>788.05</v>
      </c>
      <c r="AM128" s="168">
        <f t="shared" si="9"/>
        <v>788</v>
      </c>
      <c r="AN128" s="168">
        <f t="shared" si="10"/>
        <v>709</v>
      </c>
      <c r="AO128" s="164" t="str">
        <f t="shared" si="11"/>
        <v>Yes</v>
      </c>
      <c r="AP128" s="164">
        <f t="shared" si="12"/>
        <v>79</v>
      </c>
    </row>
    <row r="129" spans="2:42">
      <c r="B129" s="164">
        <v>2216163</v>
      </c>
      <c r="C129" s="164" t="s">
        <v>168</v>
      </c>
      <c r="D129" s="164" t="s">
        <v>622</v>
      </c>
      <c r="E129" s="164"/>
      <c r="F129" s="164" t="s">
        <v>193</v>
      </c>
      <c r="G129" s="164" t="s">
        <v>162</v>
      </c>
      <c r="H129" s="164" t="s">
        <v>163</v>
      </c>
      <c r="I129" s="164" t="s">
        <v>163</v>
      </c>
      <c r="J129" s="164" t="s">
        <v>163</v>
      </c>
      <c r="K129" s="164" t="s">
        <v>182</v>
      </c>
      <c r="L129" s="164" t="s">
        <v>163</v>
      </c>
      <c r="M129" s="164">
        <v>60.1</v>
      </c>
      <c r="N129" s="164">
        <v>28</v>
      </c>
      <c r="O129" s="165">
        <v>14.6</v>
      </c>
      <c r="P129" s="165">
        <v>17.3</v>
      </c>
      <c r="Q129" s="164">
        <v>412</v>
      </c>
      <c r="R129" s="164">
        <v>457</v>
      </c>
      <c r="S129" s="166">
        <v>0.1</v>
      </c>
      <c r="T129" s="164" t="s">
        <v>163</v>
      </c>
      <c r="U129" s="164"/>
      <c r="V129" s="167">
        <v>41832</v>
      </c>
      <c r="W129" s="167">
        <v>41837</v>
      </c>
      <c r="X129" s="164" t="s">
        <v>387</v>
      </c>
      <c r="Y129" s="164" t="s">
        <v>623</v>
      </c>
      <c r="Z129" s="164" t="s">
        <v>163</v>
      </c>
      <c r="AA129" s="168" t="s">
        <v>184</v>
      </c>
      <c r="AB129" s="168" t="s">
        <v>193</v>
      </c>
      <c r="AC129" s="168" t="s">
        <v>162</v>
      </c>
      <c r="AD129" s="168" t="s">
        <v>163</v>
      </c>
      <c r="AE129" s="168" t="s">
        <v>163</v>
      </c>
      <c r="AF129" s="168" t="s">
        <v>163</v>
      </c>
      <c r="AG129" s="168" t="s">
        <v>182</v>
      </c>
      <c r="AH129" s="168" t="str">
        <f t="shared" si="7"/>
        <v>Refrigerator-Top Freezer-Automatic-No-No-No-Yes</v>
      </c>
      <c r="AI129" s="168" t="s">
        <v>223</v>
      </c>
      <c r="AJ129" s="168">
        <v>8.07</v>
      </c>
      <c r="AK129" s="169">
        <v>317.7</v>
      </c>
      <c r="AL129" s="169">
        <f t="shared" si="8"/>
        <v>457.31100000000004</v>
      </c>
      <c r="AM129" s="168">
        <f t="shared" si="9"/>
        <v>457</v>
      </c>
      <c r="AN129" s="168">
        <f t="shared" si="10"/>
        <v>412</v>
      </c>
      <c r="AO129" s="164" t="str">
        <f t="shared" si="11"/>
        <v>Yes</v>
      </c>
      <c r="AP129" s="164">
        <f t="shared" si="12"/>
        <v>45</v>
      </c>
    </row>
    <row r="130" spans="2:42">
      <c r="B130" s="164">
        <v>2216167</v>
      </c>
      <c r="C130" s="164" t="s">
        <v>168</v>
      </c>
      <c r="D130" s="164" t="s">
        <v>622</v>
      </c>
      <c r="E130" s="164"/>
      <c r="F130" s="164" t="s">
        <v>193</v>
      </c>
      <c r="G130" s="164" t="s">
        <v>162</v>
      </c>
      <c r="H130" s="164" t="s">
        <v>163</v>
      </c>
      <c r="I130" s="164" t="s">
        <v>163</v>
      </c>
      <c r="J130" s="164" t="s">
        <v>163</v>
      </c>
      <c r="K130" s="164" t="s">
        <v>163</v>
      </c>
      <c r="L130" s="164" t="s">
        <v>163</v>
      </c>
      <c r="M130" s="164">
        <v>60.1</v>
      </c>
      <c r="N130" s="164">
        <v>28</v>
      </c>
      <c r="O130" s="165">
        <v>14.6</v>
      </c>
      <c r="P130" s="165">
        <v>17.3</v>
      </c>
      <c r="Q130" s="164">
        <v>336</v>
      </c>
      <c r="R130" s="164">
        <v>373</v>
      </c>
      <c r="S130" s="166">
        <v>0.1</v>
      </c>
      <c r="T130" s="164" t="s">
        <v>163</v>
      </c>
      <c r="U130" s="164"/>
      <c r="V130" s="167">
        <v>41832</v>
      </c>
      <c r="W130" s="167">
        <v>41837</v>
      </c>
      <c r="X130" s="164" t="s">
        <v>387</v>
      </c>
      <c r="Y130" s="164" t="s">
        <v>624</v>
      </c>
      <c r="Z130" s="164" t="s">
        <v>163</v>
      </c>
      <c r="AA130" s="168" t="s">
        <v>184</v>
      </c>
      <c r="AB130" s="168" t="s">
        <v>193</v>
      </c>
      <c r="AC130" s="168" t="s">
        <v>162</v>
      </c>
      <c r="AD130" s="168" t="s">
        <v>163</v>
      </c>
      <c r="AE130" s="168" t="s">
        <v>163</v>
      </c>
      <c r="AF130" s="168" t="s">
        <v>163</v>
      </c>
      <c r="AG130" s="168" t="s">
        <v>163</v>
      </c>
      <c r="AH130" s="168" t="str">
        <f t="shared" si="7"/>
        <v>Refrigerator-Top Freezer-Automatic-No-No-No-No</v>
      </c>
      <c r="AI130" s="168">
        <v>3</v>
      </c>
      <c r="AJ130" s="168">
        <v>8.07</v>
      </c>
      <c r="AK130" s="169">
        <v>233.7</v>
      </c>
      <c r="AL130" s="169">
        <f t="shared" si="8"/>
        <v>373.31100000000004</v>
      </c>
      <c r="AM130" s="168">
        <f t="shared" si="9"/>
        <v>373</v>
      </c>
      <c r="AN130" s="168">
        <f t="shared" si="10"/>
        <v>336</v>
      </c>
      <c r="AO130" s="164" t="str">
        <f t="shared" si="11"/>
        <v>Yes</v>
      </c>
      <c r="AP130" s="164">
        <f t="shared" si="12"/>
        <v>37</v>
      </c>
    </row>
    <row r="131" spans="2:42">
      <c r="B131" s="164">
        <v>2219144</v>
      </c>
      <c r="C131" s="164" t="s">
        <v>168</v>
      </c>
      <c r="D131" s="164" t="s">
        <v>625</v>
      </c>
      <c r="E131" s="164"/>
      <c r="F131" s="164" t="s">
        <v>193</v>
      </c>
      <c r="G131" s="164" t="s">
        <v>162</v>
      </c>
      <c r="H131" s="164" t="s">
        <v>163</v>
      </c>
      <c r="I131" s="164" t="s">
        <v>163</v>
      </c>
      <c r="J131" s="164" t="s">
        <v>163</v>
      </c>
      <c r="K131" s="164" t="s">
        <v>163</v>
      </c>
      <c r="L131" s="164" t="s">
        <v>163</v>
      </c>
      <c r="M131" s="164">
        <v>66.099999999999994</v>
      </c>
      <c r="N131" s="164">
        <v>29.6</v>
      </c>
      <c r="O131" s="165">
        <v>18.100000000000001</v>
      </c>
      <c r="P131" s="165">
        <v>21.1</v>
      </c>
      <c r="Q131" s="164">
        <v>363</v>
      </c>
      <c r="R131" s="164">
        <v>404</v>
      </c>
      <c r="S131" s="166">
        <v>0.1</v>
      </c>
      <c r="T131" s="164" t="s">
        <v>163</v>
      </c>
      <c r="U131" s="164"/>
      <c r="V131" s="167">
        <v>41884</v>
      </c>
      <c r="W131" s="167">
        <v>41889</v>
      </c>
      <c r="X131" s="164" t="s">
        <v>387</v>
      </c>
      <c r="Y131" s="164" t="s">
        <v>626</v>
      </c>
      <c r="Z131" s="164" t="s">
        <v>163</v>
      </c>
      <c r="AA131" s="168" t="s">
        <v>184</v>
      </c>
      <c r="AB131" s="168" t="s">
        <v>193</v>
      </c>
      <c r="AC131" s="168" t="s">
        <v>162</v>
      </c>
      <c r="AD131" s="168" t="s">
        <v>163</v>
      </c>
      <c r="AE131" s="168" t="s">
        <v>163</v>
      </c>
      <c r="AF131" s="168" t="s">
        <v>163</v>
      </c>
      <c r="AG131" s="168" t="s">
        <v>163</v>
      </c>
      <c r="AH131" s="168" t="str">
        <f t="shared" si="7"/>
        <v>Refrigerator-Top Freezer-Automatic-No-No-No-No</v>
      </c>
      <c r="AI131" s="168">
        <v>3</v>
      </c>
      <c r="AJ131" s="168">
        <v>8.07</v>
      </c>
      <c r="AK131" s="169">
        <v>233.7</v>
      </c>
      <c r="AL131" s="169">
        <f t="shared" si="8"/>
        <v>403.97699999999998</v>
      </c>
      <c r="AM131" s="168">
        <f t="shared" si="9"/>
        <v>404</v>
      </c>
      <c r="AN131" s="168">
        <f t="shared" si="10"/>
        <v>363</v>
      </c>
      <c r="AO131" s="164" t="str">
        <f t="shared" si="11"/>
        <v>Yes</v>
      </c>
      <c r="AP131" s="164">
        <f t="shared" si="12"/>
        <v>41</v>
      </c>
    </row>
    <row r="132" spans="2:42">
      <c r="B132" s="164">
        <v>2219146</v>
      </c>
      <c r="C132" s="164" t="s">
        <v>168</v>
      </c>
      <c r="D132" s="164" t="s">
        <v>625</v>
      </c>
      <c r="E132" s="164"/>
      <c r="F132" s="164" t="s">
        <v>193</v>
      </c>
      <c r="G132" s="164" t="s">
        <v>162</v>
      </c>
      <c r="H132" s="164" t="s">
        <v>163</v>
      </c>
      <c r="I132" s="164" t="s">
        <v>163</v>
      </c>
      <c r="J132" s="164" t="s">
        <v>163</v>
      </c>
      <c r="K132" s="164" t="s">
        <v>182</v>
      </c>
      <c r="L132" s="164" t="s">
        <v>163</v>
      </c>
      <c r="M132" s="164">
        <v>66.099999999999994</v>
      </c>
      <c r="N132" s="164">
        <v>29.6</v>
      </c>
      <c r="O132" s="165">
        <v>18.100000000000001</v>
      </c>
      <c r="P132" s="165">
        <v>21.1</v>
      </c>
      <c r="Q132" s="164">
        <v>439</v>
      </c>
      <c r="R132" s="164">
        <v>488</v>
      </c>
      <c r="S132" s="166">
        <v>0.1</v>
      </c>
      <c r="T132" s="164" t="s">
        <v>163</v>
      </c>
      <c r="U132" s="164"/>
      <c r="V132" s="167">
        <v>41884</v>
      </c>
      <c r="W132" s="167">
        <v>41889</v>
      </c>
      <c r="X132" s="164" t="s">
        <v>387</v>
      </c>
      <c r="Y132" s="164" t="s">
        <v>627</v>
      </c>
      <c r="Z132" s="164" t="s">
        <v>163</v>
      </c>
      <c r="AA132" s="168" t="s">
        <v>184</v>
      </c>
      <c r="AB132" s="168" t="s">
        <v>193</v>
      </c>
      <c r="AC132" s="168" t="s">
        <v>162</v>
      </c>
      <c r="AD132" s="168" t="s">
        <v>163</v>
      </c>
      <c r="AE132" s="168" t="s">
        <v>163</v>
      </c>
      <c r="AF132" s="168" t="s">
        <v>163</v>
      </c>
      <c r="AG132" s="168" t="s">
        <v>182</v>
      </c>
      <c r="AH132" s="168" t="str">
        <f t="shared" si="7"/>
        <v>Refrigerator-Top Freezer-Automatic-No-No-No-Yes</v>
      </c>
      <c r="AI132" s="168" t="s">
        <v>223</v>
      </c>
      <c r="AJ132" s="168">
        <v>8.07</v>
      </c>
      <c r="AK132" s="169">
        <v>317.7</v>
      </c>
      <c r="AL132" s="169">
        <f t="shared" si="8"/>
        <v>487.97699999999998</v>
      </c>
      <c r="AM132" s="168">
        <f t="shared" si="9"/>
        <v>488</v>
      </c>
      <c r="AN132" s="168">
        <f t="shared" si="10"/>
        <v>439</v>
      </c>
      <c r="AO132" s="164" t="str">
        <f t="shared" si="11"/>
        <v>Yes</v>
      </c>
      <c r="AP132" s="164">
        <f t="shared" si="12"/>
        <v>49</v>
      </c>
    </row>
    <row r="133" spans="2:42">
      <c r="B133" s="164">
        <v>2219145</v>
      </c>
      <c r="C133" s="164" t="s">
        <v>168</v>
      </c>
      <c r="D133" s="164" t="s">
        <v>628</v>
      </c>
      <c r="E133" s="164"/>
      <c r="F133" s="164" t="s">
        <v>193</v>
      </c>
      <c r="G133" s="164" t="s">
        <v>162</v>
      </c>
      <c r="H133" s="164" t="s">
        <v>163</v>
      </c>
      <c r="I133" s="164" t="s">
        <v>163</v>
      </c>
      <c r="J133" s="164" t="s">
        <v>163</v>
      </c>
      <c r="K133" s="164" t="s">
        <v>163</v>
      </c>
      <c r="L133" s="164" t="s">
        <v>163</v>
      </c>
      <c r="M133" s="164">
        <v>66.099999999999994</v>
      </c>
      <c r="N133" s="164">
        <v>29.6</v>
      </c>
      <c r="O133" s="165">
        <v>18.100000000000001</v>
      </c>
      <c r="P133" s="165">
        <v>21.1</v>
      </c>
      <c r="Q133" s="164">
        <v>363</v>
      </c>
      <c r="R133" s="164">
        <v>404</v>
      </c>
      <c r="S133" s="166">
        <v>0.1</v>
      </c>
      <c r="T133" s="164" t="s">
        <v>163</v>
      </c>
      <c r="U133" s="164"/>
      <c r="V133" s="167">
        <v>41884</v>
      </c>
      <c r="W133" s="167">
        <v>41889</v>
      </c>
      <c r="X133" s="164" t="s">
        <v>387</v>
      </c>
      <c r="Y133" s="164" t="s">
        <v>629</v>
      </c>
      <c r="Z133" s="164" t="s">
        <v>163</v>
      </c>
      <c r="AA133" s="168" t="s">
        <v>184</v>
      </c>
      <c r="AB133" s="168" t="s">
        <v>193</v>
      </c>
      <c r="AC133" s="168" t="s">
        <v>162</v>
      </c>
      <c r="AD133" s="168" t="s">
        <v>163</v>
      </c>
      <c r="AE133" s="168" t="s">
        <v>163</v>
      </c>
      <c r="AF133" s="168" t="s">
        <v>163</v>
      </c>
      <c r="AG133" s="168" t="s">
        <v>163</v>
      </c>
      <c r="AH133" s="168" t="str">
        <f t="shared" si="7"/>
        <v>Refrigerator-Top Freezer-Automatic-No-No-No-No</v>
      </c>
      <c r="AI133" s="168">
        <v>3</v>
      </c>
      <c r="AJ133" s="168">
        <v>8.07</v>
      </c>
      <c r="AK133" s="169">
        <v>233.7</v>
      </c>
      <c r="AL133" s="169">
        <f t="shared" si="8"/>
        <v>403.97699999999998</v>
      </c>
      <c r="AM133" s="168">
        <f t="shared" si="9"/>
        <v>404</v>
      </c>
      <c r="AN133" s="168">
        <f t="shared" si="10"/>
        <v>363</v>
      </c>
      <c r="AO133" s="164" t="str">
        <f t="shared" si="11"/>
        <v>Yes</v>
      </c>
      <c r="AP133" s="164">
        <f t="shared" si="12"/>
        <v>41</v>
      </c>
    </row>
    <row r="134" spans="2:42">
      <c r="B134" s="164">
        <v>2219147</v>
      </c>
      <c r="C134" s="164" t="s">
        <v>168</v>
      </c>
      <c r="D134" s="164" t="s">
        <v>628</v>
      </c>
      <c r="E134" s="164"/>
      <c r="F134" s="164" t="s">
        <v>193</v>
      </c>
      <c r="G134" s="164" t="s">
        <v>162</v>
      </c>
      <c r="H134" s="164" t="s">
        <v>163</v>
      </c>
      <c r="I134" s="164" t="s">
        <v>163</v>
      </c>
      <c r="J134" s="164" t="s">
        <v>163</v>
      </c>
      <c r="K134" s="164" t="s">
        <v>182</v>
      </c>
      <c r="L134" s="164" t="s">
        <v>163</v>
      </c>
      <c r="M134" s="164">
        <v>66.099999999999994</v>
      </c>
      <c r="N134" s="164">
        <v>29.6</v>
      </c>
      <c r="O134" s="165">
        <v>18.100000000000001</v>
      </c>
      <c r="P134" s="165">
        <v>21.1</v>
      </c>
      <c r="Q134" s="164">
        <v>439</v>
      </c>
      <c r="R134" s="164">
        <v>488</v>
      </c>
      <c r="S134" s="166">
        <v>0.1</v>
      </c>
      <c r="T134" s="164" t="s">
        <v>163</v>
      </c>
      <c r="U134" s="164"/>
      <c r="V134" s="167">
        <v>41884</v>
      </c>
      <c r="W134" s="167">
        <v>41889</v>
      </c>
      <c r="X134" s="164" t="s">
        <v>387</v>
      </c>
      <c r="Y134" s="164" t="s">
        <v>630</v>
      </c>
      <c r="Z134" s="164" t="s">
        <v>163</v>
      </c>
      <c r="AA134" s="168" t="s">
        <v>184</v>
      </c>
      <c r="AB134" s="168" t="s">
        <v>193</v>
      </c>
      <c r="AC134" s="168" t="s">
        <v>162</v>
      </c>
      <c r="AD134" s="168" t="s">
        <v>163</v>
      </c>
      <c r="AE134" s="168" t="s">
        <v>163</v>
      </c>
      <c r="AF134" s="168" t="s">
        <v>163</v>
      </c>
      <c r="AG134" s="168" t="s">
        <v>182</v>
      </c>
      <c r="AH134" s="168" t="str">
        <f t="shared" si="7"/>
        <v>Refrigerator-Top Freezer-Automatic-No-No-No-Yes</v>
      </c>
      <c r="AI134" s="168" t="s">
        <v>223</v>
      </c>
      <c r="AJ134" s="168">
        <v>8.07</v>
      </c>
      <c r="AK134" s="169">
        <v>317.7</v>
      </c>
      <c r="AL134" s="169">
        <f t="shared" si="8"/>
        <v>487.97699999999998</v>
      </c>
      <c r="AM134" s="168">
        <f t="shared" si="9"/>
        <v>488</v>
      </c>
      <c r="AN134" s="168">
        <f t="shared" si="10"/>
        <v>439</v>
      </c>
      <c r="AO134" s="164" t="str">
        <f t="shared" si="11"/>
        <v>Yes</v>
      </c>
      <c r="AP134" s="164">
        <f t="shared" si="12"/>
        <v>49</v>
      </c>
    </row>
    <row r="135" spans="2:42">
      <c r="B135" s="164">
        <v>2219130</v>
      </c>
      <c r="C135" s="164" t="s">
        <v>168</v>
      </c>
      <c r="D135" s="164" t="s">
        <v>631</v>
      </c>
      <c r="E135" s="164"/>
      <c r="F135" s="164" t="s">
        <v>193</v>
      </c>
      <c r="G135" s="164" t="s">
        <v>162</v>
      </c>
      <c r="H135" s="164" t="s">
        <v>163</v>
      </c>
      <c r="I135" s="164" t="s">
        <v>163</v>
      </c>
      <c r="J135" s="164" t="s">
        <v>163</v>
      </c>
      <c r="K135" s="164" t="s">
        <v>163</v>
      </c>
      <c r="L135" s="164" t="s">
        <v>163</v>
      </c>
      <c r="M135" s="164">
        <v>69</v>
      </c>
      <c r="N135" s="164">
        <v>29.6</v>
      </c>
      <c r="O135" s="165">
        <v>20.399999999999999</v>
      </c>
      <c r="P135" s="165">
        <v>24.3</v>
      </c>
      <c r="Q135" s="164">
        <v>386</v>
      </c>
      <c r="R135" s="164">
        <v>430</v>
      </c>
      <c r="S135" s="166">
        <v>0.1</v>
      </c>
      <c r="T135" s="164" t="s">
        <v>163</v>
      </c>
      <c r="U135" s="164"/>
      <c r="V135" s="167">
        <v>41884</v>
      </c>
      <c r="W135" s="167">
        <v>41889</v>
      </c>
      <c r="X135" s="164" t="s">
        <v>387</v>
      </c>
      <c r="Y135" s="164" t="s">
        <v>632</v>
      </c>
      <c r="Z135" s="164" t="s">
        <v>163</v>
      </c>
      <c r="AA135" s="168" t="s">
        <v>184</v>
      </c>
      <c r="AB135" s="168" t="s">
        <v>193</v>
      </c>
      <c r="AC135" s="168" t="s">
        <v>162</v>
      </c>
      <c r="AD135" s="168" t="s">
        <v>163</v>
      </c>
      <c r="AE135" s="168" t="s">
        <v>163</v>
      </c>
      <c r="AF135" s="168" t="s">
        <v>163</v>
      </c>
      <c r="AG135" s="168" t="s">
        <v>163</v>
      </c>
      <c r="AH135" s="168" t="str">
        <f t="shared" si="7"/>
        <v>Refrigerator-Top Freezer-Automatic-No-No-No-No</v>
      </c>
      <c r="AI135" s="168">
        <v>3</v>
      </c>
      <c r="AJ135" s="168">
        <v>8.07</v>
      </c>
      <c r="AK135" s="169">
        <v>233.7</v>
      </c>
      <c r="AL135" s="169">
        <f t="shared" si="8"/>
        <v>429.80099999999999</v>
      </c>
      <c r="AM135" s="168">
        <f t="shared" si="9"/>
        <v>430</v>
      </c>
      <c r="AN135" s="168">
        <f t="shared" si="10"/>
        <v>386</v>
      </c>
      <c r="AO135" s="164" t="str">
        <f t="shared" si="11"/>
        <v>Yes</v>
      </c>
      <c r="AP135" s="164">
        <f t="shared" si="12"/>
        <v>44</v>
      </c>
    </row>
    <row r="136" spans="2:42">
      <c r="B136" s="164">
        <v>2219148</v>
      </c>
      <c r="C136" s="164" t="s">
        <v>168</v>
      </c>
      <c r="D136" s="164" t="s">
        <v>631</v>
      </c>
      <c r="E136" s="164"/>
      <c r="F136" s="164" t="s">
        <v>193</v>
      </c>
      <c r="G136" s="164" t="s">
        <v>162</v>
      </c>
      <c r="H136" s="164" t="s">
        <v>163</v>
      </c>
      <c r="I136" s="164" t="s">
        <v>163</v>
      </c>
      <c r="J136" s="164" t="s">
        <v>163</v>
      </c>
      <c r="K136" s="164" t="s">
        <v>182</v>
      </c>
      <c r="L136" s="164" t="s">
        <v>163</v>
      </c>
      <c r="M136" s="164">
        <v>69</v>
      </c>
      <c r="N136" s="164">
        <v>29.6</v>
      </c>
      <c r="O136" s="165">
        <v>20.399999999999999</v>
      </c>
      <c r="P136" s="165">
        <v>24.3</v>
      </c>
      <c r="Q136" s="164">
        <v>462</v>
      </c>
      <c r="R136" s="164">
        <v>514</v>
      </c>
      <c r="S136" s="166">
        <v>0.1</v>
      </c>
      <c r="T136" s="164" t="s">
        <v>163</v>
      </c>
      <c r="U136" s="164"/>
      <c r="V136" s="167">
        <v>41884</v>
      </c>
      <c r="W136" s="167">
        <v>41889</v>
      </c>
      <c r="X136" s="164" t="s">
        <v>387</v>
      </c>
      <c r="Y136" s="164" t="s">
        <v>633</v>
      </c>
      <c r="Z136" s="164" t="s">
        <v>163</v>
      </c>
      <c r="AA136" s="168" t="s">
        <v>184</v>
      </c>
      <c r="AB136" s="168" t="s">
        <v>193</v>
      </c>
      <c r="AC136" s="168" t="s">
        <v>162</v>
      </c>
      <c r="AD136" s="168" t="s">
        <v>163</v>
      </c>
      <c r="AE136" s="168" t="s">
        <v>163</v>
      </c>
      <c r="AF136" s="168" t="s">
        <v>163</v>
      </c>
      <c r="AG136" s="168" t="s">
        <v>182</v>
      </c>
      <c r="AH136" s="168" t="str">
        <f t="shared" si="7"/>
        <v>Refrigerator-Top Freezer-Automatic-No-No-No-Yes</v>
      </c>
      <c r="AI136" s="168" t="s">
        <v>223</v>
      </c>
      <c r="AJ136" s="168">
        <v>8.07</v>
      </c>
      <c r="AK136" s="169">
        <v>317.7</v>
      </c>
      <c r="AL136" s="169">
        <f t="shared" si="8"/>
        <v>513.80099999999993</v>
      </c>
      <c r="AM136" s="168">
        <f t="shared" si="9"/>
        <v>514</v>
      </c>
      <c r="AN136" s="168">
        <f t="shared" si="10"/>
        <v>462</v>
      </c>
      <c r="AO136" s="164" t="str">
        <f t="shared" si="11"/>
        <v>Yes</v>
      </c>
      <c r="AP136" s="164">
        <f t="shared" si="12"/>
        <v>52</v>
      </c>
    </row>
    <row r="137" spans="2:42">
      <c r="B137" s="164">
        <v>2208207</v>
      </c>
      <c r="C137" s="164" t="s">
        <v>634</v>
      </c>
      <c r="D137" s="164" t="s">
        <v>635</v>
      </c>
      <c r="E137" s="164"/>
      <c r="F137" s="164" t="s">
        <v>191</v>
      </c>
      <c r="G137" s="164" t="s">
        <v>162</v>
      </c>
      <c r="H137" s="164" t="s">
        <v>163</v>
      </c>
      <c r="I137" s="164" t="s">
        <v>163</v>
      </c>
      <c r="J137" s="164" t="s">
        <v>163</v>
      </c>
      <c r="K137" s="164" t="s">
        <v>182</v>
      </c>
      <c r="L137" s="164" t="s">
        <v>182</v>
      </c>
      <c r="M137" s="164">
        <v>68.5</v>
      </c>
      <c r="N137" s="164">
        <v>35.6</v>
      </c>
      <c r="O137" s="165">
        <v>20</v>
      </c>
      <c r="P137" s="165">
        <v>24.3</v>
      </c>
      <c r="Q137" s="164">
        <v>555</v>
      </c>
      <c r="R137" s="164">
        <v>616</v>
      </c>
      <c r="S137" s="166">
        <v>0.1</v>
      </c>
      <c r="T137" s="164" t="s">
        <v>163</v>
      </c>
      <c r="U137" s="164"/>
      <c r="V137" s="167">
        <v>41736</v>
      </c>
      <c r="W137" s="167">
        <v>41726</v>
      </c>
      <c r="X137" s="164" t="s">
        <v>387</v>
      </c>
      <c r="Y137" s="164" t="s">
        <v>636</v>
      </c>
      <c r="Z137" s="164" t="s">
        <v>163</v>
      </c>
      <c r="AA137" s="168" t="s">
        <v>184</v>
      </c>
      <c r="AB137" s="168" t="s">
        <v>191</v>
      </c>
      <c r="AC137" s="168" t="s">
        <v>162</v>
      </c>
      <c r="AD137" s="168" t="s">
        <v>163</v>
      </c>
      <c r="AE137" s="168" t="s">
        <v>163</v>
      </c>
      <c r="AF137" s="168" t="s">
        <v>163</v>
      </c>
      <c r="AG137" s="168" t="s">
        <v>182</v>
      </c>
      <c r="AH137" s="168" t="str">
        <f t="shared" si="7"/>
        <v>Refrigerator-Bottom Freezer-Automatic-No-No-No-Yes</v>
      </c>
      <c r="AI137" s="168" t="s">
        <v>261</v>
      </c>
      <c r="AJ137" s="168">
        <v>8.85</v>
      </c>
      <c r="AK137" s="169">
        <v>401</v>
      </c>
      <c r="AL137" s="169">
        <f t="shared" si="8"/>
        <v>616.05500000000006</v>
      </c>
      <c r="AM137" s="168">
        <f t="shared" si="9"/>
        <v>616</v>
      </c>
      <c r="AN137" s="168">
        <f t="shared" si="10"/>
        <v>555</v>
      </c>
      <c r="AO137" s="164" t="str">
        <f t="shared" si="11"/>
        <v>Yes</v>
      </c>
      <c r="AP137" s="164">
        <f t="shared" si="12"/>
        <v>61</v>
      </c>
    </row>
    <row r="138" spans="2:42">
      <c r="B138" s="164">
        <v>2210486</v>
      </c>
      <c r="C138" s="164" t="s">
        <v>166</v>
      </c>
      <c r="D138" s="164" t="s">
        <v>637</v>
      </c>
      <c r="E138" s="164"/>
      <c r="F138" s="164" t="s">
        <v>194</v>
      </c>
      <c r="G138" s="164" t="s">
        <v>188</v>
      </c>
      <c r="H138" s="164" t="s">
        <v>182</v>
      </c>
      <c r="I138" s="164" t="s">
        <v>163</v>
      </c>
      <c r="J138" s="164" t="s">
        <v>163</v>
      </c>
      <c r="K138" s="164" t="s">
        <v>163</v>
      </c>
      <c r="L138" s="164" t="s">
        <v>163</v>
      </c>
      <c r="M138" s="164">
        <v>19.399999999999999</v>
      </c>
      <c r="N138" s="164">
        <v>18.600000000000001</v>
      </c>
      <c r="O138" s="165">
        <v>1.6</v>
      </c>
      <c r="P138" s="165">
        <v>1.6</v>
      </c>
      <c r="Q138" s="164">
        <v>207</v>
      </c>
      <c r="R138" s="164">
        <v>267</v>
      </c>
      <c r="S138" s="166">
        <v>0.22</v>
      </c>
      <c r="T138" s="164" t="s">
        <v>163</v>
      </c>
      <c r="U138" s="164"/>
      <c r="V138" s="167">
        <v>41789</v>
      </c>
      <c r="W138" s="167">
        <v>41772</v>
      </c>
      <c r="X138" s="164" t="s">
        <v>506</v>
      </c>
      <c r="Y138" s="164" t="s">
        <v>638</v>
      </c>
      <c r="Z138" s="164" t="s">
        <v>163</v>
      </c>
      <c r="AA138" s="168" t="s">
        <v>184</v>
      </c>
      <c r="AB138" s="168" t="s">
        <v>194</v>
      </c>
      <c r="AC138" s="168" t="s">
        <v>188</v>
      </c>
      <c r="AD138" s="168" t="s">
        <v>182</v>
      </c>
      <c r="AE138" s="168" t="s">
        <v>163</v>
      </c>
      <c r="AF138" s="168" t="s">
        <v>163</v>
      </c>
      <c r="AG138" s="168" t="s">
        <v>163</v>
      </c>
      <c r="AH138" s="168" t="str">
        <f t="shared" si="7"/>
        <v>Refrigerator-Compact-Manual-Yes-No-No-No</v>
      </c>
      <c r="AI138" s="168" t="s">
        <v>315</v>
      </c>
      <c r="AJ138" s="168">
        <v>7.84</v>
      </c>
      <c r="AK138" s="169">
        <v>219.1</v>
      </c>
      <c r="AL138" s="169">
        <f t="shared" si="8"/>
        <v>231.64400000000001</v>
      </c>
      <c r="AM138" s="168">
        <f t="shared" si="9"/>
        <v>267</v>
      </c>
      <c r="AN138" s="168">
        <f t="shared" si="10"/>
        <v>207</v>
      </c>
      <c r="AO138" s="164" t="str">
        <f t="shared" si="11"/>
        <v>Yes</v>
      </c>
      <c r="AP138" s="164">
        <f t="shared" si="12"/>
        <v>60</v>
      </c>
    </row>
    <row r="139" spans="2:42">
      <c r="B139" s="164">
        <v>2213359</v>
      </c>
      <c r="C139" s="164" t="s">
        <v>166</v>
      </c>
      <c r="D139" s="164" t="s">
        <v>639</v>
      </c>
      <c r="E139" s="164"/>
      <c r="F139" s="164" t="s">
        <v>194</v>
      </c>
      <c r="G139" s="164" t="s">
        <v>188</v>
      </c>
      <c r="H139" s="164" t="s">
        <v>182</v>
      </c>
      <c r="I139" s="164" t="s">
        <v>163</v>
      </c>
      <c r="J139" s="164" t="s">
        <v>163</v>
      </c>
      <c r="K139" s="164" t="s">
        <v>163</v>
      </c>
      <c r="L139" s="164" t="s">
        <v>163</v>
      </c>
      <c r="M139" s="164">
        <v>24.8</v>
      </c>
      <c r="N139" s="164">
        <v>17.5</v>
      </c>
      <c r="O139" s="165">
        <v>2.4</v>
      </c>
      <c r="P139" s="165">
        <v>2.4</v>
      </c>
      <c r="Q139" s="164">
        <v>213</v>
      </c>
      <c r="R139" s="164">
        <v>274</v>
      </c>
      <c r="S139" s="166">
        <v>0.22</v>
      </c>
      <c r="T139" s="164" t="s">
        <v>163</v>
      </c>
      <c r="U139" s="164"/>
      <c r="V139" s="167">
        <v>41820</v>
      </c>
      <c r="W139" s="167">
        <v>41808</v>
      </c>
      <c r="X139" s="164" t="s">
        <v>506</v>
      </c>
      <c r="Y139" s="164" t="s">
        <v>640</v>
      </c>
      <c r="Z139" s="164" t="s">
        <v>163</v>
      </c>
      <c r="AA139" s="168" t="s">
        <v>184</v>
      </c>
      <c r="AB139" s="168" t="s">
        <v>194</v>
      </c>
      <c r="AC139" s="168" t="s">
        <v>188</v>
      </c>
      <c r="AD139" s="168" t="s">
        <v>182</v>
      </c>
      <c r="AE139" s="168" t="s">
        <v>163</v>
      </c>
      <c r="AF139" s="168" t="s">
        <v>163</v>
      </c>
      <c r="AG139" s="168" t="s">
        <v>163</v>
      </c>
      <c r="AH139" s="168" t="str">
        <f t="shared" si="7"/>
        <v>Refrigerator-Compact-Manual-Yes-No-No-No</v>
      </c>
      <c r="AI139" s="168" t="s">
        <v>315</v>
      </c>
      <c r="AJ139" s="168">
        <v>7.84</v>
      </c>
      <c r="AK139" s="169">
        <v>219.1</v>
      </c>
      <c r="AL139" s="169">
        <f t="shared" si="8"/>
        <v>237.916</v>
      </c>
      <c r="AM139" s="168">
        <f t="shared" si="9"/>
        <v>274</v>
      </c>
      <c r="AN139" s="168">
        <f t="shared" si="10"/>
        <v>213</v>
      </c>
      <c r="AO139" s="164" t="str">
        <f t="shared" si="11"/>
        <v>Yes</v>
      </c>
      <c r="AP139" s="164">
        <f t="shared" si="12"/>
        <v>61</v>
      </c>
    </row>
    <row r="140" spans="2:42">
      <c r="B140" s="164">
        <v>2210487</v>
      </c>
      <c r="C140" s="164" t="s">
        <v>166</v>
      </c>
      <c r="D140" s="164" t="s">
        <v>641</v>
      </c>
      <c r="E140" s="164"/>
      <c r="F140" s="164" t="s">
        <v>194</v>
      </c>
      <c r="G140" s="164" t="s">
        <v>188</v>
      </c>
      <c r="H140" s="164" t="s">
        <v>182</v>
      </c>
      <c r="I140" s="164" t="s">
        <v>163</v>
      </c>
      <c r="J140" s="164" t="s">
        <v>163</v>
      </c>
      <c r="K140" s="164" t="s">
        <v>163</v>
      </c>
      <c r="L140" s="164" t="s">
        <v>163</v>
      </c>
      <c r="M140" s="164">
        <v>33.9</v>
      </c>
      <c r="N140" s="164">
        <v>18.600000000000001</v>
      </c>
      <c r="O140" s="165">
        <v>3.3</v>
      </c>
      <c r="P140" s="165">
        <v>3.3</v>
      </c>
      <c r="Q140" s="164">
        <v>220</v>
      </c>
      <c r="R140" s="164">
        <v>282</v>
      </c>
      <c r="S140" s="166">
        <v>0.22</v>
      </c>
      <c r="T140" s="164" t="s">
        <v>163</v>
      </c>
      <c r="U140" s="164"/>
      <c r="V140" s="167">
        <v>41789</v>
      </c>
      <c r="W140" s="167">
        <v>41772</v>
      </c>
      <c r="X140" s="164" t="s">
        <v>506</v>
      </c>
      <c r="Y140" s="164" t="s">
        <v>642</v>
      </c>
      <c r="Z140" s="164" t="s">
        <v>163</v>
      </c>
      <c r="AA140" s="168" t="s">
        <v>184</v>
      </c>
      <c r="AB140" s="168" t="s">
        <v>194</v>
      </c>
      <c r="AC140" s="168" t="s">
        <v>188</v>
      </c>
      <c r="AD140" s="168" t="s">
        <v>182</v>
      </c>
      <c r="AE140" s="168" t="s">
        <v>163</v>
      </c>
      <c r="AF140" s="168" t="s">
        <v>163</v>
      </c>
      <c r="AG140" s="168" t="s">
        <v>163</v>
      </c>
      <c r="AH140" s="168" t="str">
        <f t="shared" si="7"/>
        <v>Refrigerator-Compact-Manual-Yes-No-No-No</v>
      </c>
      <c r="AI140" s="168" t="s">
        <v>315</v>
      </c>
      <c r="AJ140" s="168">
        <v>7.84</v>
      </c>
      <c r="AK140" s="169">
        <v>219.1</v>
      </c>
      <c r="AL140" s="169">
        <f t="shared" si="8"/>
        <v>244.97199999999998</v>
      </c>
      <c r="AM140" s="168">
        <f t="shared" si="9"/>
        <v>282</v>
      </c>
      <c r="AN140" s="168">
        <f t="shared" si="10"/>
        <v>220</v>
      </c>
      <c r="AO140" s="164" t="str">
        <f t="shared" si="11"/>
        <v>Yes</v>
      </c>
      <c r="AP140" s="164">
        <f t="shared" si="12"/>
        <v>62</v>
      </c>
    </row>
    <row r="141" spans="2:42">
      <c r="B141" s="164">
        <v>2210488</v>
      </c>
      <c r="C141" s="164" t="s">
        <v>166</v>
      </c>
      <c r="D141" s="164" t="s">
        <v>643</v>
      </c>
      <c r="E141" s="164"/>
      <c r="F141" s="164" t="s">
        <v>194</v>
      </c>
      <c r="G141" s="164" t="s">
        <v>188</v>
      </c>
      <c r="H141" s="164" t="s">
        <v>182</v>
      </c>
      <c r="I141" s="164" t="s">
        <v>163</v>
      </c>
      <c r="J141" s="164" t="s">
        <v>163</v>
      </c>
      <c r="K141" s="164" t="s">
        <v>163</v>
      </c>
      <c r="L141" s="164" t="s">
        <v>163</v>
      </c>
      <c r="M141" s="164">
        <v>33.9</v>
      </c>
      <c r="N141" s="164">
        <v>18.600000000000001</v>
      </c>
      <c r="O141" s="165">
        <v>3.3</v>
      </c>
      <c r="P141" s="165">
        <v>3.3</v>
      </c>
      <c r="Q141" s="164">
        <v>220</v>
      </c>
      <c r="R141" s="164">
        <v>282</v>
      </c>
      <c r="S141" s="166">
        <v>0.22</v>
      </c>
      <c r="T141" s="164" t="s">
        <v>163</v>
      </c>
      <c r="U141" s="164"/>
      <c r="V141" s="167">
        <v>41789</v>
      </c>
      <c r="W141" s="167">
        <v>41772</v>
      </c>
      <c r="X141" s="164" t="s">
        <v>506</v>
      </c>
      <c r="Y141" s="164" t="s">
        <v>644</v>
      </c>
      <c r="Z141" s="164" t="s">
        <v>163</v>
      </c>
      <c r="AA141" s="168" t="s">
        <v>184</v>
      </c>
      <c r="AB141" s="168" t="s">
        <v>194</v>
      </c>
      <c r="AC141" s="168" t="s">
        <v>188</v>
      </c>
      <c r="AD141" s="168" t="s">
        <v>182</v>
      </c>
      <c r="AE141" s="168" t="s">
        <v>163</v>
      </c>
      <c r="AF141" s="168" t="s">
        <v>163</v>
      </c>
      <c r="AG141" s="168" t="s">
        <v>163</v>
      </c>
      <c r="AH141" s="168" t="str">
        <f t="shared" ref="AH141:AH204" si="13">CONCATENATE(AA141,"-",AB141,"-",AC141,"-",AD141,"-",AE141,"-",AF141,"-",AG141)</f>
        <v>Refrigerator-Compact-Manual-Yes-No-No-No</v>
      </c>
      <c r="AI141" s="168" t="s">
        <v>315</v>
      </c>
      <c r="AJ141" s="168">
        <v>7.84</v>
      </c>
      <c r="AK141" s="169">
        <v>219.1</v>
      </c>
      <c r="AL141" s="169">
        <f t="shared" ref="AL141:AL204" si="14">AJ141*P141+AK141</f>
        <v>244.97199999999998</v>
      </c>
      <c r="AM141" s="168">
        <f t="shared" ref="AM141:AM204" si="15">R141</f>
        <v>282</v>
      </c>
      <c r="AN141" s="168">
        <f t="shared" ref="AN141:AN204" si="16">Q141</f>
        <v>220</v>
      </c>
      <c r="AO141" s="164" t="str">
        <f t="shared" ref="AO141:AO204" si="17">IF(AN141&lt;AM141,"Yes","No")</f>
        <v>Yes</v>
      </c>
      <c r="AP141" s="164">
        <f t="shared" ref="AP141:AP204" si="18">AM141-AN141</f>
        <v>62</v>
      </c>
    </row>
    <row r="142" spans="2:42">
      <c r="B142" s="164">
        <v>2217365</v>
      </c>
      <c r="C142" s="164" t="s">
        <v>166</v>
      </c>
      <c r="D142" s="164" t="s">
        <v>645</v>
      </c>
      <c r="E142" s="164"/>
      <c r="F142" s="164" t="s">
        <v>194</v>
      </c>
      <c r="G142" s="164" t="s">
        <v>188</v>
      </c>
      <c r="H142" s="164" t="s">
        <v>182</v>
      </c>
      <c r="I142" s="164" t="s">
        <v>163</v>
      </c>
      <c r="J142" s="164" t="s">
        <v>163</v>
      </c>
      <c r="K142" s="164" t="s">
        <v>163</v>
      </c>
      <c r="L142" s="164" t="s">
        <v>163</v>
      </c>
      <c r="M142" s="164">
        <v>33.9</v>
      </c>
      <c r="N142" s="164">
        <v>19.7</v>
      </c>
      <c r="O142" s="165">
        <v>4.4000000000000004</v>
      </c>
      <c r="P142" s="165">
        <v>4.4000000000000004</v>
      </c>
      <c r="Q142" s="164">
        <v>226</v>
      </c>
      <c r="R142" s="164">
        <v>292</v>
      </c>
      <c r="S142" s="166">
        <v>0.23</v>
      </c>
      <c r="T142" s="164" t="s">
        <v>163</v>
      </c>
      <c r="U142" s="164"/>
      <c r="V142" s="167">
        <v>41850</v>
      </c>
      <c r="W142" s="167">
        <v>41849</v>
      </c>
      <c r="X142" s="164" t="s">
        <v>506</v>
      </c>
      <c r="Y142" s="164" t="s">
        <v>646</v>
      </c>
      <c r="Z142" s="164" t="s">
        <v>163</v>
      </c>
      <c r="AA142" s="168" t="s">
        <v>184</v>
      </c>
      <c r="AB142" s="168" t="s">
        <v>194</v>
      </c>
      <c r="AC142" s="168" t="s">
        <v>188</v>
      </c>
      <c r="AD142" s="168" t="s">
        <v>182</v>
      </c>
      <c r="AE142" s="168" t="s">
        <v>163</v>
      </c>
      <c r="AF142" s="168" t="s">
        <v>163</v>
      </c>
      <c r="AG142" s="168" t="s">
        <v>163</v>
      </c>
      <c r="AH142" s="168" t="str">
        <f t="shared" si="13"/>
        <v>Refrigerator-Compact-Manual-Yes-No-No-No</v>
      </c>
      <c r="AI142" s="168" t="s">
        <v>315</v>
      </c>
      <c r="AJ142" s="168">
        <v>7.84</v>
      </c>
      <c r="AK142" s="169">
        <v>219.1</v>
      </c>
      <c r="AL142" s="169">
        <f t="shared" si="14"/>
        <v>253.596</v>
      </c>
      <c r="AM142" s="168">
        <f t="shared" si="15"/>
        <v>292</v>
      </c>
      <c r="AN142" s="168">
        <f t="shared" si="16"/>
        <v>226</v>
      </c>
      <c r="AO142" s="164" t="str">
        <f t="shared" si="17"/>
        <v>Yes</v>
      </c>
      <c r="AP142" s="164">
        <f t="shared" si="18"/>
        <v>66</v>
      </c>
    </row>
    <row r="143" spans="2:42">
      <c r="B143" s="164">
        <v>2213360</v>
      </c>
      <c r="C143" s="164" t="s">
        <v>166</v>
      </c>
      <c r="D143" s="164" t="s">
        <v>647</v>
      </c>
      <c r="E143" s="164"/>
      <c r="F143" s="164" t="s">
        <v>194</v>
      </c>
      <c r="G143" s="164" t="s">
        <v>188</v>
      </c>
      <c r="H143" s="164" t="s">
        <v>182</v>
      </c>
      <c r="I143" s="164" t="s">
        <v>163</v>
      </c>
      <c r="J143" s="164" t="s">
        <v>163</v>
      </c>
      <c r="K143" s="164" t="s">
        <v>163</v>
      </c>
      <c r="L143" s="164" t="s">
        <v>163</v>
      </c>
      <c r="M143" s="164">
        <v>33.9</v>
      </c>
      <c r="N143" s="164">
        <v>19.7</v>
      </c>
      <c r="O143" s="165">
        <v>4.4000000000000004</v>
      </c>
      <c r="P143" s="165">
        <v>4.4000000000000004</v>
      </c>
      <c r="Q143" s="164">
        <v>226</v>
      </c>
      <c r="R143" s="164">
        <v>292</v>
      </c>
      <c r="S143" s="166">
        <v>0.23</v>
      </c>
      <c r="T143" s="164" t="s">
        <v>163</v>
      </c>
      <c r="U143" s="164"/>
      <c r="V143" s="167">
        <v>41820</v>
      </c>
      <c r="W143" s="167">
        <v>41808</v>
      </c>
      <c r="X143" s="164" t="s">
        <v>506</v>
      </c>
      <c r="Y143" s="164" t="s">
        <v>648</v>
      </c>
      <c r="Z143" s="164" t="s">
        <v>163</v>
      </c>
      <c r="AA143" s="168" t="s">
        <v>184</v>
      </c>
      <c r="AB143" s="168" t="s">
        <v>194</v>
      </c>
      <c r="AC143" s="168" t="s">
        <v>188</v>
      </c>
      <c r="AD143" s="168" t="s">
        <v>182</v>
      </c>
      <c r="AE143" s="168" t="s">
        <v>163</v>
      </c>
      <c r="AF143" s="168" t="s">
        <v>163</v>
      </c>
      <c r="AG143" s="168" t="s">
        <v>163</v>
      </c>
      <c r="AH143" s="168" t="str">
        <f t="shared" si="13"/>
        <v>Refrigerator-Compact-Manual-Yes-No-No-No</v>
      </c>
      <c r="AI143" s="168" t="s">
        <v>315</v>
      </c>
      <c r="AJ143" s="168">
        <v>7.84</v>
      </c>
      <c r="AK143" s="169">
        <v>219.1</v>
      </c>
      <c r="AL143" s="169">
        <f t="shared" si="14"/>
        <v>253.596</v>
      </c>
      <c r="AM143" s="168">
        <f t="shared" si="15"/>
        <v>292</v>
      </c>
      <c r="AN143" s="168">
        <f t="shared" si="16"/>
        <v>226</v>
      </c>
      <c r="AO143" s="164" t="str">
        <f t="shared" si="17"/>
        <v>Yes</v>
      </c>
      <c r="AP143" s="164">
        <f t="shared" si="18"/>
        <v>66</v>
      </c>
    </row>
    <row r="144" spans="2:42">
      <c r="B144" s="164">
        <v>2210026</v>
      </c>
      <c r="C144" s="164" t="s">
        <v>167</v>
      </c>
      <c r="D144" s="164" t="s">
        <v>649</v>
      </c>
      <c r="E144" s="164"/>
      <c r="F144" s="164" t="s">
        <v>194</v>
      </c>
      <c r="G144" s="164" t="s">
        <v>162</v>
      </c>
      <c r="H144" s="164" t="s">
        <v>182</v>
      </c>
      <c r="I144" s="164" t="s">
        <v>163</v>
      </c>
      <c r="J144" s="164" t="s">
        <v>163</v>
      </c>
      <c r="K144" s="164" t="s">
        <v>163</v>
      </c>
      <c r="L144" s="164" t="s">
        <v>182</v>
      </c>
      <c r="M144" s="164">
        <v>36.299999999999997</v>
      </c>
      <c r="N144" s="164">
        <v>23.8</v>
      </c>
      <c r="O144" s="165">
        <v>5.5</v>
      </c>
      <c r="P144" s="165">
        <v>5.5</v>
      </c>
      <c r="Q144" s="164">
        <v>278</v>
      </c>
      <c r="R144" s="164">
        <v>310</v>
      </c>
      <c r="S144" s="166">
        <v>0.1</v>
      </c>
      <c r="T144" s="164" t="s">
        <v>163</v>
      </c>
      <c r="U144" s="164"/>
      <c r="V144" s="167">
        <v>41821</v>
      </c>
      <c r="W144" s="167">
        <v>41763</v>
      </c>
      <c r="X144" s="164" t="s">
        <v>387</v>
      </c>
      <c r="Y144" s="164" t="s">
        <v>650</v>
      </c>
      <c r="Z144" s="164" t="s">
        <v>163</v>
      </c>
      <c r="AA144" s="168" t="s">
        <v>184</v>
      </c>
      <c r="AB144" s="168" t="s">
        <v>194</v>
      </c>
      <c r="AC144" s="168" t="s">
        <v>162</v>
      </c>
      <c r="AD144" s="168" t="s">
        <v>182</v>
      </c>
      <c r="AE144" s="168" t="s">
        <v>163</v>
      </c>
      <c r="AF144" s="168" t="s">
        <v>163</v>
      </c>
      <c r="AG144" s="168" t="s">
        <v>163</v>
      </c>
      <c r="AH144" s="168" t="str">
        <f t="shared" si="13"/>
        <v>Refrigerator-Compact-Automatic-Yes-No-No-No</v>
      </c>
      <c r="AI144" s="168" t="s">
        <v>329</v>
      </c>
      <c r="AJ144" s="168">
        <v>9.17</v>
      </c>
      <c r="AK144" s="169">
        <v>259.3</v>
      </c>
      <c r="AL144" s="169">
        <f t="shared" si="14"/>
        <v>309.73500000000001</v>
      </c>
      <c r="AM144" s="168">
        <f t="shared" si="15"/>
        <v>310</v>
      </c>
      <c r="AN144" s="168">
        <f t="shared" si="16"/>
        <v>278</v>
      </c>
      <c r="AO144" s="164" t="str">
        <f t="shared" si="17"/>
        <v>Yes</v>
      </c>
      <c r="AP144" s="164">
        <f t="shared" si="18"/>
        <v>32</v>
      </c>
    </row>
    <row r="145" spans="2:42">
      <c r="B145" s="164">
        <v>2210027</v>
      </c>
      <c r="C145" s="164" t="s">
        <v>167</v>
      </c>
      <c r="D145" s="164" t="s">
        <v>651</v>
      </c>
      <c r="E145" s="164"/>
      <c r="F145" s="164" t="s">
        <v>194</v>
      </c>
      <c r="G145" s="164" t="s">
        <v>162</v>
      </c>
      <c r="H145" s="164" t="s">
        <v>182</v>
      </c>
      <c r="I145" s="164" t="s">
        <v>163</v>
      </c>
      <c r="J145" s="164" t="s">
        <v>163</v>
      </c>
      <c r="K145" s="164" t="s">
        <v>163</v>
      </c>
      <c r="L145" s="164" t="s">
        <v>182</v>
      </c>
      <c r="M145" s="164">
        <v>36.299999999999997</v>
      </c>
      <c r="N145" s="164">
        <v>23.8</v>
      </c>
      <c r="O145" s="165">
        <v>5.5</v>
      </c>
      <c r="P145" s="165">
        <v>5.5</v>
      </c>
      <c r="Q145" s="164">
        <v>278</v>
      </c>
      <c r="R145" s="164">
        <v>310</v>
      </c>
      <c r="S145" s="166">
        <v>0.1</v>
      </c>
      <c r="T145" s="164" t="s">
        <v>163</v>
      </c>
      <c r="U145" s="164"/>
      <c r="V145" s="167">
        <v>41821</v>
      </c>
      <c r="W145" s="167">
        <v>41763</v>
      </c>
      <c r="X145" s="164" t="s">
        <v>387</v>
      </c>
      <c r="Y145" s="164" t="s">
        <v>652</v>
      </c>
      <c r="Z145" s="164" t="s">
        <v>163</v>
      </c>
      <c r="AA145" s="168" t="s">
        <v>184</v>
      </c>
      <c r="AB145" s="168" t="s">
        <v>194</v>
      </c>
      <c r="AC145" s="168" t="s">
        <v>162</v>
      </c>
      <c r="AD145" s="168" t="s">
        <v>182</v>
      </c>
      <c r="AE145" s="168" t="s">
        <v>163</v>
      </c>
      <c r="AF145" s="168" t="s">
        <v>163</v>
      </c>
      <c r="AG145" s="168" t="s">
        <v>163</v>
      </c>
      <c r="AH145" s="168" t="str">
        <f t="shared" si="13"/>
        <v>Refrigerator-Compact-Automatic-Yes-No-No-No</v>
      </c>
      <c r="AI145" s="168" t="s">
        <v>329</v>
      </c>
      <c r="AJ145" s="168">
        <v>9.17</v>
      </c>
      <c r="AK145" s="169">
        <v>259.3</v>
      </c>
      <c r="AL145" s="169">
        <f t="shared" si="14"/>
        <v>309.73500000000001</v>
      </c>
      <c r="AM145" s="168">
        <f t="shared" si="15"/>
        <v>310</v>
      </c>
      <c r="AN145" s="168">
        <f t="shared" si="16"/>
        <v>278</v>
      </c>
      <c r="AO145" s="164" t="str">
        <f t="shared" si="17"/>
        <v>Yes</v>
      </c>
      <c r="AP145" s="164">
        <f t="shared" si="18"/>
        <v>32</v>
      </c>
    </row>
    <row r="146" spans="2:42">
      <c r="B146" s="164">
        <v>2218234</v>
      </c>
      <c r="C146" s="164" t="s">
        <v>167</v>
      </c>
      <c r="D146" s="164" t="s">
        <v>653</v>
      </c>
      <c r="E146" s="164"/>
      <c r="F146" s="164" t="s">
        <v>194</v>
      </c>
      <c r="G146" s="164" t="s">
        <v>188</v>
      </c>
      <c r="H146" s="164" t="s">
        <v>182</v>
      </c>
      <c r="I146" s="164" t="s">
        <v>163</v>
      </c>
      <c r="J146" s="164" t="s">
        <v>163</v>
      </c>
      <c r="K146" s="164" t="s">
        <v>163</v>
      </c>
      <c r="L146" s="164" t="s">
        <v>182</v>
      </c>
      <c r="M146" s="164">
        <v>19.5</v>
      </c>
      <c r="N146" s="164">
        <v>18.7</v>
      </c>
      <c r="O146" s="165">
        <v>1.6</v>
      </c>
      <c r="P146" s="165">
        <v>1.6</v>
      </c>
      <c r="Q146" s="164">
        <v>207</v>
      </c>
      <c r="R146" s="164">
        <v>267</v>
      </c>
      <c r="S146" s="166">
        <v>0.22</v>
      </c>
      <c r="T146" s="164" t="s">
        <v>163</v>
      </c>
      <c r="U146" s="164"/>
      <c r="V146" s="167">
        <v>41882</v>
      </c>
      <c r="W146" s="167">
        <v>41873</v>
      </c>
      <c r="X146" s="164" t="s">
        <v>387</v>
      </c>
      <c r="Y146" s="164" t="s">
        <v>654</v>
      </c>
      <c r="Z146" s="164" t="s">
        <v>163</v>
      </c>
      <c r="AA146" s="168" t="s">
        <v>184</v>
      </c>
      <c r="AB146" s="168" t="s">
        <v>194</v>
      </c>
      <c r="AC146" s="168" t="s">
        <v>188</v>
      </c>
      <c r="AD146" s="168" t="s">
        <v>182</v>
      </c>
      <c r="AE146" s="168" t="s">
        <v>163</v>
      </c>
      <c r="AF146" s="168" t="s">
        <v>163</v>
      </c>
      <c r="AG146" s="168" t="s">
        <v>163</v>
      </c>
      <c r="AH146" s="168" t="str">
        <f t="shared" si="13"/>
        <v>Refrigerator-Compact-Manual-Yes-No-No-No</v>
      </c>
      <c r="AI146" s="168" t="s">
        <v>315</v>
      </c>
      <c r="AJ146" s="168">
        <v>7.84</v>
      </c>
      <c r="AK146" s="169">
        <v>219.1</v>
      </c>
      <c r="AL146" s="169">
        <f t="shared" si="14"/>
        <v>231.64400000000001</v>
      </c>
      <c r="AM146" s="168">
        <f t="shared" si="15"/>
        <v>267</v>
      </c>
      <c r="AN146" s="168">
        <f t="shared" si="16"/>
        <v>207</v>
      </c>
      <c r="AO146" s="164" t="str">
        <f t="shared" si="17"/>
        <v>Yes</v>
      </c>
      <c r="AP146" s="164">
        <f t="shared" si="18"/>
        <v>60</v>
      </c>
    </row>
    <row r="147" spans="2:42">
      <c r="B147" s="164">
        <v>2218235</v>
      </c>
      <c r="C147" s="164" t="s">
        <v>167</v>
      </c>
      <c r="D147" s="164" t="s">
        <v>655</v>
      </c>
      <c r="E147" s="164"/>
      <c r="F147" s="164" t="s">
        <v>194</v>
      </c>
      <c r="G147" s="164" t="s">
        <v>188</v>
      </c>
      <c r="H147" s="164" t="s">
        <v>182</v>
      </c>
      <c r="I147" s="164" t="s">
        <v>163</v>
      </c>
      <c r="J147" s="164" t="s">
        <v>163</v>
      </c>
      <c r="K147" s="164" t="s">
        <v>163</v>
      </c>
      <c r="L147" s="164" t="s">
        <v>182</v>
      </c>
      <c r="M147" s="164">
        <v>19.5</v>
      </c>
      <c r="N147" s="164">
        <v>18.7</v>
      </c>
      <c r="O147" s="165">
        <v>1.6</v>
      </c>
      <c r="P147" s="165">
        <v>1.6</v>
      </c>
      <c r="Q147" s="164">
        <v>207</v>
      </c>
      <c r="R147" s="164">
        <v>267</v>
      </c>
      <c r="S147" s="166">
        <v>0.22</v>
      </c>
      <c r="T147" s="164" t="s">
        <v>163</v>
      </c>
      <c r="U147" s="164"/>
      <c r="V147" s="167">
        <v>41882</v>
      </c>
      <c r="W147" s="167">
        <v>41873</v>
      </c>
      <c r="X147" s="164" t="s">
        <v>387</v>
      </c>
      <c r="Y147" s="164" t="s">
        <v>656</v>
      </c>
      <c r="Z147" s="164" t="s">
        <v>163</v>
      </c>
      <c r="AA147" s="168" t="s">
        <v>184</v>
      </c>
      <c r="AB147" s="168" t="s">
        <v>194</v>
      </c>
      <c r="AC147" s="168" t="s">
        <v>188</v>
      </c>
      <c r="AD147" s="168" t="s">
        <v>182</v>
      </c>
      <c r="AE147" s="168" t="s">
        <v>163</v>
      </c>
      <c r="AF147" s="168" t="s">
        <v>163</v>
      </c>
      <c r="AG147" s="168" t="s">
        <v>163</v>
      </c>
      <c r="AH147" s="168" t="str">
        <f t="shared" si="13"/>
        <v>Refrigerator-Compact-Manual-Yes-No-No-No</v>
      </c>
      <c r="AI147" s="168" t="s">
        <v>315</v>
      </c>
      <c r="AJ147" s="168">
        <v>7.84</v>
      </c>
      <c r="AK147" s="169">
        <v>219.1</v>
      </c>
      <c r="AL147" s="169">
        <f t="shared" si="14"/>
        <v>231.64400000000001</v>
      </c>
      <c r="AM147" s="168">
        <f t="shared" si="15"/>
        <v>267</v>
      </c>
      <c r="AN147" s="168">
        <f t="shared" si="16"/>
        <v>207</v>
      </c>
      <c r="AO147" s="164" t="str">
        <f t="shared" si="17"/>
        <v>Yes</v>
      </c>
      <c r="AP147" s="164">
        <f t="shared" si="18"/>
        <v>60</v>
      </c>
    </row>
    <row r="148" spans="2:42">
      <c r="B148" s="164">
        <v>2218237</v>
      </c>
      <c r="C148" s="164" t="s">
        <v>167</v>
      </c>
      <c r="D148" s="164" t="s">
        <v>657</v>
      </c>
      <c r="E148" s="164"/>
      <c r="F148" s="164" t="s">
        <v>194</v>
      </c>
      <c r="G148" s="164" t="s">
        <v>188</v>
      </c>
      <c r="H148" s="164" t="s">
        <v>182</v>
      </c>
      <c r="I148" s="164" t="s">
        <v>163</v>
      </c>
      <c r="J148" s="164" t="s">
        <v>163</v>
      </c>
      <c r="K148" s="164" t="s">
        <v>163</v>
      </c>
      <c r="L148" s="164" t="s">
        <v>182</v>
      </c>
      <c r="M148" s="164">
        <v>25</v>
      </c>
      <c r="N148" s="164">
        <v>18.7</v>
      </c>
      <c r="O148" s="165">
        <v>2.2999999999999998</v>
      </c>
      <c r="P148" s="165">
        <v>2.2999999999999998</v>
      </c>
      <c r="Q148" s="164">
        <v>213</v>
      </c>
      <c r="R148" s="164">
        <v>273</v>
      </c>
      <c r="S148" s="166">
        <v>0.22</v>
      </c>
      <c r="T148" s="164" t="s">
        <v>163</v>
      </c>
      <c r="U148" s="164"/>
      <c r="V148" s="167">
        <v>41882</v>
      </c>
      <c r="W148" s="167">
        <v>41873</v>
      </c>
      <c r="X148" s="164" t="s">
        <v>387</v>
      </c>
      <c r="Y148" s="164" t="s">
        <v>658</v>
      </c>
      <c r="Z148" s="164" t="s">
        <v>163</v>
      </c>
      <c r="AA148" s="168" t="s">
        <v>184</v>
      </c>
      <c r="AB148" s="168" t="s">
        <v>194</v>
      </c>
      <c r="AC148" s="168" t="s">
        <v>188</v>
      </c>
      <c r="AD148" s="168" t="s">
        <v>182</v>
      </c>
      <c r="AE148" s="168" t="s">
        <v>163</v>
      </c>
      <c r="AF148" s="168" t="s">
        <v>163</v>
      </c>
      <c r="AG148" s="168" t="s">
        <v>163</v>
      </c>
      <c r="AH148" s="168" t="str">
        <f t="shared" si="13"/>
        <v>Refrigerator-Compact-Manual-Yes-No-No-No</v>
      </c>
      <c r="AI148" s="168" t="s">
        <v>315</v>
      </c>
      <c r="AJ148" s="168">
        <v>7.84</v>
      </c>
      <c r="AK148" s="169">
        <v>219.1</v>
      </c>
      <c r="AL148" s="169">
        <f t="shared" si="14"/>
        <v>237.13200000000001</v>
      </c>
      <c r="AM148" s="168">
        <f t="shared" si="15"/>
        <v>273</v>
      </c>
      <c r="AN148" s="168">
        <f t="shared" si="16"/>
        <v>213</v>
      </c>
      <c r="AO148" s="164" t="str">
        <f t="shared" si="17"/>
        <v>Yes</v>
      </c>
      <c r="AP148" s="164">
        <f t="shared" si="18"/>
        <v>60</v>
      </c>
    </row>
    <row r="149" spans="2:42">
      <c r="B149" s="164">
        <v>2215456</v>
      </c>
      <c r="C149" s="164" t="s">
        <v>167</v>
      </c>
      <c r="D149" s="164" t="s">
        <v>659</v>
      </c>
      <c r="E149" s="164"/>
      <c r="F149" s="164" t="s">
        <v>194</v>
      </c>
      <c r="G149" s="164" t="s">
        <v>188</v>
      </c>
      <c r="H149" s="164" t="s">
        <v>182</v>
      </c>
      <c r="I149" s="164" t="s">
        <v>163</v>
      </c>
      <c r="J149" s="164" t="s">
        <v>163</v>
      </c>
      <c r="K149" s="164" t="s">
        <v>163</v>
      </c>
      <c r="L149" s="164" t="s">
        <v>163</v>
      </c>
      <c r="M149" s="164">
        <v>32.700000000000003</v>
      </c>
      <c r="N149" s="164">
        <v>19.7</v>
      </c>
      <c r="O149" s="165">
        <v>4.4000000000000004</v>
      </c>
      <c r="P149" s="165">
        <v>4.4000000000000004</v>
      </c>
      <c r="Q149" s="164">
        <v>226</v>
      </c>
      <c r="R149" s="164">
        <v>292</v>
      </c>
      <c r="S149" s="166">
        <v>0.23</v>
      </c>
      <c r="T149" s="164" t="s">
        <v>163</v>
      </c>
      <c r="U149" s="164"/>
      <c r="V149" s="167">
        <v>41822</v>
      </c>
      <c r="W149" s="167">
        <v>41834</v>
      </c>
      <c r="X149" s="164" t="s">
        <v>506</v>
      </c>
      <c r="Y149" s="164" t="s">
        <v>660</v>
      </c>
      <c r="Z149" s="164" t="s">
        <v>163</v>
      </c>
      <c r="AA149" s="168" t="s">
        <v>184</v>
      </c>
      <c r="AB149" s="168" t="s">
        <v>194</v>
      </c>
      <c r="AC149" s="168" t="s">
        <v>188</v>
      </c>
      <c r="AD149" s="168" t="s">
        <v>182</v>
      </c>
      <c r="AE149" s="168" t="s">
        <v>163</v>
      </c>
      <c r="AF149" s="168" t="s">
        <v>163</v>
      </c>
      <c r="AG149" s="168" t="s">
        <v>163</v>
      </c>
      <c r="AH149" s="168" t="str">
        <f t="shared" si="13"/>
        <v>Refrigerator-Compact-Manual-Yes-No-No-No</v>
      </c>
      <c r="AI149" s="168" t="s">
        <v>315</v>
      </c>
      <c r="AJ149" s="168">
        <v>7.84</v>
      </c>
      <c r="AK149" s="169">
        <v>219.1</v>
      </c>
      <c r="AL149" s="169">
        <f t="shared" si="14"/>
        <v>253.596</v>
      </c>
      <c r="AM149" s="168">
        <f t="shared" si="15"/>
        <v>292</v>
      </c>
      <c r="AN149" s="168">
        <f t="shared" si="16"/>
        <v>226</v>
      </c>
      <c r="AO149" s="164" t="str">
        <f t="shared" si="17"/>
        <v>Yes</v>
      </c>
      <c r="AP149" s="164">
        <f t="shared" si="18"/>
        <v>66</v>
      </c>
    </row>
    <row r="150" spans="2:42">
      <c r="B150" s="164">
        <v>2218023</v>
      </c>
      <c r="C150" s="164" t="s">
        <v>167</v>
      </c>
      <c r="D150" s="164" t="s">
        <v>661</v>
      </c>
      <c r="E150" s="164"/>
      <c r="F150" s="164" t="s">
        <v>194</v>
      </c>
      <c r="G150" s="164" t="s">
        <v>162</v>
      </c>
      <c r="H150" s="164" t="s">
        <v>182</v>
      </c>
      <c r="I150" s="164" t="s">
        <v>163</v>
      </c>
      <c r="J150" s="164" t="s">
        <v>163</v>
      </c>
      <c r="K150" s="164" t="s">
        <v>163</v>
      </c>
      <c r="L150" s="164" t="s">
        <v>163</v>
      </c>
      <c r="M150" s="164">
        <v>46</v>
      </c>
      <c r="N150" s="164">
        <v>18.600000000000001</v>
      </c>
      <c r="O150" s="165">
        <v>4.8</v>
      </c>
      <c r="P150" s="165">
        <v>5.8</v>
      </c>
      <c r="Q150" s="164">
        <v>346</v>
      </c>
      <c r="R150" s="164">
        <v>408</v>
      </c>
      <c r="S150" s="166">
        <v>0.15</v>
      </c>
      <c r="T150" s="164" t="s">
        <v>163</v>
      </c>
      <c r="U150" s="164" t="s">
        <v>163</v>
      </c>
      <c r="V150" s="167">
        <v>41887</v>
      </c>
      <c r="W150" s="167">
        <v>41878</v>
      </c>
      <c r="X150" s="164" t="s">
        <v>387</v>
      </c>
      <c r="Y150" s="164" t="s">
        <v>662</v>
      </c>
      <c r="Z150" s="164" t="s">
        <v>163</v>
      </c>
      <c r="AA150" s="168" t="s">
        <v>184</v>
      </c>
      <c r="AB150" s="168" t="s">
        <v>194</v>
      </c>
      <c r="AC150" s="168" t="s">
        <v>162</v>
      </c>
      <c r="AD150" s="168" t="s">
        <v>182</v>
      </c>
      <c r="AE150" s="168" t="s">
        <v>163</v>
      </c>
      <c r="AF150" s="168" t="s">
        <v>163</v>
      </c>
      <c r="AG150" s="168" t="s">
        <v>163</v>
      </c>
      <c r="AH150" s="168" t="str">
        <f t="shared" si="13"/>
        <v>Refrigerator-Compact-Automatic-Yes-No-No-No</v>
      </c>
      <c r="AI150" s="168" t="s">
        <v>329</v>
      </c>
      <c r="AJ150" s="168">
        <v>9.17</v>
      </c>
      <c r="AK150" s="169">
        <v>259.3</v>
      </c>
      <c r="AL150" s="169">
        <f t="shared" si="14"/>
        <v>312.48599999999999</v>
      </c>
      <c r="AM150" s="168">
        <f t="shared" si="15"/>
        <v>408</v>
      </c>
      <c r="AN150" s="168">
        <f t="shared" si="16"/>
        <v>346</v>
      </c>
      <c r="AO150" s="164" t="str">
        <f t="shared" si="17"/>
        <v>Yes</v>
      </c>
      <c r="AP150" s="164">
        <f t="shared" si="18"/>
        <v>62</v>
      </c>
    </row>
    <row r="151" spans="2:42">
      <c r="B151" s="164">
        <v>2218240</v>
      </c>
      <c r="C151" s="164" t="s">
        <v>167</v>
      </c>
      <c r="D151" s="164" t="s">
        <v>663</v>
      </c>
      <c r="E151" s="164"/>
      <c r="F151" s="164" t="s">
        <v>191</v>
      </c>
      <c r="G151" s="164" t="s">
        <v>162</v>
      </c>
      <c r="H151" s="164" t="s">
        <v>163</v>
      </c>
      <c r="I151" s="164" t="s">
        <v>163</v>
      </c>
      <c r="J151" s="164" t="s">
        <v>163</v>
      </c>
      <c r="K151" s="164" t="s">
        <v>163</v>
      </c>
      <c r="L151" s="164" t="s">
        <v>163</v>
      </c>
      <c r="M151" s="164">
        <v>59.8</v>
      </c>
      <c r="N151" s="164">
        <v>23.8</v>
      </c>
      <c r="O151" s="165">
        <v>9.1999999999999993</v>
      </c>
      <c r="P151" s="165">
        <v>9.1999999999999993</v>
      </c>
      <c r="Q151" s="164">
        <v>374</v>
      </c>
      <c r="R151" s="164">
        <v>398</v>
      </c>
      <c r="S151" s="166">
        <v>0.06</v>
      </c>
      <c r="T151" s="164" t="s">
        <v>163</v>
      </c>
      <c r="U151" s="164"/>
      <c r="V151" s="167">
        <v>41882</v>
      </c>
      <c r="W151" s="167">
        <v>41873</v>
      </c>
      <c r="X151" s="164" t="s">
        <v>387</v>
      </c>
      <c r="Y151" s="164" t="s">
        <v>664</v>
      </c>
      <c r="Z151" s="164" t="s">
        <v>163</v>
      </c>
      <c r="AA151" s="168" t="s">
        <v>184</v>
      </c>
      <c r="AB151" s="168" t="s">
        <v>191</v>
      </c>
      <c r="AC151" s="168" t="s">
        <v>162</v>
      </c>
      <c r="AD151" s="168" t="s">
        <v>163</v>
      </c>
      <c r="AE151" s="168" t="s">
        <v>163</v>
      </c>
      <c r="AF151" s="168" t="s">
        <v>163</v>
      </c>
      <c r="AG151" s="168" t="s">
        <v>163</v>
      </c>
      <c r="AH151" s="168" t="str">
        <f t="shared" si="13"/>
        <v>Refrigerator-Bottom Freezer-Automatic-No-No-No-No</v>
      </c>
      <c r="AI151" s="168">
        <v>5</v>
      </c>
      <c r="AJ151" s="168">
        <v>8.85</v>
      </c>
      <c r="AK151" s="169">
        <v>317</v>
      </c>
      <c r="AL151" s="169">
        <f t="shared" si="14"/>
        <v>398.41999999999996</v>
      </c>
      <c r="AM151" s="168">
        <f t="shared" si="15"/>
        <v>398</v>
      </c>
      <c r="AN151" s="168">
        <f t="shared" si="16"/>
        <v>374</v>
      </c>
      <c r="AO151" s="164" t="str">
        <f t="shared" si="17"/>
        <v>Yes</v>
      </c>
      <c r="AP151" s="164">
        <f t="shared" si="18"/>
        <v>24</v>
      </c>
    </row>
    <row r="152" spans="2:42">
      <c r="B152" s="164">
        <v>2218241</v>
      </c>
      <c r="C152" s="164" t="s">
        <v>167</v>
      </c>
      <c r="D152" s="164" t="s">
        <v>665</v>
      </c>
      <c r="E152" s="164"/>
      <c r="F152" s="164" t="s">
        <v>191</v>
      </c>
      <c r="G152" s="164" t="s">
        <v>162</v>
      </c>
      <c r="H152" s="164" t="s">
        <v>163</v>
      </c>
      <c r="I152" s="164" t="s">
        <v>163</v>
      </c>
      <c r="J152" s="164" t="s">
        <v>163</v>
      </c>
      <c r="K152" s="164" t="s">
        <v>163</v>
      </c>
      <c r="L152" s="164" t="s">
        <v>163</v>
      </c>
      <c r="M152" s="164">
        <v>59.8</v>
      </c>
      <c r="N152" s="164">
        <v>23.8</v>
      </c>
      <c r="O152" s="165">
        <v>9.1999999999999993</v>
      </c>
      <c r="P152" s="165">
        <v>9.1999999999999993</v>
      </c>
      <c r="Q152" s="164">
        <v>374</v>
      </c>
      <c r="R152" s="164">
        <v>398</v>
      </c>
      <c r="S152" s="166">
        <v>0.06</v>
      </c>
      <c r="T152" s="164" t="s">
        <v>163</v>
      </c>
      <c r="U152" s="164"/>
      <c r="V152" s="167">
        <v>41882</v>
      </c>
      <c r="W152" s="167">
        <v>41873</v>
      </c>
      <c r="X152" s="164" t="s">
        <v>387</v>
      </c>
      <c r="Y152" s="164" t="s">
        <v>666</v>
      </c>
      <c r="Z152" s="164" t="s">
        <v>163</v>
      </c>
      <c r="AA152" s="168" t="s">
        <v>184</v>
      </c>
      <c r="AB152" s="168" t="s">
        <v>191</v>
      </c>
      <c r="AC152" s="168" t="s">
        <v>162</v>
      </c>
      <c r="AD152" s="168" t="s">
        <v>163</v>
      </c>
      <c r="AE152" s="168" t="s">
        <v>163</v>
      </c>
      <c r="AF152" s="168" t="s">
        <v>163</v>
      </c>
      <c r="AG152" s="168" t="s">
        <v>163</v>
      </c>
      <c r="AH152" s="168" t="str">
        <f t="shared" si="13"/>
        <v>Refrigerator-Bottom Freezer-Automatic-No-No-No-No</v>
      </c>
      <c r="AI152" s="168">
        <v>5</v>
      </c>
      <c r="AJ152" s="168">
        <v>8.85</v>
      </c>
      <c r="AK152" s="169">
        <v>317</v>
      </c>
      <c r="AL152" s="169">
        <f t="shared" si="14"/>
        <v>398.41999999999996</v>
      </c>
      <c r="AM152" s="168">
        <f t="shared" si="15"/>
        <v>398</v>
      </c>
      <c r="AN152" s="168">
        <f t="shared" si="16"/>
        <v>374</v>
      </c>
      <c r="AO152" s="164" t="str">
        <f t="shared" si="17"/>
        <v>Yes</v>
      </c>
      <c r="AP152" s="164">
        <f t="shared" si="18"/>
        <v>24</v>
      </c>
    </row>
    <row r="153" spans="2:42">
      <c r="B153" s="164">
        <v>2215464</v>
      </c>
      <c r="C153" s="164" t="s">
        <v>167</v>
      </c>
      <c r="D153" s="164" t="s">
        <v>667</v>
      </c>
      <c r="E153" s="164"/>
      <c r="F153" s="164" t="s">
        <v>194</v>
      </c>
      <c r="G153" s="164" t="s">
        <v>162</v>
      </c>
      <c r="H153" s="164" t="s">
        <v>182</v>
      </c>
      <c r="I153" s="164" t="s">
        <v>163</v>
      </c>
      <c r="J153" s="164" t="s">
        <v>163</v>
      </c>
      <c r="K153" s="164" t="s">
        <v>163</v>
      </c>
      <c r="L153" s="164" t="s">
        <v>163</v>
      </c>
      <c r="M153" s="164">
        <v>56.3</v>
      </c>
      <c r="N153" s="164">
        <v>21.7</v>
      </c>
      <c r="O153" s="165">
        <v>7.4</v>
      </c>
      <c r="P153" s="165">
        <v>8.4</v>
      </c>
      <c r="Q153" s="164">
        <v>344</v>
      </c>
      <c r="R153" s="164">
        <v>385</v>
      </c>
      <c r="S153" s="166">
        <v>0.11</v>
      </c>
      <c r="T153" s="164" t="s">
        <v>163</v>
      </c>
      <c r="U153" s="164"/>
      <c r="V153" s="167">
        <v>41822</v>
      </c>
      <c r="W153" s="167">
        <v>41834</v>
      </c>
      <c r="X153" s="164" t="s">
        <v>506</v>
      </c>
      <c r="Y153" s="164" t="s">
        <v>668</v>
      </c>
      <c r="Z153" s="164" t="s">
        <v>163</v>
      </c>
      <c r="AA153" s="168" t="s">
        <v>184</v>
      </c>
      <c r="AB153" s="168" t="s">
        <v>194</v>
      </c>
      <c r="AC153" s="168" t="s">
        <v>162</v>
      </c>
      <c r="AD153" s="168" t="s">
        <v>182</v>
      </c>
      <c r="AE153" s="168" t="s">
        <v>163</v>
      </c>
      <c r="AF153" s="168" t="s">
        <v>163</v>
      </c>
      <c r="AG153" s="168" t="s">
        <v>163</v>
      </c>
      <c r="AH153" s="168" t="str">
        <f t="shared" si="13"/>
        <v>Refrigerator-Compact-Automatic-Yes-No-No-No</v>
      </c>
      <c r="AI153" s="168" t="s">
        <v>329</v>
      </c>
      <c r="AJ153" s="168">
        <v>9.17</v>
      </c>
      <c r="AK153" s="169">
        <v>259.3</v>
      </c>
      <c r="AL153" s="169">
        <f t="shared" si="14"/>
        <v>336.32800000000003</v>
      </c>
      <c r="AM153" s="168">
        <f t="shared" si="15"/>
        <v>385</v>
      </c>
      <c r="AN153" s="168">
        <f t="shared" si="16"/>
        <v>344</v>
      </c>
      <c r="AO153" s="164" t="str">
        <f t="shared" si="17"/>
        <v>Yes</v>
      </c>
      <c r="AP153" s="164">
        <f t="shared" si="18"/>
        <v>41</v>
      </c>
    </row>
    <row r="154" spans="2:42">
      <c r="B154" s="164">
        <v>2218448</v>
      </c>
      <c r="C154" s="164" t="s">
        <v>669</v>
      </c>
      <c r="D154" s="164" t="s">
        <v>670</v>
      </c>
      <c r="E154" s="164"/>
      <c r="F154" s="164" t="s">
        <v>195</v>
      </c>
      <c r="G154" s="164" t="s">
        <v>162</v>
      </c>
      <c r="H154" s="164" t="s">
        <v>163</v>
      </c>
      <c r="I154" s="164" t="s">
        <v>163</v>
      </c>
      <c r="J154" s="164" t="s">
        <v>163</v>
      </c>
      <c r="K154" s="164" t="s">
        <v>163</v>
      </c>
      <c r="L154" s="164" t="s">
        <v>163</v>
      </c>
      <c r="M154" s="164">
        <v>58.8</v>
      </c>
      <c r="N154" s="164">
        <v>23.9</v>
      </c>
      <c r="O154" s="165">
        <v>11</v>
      </c>
      <c r="P154" s="165">
        <v>11</v>
      </c>
      <c r="Q154" s="164">
        <v>249</v>
      </c>
      <c r="R154" s="164">
        <v>279</v>
      </c>
      <c r="S154" s="166">
        <v>0.11</v>
      </c>
      <c r="T154" s="164" t="s">
        <v>163</v>
      </c>
      <c r="U154" s="164"/>
      <c r="V154" s="167">
        <v>41888</v>
      </c>
      <c r="W154" s="167">
        <v>41845</v>
      </c>
      <c r="X154" s="164" t="s">
        <v>387</v>
      </c>
      <c r="Y154" s="164" t="s">
        <v>671</v>
      </c>
      <c r="Z154" s="164" t="s">
        <v>163</v>
      </c>
      <c r="AA154" s="168" t="s">
        <v>184</v>
      </c>
      <c r="AB154" s="168" t="s">
        <v>195</v>
      </c>
      <c r="AC154" s="168" t="s">
        <v>162</v>
      </c>
      <c r="AD154" s="168" t="s">
        <v>163</v>
      </c>
      <c r="AE154" s="168" t="s">
        <v>163</v>
      </c>
      <c r="AF154" s="168" t="s">
        <v>163</v>
      </c>
      <c r="AG154" s="168" t="s">
        <v>163</v>
      </c>
      <c r="AH154" s="168" t="str">
        <f t="shared" si="13"/>
        <v>Refrigerator-Freezerless and Single Door-Automatic-No-No-No-No</v>
      </c>
      <c r="AI154" s="168"/>
      <c r="AJ154" s="168" t="b">
        <v>0</v>
      </c>
      <c r="AK154" s="169" t="b">
        <v>0</v>
      </c>
      <c r="AL154" s="169">
        <f t="shared" si="14"/>
        <v>0</v>
      </c>
      <c r="AM154" s="168">
        <f t="shared" si="15"/>
        <v>279</v>
      </c>
      <c r="AN154" s="168">
        <f t="shared" si="16"/>
        <v>249</v>
      </c>
      <c r="AO154" s="164" t="str">
        <f t="shared" si="17"/>
        <v>Yes</v>
      </c>
      <c r="AP154" s="164">
        <f t="shared" si="18"/>
        <v>30</v>
      </c>
    </row>
    <row r="155" spans="2:42">
      <c r="B155" s="164">
        <v>2215465</v>
      </c>
      <c r="C155" s="164" t="s">
        <v>669</v>
      </c>
      <c r="D155" s="164" t="s">
        <v>672</v>
      </c>
      <c r="E155" s="164"/>
      <c r="F155" s="164" t="s">
        <v>194</v>
      </c>
      <c r="G155" s="164" t="s">
        <v>162</v>
      </c>
      <c r="H155" s="164" t="s">
        <v>182</v>
      </c>
      <c r="I155" s="164" t="s">
        <v>163</v>
      </c>
      <c r="J155" s="164" t="s">
        <v>163</v>
      </c>
      <c r="K155" s="164" t="s">
        <v>163</v>
      </c>
      <c r="L155" s="164" t="s">
        <v>163</v>
      </c>
      <c r="M155" s="164">
        <v>33.5</v>
      </c>
      <c r="N155" s="164">
        <v>18.899999999999999</v>
      </c>
      <c r="O155" s="165">
        <v>3.1</v>
      </c>
      <c r="P155" s="165">
        <v>3.7</v>
      </c>
      <c r="Q155" s="164">
        <v>319</v>
      </c>
      <c r="R155" s="164">
        <v>358</v>
      </c>
      <c r="S155" s="166">
        <v>0.11</v>
      </c>
      <c r="T155" s="164" t="s">
        <v>163</v>
      </c>
      <c r="U155" s="164"/>
      <c r="V155" s="167">
        <v>41822</v>
      </c>
      <c r="W155" s="167">
        <v>41834</v>
      </c>
      <c r="X155" s="164" t="s">
        <v>506</v>
      </c>
      <c r="Y155" s="164" t="s">
        <v>673</v>
      </c>
      <c r="Z155" s="164" t="s">
        <v>163</v>
      </c>
      <c r="AA155" s="168" t="s">
        <v>184</v>
      </c>
      <c r="AB155" s="168" t="s">
        <v>194</v>
      </c>
      <c r="AC155" s="168" t="s">
        <v>162</v>
      </c>
      <c r="AD155" s="168" t="s">
        <v>182</v>
      </c>
      <c r="AE155" s="168" t="s">
        <v>163</v>
      </c>
      <c r="AF155" s="168" t="s">
        <v>163</v>
      </c>
      <c r="AG155" s="168" t="s">
        <v>163</v>
      </c>
      <c r="AH155" s="168" t="str">
        <f t="shared" si="13"/>
        <v>Refrigerator-Compact-Automatic-Yes-No-No-No</v>
      </c>
      <c r="AI155" s="168" t="s">
        <v>329</v>
      </c>
      <c r="AJ155" s="168">
        <v>9.17</v>
      </c>
      <c r="AK155" s="169">
        <v>259.3</v>
      </c>
      <c r="AL155" s="169">
        <f t="shared" si="14"/>
        <v>293.22900000000004</v>
      </c>
      <c r="AM155" s="168">
        <f t="shared" si="15"/>
        <v>358</v>
      </c>
      <c r="AN155" s="168">
        <f t="shared" si="16"/>
        <v>319</v>
      </c>
      <c r="AO155" s="164" t="str">
        <f t="shared" si="17"/>
        <v>Yes</v>
      </c>
      <c r="AP155" s="164">
        <f t="shared" si="18"/>
        <v>39</v>
      </c>
    </row>
    <row r="156" spans="2:42">
      <c r="B156" s="164">
        <v>2218250</v>
      </c>
      <c r="C156" s="164" t="s">
        <v>669</v>
      </c>
      <c r="D156" s="164" t="s">
        <v>674</v>
      </c>
      <c r="E156" s="164"/>
      <c r="F156" s="164" t="s">
        <v>193</v>
      </c>
      <c r="G156" s="164" t="s">
        <v>162</v>
      </c>
      <c r="H156" s="164" t="s">
        <v>163</v>
      </c>
      <c r="I156" s="164" t="s">
        <v>163</v>
      </c>
      <c r="J156" s="164" t="s">
        <v>163</v>
      </c>
      <c r="K156" s="164" t="s">
        <v>163</v>
      </c>
      <c r="L156" s="164" t="s">
        <v>163</v>
      </c>
      <c r="M156" s="164">
        <v>59.8</v>
      </c>
      <c r="N156" s="164">
        <v>23.8</v>
      </c>
      <c r="O156" s="165">
        <v>9.9</v>
      </c>
      <c r="P156" s="165">
        <v>12.1</v>
      </c>
      <c r="Q156" s="164">
        <v>297</v>
      </c>
      <c r="R156" s="164">
        <v>331</v>
      </c>
      <c r="S156" s="166">
        <v>0.1</v>
      </c>
      <c r="T156" s="164" t="s">
        <v>163</v>
      </c>
      <c r="U156" s="164"/>
      <c r="V156" s="167">
        <v>41882</v>
      </c>
      <c r="W156" s="167">
        <v>41873</v>
      </c>
      <c r="X156" s="164" t="s">
        <v>387</v>
      </c>
      <c r="Y156" s="164" t="s">
        <v>675</v>
      </c>
      <c r="Z156" s="164" t="s">
        <v>163</v>
      </c>
      <c r="AA156" s="168" t="s">
        <v>184</v>
      </c>
      <c r="AB156" s="168" t="s">
        <v>193</v>
      </c>
      <c r="AC156" s="168" t="s">
        <v>162</v>
      </c>
      <c r="AD156" s="168" t="s">
        <v>163</v>
      </c>
      <c r="AE156" s="168" t="s">
        <v>163</v>
      </c>
      <c r="AF156" s="168" t="s">
        <v>163</v>
      </c>
      <c r="AG156" s="168" t="s">
        <v>163</v>
      </c>
      <c r="AH156" s="168" t="str">
        <f t="shared" si="13"/>
        <v>Refrigerator-Top Freezer-Automatic-No-No-No-No</v>
      </c>
      <c r="AI156" s="168">
        <v>3</v>
      </c>
      <c r="AJ156" s="168">
        <v>8.07</v>
      </c>
      <c r="AK156" s="169">
        <v>233.7</v>
      </c>
      <c r="AL156" s="169">
        <f t="shared" si="14"/>
        <v>331.34699999999998</v>
      </c>
      <c r="AM156" s="168">
        <f t="shared" si="15"/>
        <v>331</v>
      </c>
      <c r="AN156" s="168">
        <f t="shared" si="16"/>
        <v>297</v>
      </c>
      <c r="AO156" s="164" t="str">
        <f t="shared" si="17"/>
        <v>Yes</v>
      </c>
      <c r="AP156" s="164">
        <f t="shared" si="18"/>
        <v>34</v>
      </c>
    </row>
    <row r="157" spans="2:42">
      <c r="B157" s="164">
        <v>2218249</v>
      </c>
      <c r="C157" s="164" t="s">
        <v>669</v>
      </c>
      <c r="D157" s="164" t="s">
        <v>676</v>
      </c>
      <c r="E157" s="164"/>
      <c r="F157" s="164" t="s">
        <v>193</v>
      </c>
      <c r="G157" s="164" t="s">
        <v>162</v>
      </c>
      <c r="H157" s="164" t="s">
        <v>163</v>
      </c>
      <c r="I157" s="164" t="s">
        <v>163</v>
      </c>
      <c r="J157" s="164" t="s">
        <v>163</v>
      </c>
      <c r="K157" s="164" t="s">
        <v>163</v>
      </c>
      <c r="L157" s="164" t="s">
        <v>163</v>
      </c>
      <c r="M157" s="164">
        <v>59.8</v>
      </c>
      <c r="N157" s="164">
        <v>23.8</v>
      </c>
      <c r="O157" s="165">
        <v>9.9</v>
      </c>
      <c r="P157" s="165">
        <v>12.1</v>
      </c>
      <c r="Q157" s="164">
        <v>297</v>
      </c>
      <c r="R157" s="164">
        <v>331</v>
      </c>
      <c r="S157" s="166">
        <v>0.1</v>
      </c>
      <c r="T157" s="164" t="s">
        <v>163</v>
      </c>
      <c r="U157" s="164"/>
      <c r="V157" s="167">
        <v>41882</v>
      </c>
      <c r="W157" s="167">
        <v>41873</v>
      </c>
      <c r="X157" s="164" t="s">
        <v>387</v>
      </c>
      <c r="Y157" s="164" t="s">
        <v>677</v>
      </c>
      <c r="Z157" s="164" t="s">
        <v>163</v>
      </c>
      <c r="AA157" s="168" t="s">
        <v>184</v>
      </c>
      <c r="AB157" s="168" t="s">
        <v>193</v>
      </c>
      <c r="AC157" s="168" t="s">
        <v>162</v>
      </c>
      <c r="AD157" s="168" t="s">
        <v>163</v>
      </c>
      <c r="AE157" s="168" t="s">
        <v>163</v>
      </c>
      <c r="AF157" s="168" t="s">
        <v>163</v>
      </c>
      <c r="AG157" s="168" t="s">
        <v>163</v>
      </c>
      <c r="AH157" s="168" t="str">
        <f t="shared" si="13"/>
        <v>Refrigerator-Top Freezer-Automatic-No-No-No-No</v>
      </c>
      <c r="AI157" s="168">
        <v>3</v>
      </c>
      <c r="AJ157" s="168">
        <v>8.07</v>
      </c>
      <c r="AK157" s="169">
        <v>233.7</v>
      </c>
      <c r="AL157" s="169">
        <f t="shared" si="14"/>
        <v>331.34699999999998</v>
      </c>
      <c r="AM157" s="168">
        <f t="shared" si="15"/>
        <v>331</v>
      </c>
      <c r="AN157" s="168">
        <f t="shared" si="16"/>
        <v>297</v>
      </c>
      <c r="AO157" s="164" t="str">
        <f t="shared" si="17"/>
        <v>Yes</v>
      </c>
      <c r="AP157" s="164">
        <f t="shared" si="18"/>
        <v>34</v>
      </c>
    </row>
    <row r="158" spans="2:42">
      <c r="B158" s="164">
        <v>2215463</v>
      </c>
      <c r="C158" s="164" t="s">
        <v>669</v>
      </c>
      <c r="D158" s="164" t="s">
        <v>667</v>
      </c>
      <c r="E158" s="164"/>
      <c r="F158" s="164" t="s">
        <v>194</v>
      </c>
      <c r="G158" s="164" t="s">
        <v>162</v>
      </c>
      <c r="H158" s="164" t="s">
        <v>182</v>
      </c>
      <c r="I158" s="164" t="s">
        <v>163</v>
      </c>
      <c r="J158" s="164" t="s">
        <v>163</v>
      </c>
      <c r="K158" s="164" t="s">
        <v>163</v>
      </c>
      <c r="L158" s="164" t="s">
        <v>163</v>
      </c>
      <c r="M158" s="164">
        <v>56.3</v>
      </c>
      <c r="N158" s="164">
        <v>21.7</v>
      </c>
      <c r="O158" s="165">
        <v>7.4</v>
      </c>
      <c r="P158" s="165">
        <v>8.4</v>
      </c>
      <c r="Q158" s="164">
        <v>344</v>
      </c>
      <c r="R158" s="164">
        <v>385</v>
      </c>
      <c r="S158" s="166">
        <v>0.11</v>
      </c>
      <c r="T158" s="164" t="s">
        <v>163</v>
      </c>
      <c r="U158" s="164"/>
      <c r="V158" s="167">
        <v>41822</v>
      </c>
      <c r="W158" s="167">
        <v>41834</v>
      </c>
      <c r="X158" s="164" t="s">
        <v>506</v>
      </c>
      <c r="Y158" s="164" t="s">
        <v>678</v>
      </c>
      <c r="Z158" s="164" t="s">
        <v>163</v>
      </c>
      <c r="AA158" s="168" t="s">
        <v>184</v>
      </c>
      <c r="AB158" s="168" t="s">
        <v>194</v>
      </c>
      <c r="AC158" s="168" t="s">
        <v>162</v>
      </c>
      <c r="AD158" s="168" t="s">
        <v>182</v>
      </c>
      <c r="AE158" s="168" t="s">
        <v>163</v>
      </c>
      <c r="AF158" s="168" t="s">
        <v>163</v>
      </c>
      <c r="AG158" s="168" t="s">
        <v>163</v>
      </c>
      <c r="AH158" s="168" t="str">
        <f t="shared" si="13"/>
        <v>Refrigerator-Compact-Automatic-Yes-No-No-No</v>
      </c>
      <c r="AI158" s="168" t="s">
        <v>329</v>
      </c>
      <c r="AJ158" s="168">
        <v>9.17</v>
      </c>
      <c r="AK158" s="169">
        <v>259.3</v>
      </c>
      <c r="AL158" s="169">
        <f t="shared" si="14"/>
        <v>336.32800000000003</v>
      </c>
      <c r="AM158" s="168">
        <f t="shared" si="15"/>
        <v>385</v>
      </c>
      <c r="AN158" s="168">
        <f t="shared" si="16"/>
        <v>344</v>
      </c>
      <c r="AO158" s="164" t="str">
        <f t="shared" si="17"/>
        <v>Yes</v>
      </c>
      <c r="AP158" s="164">
        <f t="shared" si="18"/>
        <v>41</v>
      </c>
    </row>
    <row r="159" spans="2:42">
      <c r="B159" s="164">
        <v>2212654</v>
      </c>
      <c r="C159" s="164" t="s">
        <v>679</v>
      </c>
      <c r="D159" s="164" t="s">
        <v>680</v>
      </c>
      <c r="E159" s="164"/>
      <c r="F159" s="164" t="s">
        <v>194</v>
      </c>
      <c r="G159" s="164" t="s">
        <v>162</v>
      </c>
      <c r="H159" s="164" t="s">
        <v>182</v>
      </c>
      <c r="I159" s="164" t="s">
        <v>163</v>
      </c>
      <c r="J159" s="164" t="s">
        <v>163</v>
      </c>
      <c r="K159" s="164" t="s">
        <v>163</v>
      </c>
      <c r="L159" s="164" t="s">
        <v>163</v>
      </c>
      <c r="M159" s="164">
        <v>20.100000000000001</v>
      </c>
      <c r="N159" s="164">
        <v>17.7</v>
      </c>
      <c r="O159" s="165">
        <v>1.7</v>
      </c>
      <c r="P159" s="165">
        <v>1.7</v>
      </c>
      <c r="Q159" s="164">
        <v>221</v>
      </c>
      <c r="R159" s="164">
        <v>275</v>
      </c>
      <c r="S159" s="166">
        <v>0.2</v>
      </c>
      <c r="T159" s="164" t="s">
        <v>163</v>
      </c>
      <c r="U159" s="164"/>
      <c r="V159" s="167">
        <v>41802</v>
      </c>
      <c r="W159" s="167">
        <v>41786</v>
      </c>
      <c r="X159" s="164" t="s">
        <v>387</v>
      </c>
      <c r="Y159" s="164" t="s">
        <v>681</v>
      </c>
      <c r="Z159" s="164" t="s">
        <v>163</v>
      </c>
      <c r="AA159" s="168" t="s">
        <v>184</v>
      </c>
      <c r="AB159" s="168" t="s">
        <v>194</v>
      </c>
      <c r="AC159" s="168" t="s">
        <v>162</v>
      </c>
      <c r="AD159" s="168" t="s">
        <v>182</v>
      </c>
      <c r="AE159" s="168" t="s">
        <v>163</v>
      </c>
      <c r="AF159" s="168" t="s">
        <v>163</v>
      </c>
      <c r="AG159" s="168" t="s">
        <v>163</v>
      </c>
      <c r="AH159" s="168" t="str">
        <f t="shared" si="13"/>
        <v>Refrigerator-Compact-Automatic-Yes-No-No-No</v>
      </c>
      <c r="AI159" s="168" t="s">
        <v>329</v>
      </c>
      <c r="AJ159" s="168">
        <v>9.17</v>
      </c>
      <c r="AK159" s="169">
        <v>259.3</v>
      </c>
      <c r="AL159" s="169">
        <f t="shared" si="14"/>
        <v>274.88900000000001</v>
      </c>
      <c r="AM159" s="168">
        <f t="shared" si="15"/>
        <v>275</v>
      </c>
      <c r="AN159" s="168">
        <f t="shared" si="16"/>
        <v>221</v>
      </c>
      <c r="AO159" s="164" t="str">
        <f t="shared" si="17"/>
        <v>Yes</v>
      </c>
      <c r="AP159" s="164">
        <f t="shared" si="18"/>
        <v>54</v>
      </c>
    </row>
    <row r="160" spans="2:42">
      <c r="B160" s="164">
        <v>2212655</v>
      </c>
      <c r="C160" s="164" t="s">
        <v>679</v>
      </c>
      <c r="D160" s="164" t="s">
        <v>682</v>
      </c>
      <c r="E160" s="164"/>
      <c r="F160" s="164" t="s">
        <v>194</v>
      </c>
      <c r="G160" s="164" t="s">
        <v>162</v>
      </c>
      <c r="H160" s="164" t="s">
        <v>182</v>
      </c>
      <c r="I160" s="164" t="s">
        <v>163</v>
      </c>
      <c r="J160" s="164" t="s">
        <v>163</v>
      </c>
      <c r="K160" s="164" t="s">
        <v>163</v>
      </c>
      <c r="L160" s="164" t="s">
        <v>163</v>
      </c>
      <c r="M160" s="164">
        <v>27</v>
      </c>
      <c r="N160" s="164">
        <v>17.7</v>
      </c>
      <c r="O160" s="165">
        <v>2.6</v>
      </c>
      <c r="P160" s="165">
        <v>2.6</v>
      </c>
      <c r="Q160" s="164">
        <v>253</v>
      </c>
      <c r="R160" s="164">
        <v>283</v>
      </c>
      <c r="S160" s="166">
        <v>0.11</v>
      </c>
      <c r="T160" s="164" t="s">
        <v>163</v>
      </c>
      <c r="U160" s="164"/>
      <c r="V160" s="167">
        <v>41802</v>
      </c>
      <c r="W160" s="167">
        <v>41786</v>
      </c>
      <c r="X160" s="164" t="s">
        <v>387</v>
      </c>
      <c r="Y160" s="164" t="s">
        <v>683</v>
      </c>
      <c r="Z160" s="164" t="s">
        <v>163</v>
      </c>
      <c r="AA160" s="168" t="s">
        <v>184</v>
      </c>
      <c r="AB160" s="168" t="s">
        <v>194</v>
      </c>
      <c r="AC160" s="168" t="s">
        <v>162</v>
      </c>
      <c r="AD160" s="168" t="s">
        <v>182</v>
      </c>
      <c r="AE160" s="168" t="s">
        <v>163</v>
      </c>
      <c r="AF160" s="168" t="s">
        <v>163</v>
      </c>
      <c r="AG160" s="168" t="s">
        <v>163</v>
      </c>
      <c r="AH160" s="168" t="str">
        <f t="shared" si="13"/>
        <v>Refrigerator-Compact-Automatic-Yes-No-No-No</v>
      </c>
      <c r="AI160" s="168" t="s">
        <v>329</v>
      </c>
      <c r="AJ160" s="168">
        <v>9.17</v>
      </c>
      <c r="AK160" s="169">
        <v>259.3</v>
      </c>
      <c r="AL160" s="169">
        <f t="shared" si="14"/>
        <v>283.142</v>
      </c>
      <c r="AM160" s="168">
        <f t="shared" si="15"/>
        <v>283</v>
      </c>
      <c r="AN160" s="168">
        <f t="shared" si="16"/>
        <v>253</v>
      </c>
      <c r="AO160" s="164" t="str">
        <f t="shared" si="17"/>
        <v>Yes</v>
      </c>
      <c r="AP160" s="164">
        <f t="shared" si="18"/>
        <v>30</v>
      </c>
    </row>
    <row r="161" spans="2:42">
      <c r="B161" s="164">
        <v>2212656</v>
      </c>
      <c r="C161" s="164" t="s">
        <v>679</v>
      </c>
      <c r="D161" s="164" t="s">
        <v>684</v>
      </c>
      <c r="E161" s="164"/>
      <c r="F161" s="164" t="s">
        <v>194</v>
      </c>
      <c r="G161" s="164" t="s">
        <v>162</v>
      </c>
      <c r="H161" s="164" t="s">
        <v>182</v>
      </c>
      <c r="I161" s="164" t="s">
        <v>163</v>
      </c>
      <c r="J161" s="164" t="s">
        <v>163</v>
      </c>
      <c r="K161" s="164" t="s">
        <v>163</v>
      </c>
      <c r="L161" s="164" t="s">
        <v>163</v>
      </c>
      <c r="M161" s="164">
        <v>33.1</v>
      </c>
      <c r="N161" s="164">
        <v>17.7</v>
      </c>
      <c r="O161" s="165">
        <v>3.3</v>
      </c>
      <c r="P161" s="165">
        <v>3.3</v>
      </c>
      <c r="Q161" s="164">
        <v>259</v>
      </c>
      <c r="R161" s="164">
        <v>290</v>
      </c>
      <c r="S161" s="166">
        <v>0.11</v>
      </c>
      <c r="T161" s="164" t="s">
        <v>163</v>
      </c>
      <c r="U161" s="164"/>
      <c r="V161" s="167">
        <v>41802</v>
      </c>
      <c r="W161" s="167">
        <v>41786</v>
      </c>
      <c r="X161" s="164" t="s">
        <v>387</v>
      </c>
      <c r="Y161" s="164" t="s">
        <v>685</v>
      </c>
      <c r="Z161" s="164" t="s">
        <v>163</v>
      </c>
      <c r="AA161" s="168" t="s">
        <v>184</v>
      </c>
      <c r="AB161" s="168" t="s">
        <v>194</v>
      </c>
      <c r="AC161" s="168" t="s">
        <v>162</v>
      </c>
      <c r="AD161" s="168" t="s">
        <v>182</v>
      </c>
      <c r="AE161" s="168" t="s">
        <v>163</v>
      </c>
      <c r="AF161" s="168" t="s">
        <v>163</v>
      </c>
      <c r="AG161" s="168" t="s">
        <v>163</v>
      </c>
      <c r="AH161" s="168" t="str">
        <f t="shared" si="13"/>
        <v>Refrigerator-Compact-Automatic-Yes-No-No-No</v>
      </c>
      <c r="AI161" s="168" t="s">
        <v>329</v>
      </c>
      <c r="AJ161" s="168">
        <v>9.17</v>
      </c>
      <c r="AK161" s="169">
        <v>259.3</v>
      </c>
      <c r="AL161" s="169">
        <f t="shared" si="14"/>
        <v>289.56100000000004</v>
      </c>
      <c r="AM161" s="168">
        <f t="shared" si="15"/>
        <v>290</v>
      </c>
      <c r="AN161" s="168">
        <f t="shared" si="16"/>
        <v>259</v>
      </c>
      <c r="AO161" s="164" t="str">
        <f t="shared" si="17"/>
        <v>Yes</v>
      </c>
      <c r="AP161" s="164">
        <f t="shared" si="18"/>
        <v>31</v>
      </c>
    </row>
    <row r="162" spans="2:42">
      <c r="B162" s="164">
        <v>2212657</v>
      </c>
      <c r="C162" s="164" t="s">
        <v>679</v>
      </c>
      <c r="D162" s="164" t="s">
        <v>686</v>
      </c>
      <c r="E162" s="164"/>
      <c r="F162" s="164" t="s">
        <v>194</v>
      </c>
      <c r="G162" s="164" t="s">
        <v>162</v>
      </c>
      <c r="H162" s="164" t="s">
        <v>182</v>
      </c>
      <c r="I162" s="164" t="s">
        <v>163</v>
      </c>
      <c r="J162" s="164" t="s">
        <v>163</v>
      </c>
      <c r="K162" s="164" t="s">
        <v>163</v>
      </c>
      <c r="L162" s="164" t="s">
        <v>163</v>
      </c>
      <c r="M162" s="164">
        <v>32.700000000000003</v>
      </c>
      <c r="N162" s="164">
        <v>20.7</v>
      </c>
      <c r="O162" s="165">
        <v>4.4000000000000004</v>
      </c>
      <c r="P162" s="165">
        <v>4.4000000000000004</v>
      </c>
      <c r="Q162" s="164">
        <v>268</v>
      </c>
      <c r="R162" s="164">
        <v>300</v>
      </c>
      <c r="S162" s="166">
        <v>0.11</v>
      </c>
      <c r="T162" s="164" t="s">
        <v>163</v>
      </c>
      <c r="U162" s="164"/>
      <c r="V162" s="167">
        <v>41802</v>
      </c>
      <c r="W162" s="167">
        <v>41786</v>
      </c>
      <c r="X162" s="164" t="s">
        <v>387</v>
      </c>
      <c r="Y162" s="164" t="s">
        <v>687</v>
      </c>
      <c r="Z162" s="164" t="s">
        <v>163</v>
      </c>
      <c r="AA162" s="168" t="s">
        <v>184</v>
      </c>
      <c r="AB162" s="168" t="s">
        <v>194</v>
      </c>
      <c r="AC162" s="168" t="s">
        <v>162</v>
      </c>
      <c r="AD162" s="168" t="s">
        <v>182</v>
      </c>
      <c r="AE162" s="168" t="s">
        <v>163</v>
      </c>
      <c r="AF162" s="168" t="s">
        <v>163</v>
      </c>
      <c r="AG162" s="168" t="s">
        <v>163</v>
      </c>
      <c r="AH162" s="168" t="str">
        <f t="shared" si="13"/>
        <v>Refrigerator-Compact-Automatic-Yes-No-No-No</v>
      </c>
      <c r="AI162" s="168" t="s">
        <v>329</v>
      </c>
      <c r="AJ162" s="168">
        <v>9.17</v>
      </c>
      <c r="AK162" s="169">
        <v>259.3</v>
      </c>
      <c r="AL162" s="169">
        <f t="shared" si="14"/>
        <v>299.64800000000002</v>
      </c>
      <c r="AM162" s="168">
        <f t="shared" si="15"/>
        <v>300</v>
      </c>
      <c r="AN162" s="168">
        <f t="shared" si="16"/>
        <v>268</v>
      </c>
      <c r="AO162" s="164" t="str">
        <f t="shared" si="17"/>
        <v>Yes</v>
      </c>
      <c r="AP162" s="164">
        <f t="shared" si="18"/>
        <v>32</v>
      </c>
    </row>
    <row r="163" spans="2:42">
      <c r="B163" s="164">
        <v>2212658</v>
      </c>
      <c r="C163" s="164" t="s">
        <v>679</v>
      </c>
      <c r="D163" s="164" t="s">
        <v>688</v>
      </c>
      <c r="E163" s="164"/>
      <c r="F163" s="164" t="s">
        <v>194</v>
      </c>
      <c r="G163" s="164" t="s">
        <v>162</v>
      </c>
      <c r="H163" s="164" t="s">
        <v>182</v>
      </c>
      <c r="I163" s="164" t="s">
        <v>163</v>
      </c>
      <c r="J163" s="164" t="s">
        <v>163</v>
      </c>
      <c r="K163" s="164" t="s">
        <v>163</v>
      </c>
      <c r="L163" s="164" t="s">
        <v>163</v>
      </c>
      <c r="M163" s="164">
        <v>33.1</v>
      </c>
      <c r="N163" s="164">
        <v>20.7</v>
      </c>
      <c r="O163" s="165">
        <v>4.4000000000000004</v>
      </c>
      <c r="P163" s="165">
        <v>4.4000000000000004</v>
      </c>
      <c r="Q163" s="164">
        <v>268</v>
      </c>
      <c r="R163" s="164">
        <v>300</v>
      </c>
      <c r="S163" s="166">
        <v>0.11</v>
      </c>
      <c r="T163" s="164" t="s">
        <v>163</v>
      </c>
      <c r="U163" s="164"/>
      <c r="V163" s="167">
        <v>41802</v>
      </c>
      <c r="W163" s="167">
        <v>41786</v>
      </c>
      <c r="X163" s="164" t="s">
        <v>387</v>
      </c>
      <c r="Y163" s="164" t="s">
        <v>689</v>
      </c>
      <c r="Z163" s="164" t="s">
        <v>163</v>
      </c>
      <c r="AA163" s="168" t="s">
        <v>184</v>
      </c>
      <c r="AB163" s="168" t="s">
        <v>194</v>
      </c>
      <c r="AC163" s="168" t="s">
        <v>162</v>
      </c>
      <c r="AD163" s="168" t="s">
        <v>182</v>
      </c>
      <c r="AE163" s="168" t="s">
        <v>163</v>
      </c>
      <c r="AF163" s="168" t="s">
        <v>163</v>
      </c>
      <c r="AG163" s="168" t="s">
        <v>163</v>
      </c>
      <c r="AH163" s="168" t="str">
        <f t="shared" si="13"/>
        <v>Refrigerator-Compact-Automatic-Yes-No-No-No</v>
      </c>
      <c r="AI163" s="168" t="s">
        <v>329</v>
      </c>
      <c r="AJ163" s="168">
        <v>9.17</v>
      </c>
      <c r="AK163" s="169">
        <v>259.3</v>
      </c>
      <c r="AL163" s="169">
        <f t="shared" si="14"/>
        <v>299.64800000000002</v>
      </c>
      <c r="AM163" s="168">
        <f t="shared" si="15"/>
        <v>300</v>
      </c>
      <c r="AN163" s="168">
        <f t="shared" si="16"/>
        <v>268</v>
      </c>
      <c r="AO163" s="164" t="str">
        <f t="shared" si="17"/>
        <v>Yes</v>
      </c>
      <c r="AP163" s="164">
        <f t="shared" si="18"/>
        <v>32</v>
      </c>
    </row>
    <row r="164" spans="2:42">
      <c r="B164" s="164">
        <v>2212651</v>
      </c>
      <c r="C164" s="164" t="s">
        <v>679</v>
      </c>
      <c r="D164" s="164" t="s">
        <v>690</v>
      </c>
      <c r="E164" s="164"/>
      <c r="F164" s="164" t="s">
        <v>194</v>
      </c>
      <c r="G164" s="164" t="s">
        <v>188</v>
      </c>
      <c r="H164" s="164" t="s">
        <v>182</v>
      </c>
      <c r="I164" s="164" t="s">
        <v>163</v>
      </c>
      <c r="J164" s="164" t="s">
        <v>163</v>
      </c>
      <c r="K164" s="164" t="s">
        <v>163</v>
      </c>
      <c r="L164" s="164" t="s">
        <v>163</v>
      </c>
      <c r="M164" s="164">
        <v>19.7</v>
      </c>
      <c r="N164" s="164">
        <v>17.7</v>
      </c>
      <c r="O164" s="165">
        <v>1.6</v>
      </c>
      <c r="P164" s="165">
        <v>1.6</v>
      </c>
      <c r="Q164" s="164">
        <v>207</v>
      </c>
      <c r="R164" s="164">
        <v>267</v>
      </c>
      <c r="S164" s="166">
        <v>0.22</v>
      </c>
      <c r="T164" s="164" t="s">
        <v>163</v>
      </c>
      <c r="U164" s="164"/>
      <c r="V164" s="167">
        <v>41802</v>
      </c>
      <c r="W164" s="167">
        <v>41786</v>
      </c>
      <c r="X164" s="164" t="s">
        <v>387</v>
      </c>
      <c r="Y164" s="164" t="s">
        <v>691</v>
      </c>
      <c r="Z164" s="164" t="s">
        <v>163</v>
      </c>
      <c r="AA164" s="168" t="s">
        <v>184</v>
      </c>
      <c r="AB164" s="168" t="s">
        <v>194</v>
      </c>
      <c r="AC164" s="168" t="s">
        <v>188</v>
      </c>
      <c r="AD164" s="168" t="s">
        <v>182</v>
      </c>
      <c r="AE164" s="168" t="s">
        <v>163</v>
      </c>
      <c r="AF164" s="168" t="s">
        <v>163</v>
      </c>
      <c r="AG164" s="168" t="s">
        <v>163</v>
      </c>
      <c r="AH164" s="168" t="str">
        <f t="shared" si="13"/>
        <v>Refrigerator-Compact-Manual-Yes-No-No-No</v>
      </c>
      <c r="AI164" s="168" t="s">
        <v>315</v>
      </c>
      <c r="AJ164" s="168">
        <v>7.84</v>
      </c>
      <c r="AK164" s="169">
        <v>219.1</v>
      </c>
      <c r="AL164" s="169">
        <f t="shared" si="14"/>
        <v>231.64400000000001</v>
      </c>
      <c r="AM164" s="168">
        <f t="shared" si="15"/>
        <v>267</v>
      </c>
      <c r="AN164" s="168">
        <f t="shared" si="16"/>
        <v>207</v>
      </c>
      <c r="AO164" s="164" t="str">
        <f t="shared" si="17"/>
        <v>Yes</v>
      </c>
      <c r="AP164" s="164">
        <f t="shared" si="18"/>
        <v>60</v>
      </c>
    </row>
    <row r="165" spans="2:42">
      <c r="B165" s="164">
        <v>2212652</v>
      </c>
      <c r="C165" s="164" t="s">
        <v>679</v>
      </c>
      <c r="D165" s="164" t="s">
        <v>692</v>
      </c>
      <c r="E165" s="164"/>
      <c r="F165" s="164" t="s">
        <v>194</v>
      </c>
      <c r="G165" s="164" t="s">
        <v>188</v>
      </c>
      <c r="H165" s="164" t="s">
        <v>182</v>
      </c>
      <c r="I165" s="164" t="s">
        <v>163</v>
      </c>
      <c r="J165" s="164" t="s">
        <v>163</v>
      </c>
      <c r="K165" s="164" t="s">
        <v>163</v>
      </c>
      <c r="L165" s="164" t="s">
        <v>163</v>
      </c>
      <c r="M165" s="164">
        <v>32.700000000000003</v>
      </c>
      <c r="N165" s="164">
        <v>17.7</v>
      </c>
      <c r="O165" s="165">
        <v>3.2</v>
      </c>
      <c r="P165" s="165">
        <v>3.2</v>
      </c>
      <c r="Q165" s="164">
        <v>218</v>
      </c>
      <c r="R165" s="164">
        <v>281</v>
      </c>
      <c r="S165" s="166">
        <v>0.22</v>
      </c>
      <c r="T165" s="164" t="s">
        <v>163</v>
      </c>
      <c r="U165" s="164"/>
      <c r="V165" s="167">
        <v>41802</v>
      </c>
      <c r="W165" s="167">
        <v>41786</v>
      </c>
      <c r="X165" s="164" t="s">
        <v>387</v>
      </c>
      <c r="Y165" s="164" t="s">
        <v>693</v>
      </c>
      <c r="Z165" s="164" t="s">
        <v>163</v>
      </c>
      <c r="AA165" s="168" t="s">
        <v>184</v>
      </c>
      <c r="AB165" s="168" t="s">
        <v>194</v>
      </c>
      <c r="AC165" s="168" t="s">
        <v>188</v>
      </c>
      <c r="AD165" s="168" t="s">
        <v>182</v>
      </c>
      <c r="AE165" s="168" t="s">
        <v>163</v>
      </c>
      <c r="AF165" s="168" t="s">
        <v>163</v>
      </c>
      <c r="AG165" s="168" t="s">
        <v>163</v>
      </c>
      <c r="AH165" s="168" t="str">
        <f t="shared" si="13"/>
        <v>Refrigerator-Compact-Manual-Yes-No-No-No</v>
      </c>
      <c r="AI165" s="168" t="s">
        <v>315</v>
      </c>
      <c r="AJ165" s="168">
        <v>7.84</v>
      </c>
      <c r="AK165" s="169">
        <v>219.1</v>
      </c>
      <c r="AL165" s="169">
        <f t="shared" si="14"/>
        <v>244.18799999999999</v>
      </c>
      <c r="AM165" s="168">
        <f t="shared" si="15"/>
        <v>281</v>
      </c>
      <c r="AN165" s="168">
        <f t="shared" si="16"/>
        <v>218</v>
      </c>
      <c r="AO165" s="164" t="str">
        <f t="shared" si="17"/>
        <v>Yes</v>
      </c>
      <c r="AP165" s="164">
        <f t="shared" si="18"/>
        <v>63</v>
      </c>
    </row>
    <row r="166" spans="2:42">
      <c r="B166" s="164">
        <v>2212653</v>
      </c>
      <c r="C166" s="164" t="s">
        <v>679</v>
      </c>
      <c r="D166" s="164" t="s">
        <v>694</v>
      </c>
      <c r="E166" s="164"/>
      <c r="F166" s="164" t="s">
        <v>194</v>
      </c>
      <c r="G166" s="164" t="s">
        <v>188</v>
      </c>
      <c r="H166" s="164" t="s">
        <v>182</v>
      </c>
      <c r="I166" s="164" t="s">
        <v>163</v>
      </c>
      <c r="J166" s="164" t="s">
        <v>163</v>
      </c>
      <c r="K166" s="164" t="s">
        <v>163</v>
      </c>
      <c r="L166" s="164" t="s">
        <v>163</v>
      </c>
      <c r="M166" s="164">
        <v>32.700000000000003</v>
      </c>
      <c r="N166" s="164">
        <v>20.100000000000001</v>
      </c>
      <c r="O166" s="165">
        <v>4.4000000000000004</v>
      </c>
      <c r="P166" s="165">
        <v>4.4000000000000004</v>
      </c>
      <c r="Q166" s="164">
        <v>226</v>
      </c>
      <c r="R166" s="164">
        <v>292</v>
      </c>
      <c r="S166" s="166">
        <v>0.23</v>
      </c>
      <c r="T166" s="164" t="s">
        <v>163</v>
      </c>
      <c r="U166" s="164"/>
      <c r="V166" s="167">
        <v>41802</v>
      </c>
      <c r="W166" s="167">
        <v>41786</v>
      </c>
      <c r="X166" s="164" t="s">
        <v>387</v>
      </c>
      <c r="Y166" s="164" t="s">
        <v>695</v>
      </c>
      <c r="Z166" s="164" t="s">
        <v>163</v>
      </c>
      <c r="AA166" s="168" t="s">
        <v>184</v>
      </c>
      <c r="AB166" s="168" t="s">
        <v>194</v>
      </c>
      <c r="AC166" s="168" t="s">
        <v>188</v>
      </c>
      <c r="AD166" s="168" t="s">
        <v>182</v>
      </c>
      <c r="AE166" s="168" t="s">
        <v>163</v>
      </c>
      <c r="AF166" s="168" t="s">
        <v>163</v>
      </c>
      <c r="AG166" s="168" t="s">
        <v>163</v>
      </c>
      <c r="AH166" s="168" t="str">
        <f t="shared" si="13"/>
        <v>Refrigerator-Compact-Manual-Yes-No-No-No</v>
      </c>
      <c r="AI166" s="168" t="s">
        <v>315</v>
      </c>
      <c r="AJ166" s="168">
        <v>7.84</v>
      </c>
      <c r="AK166" s="169">
        <v>219.1</v>
      </c>
      <c r="AL166" s="169">
        <f t="shared" si="14"/>
        <v>253.596</v>
      </c>
      <c r="AM166" s="168">
        <f t="shared" si="15"/>
        <v>292</v>
      </c>
      <c r="AN166" s="168">
        <f t="shared" si="16"/>
        <v>226</v>
      </c>
      <c r="AO166" s="164" t="str">
        <f t="shared" si="17"/>
        <v>Yes</v>
      </c>
      <c r="AP166" s="164">
        <f t="shared" si="18"/>
        <v>66</v>
      </c>
    </row>
    <row r="167" spans="2:42">
      <c r="B167" s="164">
        <v>2213112</v>
      </c>
      <c r="C167" s="164" t="s">
        <v>696</v>
      </c>
      <c r="D167" s="164" t="s">
        <v>697</v>
      </c>
      <c r="E167" s="164"/>
      <c r="F167" s="164" t="s">
        <v>194</v>
      </c>
      <c r="G167" s="164" t="s">
        <v>162</v>
      </c>
      <c r="H167" s="164" t="s">
        <v>182</v>
      </c>
      <c r="I167" s="164" t="s">
        <v>163</v>
      </c>
      <c r="J167" s="164" t="s">
        <v>163</v>
      </c>
      <c r="K167" s="164" t="s">
        <v>163</v>
      </c>
      <c r="L167" s="164" t="s">
        <v>163</v>
      </c>
      <c r="M167" s="164">
        <v>33</v>
      </c>
      <c r="N167" s="164">
        <v>18.5</v>
      </c>
      <c r="O167" s="165">
        <v>3.1</v>
      </c>
      <c r="P167" s="165">
        <v>3.8</v>
      </c>
      <c r="Q167" s="164">
        <v>270</v>
      </c>
      <c r="R167" s="164">
        <v>358</v>
      </c>
      <c r="S167" s="166">
        <v>0.25</v>
      </c>
      <c r="T167" s="164" t="s">
        <v>163</v>
      </c>
      <c r="U167" s="164"/>
      <c r="V167" s="167">
        <v>41820</v>
      </c>
      <c r="W167" s="167">
        <v>41806</v>
      </c>
      <c r="X167" s="164" t="s">
        <v>506</v>
      </c>
      <c r="Y167" s="164" t="s">
        <v>698</v>
      </c>
      <c r="Z167" s="164" t="s">
        <v>163</v>
      </c>
      <c r="AA167" s="168" t="s">
        <v>184</v>
      </c>
      <c r="AB167" s="168" t="s">
        <v>194</v>
      </c>
      <c r="AC167" s="168" t="s">
        <v>162</v>
      </c>
      <c r="AD167" s="168" t="s">
        <v>182</v>
      </c>
      <c r="AE167" s="168" t="s">
        <v>163</v>
      </c>
      <c r="AF167" s="168" t="s">
        <v>163</v>
      </c>
      <c r="AG167" s="168" t="s">
        <v>163</v>
      </c>
      <c r="AH167" s="168" t="str">
        <f t="shared" si="13"/>
        <v>Refrigerator-Compact-Automatic-Yes-No-No-No</v>
      </c>
      <c r="AI167" s="168" t="s">
        <v>329</v>
      </c>
      <c r="AJ167" s="168">
        <v>9.17</v>
      </c>
      <c r="AK167" s="169">
        <v>259.3</v>
      </c>
      <c r="AL167" s="169">
        <f t="shared" si="14"/>
        <v>294.14600000000002</v>
      </c>
      <c r="AM167" s="168">
        <f t="shared" si="15"/>
        <v>358</v>
      </c>
      <c r="AN167" s="168">
        <f t="shared" si="16"/>
        <v>270</v>
      </c>
      <c r="AO167" s="164" t="str">
        <f t="shared" si="17"/>
        <v>Yes</v>
      </c>
      <c r="AP167" s="164">
        <f t="shared" si="18"/>
        <v>88</v>
      </c>
    </row>
    <row r="168" spans="2:42">
      <c r="B168" s="164">
        <v>2216765</v>
      </c>
      <c r="C168" s="164" t="s">
        <v>178</v>
      </c>
      <c r="D168" s="164" t="s">
        <v>699</v>
      </c>
      <c r="E168" s="164"/>
      <c r="F168" s="164" t="s">
        <v>191</v>
      </c>
      <c r="G168" s="164" t="s">
        <v>162</v>
      </c>
      <c r="H168" s="164" t="s">
        <v>163</v>
      </c>
      <c r="I168" s="164" t="s">
        <v>163</v>
      </c>
      <c r="J168" s="164" t="s">
        <v>163</v>
      </c>
      <c r="K168" s="164" t="s">
        <v>182</v>
      </c>
      <c r="L168" s="164" t="s">
        <v>182</v>
      </c>
      <c r="M168" s="164">
        <v>69.900000000000006</v>
      </c>
      <c r="N168" s="164">
        <v>35.6</v>
      </c>
      <c r="O168" s="165">
        <v>22.4</v>
      </c>
      <c r="P168" s="165">
        <v>27.5</v>
      </c>
      <c r="Q168" s="164">
        <v>580</v>
      </c>
      <c r="R168" s="164">
        <v>644</v>
      </c>
      <c r="S168" s="166">
        <v>0.1</v>
      </c>
      <c r="T168" s="164" t="s">
        <v>163</v>
      </c>
      <c r="U168" s="164"/>
      <c r="V168" s="167">
        <v>41838</v>
      </c>
      <c r="W168" s="167">
        <v>41849</v>
      </c>
      <c r="X168" s="164" t="s">
        <v>387</v>
      </c>
      <c r="Y168" s="164" t="s">
        <v>700</v>
      </c>
      <c r="Z168" s="164" t="s">
        <v>163</v>
      </c>
      <c r="AA168" s="168" t="s">
        <v>184</v>
      </c>
      <c r="AB168" s="168" t="s">
        <v>191</v>
      </c>
      <c r="AC168" s="168" t="s">
        <v>162</v>
      </c>
      <c r="AD168" s="168" t="s">
        <v>163</v>
      </c>
      <c r="AE168" s="168" t="s">
        <v>163</v>
      </c>
      <c r="AF168" s="168" t="s">
        <v>163</v>
      </c>
      <c r="AG168" s="168" t="s">
        <v>182</v>
      </c>
      <c r="AH168" s="168" t="str">
        <f t="shared" si="13"/>
        <v>Refrigerator-Bottom Freezer-Automatic-No-No-No-Yes</v>
      </c>
      <c r="AI168" s="168" t="s">
        <v>261</v>
      </c>
      <c r="AJ168" s="168">
        <v>8.85</v>
      </c>
      <c r="AK168" s="169">
        <v>401</v>
      </c>
      <c r="AL168" s="169">
        <f t="shared" si="14"/>
        <v>644.375</v>
      </c>
      <c r="AM168" s="168">
        <f t="shared" si="15"/>
        <v>644</v>
      </c>
      <c r="AN168" s="168">
        <f t="shared" si="16"/>
        <v>580</v>
      </c>
      <c r="AO168" s="164" t="str">
        <f t="shared" si="17"/>
        <v>Yes</v>
      </c>
      <c r="AP168" s="164">
        <f t="shared" si="18"/>
        <v>64</v>
      </c>
    </row>
    <row r="169" spans="2:42">
      <c r="B169" s="164">
        <v>2216769</v>
      </c>
      <c r="C169" s="164" t="s">
        <v>178</v>
      </c>
      <c r="D169" s="164" t="s">
        <v>701</v>
      </c>
      <c r="E169" s="164"/>
      <c r="F169" s="164" t="s">
        <v>191</v>
      </c>
      <c r="G169" s="164" t="s">
        <v>162</v>
      </c>
      <c r="H169" s="164" t="s">
        <v>163</v>
      </c>
      <c r="I169" s="164" t="s">
        <v>163</v>
      </c>
      <c r="J169" s="164" t="s">
        <v>182</v>
      </c>
      <c r="K169" s="164" t="s">
        <v>182</v>
      </c>
      <c r="L169" s="164" t="s">
        <v>182</v>
      </c>
      <c r="M169" s="164">
        <v>69.900000000000006</v>
      </c>
      <c r="N169" s="164">
        <v>35.6</v>
      </c>
      <c r="O169" s="165">
        <v>21.9</v>
      </c>
      <c r="P169" s="165">
        <v>27.1</v>
      </c>
      <c r="Q169" s="164">
        <v>654</v>
      </c>
      <c r="R169" s="164">
        <v>726</v>
      </c>
      <c r="S169" s="166">
        <v>0.1</v>
      </c>
      <c r="T169" s="164" t="s">
        <v>163</v>
      </c>
      <c r="U169" s="164"/>
      <c r="V169" s="167">
        <v>41838</v>
      </c>
      <c r="W169" s="167">
        <v>41849</v>
      </c>
      <c r="X169" s="164" t="s">
        <v>387</v>
      </c>
      <c r="Y169" s="164" t="s">
        <v>702</v>
      </c>
      <c r="Z169" s="164" t="s">
        <v>163</v>
      </c>
      <c r="AA169" s="168" t="s">
        <v>184</v>
      </c>
      <c r="AB169" s="168" t="s">
        <v>191</v>
      </c>
      <c r="AC169" s="168" t="s">
        <v>162</v>
      </c>
      <c r="AD169" s="168" t="s">
        <v>163</v>
      </c>
      <c r="AE169" s="168" t="s">
        <v>163</v>
      </c>
      <c r="AF169" s="168" t="s">
        <v>182</v>
      </c>
      <c r="AG169" s="168" t="s">
        <v>182</v>
      </c>
      <c r="AH169" s="168" t="str">
        <f t="shared" si="13"/>
        <v>Refrigerator-Bottom Freezer-Automatic-No-No-Yes-Yes</v>
      </c>
      <c r="AI169" s="168" t="s">
        <v>269</v>
      </c>
      <c r="AJ169" s="168">
        <v>9.25</v>
      </c>
      <c r="AK169" s="169">
        <v>475.4</v>
      </c>
      <c r="AL169" s="169">
        <f t="shared" si="14"/>
        <v>726.07500000000005</v>
      </c>
      <c r="AM169" s="168">
        <f t="shared" si="15"/>
        <v>726</v>
      </c>
      <c r="AN169" s="168">
        <f t="shared" si="16"/>
        <v>654</v>
      </c>
      <c r="AO169" s="164" t="str">
        <f t="shared" si="17"/>
        <v>Yes</v>
      </c>
      <c r="AP169" s="164">
        <f t="shared" si="18"/>
        <v>72</v>
      </c>
    </row>
    <row r="170" spans="2:42">
      <c r="B170" s="164">
        <v>2216764</v>
      </c>
      <c r="C170" s="164" t="s">
        <v>178</v>
      </c>
      <c r="D170" s="164" t="s">
        <v>703</v>
      </c>
      <c r="E170" s="164"/>
      <c r="F170" s="164" t="s">
        <v>191</v>
      </c>
      <c r="G170" s="164" t="s">
        <v>162</v>
      </c>
      <c r="H170" s="164" t="s">
        <v>163</v>
      </c>
      <c r="I170" s="164" t="s">
        <v>163</v>
      </c>
      <c r="J170" s="164" t="s">
        <v>163</v>
      </c>
      <c r="K170" s="164" t="s">
        <v>182</v>
      </c>
      <c r="L170" s="164" t="s">
        <v>182</v>
      </c>
      <c r="M170" s="164">
        <v>69.900000000000006</v>
      </c>
      <c r="N170" s="164">
        <v>35.6</v>
      </c>
      <c r="O170" s="165">
        <v>22.4</v>
      </c>
      <c r="P170" s="165">
        <v>27.5</v>
      </c>
      <c r="Q170" s="164">
        <v>580</v>
      </c>
      <c r="R170" s="164">
        <v>644</v>
      </c>
      <c r="S170" s="166">
        <v>0.1</v>
      </c>
      <c r="T170" s="164" t="s">
        <v>163</v>
      </c>
      <c r="U170" s="164"/>
      <c r="V170" s="167">
        <v>41838</v>
      </c>
      <c r="W170" s="167">
        <v>41889</v>
      </c>
      <c r="X170" s="164" t="s">
        <v>387</v>
      </c>
      <c r="Y170" s="164" t="s">
        <v>704</v>
      </c>
      <c r="Z170" s="164" t="s">
        <v>163</v>
      </c>
      <c r="AA170" s="168" t="s">
        <v>184</v>
      </c>
      <c r="AB170" s="168" t="s">
        <v>191</v>
      </c>
      <c r="AC170" s="168" t="s">
        <v>162</v>
      </c>
      <c r="AD170" s="168" t="s">
        <v>163</v>
      </c>
      <c r="AE170" s="168" t="s">
        <v>163</v>
      </c>
      <c r="AF170" s="168" t="s">
        <v>163</v>
      </c>
      <c r="AG170" s="168" t="s">
        <v>182</v>
      </c>
      <c r="AH170" s="168" t="str">
        <f t="shared" si="13"/>
        <v>Refrigerator-Bottom Freezer-Automatic-No-No-No-Yes</v>
      </c>
      <c r="AI170" s="168" t="s">
        <v>261</v>
      </c>
      <c r="AJ170" s="168">
        <v>8.85</v>
      </c>
      <c r="AK170" s="169">
        <v>401</v>
      </c>
      <c r="AL170" s="169">
        <f t="shared" si="14"/>
        <v>644.375</v>
      </c>
      <c r="AM170" s="168">
        <f t="shared" si="15"/>
        <v>644</v>
      </c>
      <c r="AN170" s="168">
        <f t="shared" si="16"/>
        <v>580</v>
      </c>
      <c r="AO170" s="164" t="str">
        <f t="shared" si="17"/>
        <v>Yes</v>
      </c>
      <c r="AP170" s="164">
        <f t="shared" si="18"/>
        <v>64</v>
      </c>
    </row>
    <row r="171" spans="2:42">
      <c r="B171" s="164">
        <v>2216771</v>
      </c>
      <c r="C171" s="164" t="s">
        <v>178</v>
      </c>
      <c r="D171" s="164" t="s">
        <v>705</v>
      </c>
      <c r="E171" s="164"/>
      <c r="F171" s="164" t="s">
        <v>191</v>
      </c>
      <c r="G171" s="164" t="s">
        <v>162</v>
      </c>
      <c r="H171" s="164" t="s">
        <v>163</v>
      </c>
      <c r="I171" s="164" t="s">
        <v>163</v>
      </c>
      <c r="J171" s="164" t="s">
        <v>182</v>
      </c>
      <c r="K171" s="164" t="s">
        <v>182</v>
      </c>
      <c r="L171" s="164" t="s">
        <v>182</v>
      </c>
      <c r="M171" s="164">
        <v>69.900000000000006</v>
      </c>
      <c r="N171" s="164">
        <v>35.6</v>
      </c>
      <c r="O171" s="165">
        <v>21.9</v>
      </c>
      <c r="P171" s="165">
        <v>27.1</v>
      </c>
      <c r="Q171" s="164">
        <v>654</v>
      </c>
      <c r="R171" s="164">
        <v>726</v>
      </c>
      <c r="S171" s="166">
        <v>0.1</v>
      </c>
      <c r="T171" s="164" t="s">
        <v>163</v>
      </c>
      <c r="U171" s="164"/>
      <c r="V171" s="167">
        <v>41838</v>
      </c>
      <c r="W171" s="167">
        <v>41849</v>
      </c>
      <c r="X171" s="164" t="s">
        <v>387</v>
      </c>
      <c r="Y171" s="164" t="s">
        <v>706</v>
      </c>
      <c r="Z171" s="164" t="s">
        <v>163</v>
      </c>
      <c r="AA171" s="168" t="s">
        <v>184</v>
      </c>
      <c r="AB171" s="168" t="s">
        <v>191</v>
      </c>
      <c r="AC171" s="168" t="s">
        <v>162</v>
      </c>
      <c r="AD171" s="168" t="s">
        <v>163</v>
      </c>
      <c r="AE171" s="168" t="s">
        <v>163</v>
      </c>
      <c r="AF171" s="168" t="s">
        <v>182</v>
      </c>
      <c r="AG171" s="168" t="s">
        <v>182</v>
      </c>
      <c r="AH171" s="168" t="str">
        <f t="shared" si="13"/>
        <v>Refrigerator-Bottom Freezer-Automatic-No-No-Yes-Yes</v>
      </c>
      <c r="AI171" s="168" t="s">
        <v>269</v>
      </c>
      <c r="AJ171" s="168">
        <v>9.25</v>
      </c>
      <c r="AK171" s="169">
        <v>475.4</v>
      </c>
      <c r="AL171" s="169">
        <f t="shared" si="14"/>
        <v>726.07500000000005</v>
      </c>
      <c r="AM171" s="168">
        <f t="shared" si="15"/>
        <v>726</v>
      </c>
      <c r="AN171" s="168">
        <f t="shared" si="16"/>
        <v>654</v>
      </c>
      <c r="AO171" s="164" t="str">
        <f t="shared" si="17"/>
        <v>Yes</v>
      </c>
      <c r="AP171" s="164">
        <f t="shared" si="18"/>
        <v>72</v>
      </c>
    </row>
    <row r="172" spans="2:42">
      <c r="B172" s="164">
        <v>2214699</v>
      </c>
      <c r="C172" s="164" t="s">
        <v>178</v>
      </c>
      <c r="D172" s="164" t="s">
        <v>707</v>
      </c>
      <c r="E172" s="164"/>
      <c r="F172" s="164" t="s">
        <v>192</v>
      </c>
      <c r="G172" s="164" t="s">
        <v>162</v>
      </c>
      <c r="H172" s="164" t="s">
        <v>163</v>
      </c>
      <c r="I172" s="164" t="s">
        <v>163</v>
      </c>
      <c r="J172" s="164" t="s">
        <v>182</v>
      </c>
      <c r="K172" s="164" t="s">
        <v>182</v>
      </c>
      <c r="L172" s="164" t="s">
        <v>163</v>
      </c>
      <c r="M172" s="164">
        <v>69.900000000000006</v>
      </c>
      <c r="N172" s="164">
        <v>35.6</v>
      </c>
      <c r="O172" s="165">
        <v>25.5</v>
      </c>
      <c r="P172" s="165">
        <v>32.4</v>
      </c>
      <c r="Q172" s="164">
        <v>639</v>
      </c>
      <c r="R172" s="164">
        <v>709</v>
      </c>
      <c r="S172" s="166">
        <v>0.1</v>
      </c>
      <c r="T172" s="164" t="s">
        <v>163</v>
      </c>
      <c r="U172" s="164"/>
      <c r="V172" s="167">
        <v>41841</v>
      </c>
      <c r="W172" s="167">
        <v>41827</v>
      </c>
      <c r="X172" s="164" t="s">
        <v>387</v>
      </c>
      <c r="Y172" s="164" t="s">
        <v>708</v>
      </c>
      <c r="Z172" s="164" t="s">
        <v>163</v>
      </c>
      <c r="AA172" s="168" t="s">
        <v>184</v>
      </c>
      <c r="AB172" s="168" t="s">
        <v>192</v>
      </c>
      <c r="AC172" s="168" t="s">
        <v>162</v>
      </c>
      <c r="AD172" s="168" t="s">
        <v>163</v>
      </c>
      <c r="AE172" s="168" t="s">
        <v>163</v>
      </c>
      <c r="AF172" s="168" t="s">
        <v>182</v>
      </c>
      <c r="AG172" s="168" t="s">
        <v>182</v>
      </c>
      <c r="AH172" s="168" t="str">
        <f t="shared" si="13"/>
        <v>Refrigerator-Side-by-Side-Automatic-No-No-Yes-Yes</v>
      </c>
      <c r="AI172" s="168">
        <v>7</v>
      </c>
      <c r="AJ172" s="168">
        <v>8.5399999999999991</v>
      </c>
      <c r="AK172" s="169">
        <v>432.8</v>
      </c>
      <c r="AL172" s="169">
        <f t="shared" si="14"/>
        <v>709.49599999999998</v>
      </c>
      <c r="AM172" s="168">
        <f t="shared" si="15"/>
        <v>709</v>
      </c>
      <c r="AN172" s="168">
        <f t="shared" si="16"/>
        <v>639</v>
      </c>
      <c r="AO172" s="164" t="str">
        <f t="shared" si="17"/>
        <v>Yes</v>
      </c>
      <c r="AP172" s="164">
        <f t="shared" si="18"/>
        <v>70</v>
      </c>
    </row>
    <row r="173" spans="2:42">
      <c r="B173" s="164">
        <v>2216589</v>
      </c>
      <c r="C173" s="164" t="s">
        <v>178</v>
      </c>
      <c r="D173" s="164" t="s">
        <v>709</v>
      </c>
      <c r="E173" s="164"/>
      <c r="F173" s="164" t="s">
        <v>191</v>
      </c>
      <c r="G173" s="164" t="s">
        <v>162</v>
      </c>
      <c r="H173" s="164" t="s">
        <v>163</v>
      </c>
      <c r="I173" s="164" t="s">
        <v>163</v>
      </c>
      <c r="J173" s="164" t="s">
        <v>182</v>
      </c>
      <c r="K173" s="164" t="s">
        <v>182</v>
      </c>
      <c r="L173" s="164" t="s">
        <v>163</v>
      </c>
      <c r="M173" s="164">
        <v>69.900000000000006</v>
      </c>
      <c r="N173" s="164">
        <v>35.6</v>
      </c>
      <c r="O173" s="165">
        <v>27.2</v>
      </c>
      <c r="P173" s="165">
        <v>33.799999999999997</v>
      </c>
      <c r="Q173" s="164">
        <v>709</v>
      </c>
      <c r="R173" s="164">
        <v>788</v>
      </c>
      <c r="S173" s="166">
        <v>0.1</v>
      </c>
      <c r="T173" s="164" t="s">
        <v>163</v>
      </c>
      <c r="U173" s="164"/>
      <c r="V173" s="167">
        <v>41838</v>
      </c>
      <c r="W173" s="167">
        <v>41837</v>
      </c>
      <c r="X173" s="164" t="s">
        <v>387</v>
      </c>
      <c r="Y173" s="164" t="s">
        <v>710</v>
      </c>
      <c r="Z173" s="164" t="s">
        <v>163</v>
      </c>
      <c r="AA173" s="168" t="s">
        <v>184</v>
      </c>
      <c r="AB173" s="168" t="s">
        <v>191</v>
      </c>
      <c r="AC173" s="168" t="s">
        <v>162</v>
      </c>
      <c r="AD173" s="168" t="s">
        <v>163</v>
      </c>
      <c r="AE173" s="168" t="s">
        <v>163</v>
      </c>
      <c r="AF173" s="168" t="s">
        <v>182</v>
      </c>
      <c r="AG173" s="168" t="s">
        <v>182</v>
      </c>
      <c r="AH173" s="168" t="str">
        <f t="shared" si="13"/>
        <v>Refrigerator-Bottom Freezer-Automatic-No-No-Yes-Yes</v>
      </c>
      <c r="AI173" s="168" t="s">
        <v>269</v>
      </c>
      <c r="AJ173" s="168">
        <v>9.25</v>
      </c>
      <c r="AK173" s="169">
        <v>475.4</v>
      </c>
      <c r="AL173" s="169">
        <f t="shared" si="14"/>
        <v>788.05</v>
      </c>
      <c r="AM173" s="168">
        <f t="shared" si="15"/>
        <v>788</v>
      </c>
      <c r="AN173" s="168">
        <f t="shared" si="16"/>
        <v>709</v>
      </c>
      <c r="AO173" s="164" t="str">
        <f t="shared" si="17"/>
        <v>Yes</v>
      </c>
      <c r="AP173" s="164">
        <f t="shared" si="18"/>
        <v>79</v>
      </c>
    </row>
    <row r="174" spans="2:42">
      <c r="B174" s="164">
        <v>2210413</v>
      </c>
      <c r="C174" s="164" t="s">
        <v>178</v>
      </c>
      <c r="D174" s="164" t="s">
        <v>711</v>
      </c>
      <c r="E174" s="164"/>
      <c r="F174" s="164" t="s">
        <v>194</v>
      </c>
      <c r="G174" s="164" t="s">
        <v>188</v>
      </c>
      <c r="H174" s="164" t="s">
        <v>182</v>
      </c>
      <c r="I174" s="164" t="s">
        <v>163</v>
      </c>
      <c r="J174" s="164" t="s">
        <v>163</v>
      </c>
      <c r="K174" s="164" t="s">
        <v>163</v>
      </c>
      <c r="L174" s="164" t="s">
        <v>163</v>
      </c>
      <c r="M174" s="164">
        <v>19.399999999999999</v>
      </c>
      <c r="N174" s="164">
        <v>18.600000000000001</v>
      </c>
      <c r="O174" s="165">
        <v>1.6</v>
      </c>
      <c r="P174" s="165">
        <v>1.6</v>
      </c>
      <c r="Q174" s="164">
        <v>207</v>
      </c>
      <c r="R174" s="164">
        <v>267</v>
      </c>
      <c r="S174" s="166">
        <v>0.22</v>
      </c>
      <c r="T174" s="164" t="s">
        <v>163</v>
      </c>
      <c r="U174" s="164"/>
      <c r="V174" s="167">
        <v>41713</v>
      </c>
      <c r="W174" s="167">
        <v>41718</v>
      </c>
      <c r="X174" s="164" t="s">
        <v>506</v>
      </c>
      <c r="Y174" s="164" t="s">
        <v>712</v>
      </c>
      <c r="Z174" s="164" t="s">
        <v>163</v>
      </c>
      <c r="AA174" s="168" t="s">
        <v>184</v>
      </c>
      <c r="AB174" s="168" t="s">
        <v>194</v>
      </c>
      <c r="AC174" s="168" t="s">
        <v>188</v>
      </c>
      <c r="AD174" s="168" t="s">
        <v>182</v>
      </c>
      <c r="AE174" s="168" t="s">
        <v>163</v>
      </c>
      <c r="AF174" s="168" t="s">
        <v>163</v>
      </c>
      <c r="AG174" s="168" t="s">
        <v>163</v>
      </c>
      <c r="AH174" s="168" t="str">
        <f t="shared" si="13"/>
        <v>Refrigerator-Compact-Manual-Yes-No-No-No</v>
      </c>
      <c r="AI174" s="168" t="s">
        <v>315</v>
      </c>
      <c r="AJ174" s="168">
        <v>7.84</v>
      </c>
      <c r="AK174" s="169">
        <v>219.1</v>
      </c>
      <c r="AL174" s="169">
        <f t="shared" si="14"/>
        <v>231.64400000000001</v>
      </c>
      <c r="AM174" s="168">
        <f t="shared" si="15"/>
        <v>267</v>
      </c>
      <c r="AN174" s="168">
        <f t="shared" si="16"/>
        <v>207</v>
      </c>
      <c r="AO174" s="164" t="str">
        <f t="shared" si="17"/>
        <v>Yes</v>
      </c>
      <c r="AP174" s="164">
        <f t="shared" si="18"/>
        <v>60</v>
      </c>
    </row>
    <row r="175" spans="2:42">
      <c r="B175" s="164">
        <v>2210414</v>
      </c>
      <c r="C175" s="164" t="s">
        <v>178</v>
      </c>
      <c r="D175" s="164" t="s">
        <v>713</v>
      </c>
      <c r="E175" s="164"/>
      <c r="F175" s="164" t="s">
        <v>194</v>
      </c>
      <c r="G175" s="164" t="s">
        <v>188</v>
      </c>
      <c r="H175" s="164" t="s">
        <v>182</v>
      </c>
      <c r="I175" s="164" t="s">
        <v>163</v>
      </c>
      <c r="J175" s="164" t="s">
        <v>163</v>
      </c>
      <c r="K175" s="164" t="s">
        <v>163</v>
      </c>
      <c r="L175" s="164" t="s">
        <v>163</v>
      </c>
      <c r="M175" s="164">
        <v>24.8</v>
      </c>
      <c r="N175" s="164">
        <v>17.5</v>
      </c>
      <c r="O175" s="165">
        <v>2.4</v>
      </c>
      <c r="P175" s="165">
        <v>2.4</v>
      </c>
      <c r="Q175" s="164">
        <v>213</v>
      </c>
      <c r="R175" s="164">
        <v>274</v>
      </c>
      <c r="S175" s="166">
        <v>0.22</v>
      </c>
      <c r="T175" s="164" t="s">
        <v>163</v>
      </c>
      <c r="U175" s="164"/>
      <c r="V175" s="167">
        <v>41713</v>
      </c>
      <c r="W175" s="167">
        <v>41718</v>
      </c>
      <c r="X175" s="164" t="s">
        <v>506</v>
      </c>
      <c r="Y175" s="164" t="s">
        <v>714</v>
      </c>
      <c r="Z175" s="164" t="s">
        <v>163</v>
      </c>
      <c r="AA175" s="168" t="s">
        <v>184</v>
      </c>
      <c r="AB175" s="168" t="s">
        <v>194</v>
      </c>
      <c r="AC175" s="168" t="s">
        <v>188</v>
      </c>
      <c r="AD175" s="168" t="s">
        <v>182</v>
      </c>
      <c r="AE175" s="168" t="s">
        <v>163</v>
      </c>
      <c r="AF175" s="168" t="s">
        <v>163</v>
      </c>
      <c r="AG175" s="168" t="s">
        <v>163</v>
      </c>
      <c r="AH175" s="168" t="str">
        <f t="shared" si="13"/>
        <v>Refrigerator-Compact-Manual-Yes-No-No-No</v>
      </c>
      <c r="AI175" s="168" t="s">
        <v>315</v>
      </c>
      <c r="AJ175" s="168">
        <v>7.84</v>
      </c>
      <c r="AK175" s="169">
        <v>219.1</v>
      </c>
      <c r="AL175" s="169">
        <f t="shared" si="14"/>
        <v>237.916</v>
      </c>
      <c r="AM175" s="168">
        <f t="shared" si="15"/>
        <v>274</v>
      </c>
      <c r="AN175" s="168">
        <f t="shared" si="16"/>
        <v>213</v>
      </c>
      <c r="AO175" s="164" t="str">
        <f t="shared" si="17"/>
        <v>Yes</v>
      </c>
      <c r="AP175" s="164">
        <f t="shared" si="18"/>
        <v>61</v>
      </c>
    </row>
    <row r="176" spans="2:42">
      <c r="B176" s="164">
        <v>2210415</v>
      </c>
      <c r="C176" s="164" t="s">
        <v>178</v>
      </c>
      <c r="D176" s="164" t="s">
        <v>715</v>
      </c>
      <c r="E176" s="164"/>
      <c r="F176" s="164" t="s">
        <v>194</v>
      </c>
      <c r="G176" s="164" t="s">
        <v>188</v>
      </c>
      <c r="H176" s="164" t="s">
        <v>182</v>
      </c>
      <c r="I176" s="164" t="s">
        <v>163</v>
      </c>
      <c r="J176" s="164" t="s">
        <v>163</v>
      </c>
      <c r="K176" s="164" t="s">
        <v>163</v>
      </c>
      <c r="L176" s="164" t="s">
        <v>163</v>
      </c>
      <c r="M176" s="164">
        <v>33.9</v>
      </c>
      <c r="N176" s="164">
        <v>18.600000000000001</v>
      </c>
      <c r="O176" s="165">
        <v>3.3</v>
      </c>
      <c r="P176" s="165">
        <v>3.3</v>
      </c>
      <c r="Q176" s="164">
        <v>220</v>
      </c>
      <c r="R176" s="164">
        <v>282</v>
      </c>
      <c r="S176" s="166">
        <v>0.22</v>
      </c>
      <c r="T176" s="164" t="s">
        <v>163</v>
      </c>
      <c r="U176" s="164"/>
      <c r="V176" s="167">
        <v>41713</v>
      </c>
      <c r="W176" s="167">
        <v>41718</v>
      </c>
      <c r="X176" s="164" t="s">
        <v>506</v>
      </c>
      <c r="Y176" s="164" t="s">
        <v>716</v>
      </c>
      <c r="Z176" s="164" t="s">
        <v>163</v>
      </c>
      <c r="AA176" s="168" t="s">
        <v>184</v>
      </c>
      <c r="AB176" s="168" t="s">
        <v>194</v>
      </c>
      <c r="AC176" s="168" t="s">
        <v>188</v>
      </c>
      <c r="AD176" s="168" t="s">
        <v>182</v>
      </c>
      <c r="AE176" s="168" t="s">
        <v>163</v>
      </c>
      <c r="AF176" s="168" t="s">
        <v>163</v>
      </c>
      <c r="AG176" s="168" t="s">
        <v>163</v>
      </c>
      <c r="AH176" s="168" t="str">
        <f t="shared" si="13"/>
        <v>Refrigerator-Compact-Manual-Yes-No-No-No</v>
      </c>
      <c r="AI176" s="168" t="s">
        <v>315</v>
      </c>
      <c r="AJ176" s="168">
        <v>7.84</v>
      </c>
      <c r="AK176" s="169">
        <v>219.1</v>
      </c>
      <c r="AL176" s="169">
        <f t="shared" si="14"/>
        <v>244.97199999999998</v>
      </c>
      <c r="AM176" s="168">
        <f t="shared" si="15"/>
        <v>282</v>
      </c>
      <c r="AN176" s="168">
        <f t="shared" si="16"/>
        <v>220</v>
      </c>
      <c r="AO176" s="164" t="str">
        <f t="shared" si="17"/>
        <v>Yes</v>
      </c>
      <c r="AP176" s="164">
        <f t="shared" si="18"/>
        <v>62</v>
      </c>
    </row>
    <row r="177" spans="2:42">
      <c r="B177" s="164">
        <v>2210416</v>
      </c>
      <c r="C177" s="164" t="s">
        <v>178</v>
      </c>
      <c r="D177" s="164" t="s">
        <v>717</v>
      </c>
      <c r="E177" s="164"/>
      <c r="F177" s="164" t="s">
        <v>194</v>
      </c>
      <c r="G177" s="164" t="s">
        <v>188</v>
      </c>
      <c r="H177" s="164" t="s">
        <v>182</v>
      </c>
      <c r="I177" s="164" t="s">
        <v>163</v>
      </c>
      <c r="J177" s="164" t="s">
        <v>163</v>
      </c>
      <c r="K177" s="164" t="s">
        <v>163</v>
      </c>
      <c r="L177" s="164" t="s">
        <v>163</v>
      </c>
      <c r="M177" s="164">
        <v>33.9</v>
      </c>
      <c r="N177" s="164">
        <v>19.7</v>
      </c>
      <c r="O177" s="165">
        <v>4.4000000000000004</v>
      </c>
      <c r="P177" s="165">
        <v>4.4000000000000004</v>
      </c>
      <c r="Q177" s="164">
        <v>226</v>
      </c>
      <c r="R177" s="164">
        <v>292</v>
      </c>
      <c r="S177" s="166">
        <v>0.23</v>
      </c>
      <c r="T177" s="164" t="s">
        <v>163</v>
      </c>
      <c r="U177" s="164"/>
      <c r="V177" s="167">
        <v>41713</v>
      </c>
      <c r="W177" s="167">
        <v>41718</v>
      </c>
      <c r="X177" s="164" t="s">
        <v>506</v>
      </c>
      <c r="Y177" s="164" t="s">
        <v>718</v>
      </c>
      <c r="Z177" s="164" t="s">
        <v>163</v>
      </c>
      <c r="AA177" s="168" t="s">
        <v>184</v>
      </c>
      <c r="AB177" s="168" t="s">
        <v>194</v>
      </c>
      <c r="AC177" s="168" t="s">
        <v>188</v>
      </c>
      <c r="AD177" s="168" t="s">
        <v>182</v>
      </c>
      <c r="AE177" s="168" t="s">
        <v>163</v>
      </c>
      <c r="AF177" s="168" t="s">
        <v>163</v>
      </c>
      <c r="AG177" s="168" t="s">
        <v>163</v>
      </c>
      <c r="AH177" s="168" t="str">
        <f t="shared" si="13"/>
        <v>Refrigerator-Compact-Manual-Yes-No-No-No</v>
      </c>
      <c r="AI177" s="168" t="s">
        <v>315</v>
      </c>
      <c r="AJ177" s="168">
        <v>7.84</v>
      </c>
      <c r="AK177" s="169">
        <v>219.1</v>
      </c>
      <c r="AL177" s="169">
        <f t="shared" si="14"/>
        <v>253.596</v>
      </c>
      <c r="AM177" s="168">
        <f t="shared" si="15"/>
        <v>292</v>
      </c>
      <c r="AN177" s="168">
        <f t="shared" si="16"/>
        <v>226</v>
      </c>
      <c r="AO177" s="164" t="str">
        <f t="shared" si="17"/>
        <v>Yes</v>
      </c>
      <c r="AP177" s="164">
        <f t="shared" si="18"/>
        <v>66</v>
      </c>
    </row>
    <row r="178" spans="2:42">
      <c r="B178" s="164">
        <v>2210417</v>
      </c>
      <c r="C178" s="164" t="s">
        <v>178</v>
      </c>
      <c r="D178" s="164" t="s">
        <v>719</v>
      </c>
      <c r="E178" s="164"/>
      <c r="F178" s="164" t="s">
        <v>194</v>
      </c>
      <c r="G178" s="164" t="s">
        <v>188</v>
      </c>
      <c r="H178" s="164" t="s">
        <v>182</v>
      </c>
      <c r="I178" s="164" t="s">
        <v>163</v>
      </c>
      <c r="J178" s="164" t="s">
        <v>163</v>
      </c>
      <c r="K178" s="164" t="s">
        <v>163</v>
      </c>
      <c r="L178" s="164" t="s">
        <v>163</v>
      </c>
      <c r="M178" s="164">
        <v>33.9</v>
      </c>
      <c r="N178" s="164">
        <v>19.7</v>
      </c>
      <c r="O178" s="165">
        <v>4.4000000000000004</v>
      </c>
      <c r="P178" s="165">
        <v>4.4000000000000004</v>
      </c>
      <c r="Q178" s="164">
        <v>226</v>
      </c>
      <c r="R178" s="164">
        <v>292</v>
      </c>
      <c r="S178" s="166">
        <v>0.23</v>
      </c>
      <c r="T178" s="164" t="s">
        <v>163</v>
      </c>
      <c r="U178" s="164"/>
      <c r="V178" s="167">
        <v>41713</v>
      </c>
      <c r="W178" s="167">
        <v>41718</v>
      </c>
      <c r="X178" s="164" t="s">
        <v>506</v>
      </c>
      <c r="Y178" s="164" t="s">
        <v>720</v>
      </c>
      <c r="Z178" s="164" t="s">
        <v>163</v>
      </c>
      <c r="AA178" s="168" t="s">
        <v>184</v>
      </c>
      <c r="AB178" s="168" t="s">
        <v>194</v>
      </c>
      <c r="AC178" s="168" t="s">
        <v>188</v>
      </c>
      <c r="AD178" s="168" t="s">
        <v>182</v>
      </c>
      <c r="AE178" s="168" t="s">
        <v>163</v>
      </c>
      <c r="AF178" s="168" t="s">
        <v>163</v>
      </c>
      <c r="AG178" s="168" t="s">
        <v>163</v>
      </c>
      <c r="AH178" s="168" t="str">
        <f t="shared" si="13"/>
        <v>Refrigerator-Compact-Manual-Yes-No-No-No</v>
      </c>
      <c r="AI178" s="168" t="s">
        <v>315</v>
      </c>
      <c r="AJ178" s="168">
        <v>7.84</v>
      </c>
      <c r="AK178" s="169">
        <v>219.1</v>
      </c>
      <c r="AL178" s="169">
        <f t="shared" si="14"/>
        <v>253.596</v>
      </c>
      <c r="AM178" s="168">
        <f t="shared" si="15"/>
        <v>292</v>
      </c>
      <c r="AN178" s="168">
        <f t="shared" si="16"/>
        <v>226</v>
      </c>
      <c r="AO178" s="164" t="str">
        <f t="shared" si="17"/>
        <v>Yes</v>
      </c>
      <c r="AP178" s="164">
        <f t="shared" si="18"/>
        <v>66</v>
      </c>
    </row>
    <row r="179" spans="2:42">
      <c r="B179" s="164">
        <v>2210418</v>
      </c>
      <c r="C179" s="164" t="s">
        <v>178</v>
      </c>
      <c r="D179" s="164" t="s">
        <v>721</v>
      </c>
      <c r="E179" s="164"/>
      <c r="F179" s="164" t="s">
        <v>194</v>
      </c>
      <c r="G179" s="164" t="s">
        <v>188</v>
      </c>
      <c r="H179" s="164" t="s">
        <v>182</v>
      </c>
      <c r="I179" s="164" t="s">
        <v>163</v>
      </c>
      <c r="J179" s="164" t="s">
        <v>163</v>
      </c>
      <c r="K179" s="164" t="s">
        <v>163</v>
      </c>
      <c r="L179" s="164" t="s">
        <v>163</v>
      </c>
      <c r="M179" s="164">
        <v>33.9</v>
      </c>
      <c r="N179" s="164">
        <v>19.7</v>
      </c>
      <c r="O179" s="165">
        <v>4.4000000000000004</v>
      </c>
      <c r="P179" s="165">
        <v>4.4000000000000004</v>
      </c>
      <c r="Q179" s="164">
        <v>226</v>
      </c>
      <c r="R179" s="164">
        <v>292</v>
      </c>
      <c r="S179" s="166">
        <v>0.23</v>
      </c>
      <c r="T179" s="164" t="s">
        <v>163</v>
      </c>
      <c r="U179" s="164"/>
      <c r="V179" s="167">
        <v>41713</v>
      </c>
      <c r="W179" s="167">
        <v>41718</v>
      </c>
      <c r="X179" s="164" t="s">
        <v>506</v>
      </c>
      <c r="Y179" s="164" t="s">
        <v>722</v>
      </c>
      <c r="Z179" s="164" t="s">
        <v>163</v>
      </c>
      <c r="AA179" s="168" t="s">
        <v>184</v>
      </c>
      <c r="AB179" s="168" t="s">
        <v>194</v>
      </c>
      <c r="AC179" s="168" t="s">
        <v>188</v>
      </c>
      <c r="AD179" s="168" t="s">
        <v>182</v>
      </c>
      <c r="AE179" s="168" t="s">
        <v>163</v>
      </c>
      <c r="AF179" s="168" t="s">
        <v>163</v>
      </c>
      <c r="AG179" s="168" t="s">
        <v>163</v>
      </c>
      <c r="AH179" s="168" t="str">
        <f t="shared" si="13"/>
        <v>Refrigerator-Compact-Manual-Yes-No-No-No</v>
      </c>
      <c r="AI179" s="168" t="s">
        <v>315</v>
      </c>
      <c r="AJ179" s="168">
        <v>7.84</v>
      </c>
      <c r="AK179" s="169">
        <v>219.1</v>
      </c>
      <c r="AL179" s="169">
        <f t="shared" si="14"/>
        <v>253.596</v>
      </c>
      <c r="AM179" s="168">
        <f t="shared" si="15"/>
        <v>292</v>
      </c>
      <c r="AN179" s="168">
        <f t="shared" si="16"/>
        <v>226</v>
      </c>
      <c r="AO179" s="164" t="str">
        <f t="shared" si="17"/>
        <v>Yes</v>
      </c>
      <c r="AP179" s="164">
        <f t="shared" si="18"/>
        <v>66</v>
      </c>
    </row>
    <row r="180" spans="2:42">
      <c r="B180" s="164">
        <v>2212952</v>
      </c>
      <c r="C180" s="164" t="s">
        <v>723</v>
      </c>
      <c r="D180" s="164" t="s">
        <v>724</v>
      </c>
      <c r="E180" s="164"/>
      <c r="F180" s="164" t="s">
        <v>193</v>
      </c>
      <c r="G180" s="164" t="s">
        <v>162</v>
      </c>
      <c r="H180" s="164" t="s">
        <v>163</v>
      </c>
      <c r="I180" s="164" t="s">
        <v>163</v>
      </c>
      <c r="J180" s="164" t="s">
        <v>163</v>
      </c>
      <c r="K180" s="164" t="s">
        <v>163</v>
      </c>
      <c r="L180" s="164" t="s">
        <v>163</v>
      </c>
      <c r="M180" s="164">
        <v>66.599999999999994</v>
      </c>
      <c r="N180" s="164">
        <v>29.5</v>
      </c>
      <c r="O180" s="165">
        <v>18</v>
      </c>
      <c r="P180" s="165">
        <v>21</v>
      </c>
      <c r="Q180" s="164">
        <v>362</v>
      </c>
      <c r="R180" s="164">
        <v>403</v>
      </c>
      <c r="S180" s="166">
        <v>0.1</v>
      </c>
      <c r="T180" s="164" t="s">
        <v>163</v>
      </c>
      <c r="U180" s="164"/>
      <c r="V180" s="167">
        <v>41718</v>
      </c>
      <c r="W180" s="167">
        <v>41716</v>
      </c>
      <c r="X180" s="164" t="s">
        <v>387</v>
      </c>
      <c r="Y180" s="164" t="s">
        <v>725</v>
      </c>
      <c r="Z180" s="164" t="s">
        <v>163</v>
      </c>
      <c r="AA180" s="168" t="s">
        <v>184</v>
      </c>
      <c r="AB180" s="168" t="s">
        <v>193</v>
      </c>
      <c r="AC180" s="168" t="s">
        <v>162</v>
      </c>
      <c r="AD180" s="168" t="s">
        <v>163</v>
      </c>
      <c r="AE180" s="168" t="s">
        <v>163</v>
      </c>
      <c r="AF180" s="168" t="s">
        <v>163</v>
      </c>
      <c r="AG180" s="168" t="s">
        <v>163</v>
      </c>
      <c r="AH180" s="168" t="str">
        <f t="shared" si="13"/>
        <v>Refrigerator-Top Freezer-Automatic-No-No-No-No</v>
      </c>
      <c r="AI180" s="168">
        <v>3</v>
      </c>
      <c r="AJ180" s="168">
        <v>8.07</v>
      </c>
      <c r="AK180" s="169">
        <v>233.7</v>
      </c>
      <c r="AL180" s="169">
        <f t="shared" si="14"/>
        <v>403.16999999999996</v>
      </c>
      <c r="AM180" s="168">
        <f t="shared" si="15"/>
        <v>403</v>
      </c>
      <c r="AN180" s="168">
        <f t="shared" si="16"/>
        <v>362</v>
      </c>
      <c r="AO180" s="164" t="str">
        <f t="shared" si="17"/>
        <v>Yes</v>
      </c>
      <c r="AP180" s="164">
        <f t="shared" si="18"/>
        <v>41</v>
      </c>
    </row>
    <row r="181" spans="2:42">
      <c r="B181" s="164">
        <v>2213653</v>
      </c>
      <c r="C181" s="164" t="s">
        <v>723</v>
      </c>
      <c r="D181" s="164" t="s">
        <v>726</v>
      </c>
      <c r="E181" s="164"/>
      <c r="F181" s="164" t="s">
        <v>194</v>
      </c>
      <c r="G181" s="164" t="s">
        <v>188</v>
      </c>
      <c r="H181" s="164" t="s">
        <v>182</v>
      </c>
      <c r="I181" s="164" t="s">
        <v>163</v>
      </c>
      <c r="J181" s="164" t="s">
        <v>163</v>
      </c>
      <c r="K181" s="164" t="s">
        <v>163</v>
      </c>
      <c r="L181" s="164" t="s">
        <v>163</v>
      </c>
      <c r="M181" s="164">
        <v>33.9</v>
      </c>
      <c r="N181" s="164">
        <v>19.7</v>
      </c>
      <c r="O181" s="165">
        <v>4.4000000000000004</v>
      </c>
      <c r="P181" s="165">
        <v>4.4000000000000004</v>
      </c>
      <c r="Q181" s="164">
        <v>226</v>
      </c>
      <c r="R181" s="164">
        <v>292</v>
      </c>
      <c r="S181" s="166">
        <v>0.23</v>
      </c>
      <c r="T181" s="164" t="s">
        <v>163</v>
      </c>
      <c r="U181" s="164"/>
      <c r="V181" s="167">
        <v>41820</v>
      </c>
      <c r="W181" s="167">
        <v>41808</v>
      </c>
      <c r="X181" s="164" t="s">
        <v>506</v>
      </c>
      <c r="Y181" s="164" t="s">
        <v>727</v>
      </c>
      <c r="Z181" s="164" t="s">
        <v>163</v>
      </c>
      <c r="AA181" s="168" t="s">
        <v>184</v>
      </c>
      <c r="AB181" s="168" t="s">
        <v>194</v>
      </c>
      <c r="AC181" s="168" t="s">
        <v>188</v>
      </c>
      <c r="AD181" s="168" t="s">
        <v>182</v>
      </c>
      <c r="AE181" s="168" t="s">
        <v>163</v>
      </c>
      <c r="AF181" s="168" t="s">
        <v>163</v>
      </c>
      <c r="AG181" s="168" t="s">
        <v>163</v>
      </c>
      <c r="AH181" s="168" t="str">
        <f t="shared" si="13"/>
        <v>Refrigerator-Compact-Manual-Yes-No-No-No</v>
      </c>
      <c r="AI181" s="168" t="s">
        <v>315</v>
      </c>
      <c r="AJ181" s="168">
        <v>7.84</v>
      </c>
      <c r="AK181" s="169">
        <v>219.1</v>
      </c>
      <c r="AL181" s="169">
        <f t="shared" si="14"/>
        <v>253.596</v>
      </c>
      <c r="AM181" s="168">
        <f t="shared" si="15"/>
        <v>292</v>
      </c>
      <c r="AN181" s="168">
        <f t="shared" si="16"/>
        <v>226</v>
      </c>
      <c r="AO181" s="164" t="str">
        <f t="shared" si="17"/>
        <v>Yes</v>
      </c>
      <c r="AP181" s="164">
        <f t="shared" si="18"/>
        <v>66</v>
      </c>
    </row>
    <row r="182" spans="2:42">
      <c r="B182" s="164">
        <v>2213649</v>
      </c>
      <c r="C182" s="164" t="s">
        <v>723</v>
      </c>
      <c r="D182" s="164" t="s">
        <v>728</v>
      </c>
      <c r="E182" s="164"/>
      <c r="F182" s="164" t="s">
        <v>194</v>
      </c>
      <c r="G182" s="164" t="s">
        <v>188</v>
      </c>
      <c r="H182" s="164" t="s">
        <v>182</v>
      </c>
      <c r="I182" s="164" t="s">
        <v>163</v>
      </c>
      <c r="J182" s="164" t="s">
        <v>163</v>
      </c>
      <c r="K182" s="164" t="s">
        <v>163</v>
      </c>
      <c r="L182" s="164" t="s">
        <v>163</v>
      </c>
      <c r="M182" s="164">
        <v>33.9</v>
      </c>
      <c r="N182" s="164">
        <v>19.7</v>
      </c>
      <c r="O182" s="165">
        <v>4.4000000000000004</v>
      </c>
      <c r="P182" s="165">
        <v>4.4000000000000004</v>
      </c>
      <c r="Q182" s="164">
        <v>226</v>
      </c>
      <c r="R182" s="164">
        <v>292</v>
      </c>
      <c r="S182" s="166">
        <v>0.23</v>
      </c>
      <c r="T182" s="164" t="s">
        <v>163</v>
      </c>
      <c r="U182" s="164"/>
      <c r="V182" s="167">
        <v>41820</v>
      </c>
      <c r="W182" s="167">
        <v>41808</v>
      </c>
      <c r="X182" s="164" t="s">
        <v>506</v>
      </c>
      <c r="Y182" s="164" t="s">
        <v>729</v>
      </c>
      <c r="Z182" s="164" t="s">
        <v>163</v>
      </c>
      <c r="AA182" s="168" t="s">
        <v>184</v>
      </c>
      <c r="AB182" s="168" t="s">
        <v>194</v>
      </c>
      <c r="AC182" s="168" t="s">
        <v>188</v>
      </c>
      <c r="AD182" s="168" t="s">
        <v>182</v>
      </c>
      <c r="AE182" s="168" t="s">
        <v>163</v>
      </c>
      <c r="AF182" s="168" t="s">
        <v>163</v>
      </c>
      <c r="AG182" s="168" t="s">
        <v>163</v>
      </c>
      <c r="AH182" s="168" t="str">
        <f t="shared" si="13"/>
        <v>Refrigerator-Compact-Manual-Yes-No-No-No</v>
      </c>
      <c r="AI182" s="168" t="s">
        <v>315</v>
      </c>
      <c r="AJ182" s="168">
        <v>7.84</v>
      </c>
      <c r="AK182" s="169">
        <v>219.1</v>
      </c>
      <c r="AL182" s="169">
        <f t="shared" si="14"/>
        <v>253.596</v>
      </c>
      <c r="AM182" s="168">
        <f t="shared" si="15"/>
        <v>292</v>
      </c>
      <c r="AN182" s="168">
        <f t="shared" si="16"/>
        <v>226</v>
      </c>
      <c r="AO182" s="164" t="str">
        <f t="shared" si="17"/>
        <v>Yes</v>
      </c>
      <c r="AP182" s="164">
        <f t="shared" si="18"/>
        <v>66</v>
      </c>
    </row>
    <row r="183" spans="2:42">
      <c r="B183" s="164">
        <v>2214631</v>
      </c>
      <c r="C183" s="164" t="s">
        <v>730</v>
      </c>
      <c r="D183" s="164" t="s">
        <v>731</v>
      </c>
      <c r="E183" s="164"/>
      <c r="F183" s="164" t="s">
        <v>194</v>
      </c>
      <c r="G183" s="164" t="s">
        <v>188</v>
      </c>
      <c r="H183" s="164" t="s">
        <v>182</v>
      </c>
      <c r="I183" s="164" t="s">
        <v>163</v>
      </c>
      <c r="J183" s="164" t="s">
        <v>163</v>
      </c>
      <c r="K183" s="164" t="s">
        <v>163</v>
      </c>
      <c r="L183" s="164" t="s">
        <v>163</v>
      </c>
      <c r="M183" s="164">
        <v>20.100000000000001</v>
      </c>
      <c r="N183" s="164">
        <v>17.3</v>
      </c>
      <c r="O183" s="165">
        <v>1.7</v>
      </c>
      <c r="P183" s="165">
        <v>1.7</v>
      </c>
      <c r="Q183" s="164">
        <v>208</v>
      </c>
      <c r="R183" s="164">
        <v>268</v>
      </c>
      <c r="S183" s="166">
        <v>0.22</v>
      </c>
      <c r="T183" s="164" t="s">
        <v>163</v>
      </c>
      <c r="U183" s="164"/>
      <c r="V183" s="167">
        <v>41897</v>
      </c>
      <c r="W183" s="167">
        <v>41824</v>
      </c>
      <c r="X183" s="164" t="s">
        <v>387</v>
      </c>
      <c r="Y183" s="164" t="s">
        <v>732</v>
      </c>
      <c r="Z183" s="164" t="s">
        <v>163</v>
      </c>
      <c r="AA183" s="168" t="s">
        <v>184</v>
      </c>
      <c r="AB183" s="168" t="s">
        <v>194</v>
      </c>
      <c r="AC183" s="168" t="s">
        <v>188</v>
      </c>
      <c r="AD183" s="168" t="s">
        <v>182</v>
      </c>
      <c r="AE183" s="168" t="s">
        <v>163</v>
      </c>
      <c r="AF183" s="168" t="s">
        <v>163</v>
      </c>
      <c r="AG183" s="168" t="s">
        <v>163</v>
      </c>
      <c r="AH183" s="168" t="str">
        <f t="shared" si="13"/>
        <v>Refrigerator-Compact-Manual-Yes-No-No-No</v>
      </c>
      <c r="AI183" s="168" t="s">
        <v>315</v>
      </c>
      <c r="AJ183" s="168">
        <v>7.84</v>
      </c>
      <c r="AK183" s="169">
        <v>219.1</v>
      </c>
      <c r="AL183" s="169">
        <f t="shared" si="14"/>
        <v>232.428</v>
      </c>
      <c r="AM183" s="168">
        <f t="shared" si="15"/>
        <v>268</v>
      </c>
      <c r="AN183" s="168">
        <f t="shared" si="16"/>
        <v>208</v>
      </c>
      <c r="AO183" s="164" t="str">
        <f t="shared" si="17"/>
        <v>Yes</v>
      </c>
      <c r="AP183" s="164">
        <f t="shared" si="18"/>
        <v>60</v>
      </c>
    </row>
    <row r="184" spans="2:42">
      <c r="B184" s="164">
        <v>2210494</v>
      </c>
      <c r="C184" s="164" t="s">
        <v>730</v>
      </c>
      <c r="D184" s="164" t="s">
        <v>733</v>
      </c>
      <c r="E184" s="164"/>
      <c r="F184" s="164" t="s">
        <v>194</v>
      </c>
      <c r="G184" s="164" t="s">
        <v>188</v>
      </c>
      <c r="H184" s="164" t="s">
        <v>182</v>
      </c>
      <c r="I184" s="164" t="s">
        <v>163</v>
      </c>
      <c r="J184" s="164" t="s">
        <v>163</v>
      </c>
      <c r="K184" s="164" t="s">
        <v>163</v>
      </c>
      <c r="L184" s="164" t="s">
        <v>163</v>
      </c>
      <c r="M184" s="164">
        <v>20.100000000000001</v>
      </c>
      <c r="N184" s="164">
        <v>17.3</v>
      </c>
      <c r="O184" s="165">
        <v>1.7</v>
      </c>
      <c r="P184" s="165">
        <v>1.7</v>
      </c>
      <c r="Q184" s="164">
        <v>207</v>
      </c>
      <c r="R184" s="164">
        <v>268</v>
      </c>
      <c r="S184" s="166">
        <v>0.23</v>
      </c>
      <c r="T184" s="164" t="s">
        <v>163</v>
      </c>
      <c r="U184" s="164"/>
      <c r="V184" s="167">
        <v>41820</v>
      </c>
      <c r="W184" s="167">
        <v>41717</v>
      </c>
      <c r="X184" s="164" t="s">
        <v>387</v>
      </c>
      <c r="Y184" s="164" t="s">
        <v>734</v>
      </c>
      <c r="Z184" s="164" t="s">
        <v>163</v>
      </c>
      <c r="AA184" s="168" t="s">
        <v>184</v>
      </c>
      <c r="AB184" s="168" t="s">
        <v>194</v>
      </c>
      <c r="AC184" s="168" t="s">
        <v>188</v>
      </c>
      <c r="AD184" s="168" t="s">
        <v>182</v>
      </c>
      <c r="AE184" s="168" t="s">
        <v>163</v>
      </c>
      <c r="AF184" s="168" t="s">
        <v>163</v>
      </c>
      <c r="AG184" s="168" t="s">
        <v>163</v>
      </c>
      <c r="AH184" s="168" t="str">
        <f t="shared" si="13"/>
        <v>Refrigerator-Compact-Manual-Yes-No-No-No</v>
      </c>
      <c r="AI184" s="168" t="s">
        <v>315</v>
      </c>
      <c r="AJ184" s="168">
        <v>7.84</v>
      </c>
      <c r="AK184" s="169">
        <v>219.1</v>
      </c>
      <c r="AL184" s="169">
        <f t="shared" si="14"/>
        <v>232.428</v>
      </c>
      <c r="AM184" s="168">
        <f t="shared" si="15"/>
        <v>268</v>
      </c>
      <c r="AN184" s="168">
        <f t="shared" si="16"/>
        <v>207</v>
      </c>
      <c r="AO184" s="164" t="str">
        <f t="shared" si="17"/>
        <v>Yes</v>
      </c>
      <c r="AP184" s="164">
        <f t="shared" si="18"/>
        <v>61</v>
      </c>
    </row>
    <row r="185" spans="2:42">
      <c r="B185" s="164">
        <v>2205163</v>
      </c>
      <c r="C185" s="164" t="s">
        <v>730</v>
      </c>
      <c r="D185" s="164" t="s">
        <v>735</v>
      </c>
      <c r="E185" s="164"/>
      <c r="F185" s="164" t="s">
        <v>194</v>
      </c>
      <c r="G185" s="164" t="s">
        <v>188</v>
      </c>
      <c r="H185" s="164" t="s">
        <v>182</v>
      </c>
      <c r="I185" s="164" t="s">
        <v>163</v>
      </c>
      <c r="J185" s="164" t="s">
        <v>163</v>
      </c>
      <c r="K185" s="164" t="s">
        <v>163</v>
      </c>
      <c r="L185" s="164" t="s">
        <v>163</v>
      </c>
      <c r="M185" s="164">
        <v>27.2</v>
      </c>
      <c r="N185" s="164">
        <v>17.3</v>
      </c>
      <c r="O185" s="165">
        <v>2.5</v>
      </c>
      <c r="P185" s="165">
        <v>2.5</v>
      </c>
      <c r="Q185" s="164">
        <v>214</v>
      </c>
      <c r="R185" s="164">
        <v>275</v>
      </c>
      <c r="S185" s="166">
        <v>0.22</v>
      </c>
      <c r="T185" s="164" t="s">
        <v>163</v>
      </c>
      <c r="U185" s="164"/>
      <c r="V185" s="167">
        <v>41695</v>
      </c>
      <c r="W185" s="167">
        <v>41697</v>
      </c>
      <c r="X185" s="164" t="s">
        <v>387</v>
      </c>
      <c r="Y185" s="164" t="s">
        <v>736</v>
      </c>
      <c r="Z185" s="164" t="s">
        <v>163</v>
      </c>
      <c r="AA185" s="168" t="s">
        <v>184</v>
      </c>
      <c r="AB185" s="168" t="s">
        <v>194</v>
      </c>
      <c r="AC185" s="168" t="s">
        <v>188</v>
      </c>
      <c r="AD185" s="168" t="s">
        <v>182</v>
      </c>
      <c r="AE185" s="168" t="s">
        <v>163</v>
      </c>
      <c r="AF185" s="168" t="s">
        <v>163</v>
      </c>
      <c r="AG185" s="168" t="s">
        <v>163</v>
      </c>
      <c r="AH185" s="168" t="str">
        <f t="shared" si="13"/>
        <v>Refrigerator-Compact-Manual-Yes-No-No-No</v>
      </c>
      <c r="AI185" s="168" t="s">
        <v>315</v>
      </c>
      <c r="AJ185" s="168">
        <v>7.84</v>
      </c>
      <c r="AK185" s="169">
        <v>219.1</v>
      </c>
      <c r="AL185" s="169">
        <f t="shared" si="14"/>
        <v>238.7</v>
      </c>
      <c r="AM185" s="168">
        <f t="shared" si="15"/>
        <v>275</v>
      </c>
      <c r="AN185" s="168">
        <f t="shared" si="16"/>
        <v>214</v>
      </c>
      <c r="AO185" s="164" t="str">
        <f t="shared" si="17"/>
        <v>Yes</v>
      </c>
      <c r="AP185" s="164">
        <f t="shared" si="18"/>
        <v>61</v>
      </c>
    </row>
    <row r="186" spans="2:42">
      <c r="B186" s="164">
        <v>2210363</v>
      </c>
      <c r="C186" s="164" t="s">
        <v>730</v>
      </c>
      <c r="D186" s="164" t="s">
        <v>737</v>
      </c>
      <c r="E186" s="164"/>
      <c r="F186" s="164" t="s">
        <v>194</v>
      </c>
      <c r="G186" s="164" t="s">
        <v>162</v>
      </c>
      <c r="H186" s="164" t="s">
        <v>182</v>
      </c>
      <c r="I186" s="164" t="s">
        <v>163</v>
      </c>
      <c r="J186" s="164" t="s">
        <v>163</v>
      </c>
      <c r="K186" s="164" t="s">
        <v>163</v>
      </c>
      <c r="L186" s="164" t="s">
        <v>163</v>
      </c>
      <c r="M186" s="164">
        <v>33.700000000000003</v>
      </c>
      <c r="N186" s="164">
        <v>18.7</v>
      </c>
      <c r="O186" s="165">
        <v>2.9</v>
      </c>
      <c r="P186" s="165">
        <v>3.6</v>
      </c>
      <c r="Q186" s="164">
        <v>321</v>
      </c>
      <c r="R186" s="164">
        <v>357</v>
      </c>
      <c r="S186" s="166">
        <v>0.1</v>
      </c>
      <c r="T186" s="164" t="s">
        <v>163</v>
      </c>
      <c r="U186" s="164"/>
      <c r="V186" s="167">
        <v>41768</v>
      </c>
      <c r="W186" s="167">
        <v>41772</v>
      </c>
      <c r="X186" s="164" t="s">
        <v>387</v>
      </c>
      <c r="Y186" s="164" t="s">
        <v>738</v>
      </c>
      <c r="Z186" s="164" t="s">
        <v>163</v>
      </c>
      <c r="AA186" s="168" t="s">
        <v>184</v>
      </c>
      <c r="AB186" s="168" t="s">
        <v>194</v>
      </c>
      <c r="AC186" s="168" t="s">
        <v>162</v>
      </c>
      <c r="AD186" s="168" t="s">
        <v>182</v>
      </c>
      <c r="AE186" s="168" t="s">
        <v>163</v>
      </c>
      <c r="AF186" s="168" t="s">
        <v>163</v>
      </c>
      <c r="AG186" s="168" t="s">
        <v>163</v>
      </c>
      <c r="AH186" s="168" t="str">
        <f t="shared" si="13"/>
        <v>Refrigerator-Compact-Automatic-Yes-No-No-No</v>
      </c>
      <c r="AI186" s="168" t="s">
        <v>329</v>
      </c>
      <c r="AJ186" s="168">
        <v>9.17</v>
      </c>
      <c r="AK186" s="169">
        <v>259.3</v>
      </c>
      <c r="AL186" s="169">
        <f t="shared" si="14"/>
        <v>292.31200000000001</v>
      </c>
      <c r="AM186" s="168">
        <f t="shared" si="15"/>
        <v>357</v>
      </c>
      <c r="AN186" s="168">
        <f t="shared" si="16"/>
        <v>321</v>
      </c>
      <c r="AO186" s="164" t="str">
        <f t="shared" si="17"/>
        <v>Yes</v>
      </c>
      <c r="AP186" s="164">
        <f t="shared" si="18"/>
        <v>36</v>
      </c>
    </row>
    <row r="187" spans="2:42">
      <c r="B187" s="164">
        <v>2215529</v>
      </c>
      <c r="C187" s="164" t="s">
        <v>730</v>
      </c>
      <c r="D187" s="164" t="s">
        <v>739</v>
      </c>
      <c r="E187" s="164" t="s">
        <v>740</v>
      </c>
      <c r="F187" s="164" t="s">
        <v>194</v>
      </c>
      <c r="G187" s="164" t="s">
        <v>162</v>
      </c>
      <c r="H187" s="164" t="s">
        <v>182</v>
      </c>
      <c r="I187" s="164" t="s">
        <v>163</v>
      </c>
      <c r="J187" s="164" t="s">
        <v>163</v>
      </c>
      <c r="K187" s="164" t="s">
        <v>163</v>
      </c>
      <c r="L187" s="164" t="s">
        <v>163</v>
      </c>
      <c r="M187" s="164">
        <v>33.700000000000003</v>
      </c>
      <c r="N187" s="164">
        <v>18.7</v>
      </c>
      <c r="O187" s="165">
        <v>3.2</v>
      </c>
      <c r="P187" s="165">
        <v>3.9</v>
      </c>
      <c r="Q187" s="164">
        <v>322</v>
      </c>
      <c r="R187" s="164">
        <v>359</v>
      </c>
      <c r="S187" s="166">
        <v>0.1</v>
      </c>
      <c r="T187" s="164" t="s">
        <v>163</v>
      </c>
      <c r="U187" s="164"/>
      <c r="V187" s="167">
        <v>41827</v>
      </c>
      <c r="W187" s="167">
        <v>41828</v>
      </c>
      <c r="X187" s="164" t="s">
        <v>387</v>
      </c>
      <c r="Y187" s="164" t="s">
        <v>741</v>
      </c>
      <c r="Z187" s="164" t="s">
        <v>163</v>
      </c>
      <c r="AA187" s="168" t="s">
        <v>184</v>
      </c>
      <c r="AB187" s="168" t="s">
        <v>194</v>
      </c>
      <c r="AC187" s="168" t="s">
        <v>162</v>
      </c>
      <c r="AD187" s="168" t="s">
        <v>182</v>
      </c>
      <c r="AE187" s="168" t="s">
        <v>163</v>
      </c>
      <c r="AF187" s="168" t="s">
        <v>163</v>
      </c>
      <c r="AG187" s="168" t="s">
        <v>163</v>
      </c>
      <c r="AH187" s="168" t="str">
        <f t="shared" si="13"/>
        <v>Refrigerator-Compact-Automatic-Yes-No-No-No</v>
      </c>
      <c r="AI187" s="168" t="s">
        <v>329</v>
      </c>
      <c r="AJ187" s="168">
        <v>9.17</v>
      </c>
      <c r="AK187" s="169">
        <v>259.3</v>
      </c>
      <c r="AL187" s="169">
        <f t="shared" si="14"/>
        <v>295.06299999999999</v>
      </c>
      <c r="AM187" s="168">
        <f t="shared" si="15"/>
        <v>359</v>
      </c>
      <c r="AN187" s="168">
        <f t="shared" si="16"/>
        <v>322</v>
      </c>
      <c r="AO187" s="164" t="str">
        <f t="shared" si="17"/>
        <v>Yes</v>
      </c>
      <c r="AP187" s="164">
        <f t="shared" si="18"/>
        <v>37</v>
      </c>
    </row>
    <row r="188" spans="2:42">
      <c r="B188" s="164">
        <v>2205158</v>
      </c>
      <c r="C188" s="164" t="s">
        <v>730</v>
      </c>
      <c r="D188" s="164" t="s">
        <v>742</v>
      </c>
      <c r="E188" s="164"/>
      <c r="F188" s="164" t="s">
        <v>194</v>
      </c>
      <c r="G188" s="164" t="s">
        <v>188</v>
      </c>
      <c r="H188" s="164" t="s">
        <v>182</v>
      </c>
      <c r="I188" s="164" t="s">
        <v>163</v>
      </c>
      <c r="J188" s="164" t="s">
        <v>163</v>
      </c>
      <c r="K188" s="164" t="s">
        <v>163</v>
      </c>
      <c r="L188" s="164" t="s">
        <v>163</v>
      </c>
      <c r="M188" s="164">
        <v>32.299999999999997</v>
      </c>
      <c r="N188" s="164">
        <v>20.399999999999999</v>
      </c>
      <c r="O188" s="165">
        <v>4.2</v>
      </c>
      <c r="P188" s="165">
        <v>4.2</v>
      </c>
      <c r="Q188" s="164">
        <v>226</v>
      </c>
      <c r="R188" s="164">
        <v>290</v>
      </c>
      <c r="S188" s="166">
        <v>0.22</v>
      </c>
      <c r="T188" s="164" t="s">
        <v>163</v>
      </c>
      <c r="U188" s="164"/>
      <c r="V188" s="167">
        <v>41695</v>
      </c>
      <c r="W188" s="167">
        <v>41697</v>
      </c>
      <c r="X188" s="164" t="s">
        <v>387</v>
      </c>
      <c r="Y188" s="164" t="s">
        <v>743</v>
      </c>
      <c r="Z188" s="164" t="s">
        <v>163</v>
      </c>
      <c r="AA188" s="168" t="s">
        <v>184</v>
      </c>
      <c r="AB188" s="168" t="s">
        <v>194</v>
      </c>
      <c r="AC188" s="168" t="s">
        <v>188</v>
      </c>
      <c r="AD188" s="168" t="s">
        <v>182</v>
      </c>
      <c r="AE188" s="168" t="s">
        <v>163</v>
      </c>
      <c r="AF188" s="168" t="s">
        <v>163</v>
      </c>
      <c r="AG188" s="168" t="s">
        <v>163</v>
      </c>
      <c r="AH188" s="168" t="str">
        <f t="shared" si="13"/>
        <v>Refrigerator-Compact-Manual-Yes-No-No-No</v>
      </c>
      <c r="AI188" s="168" t="s">
        <v>315</v>
      </c>
      <c r="AJ188" s="168">
        <v>7.84</v>
      </c>
      <c r="AK188" s="169">
        <v>219.1</v>
      </c>
      <c r="AL188" s="169">
        <f t="shared" si="14"/>
        <v>252.02799999999999</v>
      </c>
      <c r="AM188" s="168">
        <f t="shared" si="15"/>
        <v>290</v>
      </c>
      <c r="AN188" s="168">
        <f t="shared" si="16"/>
        <v>226</v>
      </c>
      <c r="AO188" s="164" t="str">
        <f t="shared" si="17"/>
        <v>Yes</v>
      </c>
      <c r="AP188" s="164">
        <f t="shared" si="18"/>
        <v>64</v>
      </c>
    </row>
    <row r="189" spans="2:42">
      <c r="B189" s="164">
        <v>2210559</v>
      </c>
      <c r="C189" s="164" t="s">
        <v>744</v>
      </c>
      <c r="D189" s="164" t="s">
        <v>745</v>
      </c>
      <c r="E189" s="164"/>
      <c r="F189" s="164" t="s">
        <v>191</v>
      </c>
      <c r="G189" s="164" t="s">
        <v>162</v>
      </c>
      <c r="H189" s="164" t="s">
        <v>163</v>
      </c>
      <c r="I189" s="164" t="s">
        <v>163</v>
      </c>
      <c r="J189" s="164" t="s">
        <v>163</v>
      </c>
      <c r="K189" s="164" t="s">
        <v>163</v>
      </c>
      <c r="L189" s="164" t="s">
        <v>163</v>
      </c>
      <c r="M189" s="164">
        <v>79.099999999999994</v>
      </c>
      <c r="N189" s="164">
        <v>23.4</v>
      </c>
      <c r="O189" s="165">
        <v>13.3</v>
      </c>
      <c r="P189" s="165">
        <v>16</v>
      </c>
      <c r="Q189" s="164">
        <v>413</v>
      </c>
      <c r="R189" s="164">
        <v>459</v>
      </c>
      <c r="S189" s="166">
        <v>0.1</v>
      </c>
      <c r="T189" s="164" t="s">
        <v>163</v>
      </c>
      <c r="U189" s="164"/>
      <c r="V189" s="167">
        <v>41768</v>
      </c>
      <c r="W189" s="167">
        <v>41771</v>
      </c>
      <c r="X189" s="164" t="s">
        <v>387</v>
      </c>
      <c r="Y189" s="164" t="s">
        <v>746</v>
      </c>
      <c r="Z189" s="164" t="s">
        <v>163</v>
      </c>
      <c r="AA189" s="168" t="s">
        <v>184</v>
      </c>
      <c r="AB189" s="168" t="s">
        <v>191</v>
      </c>
      <c r="AC189" s="168" t="s">
        <v>162</v>
      </c>
      <c r="AD189" s="168" t="s">
        <v>163</v>
      </c>
      <c r="AE189" s="168" t="s">
        <v>163</v>
      </c>
      <c r="AF189" s="168" t="s">
        <v>163</v>
      </c>
      <c r="AG189" s="168" t="s">
        <v>163</v>
      </c>
      <c r="AH189" s="168" t="str">
        <f t="shared" si="13"/>
        <v>Refrigerator-Bottom Freezer-Automatic-No-No-No-No</v>
      </c>
      <c r="AI189" s="168">
        <v>5</v>
      </c>
      <c r="AJ189" s="168">
        <v>8.85</v>
      </c>
      <c r="AK189" s="169">
        <v>317</v>
      </c>
      <c r="AL189" s="169">
        <f t="shared" si="14"/>
        <v>458.6</v>
      </c>
      <c r="AM189" s="168">
        <f t="shared" si="15"/>
        <v>459</v>
      </c>
      <c r="AN189" s="168">
        <f t="shared" si="16"/>
        <v>413</v>
      </c>
      <c r="AO189" s="164" t="str">
        <f t="shared" si="17"/>
        <v>Yes</v>
      </c>
      <c r="AP189" s="164">
        <f t="shared" si="18"/>
        <v>46</v>
      </c>
    </row>
    <row r="190" spans="2:42">
      <c r="B190" s="164">
        <v>2214132</v>
      </c>
      <c r="C190" s="164" t="s">
        <v>171</v>
      </c>
      <c r="D190" s="164" t="s">
        <v>747</v>
      </c>
      <c r="E190" s="164"/>
      <c r="F190" s="164" t="s">
        <v>191</v>
      </c>
      <c r="G190" s="164" t="s">
        <v>162</v>
      </c>
      <c r="H190" s="164" t="s">
        <v>163</v>
      </c>
      <c r="I190" s="164" t="s">
        <v>163</v>
      </c>
      <c r="J190" s="164" t="s">
        <v>163</v>
      </c>
      <c r="K190" s="164" t="s">
        <v>163</v>
      </c>
      <c r="L190" s="164" t="s">
        <v>182</v>
      </c>
      <c r="M190" s="164">
        <v>67.099999999999994</v>
      </c>
      <c r="N190" s="164">
        <v>31.1</v>
      </c>
      <c r="O190" s="165">
        <v>17.5</v>
      </c>
      <c r="P190" s="165">
        <v>21.4</v>
      </c>
      <c r="Q190" s="164">
        <v>454</v>
      </c>
      <c r="R190" s="164">
        <v>506</v>
      </c>
      <c r="S190" s="166">
        <v>0.1</v>
      </c>
      <c r="T190" s="164" t="s">
        <v>163</v>
      </c>
      <c r="U190" s="164"/>
      <c r="V190" s="167">
        <v>41780</v>
      </c>
      <c r="W190" s="167">
        <v>41780</v>
      </c>
      <c r="X190" s="164" t="s">
        <v>387</v>
      </c>
      <c r="Y190" s="164" t="s">
        <v>748</v>
      </c>
      <c r="Z190" s="164" t="s">
        <v>163</v>
      </c>
      <c r="AA190" s="168" t="s">
        <v>184</v>
      </c>
      <c r="AB190" s="168" t="s">
        <v>191</v>
      </c>
      <c r="AC190" s="168" t="s">
        <v>162</v>
      </c>
      <c r="AD190" s="168" t="s">
        <v>163</v>
      </c>
      <c r="AE190" s="168" t="s">
        <v>163</v>
      </c>
      <c r="AF190" s="168" t="s">
        <v>163</v>
      </c>
      <c r="AG190" s="168" t="s">
        <v>163</v>
      </c>
      <c r="AH190" s="168" t="str">
        <f t="shared" si="13"/>
        <v>Refrigerator-Bottom Freezer-Automatic-No-No-No-No</v>
      </c>
      <c r="AI190" s="168">
        <v>5</v>
      </c>
      <c r="AJ190" s="168">
        <v>8.85</v>
      </c>
      <c r="AK190" s="169">
        <v>317</v>
      </c>
      <c r="AL190" s="169">
        <f t="shared" si="14"/>
        <v>506.39</v>
      </c>
      <c r="AM190" s="168">
        <f t="shared" si="15"/>
        <v>506</v>
      </c>
      <c r="AN190" s="168">
        <f t="shared" si="16"/>
        <v>454</v>
      </c>
      <c r="AO190" s="164" t="str">
        <f t="shared" si="17"/>
        <v>Yes</v>
      </c>
      <c r="AP190" s="164">
        <f t="shared" si="18"/>
        <v>52</v>
      </c>
    </row>
    <row r="191" spans="2:42">
      <c r="B191" s="164">
        <v>2214133</v>
      </c>
      <c r="C191" s="164" t="s">
        <v>171</v>
      </c>
      <c r="D191" s="164" t="s">
        <v>747</v>
      </c>
      <c r="E191" s="164"/>
      <c r="F191" s="164" t="s">
        <v>191</v>
      </c>
      <c r="G191" s="164" t="s">
        <v>162</v>
      </c>
      <c r="H191" s="164" t="s">
        <v>163</v>
      </c>
      <c r="I191" s="164" t="s">
        <v>163</v>
      </c>
      <c r="J191" s="164" t="s">
        <v>163</v>
      </c>
      <c r="K191" s="164" t="s">
        <v>182</v>
      </c>
      <c r="L191" s="164" t="s">
        <v>182</v>
      </c>
      <c r="M191" s="164">
        <v>67.099999999999994</v>
      </c>
      <c r="N191" s="164">
        <v>31.1</v>
      </c>
      <c r="O191" s="165">
        <v>17.5</v>
      </c>
      <c r="P191" s="165">
        <v>21.4</v>
      </c>
      <c r="Q191" s="164">
        <v>530</v>
      </c>
      <c r="R191" s="164">
        <v>590</v>
      </c>
      <c r="S191" s="166">
        <v>0.1</v>
      </c>
      <c r="T191" s="164" t="s">
        <v>163</v>
      </c>
      <c r="U191" s="164"/>
      <c r="V191" s="167">
        <v>41780</v>
      </c>
      <c r="W191" s="167">
        <v>41780</v>
      </c>
      <c r="X191" s="164" t="s">
        <v>387</v>
      </c>
      <c r="Y191" s="164" t="s">
        <v>749</v>
      </c>
      <c r="Z191" s="164" t="s">
        <v>163</v>
      </c>
      <c r="AA191" s="168" t="s">
        <v>184</v>
      </c>
      <c r="AB191" s="168" t="s">
        <v>191</v>
      </c>
      <c r="AC191" s="168" t="s">
        <v>162</v>
      </c>
      <c r="AD191" s="168" t="s">
        <v>163</v>
      </c>
      <c r="AE191" s="168" t="s">
        <v>163</v>
      </c>
      <c r="AF191" s="168" t="s">
        <v>163</v>
      </c>
      <c r="AG191" s="168" t="s">
        <v>182</v>
      </c>
      <c r="AH191" s="168" t="str">
        <f t="shared" si="13"/>
        <v>Refrigerator-Bottom Freezer-Automatic-No-No-No-Yes</v>
      </c>
      <c r="AI191" s="168" t="s">
        <v>261</v>
      </c>
      <c r="AJ191" s="168">
        <v>8.85</v>
      </c>
      <c r="AK191" s="169">
        <v>401</v>
      </c>
      <c r="AL191" s="169">
        <f t="shared" si="14"/>
        <v>590.39</v>
      </c>
      <c r="AM191" s="168">
        <f t="shared" si="15"/>
        <v>590</v>
      </c>
      <c r="AN191" s="168">
        <f t="shared" si="16"/>
        <v>530</v>
      </c>
      <c r="AO191" s="164" t="str">
        <f t="shared" si="17"/>
        <v>Yes</v>
      </c>
      <c r="AP191" s="164">
        <f t="shared" si="18"/>
        <v>60</v>
      </c>
    </row>
    <row r="192" spans="2:42">
      <c r="B192" s="164">
        <v>2216268</v>
      </c>
      <c r="C192" s="164" t="s">
        <v>171</v>
      </c>
      <c r="D192" s="164" t="s">
        <v>750</v>
      </c>
      <c r="E192" s="164"/>
      <c r="F192" s="164" t="s">
        <v>194</v>
      </c>
      <c r="G192" s="164" t="s">
        <v>162</v>
      </c>
      <c r="H192" s="164" t="s">
        <v>182</v>
      </c>
      <c r="I192" s="164" t="s">
        <v>163</v>
      </c>
      <c r="J192" s="164" t="s">
        <v>163</v>
      </c>
      <c r="K192" s="164" t="s">
        <v>163</v>
      </c>
      <c r="L192" s="164" t="s">
        <v>163</v>
      </c>
      <c r="M192" s="164">
        <v>14</v>
      </c>
      <c r="N192" s="164">
        <v>28.7</v>
      </c>
      <c r="O192" s="165">
        <v>3.7</v>
      </c>
      <c r="P192" s="165">
        <v>3.7</v>
      </c>
      <c r="Q192" s="164">
        <v>150</v>
      </c>
      <c r="R192" s="164">
        <v>293</v>
      </c>
      <c r="S192" s="166">
        <v>0.49</v>
      </c>
      <c r="T192" s="164" t="s">
        <v>163</v>
      </c>
      <c r="U192" s="164"/>
      <c r="V192" s="167">
        <v>41865</v>
      </c>
      <c r="W192" s="167">
        <v>41834</v>
      </c>
      <c r="X192" s="164" t="s">
        <v>387</v>
      </c>
      <c r="Y192" s="164" t="s">
        <v>751</v>
      </c>
      <c r="Z192" s="164" t="s">
        <v>163</v>
      </c>
      <c r="AA192" s="168" t="s">
        <v>184</v>
      </c>
      <c r="AB192" s="168" t="s">
        <v>194</v>
      </c>
      <c r="AC192" s="168" t="s">
        <v>162</v>
      </c>
      <c r="AD192" s="168" t="s">
        <v>182</v>
      </c>
      <c r="AE192" s="168" t="s">
        <v>163</v>
      </c>
      <c r="AF192" s="168" t="s">
        <v>163</v>
      </c>
      <c r="AG192" s="168" t="s">
        <v>163</v>
      </c>
      <c r="AH192" s="168" t="str">
        <f t="shared" si="13"/>
        <v>Refrigerator-Compact-Automatic-Yes-No-No-No</v>
      </c>
      <c r="AI192" s="168" t="s">
        <v>329</v>
      </c>
      <c r="AJ192" s="168">
        <v>9.17</v>
      </c>
      <c r="AK192" s="169">
        <v>259.3</v>
      </c>
      <c r="AL192" s="169">
        <f t="shared" si="14"/>
        <v>293.22900000000004</v>
      </c>
      <c r="AM192" s="168">
        <f t="shared" si="15"/>
        <v>293</v>
      </c>
      <c r="AN192" s="168">
        <f t="shared" si="16"/>
        <v>150</v>
      </c>
      <c r="AO192" s="164" t="str">
        <f t="shared" si="17"/>
        <v>Yes</v>
      </c>
      <c r="AP192" s="164">
        <f t="shared" si="18"/>
        <v>143</v>
      </c>
    </row>
    <row r="193" spans="2:42">
      <c r="B193" s="164">
        <v>2215528</v>
      </c>
      <c r="C193" s="164" t="s">
        <v>752</v>
      </c>
      <c r="D193" s="164" t="s">
        <v>753</v>
      </c>
      <c r="E193" s="164" t="s">
        <v>754</v>
      </c>
      <c r="F193" s="164" t="s">
        <v>194</v>
      </c>
      <c r="G193" s="164" t="s">
        <v>162</v>
      </c>
      <c r="H193" s="164" t="s">
        <v>182</v>
      </c>
      <c r="I193" s="164" t="s">
        <v>163</v>
      </c>
      <c r="J193" s="164" t="s">
        <v>163</v>
      </c>
      <c r="K193" s="164" t="s">
        <v>163</v>
      </c>
      <c r="L193" s="164" t="s">
        <v>163</v>
      </c>
      <c r="M193" s="164">
        <v>33.700000000000003</v>
      </c>
      <c r="N193" s="164">
        <v>18.7</v>
      </c>
      <c r="O193" s="165">
        <v>3.2</v>
      </c>
      <c r="P193" s="165">
        <v>3.9</v>
      </c>
      <c r="Q193" s="164">
        <v>322</v>
      </c>
      <c r="R193" s="164">
        <v>359</v>
      </c>
      <c r="S193" s="166">
        <v>0.1</v>
      </c>
      <c r="T193" s="164" t="s">
        <v>163</v>
      </c>
      <c r="U193" s="164"/>
      <c r="V193" s="167">
        <v>41827</v>
      </c>
      <c r="W193" s="167">
        <v>41828</v>
      </c>
      <c r="X193" s="164" t="s">
        <v>387</v>
      </c>
      <c r="Y193" s="164" t="s">
        <v>755</v>
      </c>
      <c r="Z193" s="164" t="s">
        <v>163</v>
      </c>
      <c r="AA193" s="168" t="s">
        <v>184</v>
      </c>
      <c r="AB193" s="168" t="s">
        <v>194</v>
      </c>
      <c r="AC193" s="168" t="s">
        <v>162</v>
      </c>
      <c r="AD193" s="168" t="s">
        <v>182</v>
      </c>
      <c r="AE193" s="168" t="s">
        <v>163</v>
      </c>
      <c r="AF193" s="168" t="s">
        <v>163</v>
      </c>
      <c r="AG193" s="168" t="s">
        <v>163</v>
      </c>
      <c r="AH193" s="168" t="str">
        <f t="shared" si="13"/>
        <v>Refrigerator-Compact-Automatic-Yes-No-No-No</v>
      </c>
      <c r="AI193" s="168" t="s">
        <v>329</v>
      </c>
      <c r="AJ193" s="168">
        <v>9.17</v>
      </c>
      <c r="AK193" s="169">
        <v>259.3</v>
      </c>
      <c r="AL193" s="169">
        <f t="shared" si="14"/>
        <v>295.06299999999999</v>
      </c>
      <c r="AM193" s="168">
        <f t="shared" si="15"/>
        <v>359</v>
      </c>
      <c r="AN193" s="168">
        <f t="shared" si="16"/>
        <v>322</v>
      </c>
      <c r="AO193" s="164" t="str">
        <f t="shared" si="17"/>
        <v>Yes</v>
      </c>
      <c r="AP193" s="164">
        <f t="shared" si="18"/>
        <v>37</v>
      </c>
    </row>
    <row r="194" spans="2:42">
      <c r="B194" s="164">
        <v>2216362</v>
      </c>
      <c r="C194" s="164" t="s">
        <v>756</v>
      </c>
      <c r="D194" s="164" t="s">
        <v>757</v>
      </c>
      <c r="E194" s="164"/>
      <c r="F194" s="164" t="s">
        <v>194</v>
      </c>
      <c r="G194" s="164" t="s">
        <v>162</v>
      </c>
      <c r="H194" s="164" t="s">
        <v>182</v>
      </c>
      <c r="I194" s="164" t="s">
        <v>163</v>
      </c>
      <c r="J194" s="164" t="s">
        <v>163</v>
      </c>
      <c r="K194" s="164" t="s">
        <v>163</v>
      </c>
      <c r="L194" s="164" t="s">
        <v>163</v>
      </c>
      <c r="M194" s="164">
        <v>25</v>
      </c>
      <c r="N194" s="164">
        <v>18.5</v>
      </c>
      <c r="O194" s="165">
        <v>2.2000000000000002</v>
      </c>
      <c r="P194" s="165">
        <v>2.2000000000000002</v>
      </c>
      <c r="Q194" s="164">
        <v>230</v>
      </c>
      <c r="R194" s="164">
        <v>279</v>
      </c>
      <c r="S194" s="166">
        <v>0.18</v>
      </c>
      <c r="T194" s="164" t="s">
        <v>163</v>
      </c>
      <c r="U194" s="164"/>
      <c r="V194" s="167">
        <v>41841</v>
      </c>
      <c r="W194" s="167">
        <v>41842</v>
      </c>
      <c r="X194" s="164" t="s">
        <v>506</v>
      </c>
      <c r="Y194" s="164" t="s">
        <v>758</v>
      </c>
      <c r="Z194" s="164" t="s">
        <v>163</v>
      </c>
      <c r="AA194" s="168" t="s">
        <v>184</v>
      </c>
      <c r="AB194" s="168" t="s">
        <v>194</v>
      </c>
      <c r="AC194" s="168" t="s">
        <v>162</v>
      </c>
      <c r="AD194" s="168" t="s">
        <v>182</v>
      </c>
      <c r="AE194" s="168" t="s">
        <v>163</v>
      </c>
      <c r="AF194" s="168" t="s">
        <v>163</v>
      </c>
      <c r="AG194" s="168" t="s">
        <v>163</v>
      </c>
      <c r="AH194" s="168" t="str">
        <f t="shared" si="13"/>
        <v>Refrigerator-Compact-Automatic-Yes-No-No-No</v>
      </c>
      <c r="AI194" s="168" t="s">
        <v>329</v>
      </c>
      <c r="AJ194" s="168">
        <v>9.17</v>
      </c>
      <c r="AK194" s="169">
        <v>259.3</v>
      </c>
      <c r="AL194" s="169">
        <f t="shared" si="14"/>
        <v>279.47399999999999</v>
      </c>
      <c r="AM194" s="168">
        <f t="shared" si="15"/>
        <v>279</v>
      </c>
      <c r="AN194" s="168">
        <f t="shared" si="16"/>
        <v>230</v>
      </c>
      <c r="AO194" s="164" t="str">
        <f t="shared" si="17"/>
        <v>Yes</v>
      </c>
      <c r="AP194" s="164">
        <f t="shared" si="18"/>
        <v>49</v>
      </c>
    </row>
    <row r="195" spans="2:42">
      <c r="B195" s="164">
        <v>2208218</v>
      </c>
      <c r="C195" s="164" t="s">
        <v>172</v>
      </c>
      <c r="D195" s="164" t="s">
        <v>759</v>
      </c>
      <c r="E195" s="164"/>
      <c r="F195" s="164" t="s">
        <v>193</v>
      </c>
      <c r="G195" s="164" t="s">
        <v>162</v>
      </c>
      <c r="H195" s="164" t="s">
        <v>163</v>
      </c>
      <c r="I195" s="164" t="s">
        <v>163</v>
      </c>
      <c r="J195" s="164" t="s">
        <v>163</v>
      </c>
      <c r="K195" s="164" t="s">
        <v>163</v>
      </c>
      <c r="L195" s="164" t="s">
        <v>163</v>
      </c>
      <c r="M195" s="164">
        <v>61.1</v>
      </c>
      <c r="N195" s="164">
        <v>28</v>
      </c>
      <c r="O195" s="165">
        <v>14.6</v>
      </c>
      <c r="P195" s="165">
        <v>17.600000000000001</v>
      </c>
      <c r="Q195" s="164">
        <v>337</v>
      </c>
      <c r="R195" s="164">
        <v>376</v>
      </c>
      <c r="S195" s="166">
        <v>0.1</v>
      </c>
      <c r="T195" s="164" t="s">
        <v>163</v>
      </c>
      <c r="U195" s="164"/>
      <c r="V195" s="167">
        <v>41744</v>
      </c>
      <c r="W195" s="167">
        <v>41730</v>
      </c>
      <c r="X195" s="164" t="s">
        <v>387</v>
      </c>
      <c r="Y195" s="164" t="s">
        <v>760</v>
      </c>
      <c r="Z195" s="164" t="s">
        <v>163</v>
      </c>
      <c r="AA195" s="168" t="s">
        <v>184</v>
      </c>
      <c r="AB195" s="168" t="s">
        <v>193</v>
      </c>
      <c r="AC195" s="168" t="s">
        <v>162</v>
      </c>
      <c r="AD195" s="168" t="s">
        <v>163</v>
      </c>
      <c r="AE195" s="168" t="s">
        <v>163</v>
      </c>
      <c r="AF195" s="168" t="s">
        <v>163</v>
      </c>
      <c r="AG195" s="168" t="s">
        <v>163</v>
      </c>
      <c r="AH195" s="168" t="str">
        <f t="shared" si="13"/>
        <v>Refrigerator-Top Freezer-Automatic-No-No-No-No</v>
      </c>
      <c r="AI195" s="168">
        <v>3</v>
      </c>
      <c r="AJ195" s="168">
        <v>8.07</v>
      </c>
      <c r="AK195" s="169">
        <v>233.7</v>
      </c>
      <c r="AL195" s="169">
        <f t="shared" si="14"/>
        <v>375.73199999999997</v>
      </c>
      <c r="AM195" s="168">
        <f t="shared" si="15"/>
        <v>376</v>
      </c>
      <c r="AN195" s="168">
        <f t="shared" si="16"/>
        <v>337</v>
      </c>
      <c r="AO195" s="164" t="str">
        <f t="shared" si="17"/>
        <v>Yes</v>
      </c>
      <c r="AP195" s="164">
        <f t="shared" si="18"/>
        <v>39</v>
      </c>
    </row>
    <row r="196" spans="2:42">
      <c r="B196" s="164">
        <v>2212941</v>
      </c>
      <c r="C196" s="164" t="s">
        <v>172</v>
      </c>
      <c r="D196" s="164" t="s">
        <v>759</v>
      </c>
      <c r="E196" s="164"/>
      <c r="F196" s="164" t="s">
        <v>193</v>
      </c>
      <c r="G196" s="164" t="s">
        <v>162</v>
      </c>
      <c r="H196" s="164" t="s">
        <v>163</v>
      </c>
      <c r="I196" s="164" t="s">
        <v>163</v>
      </c>
      <c r="J196" s="164" t="s">
        <v>163</v>
      </c>
      <c r="K196" s="164" t="s">
        <v>182</v>
      </c>
      <c r="L196" s="164" t="s">
        <v>163</v>
      </c>
      <c r="M196" s="164">
        <v>61.1</v>
      </c>
      <c r="N196" s="164">
        <v>28</v>
      </c>
      <c r="O196" s="165">
        <v>14.6</v>
      </c>
      <c r="P196" s="165">
        <v>17.600000000000001</v>
      </c>
      <c r="Q196" s="164">
        <v>413</v>
      </c>
      <c r="R196" s="164">
        <v>460</v>
      </c>
      <c r="S196" s="166">
        <v>0.1</v>
      </c>
      <c r="T196" s="164" t="s">
        <v>163</v>
      </c>
      <c r="U196" s="164"/>
      <c r="V196" s="167">
        <v>41744</v>
      </c>
      <c r="W196" s="167">
        <v>41795</v>
      </c>
      <c r="X196" s="164" t="s">
        <v>387</v>
      </c>
      <c r="Y196" s="164" t="s">
        <v>761</v>
      </c>
      <c r="Z196" s="164" t="s">
        <v>163</v>
      </c>
      <c r="AA196" s="168" t="s">
        <v>184</v>
      </c>
      <c r="AB196" s="168" t="s">
        <v>193</v>
      </c>
      <c r="AC196" s="168" t="s">
        <v>162</v>
      </c>
      <c r="AD196" s="168" t="s">
        <v>163</v>
      </c>
      <c r="AE196" s="168" t="s">
        <v>163</v>
      </c>
      <c r="AF196" s="168" t="s">
        <v>163</v>
      </c>
      <c r="AG196" s="168" t="s">
        <v>182</v>
      </c>
      <c r="AH196" s="168" t="str">
        <f t="shared" si="13"/>
        <v>Refrigerator-Top Freezer-Automatic-No-No-No-Yes</v>
      </c>
      <c r="AI196" s="168" t="s">
        <v>223</v>
      </c>
      <c r="AJ196" s="168">
        <v>8.07</v>
      </c>
      <c r="AK196" s="169">
        <v>317.7</v>
      </c>
      <c r="AL196" s="169">
        <f t="shared" si="14"/>
        <v>459.73199999999997</v>
      </c>
      <c r="AM196" s="168">
        <f t="shared" si="15"/>
        <v>460</v>
      </c>
      <c r="AN196" s="168">
        <f t="shared" si="16"/>
        <v>413</v>
      </c>
      <c r="AO196" s="164" t="str">
        <f t="shared" si="17"/>
        <v>Yes</v>
      </c>
      <c r="AP196" s="164">
        <f t="shared" si="18"/>
        <v>47</v>
      </c>
    </row>
    <row r="197" spans="2:42">
      <c r="B197" s="164">
        <v>2211170</v>
      </c>
      <c r="C197" s="164" t="s">
        <v>762</v>
      </c>
      <c r="D197" s="164" t="s">
        <v>763</v>
      </c>
      <c r="E197" s="164"/>
      <c r="F197" s="164" t="s">
        <v>194</v>
      </c>
      <c r="G197" s="164" t="s">
        <v>162</v>
      </c>
      <c r="H197" s="164" t="s">
        <v>182</v>
      </c>
      <c r="I197" s="164" t="s">
        <v>163</v>
      </c>
      <c r="J197" s="164" t="s">
        <v>163</v>
      </c>
      <c r="K197" s="164" t="s">
        <v>163</v>
      </c>
      <c r="L197" s="164" t="s">
        <v>182</v>
      </c>
      <c r="M197" s="164">
        <v>33.5</v>
      </c>
      <c r="N197" s="164">
        <v>30.9</v>
      </c>
      <c r="O197" s="165">
        <v>5.6</v>
      </c>
      <c r="P197" s="165">
        <v>7.3</v>
      </c>
      <c r="Q197" s="164">
        <v>338</v>
      </c>
      <c r="R197" s="164">
        <v>379</v>
      </c>
      <c r="S197" s="166">
        <v>0.11</v>
      </c>
      <c r="T197" s="164" t="s">
        <v>163</v>
      </c>
      <c r="U197" s="164"/>
      <c r="V197" s="167">
        <v>41789</v>
      </c>
      <c r="W197" s="167">
        <v>41739</v>
      </c>
      <c r="X197" s="164" t="s">
        <v>764</v>
      </c>
      <c r="Y197" s="164" t="s">
        <v>765</v>
      </c>
      <c r="Z197" s="164" t="s">
        <v>163</v>
      </c>
      <c r="AA197" s="168" t="s">
        <v>184</v>
      </c>
      <c r="AB197" s="168" t="s">
        <v>194</v>
      </c>
      <c r="AC197" s="168" t="s">
        <v>162</v>
      </c>
      <c r="AD197" s="168" t="s">
        <v>182</v>
      </c>
      <c r="AE197" s="168" t="s">
        <v>163</v>
      </c>
      <c r="AF197" s="168" t="s">
        <v>163</v>
      </c>
      <c r="AG197" s="168" t="s">
        <v>163</v>
      </c>
      <c r="AH197" s="168" t="str">
        <f t="shared" si="13"/>
        <v>Refrigerator-Compact-Automatic-Yes-No-No-No</v>
      </c>
      <c r="AI197" s="168" t="s">
        <v>329</v>
      </c>
      <c r="AJ197" s="168">
        <v>9.17</v>
      </c>
      <c r="AK197" s="169">
        <v>259.3</v>
      </c>
      <c r="AL197" s="169">
        <f t="shared" si="14"/>
        <v>326.24099999999999</v>
      </c>
      <c r="AM197" s="168">
        <f t="shared" si="15"/>
        <v>379</v>
      </c>
      <c r="AN197" s="168">
        <f t="shared" si="16"/>
        <v>338</v>
      </c>
      <c r="AO197" s="164" t="str">
        <f t="shared" si="17"/>
        <v>Yes</v>
      </c>
      <c r="AP197" s="164">
        <f t="shared" si="18"/>
        <v>41</v>
      </c>
    </row>
    <row r="198" spans="2:42">
      <c r="B198" s="164">
        <v>2217242</v>
      </c>
      <c r="C198" s="164" t="s">
        <v>766</v>
      </c>
      <c r="D198" s="164" t="s">
        <v>767</v>
      </c>
      <c r="E198" s="164"/>
      <c r="F198" s="164" t="s">
        <v>191</v>
      </c>
      <c r="G198" s="164" t="s">
        <v>162</v>
      </c>
      <c r="H198" s="164" t="s">
        <v>163</v>
      </c>
      <c r="I198" s="164" t="s">
        <v>163</v>
      </c>
      <c r="J198" s="164" t="s">
        <v>163</v>
      </c>
      <c r="K198" s="164" t="s">
        <v>163</v>
      </c>
      <c r="L198" s="164" t="s">
        <v>163</v>
      </c>
      <c r="M198" s="164">
        <v>65.5</v>
      </c>
      <c r="N198" s="164">
        <v>29.6</v>
      </c>
      <c r="O198" s="165">
        <v>18.600000000000001</v>
      </c>
      <c r="P198" s="165">
        <v>23</v>
      </c>
      <c r="Q198" s="164">
        <v>469</v>
      </c>
      <c r="R198" s="164">
        <v>521</v>
      </c>
      <c r="S198" s="166">
        <v>0.1</v>
      </c>
      <c r="T198" s="164" t="s">
        <v>163</v>
      </c>
      <c r="U198" s="164"/>
      <c r="V198" s="167">
        <v>41897</v>
      </c>
      <c r="W198" s="167">
        <v>41863</v>
      </c>
      <c r="X198" s="164" t="s">
        <v>387</v>
      </c>
      <c r="Y198" s="164" t="s">
        <v>768</v>
      </c>
      <c r="Z198" s="164" t="s">
        <v>163</v>
      </c>
      <c r="AA198" s="168" t="s">
        <v>184</v>
      </c>
      <c r="AB198" s="168" t="s">
        <v>191</v>
      </c>
      <c r="AC198" s="168" t="s">
        <v>162</v>
      </c>
      <c r="AD198" s="168" t="s">
        <v>163</v>
      </c>
      <c r="AE198" s="168" t="s">
        <v>163</v>
      </c>
      <c r="AF198" s="168" t="s">
        <v>163</v>
      </c>
      <c r="AG198" s="168" t="s">
        <v>163</v>
      </c>
      <c r="AH198" s="168" t="str">
        <f t="shared" si="13"/>
        <v>Refrigerator-Bottom Freezer-Automatic-No-No-No-No</v>
      </c>
      <c r="AI198" s="168">
        <v>5</v>
      </c>
      <c r="AJ198" s="168">
        <v>8.85</v>
      </c>
      <c r="AK198" s="169">
        <v>317</v>
      </c>
      <c r="AL198" s="169">
        <f t="shared" si="14"/>
        <v>520.54999999999995</v>
      </c>
      <c r="AM198" s="168">
        <f t="shared" si="15"/>
        <v>521</v>
      </c>
      <c r="AN198" s="168">
        <f t="shared" si="16"/>
        <v>469</v>
      </c>
      <c r="AO198" s="164" t="str">
        <f t="shared" si="17"/>
        <v>Yes</v>
      </c>
      <c r="AP198" s="164">
        <f t="shared" si="18"/>
        <v>52</v>
      </c>
    </row>
    <row r="199" spans="2:42">
      <c r="B199" s="164">
        <v>2217244</v>
      </c>
      <c r="C199" s="164" t="s">
        <v>766</v>
      </c>
      <c r="D199" s="164" t="s">
        <v>769</v>
      </c>
      <c r="E199" s="164"/>
      <c r="F199" s="164" t="s">
        <v>191</v>
      </c>
      <c r="G199" s="164" t="s">
        <v>162</v>
      </c>
      <c r="H199" s="164" t="s">
        <v>163</v>
      </c>
      <c r="I199" s="164" t="s">
        <v>163</v>
      </c>
      <c r="J199" s="164" t="s">
        <v>163</v>
      </c>
      <c r="K199" s="164" t="s">
        <v>182</v>
      </c>
      <c r="L199" s="164" t="s">
        <v>163</v>
      </c>
      <c r="M199" s="164">
        <v>68.5</v>
      </c>
      <c r="N199" s="164">
        <v>35.6</v>
      </c>
      <c r="O199" s="165">
        <v>20</v>
      </c>
      <c r="P199" s="165">
        <v>24.3</v>
      </c>
      <c r="Q199" s="164">
        <v>555</v>
      </c>
      <c r="R199" s="164">
        <v>616</v>
      </c>
      <c r="S199" s="166">
        <v>0.1</v>
      </c>
      <c r="T199" s="164" t="s">
        <v>163</v>
      </c>
      <c r="U199" s="164"/>
      <c r="V199" s="167">
        <v>41897</v>
      </c>
      <c r="W199" s="167">
        <v>41863</v>
      </c>
      <c r="X199" s="164" t="s">
        <v>387</v>
      </c>
      <c r="Y199" s="164" t="s">
        <v>770</v>
      </c>
      <c r="Z199" s="164" t="s">
        <v>163</v>
      </c>
      <c r="AA199" s="168" t="s">
        <v>184</v>
      </c>
      <c r="AB199" s="168" t="s">
        <v>191</v>
      </c>
      <c r="AC199" s="168" t="s">
        <v>162</v>
      </c>
      <c r="AD199" s="168" t="s">
        <v>163</v>
      </c>
      <c r="AE199" s="168" t="s">
        <v>163</v>
      </c>
      <c r="AF199" s="168" t="s">
        <v>163</v>
      </c>
      <c r="AG199" s="168" t="s">
        <v>182</v>
      </c>
      <c r="AH199" s="168" t="str">
        <f t="shared" si="13"/>
        <v>Refrigerator-Bottom Freezer-Automatic-No-No-No-Yes</v>
      </c>
      <c r="AI199" s="168" t="s">
        <v>261</v>
      </c>
      <c r="AJ199" s="168">
        <v>8.85</v>
      </c>
      <c r="AK199" s="169">
        <v>401</v>
      </c>
      <c r="AL199" s="169">
        <f t="shared" si="14"/>
        <v>616.05500000000006</v>
      </c>
      <c r="AM199" s="168">
        <f t="shared" si="15"/>
        <v>616</v>
      </c>
      <c r="AN199" s="168">
        <f t="shared" si="16"/>
        <v>555</v>
      </c>
      <c r="AO199" s="164" t="str">
        <f t="shared" si="17"/>
        <v>Yes</v>
      </c>
      <c r="AP199" s="164">
        <f t="shared" si="18"/>
        <v>61</v>
      </c>
    </row>
    <row r="200" spans="2:42">
      <c r="B200" s="164">
        <v>2217246</v>
      </c>
      <c r="C200" s="164" t="s">
        <v>766</v>
      </c>
      <c r="D200" s="164" t="s">
        <v>771</v>
      </c>
      <c r="E200" s="164"/>
      <c r="F200" s="164" t="s">
        <v>191</v>
      </c>
      <c r="G200" s="164" t="s">
        <v>162</v>
      </c>
      <c r="H200" s="164" t="s">
        <v>163</v>
      </c>
      <c r="I200" s="164" t="s">
        <v>163</v>
      </c>
      <c r="J200" s="164" t="s">
        <v>182</v>
      </c>
      <c r="K200" s="164" t="s">
        <v>182</v>
      </c>
      <c r="L200" s="164" t="s">
        <v>163</v>
      </c>
      <c r="M200" s="164">
        <v>70.099999999999994</v>
      </c>
      <c r="N200" s="164">
        <v>35.700000000000003</v>
      </c>
      <c r="O200" s="165">
        <v>24.7</v>
      </c>
      <c r="P200" s="165">
        <v>29.8</v>
      </c>
      <c r="Q200" s="164">
        <v>677</v>
      </c>
      <c r="R200" s="164">
        <v>751</v>
      </c>
      <c r="S200" s="166">
        <v>0.1</v>
      </c>
      <c r="T200" s="164" t="s">
        <v>163</v>
      </c>
      <c r="U200" s="164"/>
      <c r="V200" s="167">
        <v>41897</v>
      </c>
      <c r="W200" s="167">
        <v>41863</v>
      </c>
      <c r="X200" s="164" t="s">
        <v>387</v>
      </c>
      <c r="Y200" s="164" t="s">
        <v>772</v>
      </c>
      <c r="Z200" s="164" t="s">
        <v>163</v>
      </c>
      <c r="AA200" s="168" t="s">
        <v>184</v>
      </c>
      <c r="AB200" s="168" t="s">
        <v>191</v>
      </c>
      <c r="AC200" s="168" t="s">
        <v>162</v>
      </c>
      <c r="AD200" s="168" t="s">
        <v>163</v>
      </c>
      <c r="AE200" s="168" t="s">
        <v>163</v>
      </c>
      <c r="AF200" s="168" t="s">
        <v>182</v>
      </c>
      <c r="AG200" s="168" t="s">
        <v>182</v>
      </c>
      <c r="AH200" s="168" t="str">
        <f t="shared" si="13"/>
        <v>Refrigerator-Bottom Freezer-Automatic-No-No-Yes-Yes</v>
      </c>
      <c r="AI200" s="168" t="s">
        <v>269</v>
      </c>
      <c r="AJ200" s="168">
        <v>9.25</v>
      </c>
      <c r="AK200" s="169">
        <v>475.4</v>
      </c>
      <c r="AL200" s="169">
        <f t="shared" si="14"/>
        <v>751.05</v>
      </c>
      <c r="AM200" s="168">
        <f t="shared" si="15"/>
        <v>751</v>
      </c>
      <c r="AN200" s="168">
        <f t="shared" si="16"/>
        <v>677</v>
      </c>
      <c r="AO200" s="164" t="str">
        <f t="shared" si="17"/>
        <v>Yes</v>
      </c>
      <c r="AP200" s="164">
        <f t="shared" si="18"/>
        <v>74</v>
      </c>
    </row>
    <row r="201" spans="2:42">
      <c r="B201" s="164">
        <v>2217243</v>
      </c>
      <c r="C201" s="164" t="s">
        <v>766</v>
      </c>
      <c r="D201" s="164" t="s">
        <v>773</v>
      </c>
      <c r="E201" s="164"/>
      <c r="F201" s="164" t="s">
        <v>191</v>
      </c>
      <c r="G201" s="164" t="s">
        <v>162</v>
      </c>
      <c r="H201" s="164" t="s">
        <v>163</v>
      </c>
      <c r="I201" s="164" t="s">
        <v>163</v>
      </c>
      <c r="J201" s="164" t="s">
        <v>163</v>
      </c>
      <c r="K201" s="164" t="s">
        <v>182</v>
      </c>
      <c r="L201" s="164" t="s">
        <v>163</v>
      </c>
      <c r="M201" s="164">
        <v>68.900000000000006</v>
      </c>
      <c r="N201" s="164">
        <v>35.6</v>
      </c>
      <c r="O201" s="165">
        <v>25.2</v>
      </c>
      <c r="P201" s="165">
        <v>30.8</v>
      </c>
      <c r="Q201" s="164">
        <v>607</v>
      </c>
      <c r="R201" s="164">
        <v>674</v>
      </c>
      <c r="S201" s="166">
        <v>0.1</v>
      </c>
      <c r="T201" s="164" t="s">
        <v>163</v>
      </c>
      <c r="U201" s="164"/>
      <c r="V201" s="167">
        <v>41897</v>
      </c>
      <c r="W201" s="167">
        <v>41863</v>
      </c>
      <c r="X201" s="164" t="s">
        <v>387</v>
      </c>
      <c r="Y201" s="164" t="s">
        <v>774</v>
      </c>
      <c r="Z201" s="164" t="s">
        <v>163</v>
      </c>
      <c r="AA201" s="168" t="s">
        <v>184</v>
      </c>
      <c r="AB201" s="168" t="s">
        <v>191</v>
      </c>
      <c r="AC201" s="168" t="s">
        <v>162</v>
      </c>
      <c r="AD201" s="168" t="s">
        <v>163</v>
      </c>
      <c r="AE201" s="168" t="s">
        <v>163</v>
      </c>
      <c r="AF201" s="168" t="s">
        <v>163</v>
      </c>
      <c r="AG201" s="168" t="s">
        <v>182</v>
      </c>
      <c r="AH201" s="168" t="str">
        <f t="shared" si="13"/>
        <v>Refrigerator-Bottom Freezer-Automatic-No-No-No-Yes</v>
      </c>
      <c r="AI201" s="168" t="s">
        <v>261</v>
      </c>
      <c r="AJ201" s="168">
        <v>8.85</v>
      </c>
      <c r="AK201" s="169">
        <v>401</v>
      </c>
      <c r="AL201" s="169">
        <f t="shared" si="14"/>
        <v>673.57999999999993</v>
      </c>
      <c r="AM201" s="168">
        <f t="shared" si="15"/>
        <v>674</v>
      </c>
      <c r="AN201" s="168">
        <f t="shared" si="16"/>
        <v>607</v>
      </c>
      <c r="AO201" s="164" t="str">
        <f t="shared" si="17"/>
        <v>Yes</v>
      </c>
      <c r="AP201" s="164">
        <f t="shared" si="18"/>
        <v>67</v>
      </c>
    </row>
    <row r="202" spans="2:42">
      <c r="B202" s="164">
        <v>2218141</v>
      </c>
      <c r="C202" s="164" t="s">
        <v>775</v>
      </c>
      <c r="D202" s="164" t="s">
        <v>776</v>
      </c>
      <c r="E202" s="164"/>
      <c r="F202" s="164" t="s">
        <v>191</v>
      </c>
      <c r="G202" s="164" t="s">
        <v>162</v>
      </c>
      <c r="H202" s="164" t="s">
        <v>163</v>
      </c>
      <c r="I202" s="164" t="s">
        <v>182</v>
      </c>
      <c r="J202" s="164" t="s">
        <v>163</v>
      </c>
      <c r="K202" s="164" t="s">
        <v>182</v>
      </c>
      <c r="L202" s="164" t="s">
        <v>182</v>
      </c>
      <c r="M202" s="164">
        <v>83.1</v>
      </c>
      <c r="N202" s="164">
        <v>36.299999999999997</v>
      </c>
      <c r="O202" s="165">
        <v>20.9</v>
      </c>
      <c r="P202" s="165">
        <v>25.1</v>
      </c>
      <c r="Q202" s="164">
        <v>591</v>
      </c>
      <c r="R202" s="164">
        <v>657</v>
      </c>
      <c r="S202" s="166">
        <v>0.1</v>
      </c>
      <c r="T202" s="164" t="s">
        <v>163</v>
      </c>
      <c r="U202" s="164"/>
      <c r="V202" s="167">
        <v>41890</v>
      </c>
      <c r="W202" s="167">
        <v>41879</v>
      </c>
      <c r="X202" s="164" t="s">
        <v>387</v>
      </c>
      <c r="Y202" s="164" t="s">
        <v>777</v>
      </c>
      <c r="Z202" s="164" t="s">
        <v>163</v>
      </c>
      <c r="AA202" s="168" t="s">
        <v>184</v>
      </c>
      <c r="AB202" s="168" t="s">
        <v>191</v>
      </c>
      <c r="AC202" s="168" t="s">
        <v>162</v>
      </c>
      <c r="AD202" s="168" t="s">
        <v>163</v>
      </c>
      <c r="AE202" s="168" t="s">
        <v>182</v>
      </c>
      <c r="AF202" s="168" t="s">
        <v>163</v>
      </c>
      <c r="AG202" s="168" t="s">
        <v>182</v>
      </c>
      <c r="AH202" s="168" t="str">
        <f t="shared" si="13"/>
        <v>Refrigerator-Bottom Freezer-Automatic-No-Yes-No-Yes</v>
      </c>
      <c r="AI202" s="168" t="s">
        <v>265</v>
      </c>
      <c r="AJ202" s="168">
        <v>9.4</v>
      </c>
      <c r="AK202" s="169">
        <v>420.9</v>
      </c>
      <c r="AL202" s="169">
        <f t="shared" si="14"/>
        <v>656.84</v>
      </c>
      <c r="AM202" s="168">
        <f t="shared" si="15"/>
        <v>657</v>
      </c>
      <c r="AN202" s="168">
        <f t="shared" si="16"/>
        <v>591</v>
      </c>
      <c r="AO202" s="164" t="str">
        <f t="shared" si="17"/>
        <v>Yes</v>
      </c>
      <c r="AP202" s="164">
        <f t="shared" si="18"/>
        <v>66</v>
      </c>
    </row>
    <row r="203" spans="2:42">
      <c r="B203" s="164">
        <v>2218142</v>
      </c>
      <c r="C203" s="164" t="s">
        <v>775</v>
      </c>
      <c r="D203" s="164" t="s">
        <v>778</v>
      </c>
      <c r="E203" s="164"/>
      <c r="F203" s="164" t="s">
        <v>191</v>
      </c>
      <c r="G203" s="164" t="s">
        <v>162</v>
      </c>
      <c r="H203" s="164" t="s">
        <v>163</v>
      </c>
      <c r="I203" s="164" t="s">
        <v>182</v>
      </c>
      <c r="J203" s="164" t="s">
        <v>163</v>
      </c>
      <c r="K203" s="164" t="s">
        <v>182</v>
      </c>
      <c r="L203" s="164" t="s">
        <v>182</v>
      </c>
      <c r="M203" s="164">
        <v>83.1</v>
      </c>
      <c r="N203" s="164">
        <v>36.299999999999997</v>
      </c>
      <c r="O203" s="165">
        <v>20.9</v>
      </c>
      <c r="P203" s="165">
        <v>25.1</v>
      </c>
      <c r="Q203" s="164">
        <v>591</v>
      </c>
      <c r="R203" s="164">
        <v>657</v>
      </c>
      <c r="S203" s="166">
        <v>0.1</v>
      </c>
      <c r="T203" s="164" t="s">
        <v>163</v>
      </c>
      <c r="U203" s="164"/>
      <c r="V203" s="167">
        <v>41890</v>
      </c>
      <c r="W203" s="167">
        <v>41879</v>
      </c>
      <c r="X203" s="164" t="s">
        <v>387</v>
      </c>
      <c r="Y203" s="164" t="s">
        <v>779</v>
      </c>
      <c r="Z203" s="164" t="s">
        <v>163</v>
      </c>
      <c r="AA203" s="168" t="s">
        <v>184</v>
      </c>
      <c r="AB203" s="168" t="s">
        <v>191</v>
      </c>
      <c r="AC203" s="168" t="s">
        <v>162</v>
      </c>
      <c r="AD203" s="168" t="s">
        <v>163</v>
      </c>
      <c r="AE203" s="168" t="s">
        <v>182</v>
      </c>
      <c r="AF203" s="168" t="s">
        <v>163</v>
      </c>
      <c r="AG203" s="168" t="s">
        <v>182</v>
      </c>
      <c r="AH203" s="168" t="str">
        <f t="shared" si="13"/>
        <v>Refrigerator-Bottom Freezer-Automatic-No-Yes-No-Yes</v>
      </c>
      <c r="AI203" s="168" t="s">
        <v>265</v>
      </c>
      <c r="AJ203" s="168">
        <v>9.4</v>
      </c>
      <c r="AK203" s="169">
        <v>420.9</v>
      </c>
      <c r="AL203" s="169">
        <f t="shared" si="14"/>
        <v>656.84</v>
      </c>
      <c r="AM203" s="168">
        <f t="shared" si="15"/>
        <v>657</v>
      </c>
      <c r="AN203" s="168">
        <f t="shared" si="16"/>
        <v>591</v>
      </c>
      <c r="AO203" s="164" t="str">
        <f t="shared" si="17"/>
        <v>Yes</v>
      </c>
      <c r="AP203" s="164">
        <f t="shared" si="18"/>
        <v>66</v>
      </c>
    </row>
    <row r="204" spans="2:42">
      <c r="B204" s="164">
        <v>2218145</v>
      </c>
      <c r="C204" s="164" t="s">
        <v>775</v>
      </c>
      <c r="D204" s="164" t="s">
        <v>780</v>
      </c>
      <c r="E204" s="164"/>
      <c r="F204" s="164" t="s">
        <v>191</v>
      </c>
      <c r="G204" s="164" t="s">
        <v>162</v>
      </c>
      <c r="H204" s="164" t="s">
        <v>163</v>
      </c>
      <c r="I204" s="164" t="s">
        <v>182</v>
      </c>
      <c r="J204" s="164" t="s">
        <v>163</v>
      </c>
      <c r="K204" s="164" t="s">
        <v>182</v>
      </c>
      <c r="L204" s="164" t="s">
        <v>163</v>
      </c>
      <c r="M204" s="164">
        <v>83.4</v>
      </c>
      <c r="N204" s="164">
        <v>35.299999999999997</v>
      </c>
      <c r="O204" s="165">
        <v>20.8</v>
      </c>
      <c r="P204" s="165">
        <v>24.8</v>
      </c>
      <c r="Q204" s="164">
        <v>589</v>
      </c>
      <c r="R204" s="164">
        <v>654</v>
      </c>
      <c r="S204" s="166">
        <v>0.1</v>
      </c>
      <c r="T204" s="164" t="s">
        <v>163</v>
      </c>
      <c r="U204" s="164"/>
      <c r="V204" s="167">
        <v>41897</v>
      </c>
      <c r="W204" s="167">
        <v>41879</v>
      </c>
      <c r="X204" s="164" t="s">
        <v>387</v>
      </c>
      <c r="Y204" s="164" t="s">
        <v>781</v>
      </c>
      <c r="Z204" s="164" t="s">
        <v>163</v>
      </c>
      <c r="AA204" s="168" t="s">
        <v>184</v>
      </c>
      <c r="AB204" s="168" t="s">
        <v>191</v>
      </c>
      <c r="AC204" s="168" t="s">
        <v>162</v>
      </c>
      <c r="AD204" s="168" t="s">
        <v>163</v>
      </c>
      <c r="AE204" s="168" t="s">
        <v>182</v>
      </c>
      <c r="AF204" s="168" t="s">
        <v>163</v>
      </c>
      <c r="AG204" s="168" t="s">
        <v>182</v>
      </c>
      <c r="AH204" s="168" t="str">
        <f t="shared" si="13"/>
        <v>Refrigerator-Bottom Freezer-Automatic-No-Yes-No-Yes</v>
      </c>
      <c r="AI204" s="168" t="s">
        <v>265</v>
      </c>
      <c r="AJ204" s="168">
        <v>9.4</v>
      </c>
      <c r="AK204" s="169">
        <v>420.9</v>
      </c>
      <c r="AL204" s="169">
        <f t="shared" si="14"/>
        <v>654.02</v>
      </c>
      <c r="AM204" s="168">
        <f t="shared" si="15"/>
        <v>654</v>
      </c>
      <c r="AN204" s="168">
        <f t="shared" si="16"/>
        <v>589</v>
      </c>
      <c r="AO204" s="164" t="str">
        <f t="shared" si="17"/>
        <v>Yes</v>
      </c>
      <c r="AP204" s="164">
        <f t="shared" si="18"/>
        <v>65</v>
      </c>
    </row>
    <row r="205" spans="2:42">
      <c r="B205" s="164">
        <v>2208205</v>
      </c>
      <c r="C205" s="164" t="s">
        <v>775</v>
      </c>
      <c r="D205" s="164" t="s">
        <v>782</v>
      </c>
      <c r="E205" s="164"/>
      <c r="F205" s="164" t="s">
        <v>191</v>
      </c>
      <c r="G205" s="164" t="s">
        <v>162</v>
      </c>
      <c r="H205" s="164" t="s">
        <v>163</v>
      </c>
      <c r="I205" s="164" t="s">
        <v>163</v>
      </c>
      <c r="J205" s="164" t="s">
        <v>163</v>
      </c>
      <c r="K205" s="164" t="s">
        <v>182</v>
      </c>
      <c r="L205" s="164" t="s">
        <v>182</v>
      </c>
      <c r="M205" s="164">
        <v>68.5</v>
      </c>
      <c r="N205" s="164">
        <v>35.6</v>
      </c>
      <c r="O205" s="165">
        <v>20</v>
      </c>
      <c r="P205" s="165">
        <v>24.3</v>
      </c>
      <c r="Q205" s="164">
        <v>555</v>
      </c>
      <c r="R205" s="164">
        <v>616</v>
      </c>
      <c r="S205" s="166">
        <v>0.1</v>
      </c>
      <c r="T205" s="164" t="s">
        <v>163</v>
      </c>
      <c r="U205" s="164"/>
      <c r="V205" s="167">
        <v>41736</v>
      </c>
      <c r="W205" s="167">
        <v>41726</v>
      </c>
      <c r="X205" s="164" t="s">
        <v>387</v>
      </c>
      <c r="Y205" s="164" t="s">
        <v>783</v>
      </c>
      <c r="Z205" s="164" t="s">
        <v>163</v>
      </c>
      <c r="AA205" s="168" t="s">
        <v>184</v>
      </c>
      <c r="AB205" s="168" t="s">
        <v>191</v>
      </c>
      <c r="AC205" s="168" t="s">
        <v>162</v>
      </c>
      <c r="AD205" s="168" t="s">
        <v>163</v>
      </c>
      <c r="AE205" s="168" t="s">
        <v>163</v>
      </c>
      <c r="AF205" s="168" t="s">
        <v>163</v>
      </c>
      <c r="AG205" s="168" t="s">
        <v>182</v>
      </c>
      <c r="AH205" s="168" t="str">
        <f t="shared" ref="AH205:AH268" si="19">CONCATENATE(AA205,"-",AB205,"-",AC205,"-",AD205,"-",AE205,"-",AF205,"-",AG205)</f>
        <v>Refrigerator-Bottom Freezer-Automatic-No-No-No-Yes</v>
      </c>
      <c r="AI205" s="168" t="s">
        <v>261</v>
      </c>
      <c r="AJ205" s="168">
        <v>8.85</v>
      </c>
      <c r="AK205" s="169">
        <v>401</v>
      </c>
      <c r="AL205" s="169">
        <f t="shared" ref="AL205:AL268" si="20">AJ205*P205+AK205</f>
        <v>616.05500000000006</v>
      </c>
      <c r="AM205" s="168">
        <f t="shared" ref="AM205:AM268" si="21">R205</f>
        <v>616</v>
      </c>
      <c r="AN205" s="168">
        <f t="shared" ref="AN205:AN268" si="22">Q205</f>
        <v>555</v>
      </c>
      <c r="AO205" s="164" t="str">
        <f t="shared" ref="AO205:AO268" si="23">IF(AN205&lt;AM205,"Yes","No")</f>
        <v>Yes</v>
      </c>
      <c r="AP205" s="164">
        <f t="shared" ref="AP205:AP268" si="24">AM205-AN205</f>
        <v>61</v>
      </c>
    </row>
    <row r="206" spans="2:42">
      <c r="B206" s="164">
        <v>2217251</v>
      </c>
      <c r="C206" s="164" t="s">
        <v>775</v>
      </c>
      <c r="D206" s="164" t="s">
        <v>784</v>
      </c>
      <c r="E206" s="164"/>
      <c r="F206" s="164" t="s">
        <v>191</v>
      </c>
      <c r="G206" s="164" t="s">
        <v>162</v>
      </c>
      <c r="H206" s="164" t="s">
        <v>163</v>
      </c>
      <c r="I206" s="164" t="s">
        <v>163</v>
      </c>
      <c r="J206" s="164" t="s">
        <v>182</v>
      </c>
      <c r="K206" s="164" t="s">
        <v>182</v>
      </c>
      <c r="L206" s="164" t="s">
        <v>163</v>
      </c>
      <c r="M206" s="164">
        <v>70.099999999999994</v>
      </c>
      <c r="N206" s="164">
        <v>35.6</v>
      </c>
      <c r="O206" s="165">
        <v>24.5</v>
      </c>
      <c r="P206" s="165">
        <v>29.6</v>
      </c>
      <c r="Q206" s="164">
        <v>672</v>
      </c>
      <c r="R206" s="164">
        <v>749</v>
      </c>
      <c r="S206" s="166">
        <v>0.1</v>
      </c>
      <c r="T206" s="164" t="s">
        <v>163</v>
      </c>
      <c r="U206" s="164"/>
      <c r="V206" s="167">
        <v>41039</v>
      </c>
      <c r="W206" s="167">
        <v>41863</v>
      </c>
      <c r="X206" s="164" t="s">
        <v>387</v>
      </c>
      <c r="Y206" s="164" t="s">
        <v>785</v>
      </c>
      <c r="Z206" s="164" t="s">
        <v>163</v>
      </c>
      <c r="AA206" s="168" t="s">
        <v>184</v>
      </c>
      <c r="AB206" s="168" t="s">
        <v>191</v>
      </c>
      <c r="AC206" s="168" t="s">
        <v>162</v>
      </c>
      <c r="AD206" s="168" t="s">
        <v>163</v>
      </c>
      <c r="AE206" s="168" t="s">
        <v>163</v>
      </c>
      <c r="AF206" s="168" t="s">
        <v>182</v>
      </c>
      <c r="AG206" s="168" t="s">
        <v>182</v>
      </c>
      <c r="AH206" s="168" t="str">
        <f t="shared" si="19"/>
        <v>Refrigerator-Bottom Freezer-Automatic-No-No-Yes-Yes</v>
      </c>
      <c r="AI206" s="168" t="s">
        <v>269</v>
      </c>
      <c r="AJ206" s="168">
        <v>9.25</v>
      </c>
      <c r="AK206" s="169">
        <v>475.4</v>
      </c>
      <c r="AL206" s="169">
        <f t="shared" si="20"/>
        <v>749.2</v>
      </c>
      <c r="AM206" s="168">
        <f t="shared" si="21"/>
        <v>749</v>
      </c>
      <c r="AN206" s="168">
        <f t="shared" si="22"/>
        <v>672</v>
      </c>
      <c r="AO206" s="164" t="str">
        <f t="shared" si="23"/>
        <v>Yes</v>
      </c>
      <c r="AP206" s="164">
        <f t="shared" si="24"/>
        <v>77</v>
      </c>
    </row>
    <row r="207" spans="2:42">
      <c r="B207" s="164">
        <v>2210430</v>
      </c>
      <c r="C207" s="164" t="s">
        <v>786</v>
      </c>
      <c r="D207" s="164" t="s">
        <v>787</v>
      </c>
      <c r="E207" s="164"/>
      <c r="F207" s="164" t="s">
        <v>194</v>
      </c>
      <c r="G207" s="164" t="s">
        <v>188</v>
      </c>
      <c r="H207" s="164" t="s">
        <v>182</v>
      </c>
      <c r="I207" s="164" t="s">
        <v>163</v>
      </c>
      <c r="J207" s="164" t="s">
        <v>163</v>
      </c>
      <c r="K207" s="164" t="s">
        <v>163</v>
      </c>
      <c r="L207" s="164" t="s">
        <v>163</v>
      </c>
      <c r="M207" s="164">
        <v>19.399999999999999</v>
      </c>
      <c r="N207" s="164">
        <v>18.600000000000001</v>
      </c>
      <c r="O207" s="165">
        <v>1.6</v>
      </c>
      <c r="P207" s="165">
        <v>1.6</v>
      </c>
      <c r="Q207" s="164">
        <v>207</v>
      </c>
      <c r="R207" s="164">
        <v>267</v>
      </c>
      <c r="S207" s="166">
        <v>0.22</v>
      </c>
      <c r="T207" s="164" t="s">
        <v>163</v>
      </c>
      <c r="U207" s="164"/>
      <c r="V207" s="167">
        <v>41760</v>
      </c>
      <c r="W207" s="167">
        <v>41718</v>
      </c>
      <c r="X207" s="164" t="s">
        <v>506</v>
      </c>
      <c r="Y207" s="164" t="s">
        <v>788</v>
      </c>
      <c r="Z207" s="164" t="s">
        <v>163</v>
      </c>
      <c r="AA207" s="168" t="s">
        <v>184</v>
      </c>
      <c r="AB207" s="168" t="s">
        <v>194</v>
      </c>
      <c r="AC207" s="168" t="s">
        <v>188</v>
      </c>
      <c r="AD207" s="168" t="s">
        <v>182</v>
      </c>
      <c r="AE207" s="168" t="s">
        <v>163</v>
      </c>
      <c r="AF207" s="168" t="s">
        <v>163</v>
      </c>
      <c r="AG207" s="168" t="s">
        <v>163</v>
      </c>
      <c r="AH207" s="168" t="str">
        <f t="shared" si="19"/>
        <v>Refrigerator-Compact-Manual-Yes-No-No-No</v>
      </c>
      <c r="AI207" s="168" t="s">
        <v>315</v>
      </c>
      <c r="AJ207" s="168">
        <v>7.84</v>
      </c>
      <c r="AK207" s="169">
        <v>219.1</v>
      </c>
      <c r="AL207" s="169">
        <f t="shared" si="20"/>
        <v>231.64400000000001</v>
      </c>
      <c r="AM207" s="168">
        <f t="shared" si="21"/>
        <v>267</v>
      </c>
      <c r="AN207" s="168">
        <f t="shared" si="22"/>
        <v>207</v>
      </c>
      <c r="AO207" s="164" t="str">
        <f t="shared" si="23"/>
        <v>Yes</v>
      </c>
      <c r="AP207" s="164">
        <f t="shared" si="24"/>
        <v>60</v>
      </c>
    </row>
    <row r="208" spans="2:42">
      <c r="B208" s="164">
        <v>2210431</v>
      </c>
      <c r="C208" s="164" t="s">
        <v>786</v>
      </c>
      <c r="D208" s="164" t="s">
        <v>789</v>
      </c>
      <c r="E208" s="164"/>
      <c r="F208" s="164" t="s">
        <v>194</v>
      </c>
      <c r="G208" s="164" t="s">
        <v>188</v>
      </c>
      <c r="H208" s="164" t="s">
        <v>182</v>
      </c>
      <c r="I208" s="164" t="s">
        <v>163</v>
      </c>
      <c r="J208" s="164" t="s">
        <v>163</v>
      </c>
      <c r="K208" s="164" t="s">
        <v>163</v>
      </c>
      <c r="L208" s="164" t="s">
        <v>163</v>
      </c>
      <c r="M208" s="164">
        <v>24.8</v>
      </c>
      <c r="N208" s="164">
        <v>17.5</v>
      </c>
      <c r="O208" s="165">
        <v>2.4</v>
      </c>
      <c r="P208" s="165">
        <v>2.4</v>
      </c>
      <c r="Q208" s="164">
        <v>213</v>
      </c>
      <c r="R208" s="164">
        <v>274</v>
      </c>
      <c r="S208" s="166">
        <v>0.22</v>
      </c>
      <c r="T208" s="164" t="s">
        <v>163</v>
      </c>
      <c r="U208" s="164"/>
      <c r="V208" s="167">
        <v>41760</v>
      </c>
      <c r="W208" s="167">
        <v>41718</v>
      </c>
      <c r="X208" s="164" t="s">
        <v>506</v>
      </c>
      <c r="Y208" s="164" t="s">
        <v>790</v>
      </c>
      <c r="Z208" s="164" t="s">
        <v>163</v>
      </c>
      <c r="AA208" s="168" t="s">
        <v>184</v>
      </c>
      <c r="AB208" s="168" t="s">
        <v>194</v>
      </c>
      <c r="AC208" s="168" t="s">
        <v>188</v>
      </c>
      <c r="AD208" s="168" t="s">
        <v>182</v>
      </c>
      <c r="AE208" s="168" t="s">
        <v>163</v>
      </c>
      <c r="AF208" s="168" t="s">
        <v>163</v>
      </c>
      <c r="AG208" s="168" t="s">
        <v>163</v>
      </c>
      <c r="AH208" s="168" t="str">
        <f t="shared" si="19"/>
        <v>Refrigerator-Compact-Manual-Yes-No-No-No</v>
      </c>
      <c r="AI208" s="168" t="s">
        <v>315</v>
      </c>
      <c r="AJ208" s="168">
        <v>7.84</v>
      </c>
      <c r="AK208" s="169">
        <v>219.1</v>
      </c>
      <c r="AL208" s="169">
        <f t="shared" si="20"/>
        <v>237.916</v>
      </c>
      <c r="AM208" s="168">
        <f t="shared" si="21"/>
        <v>274</v>
      </c>
      <c r="AN208" s="168">
        <f t="shared" si="22"/>
        <v>213</v>
      </c>
      <c r="AO208" s="164" t="str">
        <f t="shared" si="23"/>
        <v>Yes</v>
      </c>
      <c r="AP208" s="164">
        <f t="shared" si="24"/>
        <v>61</v>
      </c>
    </row>
    <row r="209" spans="2:42">
      <c r="B209" s="164">
        <v>2210432</v>
      </c>
      <c r="C209" s="164" t="s">
        <v>786</v>
      </c>
      <c r="D209" s="164" t="s">
        <v>791</v>
      </c>
      <c r="E209" s="164"/>
      <c r="F209" s="164" t="s">
        <v>194</v>
      </c>
      <c r="G209" s="164" t="s">
        <v>162</v>
      </c>
      <c r="H209" s="164" t="s">
        <v>182</v>
      </c>
      <c r="I209" s="164" t="s">
        <v>163</v>
      </c>
      <c r="J209" s="164" t="s">
        <v>163</v>
      </c>
      <c r="K209" s="164" t="s">
        <v>163</v>
      </c>
      <c r="L209" s="164" t="s">
        <v>163</v>
      </c>
      <c r="M209" s="164">
        <v>33</v>
      </c>
      <c r="N209" s="164">
        <v>18.5</v>
      </c>
      <c r="O209" s="165">
        <v>3.1</v>
      </c>
      <c r="P209" s="165">
        <v>3.8</v>
      </c>
      <c r="Q209" s="164">
        <v>270</v>
      </c>
      <c r="R209" s="164">
        <v>358</v>
      </c>
      <c r="S209" s="166">
        <v>0.25</v>
      </c>
      <c r="T209" s="164" t="s">
        <v>163</v>
      </c>
      <c r="U209" s="164"/>
      <c r="V209" s="167">
        <v>41760</v>
      </c>
      <c r="W209" s="167">
        <v>41718</v>
      </c>
      <c r="X209" s="164" t="s">
        <v>506</v>
      </c>
      <c r="Y209" s="164" t="s">
        <v>792</v>
      </c>
      <c r="Z209" s="164" t="s">
        <v>163</v>
      </c>
      <c r="AA209" s="168" t="s">
        <v>184</v>
      </c>
      <c r="AB209" s="168" t="s">
        <v>194</v>
      </c>
      <c r="AC209" s="168" t="s">
        <v>162</v>
      </c>
      <c r="AD209" s="168" t="s">
        <v>182</v>
      </c>
      <c r="AE209" s="168" t="s">
        <v>163</v>
      </c>
      <c r="AF209" s="168" t="s">
        <v>163</v>
      </c>
      <c r="AG209" s="168" t="s">
        <v>163</v>
      </c>
      <c r="AH209" s="168" t="str">
        <f t="shared" si="19"/>
        <v>Refrigerator-Compact-Automatic-Yes-No-No-No</v>
      </c>
      <c r="AI209" s="168" t="s">
        <v>329</v>
      </c>
      <c r="AJ209" s="168">
        <v>9.17</v>
      </c>
      <c r="AK209" s="169">
        <v>259.3</v>
      </c>
      <c r="AL209" s="169">
        <f t="shared" si="20"/>
        <v>294.14600000000002</v>
      </c>
      <c r="AM209" s="168">
        <f t="shared" si="21"/>
        <v>358</v>
      </c>
      <c r="AN209" s="168">
        <f t="shared" si="22"/>
        <v>270</v>
      </c>
      <c r="AO209" s="164" t="str">
        <f t="shared" si="23"/>
        <v>Yes</v>
      </c>
      <c r="AP209" s="164">
        <f t="shared" si="24"/>
        <v>88</v>
      </c>
    </row>
    <row r="210" spans="2:42">
      <c r="B210" s="164">
        <v>2210433</v>
      </c>
      <c r="C210" s="164" t="s">
        <v>786</v>
      </c>
      <c r="D210" s="164" t="s">
        <v>793</v>
      </c>
      <c r="E210" s="164"/>
      <c r="F210" s="164" t="s">
        <v>194</v>
      </c>
      <c r="G210" s="164" t="s">
        <v>188</v>
      </c>
      <c r="H210" s="164" t="s">
        <v>182</v>
      </c>
      <c r="I210" s="164" t="s">
        <v>163</v>
      </c>
      <c r="J210" s="164" t="s">
        <v>163</v>
      </c>
      <c r="K210" s="164" t="s">
        <v>163</v>
      </c>
      <c r="L210" s="164" t="s">
        <v>163</v>
      </c>
      <c r="M210" s="164">
        <v>33.9</v>
      </c>
      <c r="N210" s="164">
        <v>18.600000000000001</v>
      </c>
      <c r="O210" s="165">
        <v>3.3</v>
      </c>
      <c r="P210" s="165">
        <v>3.3</v>
      </c>
      <c r="Q210" s="164">
        <v>220</v>
      </c>
      <c r="R210" s="164">
        <v>282</v>
      </c>
      <c r="S210" s="166">
        <v>0.22</v>
      </c>
      <c r="T210" s="164" t="s">
        <v>163</v>
      </c>
      <c r="U210" s="164"/>
      <c r="V210" s="167">
        <v>41760</v>
      </c>
      <c r="W210" s="167">
        <v>41718</v>
      </c>
      <c r="X210" s="164" t="s">
        <v>506</v>
      </c>
      <c r="Y210" s="164" t="s">
        <v>794</v>
      </c>
      <c r="Z210" s="164" t="s">
        <v>163</v>
      </c>
      <c r="AA210" s="168" t="s">
        <v>184</v>
      </c>
      <c r="AB210" s="168" t="s">
        <v>194</v>
      </c>
      <c r="AC210" s="168" t="s">
        <v>188</v>
      </c>
      <c r="AD210" s="168" t="s">
        <v>182</v>
      </c>
      <c r="AE210" s="168" t="s">
        <v>163</v>
      </c>
      <c r="AF210" s="168" t="s">
        <v>163</v>
      </c>
      <c r="AG210" s="168" t="s">
        <v>163</v>
      </c>
      <c r="AH210" s="168" t="str">
        <f t="shared" si="19"/>
        <v>Refrigerator-Compact-Manual-Yes-No-No-No</v>
      </c>
      <c r="AI210" s="168" t="s">
        <v>315</v>
      </c>
      <c r="AJ210" s="168">
        <v>7.84</v>
      </c>
      <c r="AK210" s="169">
        <v>219.1</v>
      </c>
      <c r="AL210" s="169">
        <f t="shared" si="20"/>
        <v>244.97199999999998</v>
      </c>
      <c r="AM210" s="168">
        <f t="shared" si="21"/>
        <v>282</v>
      </c>
      <c r="AN210" s="168">
        <f t="shared" si="22"/>
        <v>220</v>
      </c>
      <c r="AO210" s="164" t="str">
        <f t="shared" si="23"/>
        <v>Yes</v>
      </c>
      <c r="AP210" s="164">
        <f t="shared" si="24"/>
        <v>62</v>
      </c>
    </row>
    <row r="211" spans="2:42">
      <c r="B211" s="164">
        <v>2210434</v>
      </c>
      <c r="C211" s="164" t="s">
        <v>786</v>
      </c>
      <c r="D211" s="164" t="s">
        <v>795</v>
      </c>
      <c r="E211" s="164"/>
      <c r="F211" s="164" t="s">
        <v>194</v>
      </c>
      <c r="G211" s="164" t="s">
        <v>188</v>
      </c>
      <c r="H211" s="164" t="s">
        <v>182</v>
      </c>
      <c r="I211" s="164" t="s">
        <v>163</v>
      </c>
      <c r="J211" s="164" t="s">
        <v>163</v>
      </c>
      <c r="K211" s="164" t="s">
        <v>163</v>
      </c>
      <c r="L211" s="164" t="s">
        <v>163</v>
      </c>
      <c r="M211" s="164">
        <v>33.9</v>
      </c>
      <c r="N211" s="164">
        <v>19.7</v>
      </c>
      <c r="O211" s="165">
        <v>4.4000000000000004</v>
      </c>
      <c r="P211" s="165">
        <v>4.4000000000000004</v>
      </c>
      <c r="Q211" s="164">
        <v>226</v>
      </c>
      <c r="R211" s="164">
        <v>292</v>
      </c>
      <c r="S211" s="166">
        <v>0.23</v>
      </c>
      <c r="T211" s="164" t="s">
        <v>163</v>
      </c>
      <c r="U211" s="164"/>
      <c r="V211" s="167">
        <v>41760</v>
      </c>
      <c r="W211" s="167">
        <v>41718</v>
      </c>
      <c r="X211" s="164" t="s">
        <v>506</v>
      </c>
      <c r="Y211" s="164" t="s">
        <v>796</v>
      </c>
      <c r="Z211" s="164" t="s">
        <v>163</v>
      </c>
      <c r="AA211" s="168" t="s">
        <v>184</v>
      </c>
      <c r="AB211" s="168" t="s">
        <v>194</v>
      </c>
      <c r="AC211" s="168" t="s">
        <v>188</v>
      </c>
      <c r="AD211" s="168" t="s">
        <v>182</v>
      </c>
      <c r="AE211" s="168" t="s">
        <v>163</v>
      </c>
      <c r="AF211" s="168" t="s">
        <v>163</v>
      </c>
      <c r="AG211" s="168" t="s">
        <v>163</v>
      </c>
      <c r="AH211" s="168" t="str">
        <f t="shared" si="19"/>
        <v>Refrigerator-Compact-Manual-Yes-No-No-No</v>
      </c>
      <c r="AI211" s="168" t="s">
        <v>315</v>
      </c>
      <c r="AJ211" s="168">
        <v>7.84</v>
      </c>
      <c r="AK211" s="169">
        <v>219.1</v>
      </c>
      <c r="AL211" s="169">
        <f t="shared" si="20"/>
        <v>253.596</v>
      </c>
      <c r="AM211" s="168">
        <f t="shared" si="21"/>
        <v>292</v>
      </c>
      <c r="AN211" s="168">
        <f t="shared" si="22"/>
        <v>226</v>
      </c>
      <c r="AO211" s="164" t="str">
        <f t="shared" si="23"/>
        <v>Yes</v>
      </c>
      <c r="AP211" s="164">
        <f t="shared" si="24"/>
        <v>66</v>
      </c>
    </row>
    <row r="212" spans="2:42">
      <c r="B212" s="164">
        <v>2219527</v>
      </c>
      <c r="C212" s="164" t="s">
        <v>170</v>
      </c>
      <c r="D212" s="164" t="s">
        <v>797</v>
      </c>
      <c r="E212" s="164"/>
      <c r="F212" s="164" t="s">
        <v>193</v>
      </c>
      <c r="G212" s="164" t="s">
        <v>162</v>
      </c>
      <c r="H212" s="164" t="s">
        <v>163</v>
      </c>
      <c r="I212" s="164" t="s">
        <v>163</v>
      </c>
      <c r="J212" s="164" t="s">
        <v>163</v>
      </c>
      <c r="K212" s="164" t="s">
        <v>163</v>
      </c>
      <c r="L212" s="164" t="s">
        <v>163</v>
      </c>
      <c r="M212" s="164">
        <v>69</v>
      </c>
      <c r="N212" s="164">
        <v>29.6</v>
      </c>
      <c r="O212" s="165">
        <v>20.399999999999999</v>
      </c>
      <c r="P212" s="165">
        <v>24.3</v>
      </c>
      <c r="Q212" s="164">
        <v>386</v>
      </c>
      <c r="R212" s="164">
        <v>430</v>
      </c>
      <c r="S212" s="166">
        <v>0.1</v>
      </c>
      <c r="T212" s="164" t="s">
        <v>163</v>
      </c>
      <c r="U212" s="164"/>
      <c r="V212" s="167">
        <v>41897</v>
      </c>
      <c r="W212" s="167">
        <v>41897</v>
      </c>
      <c r="X212" s="164" t="s">
        <v>387</v>
      </c>
      <c r="Y212" s="164" t="s">
        <v>798</v>
      </c>
      <c r="Z212" s="164" t="s">
        <v>163</v>
      </c>
      <c r="AA212" s="168" t="s">
        <v>184</v>
      </c>
      <c r="AB212" s="168" t="s">
        <v>193</v>
      </c>
      <c r="AC212" s="168" t="s">
        <v>162</v>
      </c>
      <c r="AD212" s="168" t="s">
        <v>163</v>
      </c>
      <c r="AE212" s="168" t="s">
        <v>163</v>
      </c>
      <c r="AF212" s="168" t="s">
        <v>163</v>
      </c>
      <c r="AG212" s="168" t="s">
        <v>163</v>
      </c>
      <c r="AH212" s="168" t="str">
        <f t="shared" si="19"/>
        <v>Refrigerator-Top Freezer-Automatic-No-No-No-No</v>
      </c>
      <c r="AI212" s="168">
        <v>3</v>
      </c>
      <c r="AJ212" s="168">
        <v>8.07</v>
      </c>
      <c r="AK212" s="169">
        <v>233.7</v>
      </c>
      <c r="AL212" s="169">
        <f t="shared" si="20"/>
        <v>429.80099999999999</v>
      </c>
      <c r="AM212" s="168">
        <f t="shared" si="21"/>
        <v>430</v>
      </c>
      <c r="AN212" s="168">
        <f t="shared" si="22"/>
        <v>386</v>
      </c>
      <c r="AO212" s="164" t="str">
        <f t="shared" si="23"/>
        <v>Yes</v>
      </c>
      <c r="AP212" s="164">
        <f t="shared" si="24"/>
        <v>44</v>
      </c>
    </row>
    <row r="213" spans="2:42">
      <c r="B213" s="164">
        <v>2219528</v>
      </c>
      <c r="C213" s="164" t="s">
        <v>170</v>
      </c>
      <c r="D213" s="164" t="s">
        <v>797</v>
      </c>
      <c r="E213" s="164"/>
      <c r="F213" s="164" t="s">
        <v>193</v>
      </c>
      <c r="G213" s="164" t="s">
        <v>162</v>
      </c>
      <c r="H213" s="164" t="s">
        <v>163</v>
      </c>
      <c r="I213" s="164" t="s">
        <v>163</v>
      </c>
      <c r="J213" s="164" t="s">
        <v>163</v>
      </c>
      <c r="K213" s="164" t="s">
        <v>182</v>
      </c>
      <c r="L213" s="164" t="s">
        <v>163</v>
      </c>
      <c r="M213" s="164">
        <v>69</v>
      </c>
      <c r="N213" s="164">
        <v>29.6</v>
      </c>
      <c r="O213" s="165">
        <v>20.399999999999999</v>
      </c>
      <c r="P213" s="165">
        <v>24.3</v>
      </c>
      <c r="Q213" s="164">
        <v>462</v>
      </c>
      <c r="R213" s="164">
        <v>514</v>
      </c>
      <c r="S213" s="166">
        <v>0.1</v>
      </c>
      <c r="T213" s="164" t="s">
        <v>163</v>
      </c>
      <c r="U213" s="164"/>
      <c r="V213" s="167">
        <v>41897</v>
      </c>
      <c r="W213" s="167">
        <v>41897</v>
      </c>
      <c r="X213" s="164" t="s">
        <v>387</v>
      </c>
      <c r="Y213" s="164" t="s">
        <v>799</v>
      </c>
      <c r="Z213" s="164" t="s">
        <v>163</v>
      </c>
      <c r="AA213" s="168" t="s">
        <v>184</v>
      </c>
      <c r="AB213" s="168" t="s">
        <v>193</v>
      </c>
      <c r="AC213" s="168" t="s">
        <v>162</v>
      </c>
      <c r="AD213" s="168" t="s">
        <v>163</v>
      </c>
      <c r="AE213" s="168" t="s">
        <v>163</v>
      </c>
      <c r="AF213" s="168" t="s">
        <v>163</v>
      </c>
      <c r="AG213" s="168" t="s">
        <v>182</v>
      </c>
      <c r="AH213" s="168" t="str">
        <f t="shared" si="19"/>
        <v>Refrigerator-Top Freezer-Automatic-No-No-No-Yes</v>
      </c>
      <c r="AI213" s="168" t="s">
        <v>223</v>
      </c>
      <c r="AJ213" s="168">
        <v>8.07</v>
      </c>
      <c r="AK213" s="169">
        <v>317.7</v>
      </c>
      <c r="AL213" s="169">
        <f t="shared" si="20"/>
        <v>513.80099999999993</v>
      </c>
      <c r="AM213" s="168">
        <f t="shared" si="21"/>
        <v>514</v>
      </c>
      <c r="AN213" s="168">
        <f t="shared" si="22"/>
        <v>462</v>
      </c>
      <c r="AO213" s="164" t="str">
        <f t="shared" si="23"/>
        <v>Yes</v>
      </c>
      <c r="AP213" s="164">
        <f t="shared" si="24"/>
        <v>52</v>
      </c>
    </row>
    <row r="214" spans="2:42">
      <c r="B214" s="164">
        <v>2216162</v>
      </c>
      <c r="C214" s="164" t="s">
        <v>170</v>
      </c>
      <c r="D214" s="164" t="s">
        <v>800</v>
      </c>
      <c r="E214" s="164"/>
      <c r="F214" s="164" t="s">
        <v>193</v>
      </c>
      <c r="G214" s="164" t="s">
        <v>162</v>
      </c>
      <c r="H214" s="164" t="s">
        <v>163</v>
      </c>
      <c r="I214" s="164" t="s">
        <v>163</v>
      </c>
      <c r="J214" s="164" t="s">
        <v>163</v>
      </c>
      <c r="K214" s="164" t="s">
        <v>182</v>
      </c>
      <c r="L214" s="164" t="s">
        <v>163</v>
      </c>
      <c r="M214" s="164">
        <v>60.1</v>
      </c>
      <c r="N214" s="164">
        <v>28</v>
      </c>
      <c r="O214" s="165">
        <v>14.6</v>
      </c>
      <c r="P214" s="165">
        <v>17.3</v>
      </c>
      <c r="Q214" s="164">
        <v>412</v>
      </c>
      <c r="R214" s="164">
        <v>457</v>
      </c>
      <c r="S214" s="166">
        <v>0.1</v>
      </c>
      <c r="T214" s="164" t="s">
        <v>163</v>
      </c>
      <c r="U214" s="164"/>
      <c r="V214" s="167">
        <v>41832</v>
      </c>
      <c r="W214" s="167">
        <v>41837</v>
      </c>
      <c r="X214" s="164" t="s">
        <v>387</v>
      </c>
      <c r="Y214" s="164" t="s">
        <v>801</v>
      </c>
      <c r="Z214" s="164" t="s">
        <v>163</v>
      </c>
      <c r="AA214" s="168" t="s">
        <v>184</v>
      </c>
      <c r="AB214" s="168" t="s">
        <v>193</v>
      </c>
      <c r="AC214" s="168" t="s">
        <v>162</v>
      </c>
      <c r="AD214" s="168" t="s">
        <v>163</v>
      </c>
      <c r="AE214" s="168" t="s">
        <v>163</v>
      </c>
      <c r="AF214" s="168" t="s">
        <v>163</v>
      </c>
      <c r="AG214" s="168" t="s">
        <v>182</v>
      </c>
      <c r="AH214" s="168" t="str">
        <f t="shared" si="19"/>
        <v>Refrigerator-Top Freezer-Automatic-No-No-No-Yes</v>
      </c>
      <c r="AI214" s="168" t="s">
        <v>223</v>
      </c>
      <c r="AJ214" s="168">
        <v>8.07</v>
      </c>
      <c r="AK214" s="169">
        <v>317.7</v>
      </c>
      <c r="AL214" s="169">
        <f t="shared" si="20"/>
        <v>457.31100000000004</v>
      </c>
      <c r="AM214" s="168">
        <f t="shared" si="21"/>
        <v>457</v>
      </c>
      <c r="AN214" s="168">
        <f t="shared" si="22"/>
        <v>412</v>
      </c>
      <c r="AO214" s="164" t="str">
        <f t="shared" si="23"/>
        <v>Yes</v>
      </c>
      <c r="AP214" s="164">
        <f t="shared" si="24"/>
        <v>45</v>
      </c>
    </row>
    <row r="215" spans="2:42">
      <c r="B215" s="164">
        <v>2216166</v>
      </c>
      <c r="C215" s="164" t="s">
        <v>170</v>
      </c>
      <c r="D215" s="164" t="s">
        <v>800</v>
      </c>
      <c r="E215" s="164"/>
      <c r="F215" s="164" t="s">
        <v>193</v>
      </c>
      <c r="G215" s="164" t="s">
        <v>162</v>
      </c>
      <c r="H215" s="164" t="s">
        <v>163</v>
      </c>
      <c r="I215" s="164" t="s">
        <v>163</v>
      </c>
      <c r="J215" s="164" t="s">
        <v>163</v>
      </c>
      <c r="K215" s="164" t="s">
        <v>163</v>
      </c>
      <c r="L215" s="164" t="s">
        <v>163</v>
      </c>
      <c r="M215" s="164">
        <v>60.1</v>
      </c>
      <c r="N215" s="164">
        <v>28</v>
      </c>
      <c r="O215" s="165">
        <v>14.6</v>
      </c>
      <c r="P215" s="165">
        <v>17.3</v>
      </c>
      <c r="Q215" s="164">
        <v>336</v>
      </c>
      <c r="R215" s="164">
        <v>373</v>
      </c>
      <c r="S215" s="166">
        <v>0.1</v>
      </c>
      <c r="T215" s="164" t="s">
        <v>163</v>
      </c>
      <c r="U215" s="164"/>
      <c r="V215" s="167">
        <v>41832</v>
      </c>
      <c r="W215" s="167">
        <v>41837</v>
      </c>
      <c r="X215" s="164" t="s">
        <v>387</v>
      </c>
      <c r="Y215" s="164" t="s">
        <v>802</v>
      </c>
      <c r="Z215" s="164" t="s">
        <v>163</v>
      </c>
      <c r="AA215" s="168" t="s">
        <v>184</v>
      </c>
      <c r="AB215" s="168" t="s">
        <v>193</v>
      </c>
      <c r="AC215" s="168" t="s">
        <v>162</v>
      </c>
      <c r="AD215" s="168" t="s">
        <v>163</v>
      </c>
      <c r="AE215" s="168" t="s">
        <v>163</v>
      </c>
      <c r="AF215" s="168" t="s">
        <v>163</v>
      </c>
      <c r="AG215" s="168" t="s">
        <v>163</v>
      </c>
      <c r="AH215" s="168" t="str">
        <f t="shared" si="19"/>
        <v>Refrigerator-Top Freezer-Automatic-No-No-No-No</v>
      </c>
      <c r="AI215" s="168">
        <v>3</v>
      </c>
      <c r="AJ215" s="168">
        <v>8.07</v>
      </c>
      <c r="AK215" s="169">
        <v>233.7</v>
      </c>
      <c r="AL215" s="169">
        <f t="shared" si="20"/>
        <v>373.31100000000004</v>
      </c>
      <c r="AM215" s="168">
        <f t="shared" si="21"/>
        <v>373</v>
      </c>
      <c r="AN215" s="168">
        <f t="shared" si="22"/>
        <v>336</v>
      </c>
      <c r="AO215" s="164" t="str">
        <f t="shared" si="23"/>
        <v>Yes</v>
      </c>
      <c r="AP215" s="164">
        <f t="shared" si="24"/>
        <v>37</v>
      </c>
    </row>
    <row r="216" spans="2:42">
      <c r="B216" s="164">
        <v>2216156</v>
      </c>
      <c r="C216" s="164" t="s">
        <v>170</v>
      </c>
      <c r="D216" s="164" t="s">
        <v>803</v>
      </c>
      <c r="E216" s="164"/>
      <c r="F216" s="164" t="s">
        <v>193</v>
      </c>
      <c r="G216" s="164" t="s">
        <v>162</v>
      </c>
      <c r="H216" s="164" t="s">
        <v>163</v>
      </c>
      <c r="I216" s="164" t="s">
        <v>163</v>
      </c>
      <c r="J216" s="164" t="s">
        <v>163</v>
      </c>
      <c r="K216" s="164" t="s">
        <v>163</v>
      </c>
      <c r="L216" s="164" t="s">
        <v>163</v>
      </c>
      <c r="M216" s="164">
        <v>65.099999999999994</v>
      </c>
      <c r="N216" s="164">
        <v>28</v>
      </c>
      <c r="O216" s="165">
        <v>16.3</v>
      </c>
      <c r="P216" s="165">
        <v>19.100000000000001</v>
      </c>
      <c r="Q216" s="164">
        <v>348</v>
      </c>
      <c r="R216" s="164">
        <v>388</v>
      </c>
      <c r="S216" s="166">
        <v>0.1</v>
      </c>
      <c r="T216" s="164" t="s">
        <v>163</v>
      </c>
      <c r="U216" s="164"/>
      <c r="V216" s="167">
        <v>41834</v>
      </c>
      <c r="W216" s="167">
        <v>41837</v>
      </c>
      <c r="X216" s="164" t="s">
        <v>387</v>
      </c>
      <c r="Y216" s="164" t="s">
        <v>804</v>
      </c>
      <c r="Z216" s="164" t="s">
        <v>163</v>
      </c>
      <c r="AA216" s="168" t="s">
        <v>184</v>
      </c>
      <c r="AB216" s="168" t="s">
        <v>193</v>
      </c>
      <c r="AC216" s="168" t="s">
        <v>162</v>
      </c>
      <c r="AD216" s="168" t="s">
        <v>163</v>
      </c>
      <c r="AE216" s="168" t="s">
        <v>163</v>
      </c>
      <c r="AF216" s="168" t="s">
        <v>163</v>
      </c>
      <c r="AG216" s="168" t="s">
        <v>163</v>
      </c>
      <c r="AH216" s="168" t="str">
        <f t="shared" si="19"/>
        <v>Refrigerator-Top Freezer-Automatic-No-No-No-No</v>
      </c>
      <c r="AI216" s="168">
        <v>3</v>
      </c>
      <c r="AJ216" s="168">
        <v>8.07</v>
      </c>
      <c r="AK216" s="169">
        <v>233.7</v>
      </c>
      <c r="AL216" s="169">
        <f t="shared" si="20"/>
        <v>387.83699999999999</v>
      </c>
      <c r="AM216" s="168">
        <f t="shared" si="21"/>
        <v>388</v>
      </c>
      <c r="AN216" s="168">
        <f t="shared" si="22"/>
        <v>348</v>
      </c>
      <c r="AO216" s="164" t="str">
        <f t="shared" si="23"/>
        <v>Yes</v>
      </c>
      <c r="AP216" s="164">
        <f t="shared" si="24"/>
        <v>40</v>
      </c>
    </row>
    <row r="217" spans="2:42">
      <c r="B217" s="164">
        <v>2216159</v>
      </c>
      <c r="C217" s="164" t="s">
        <v>170</v>
      </c>
      <c r="D217" s="164" t="s">
        <v>803</v>
      </c>
      <c r="E217" s="164"/>
      <c r="F217" s="164" t="s">
        <v>193</v>
      </c>
      <c r="G217" s="164" t="s">
        <v>162</v>
      </c>
      <c r="H217" s="164" t="s">
        <v>163</v>
      </c>
      <c r="I217" s="164" t="s">
        <v>163</v>
      </c>
      <c r="J217" s="164" t="s">
        <v>163</v>
      </c>
      <c r="K217" s="164" t="s">
        <v>182</v>
      </c>
      <c r="L217" s="164" t="s">
        <v>163</v>
      </c>
      <c r="M217" s="164">
        <v>65.099999999999994</v>
      </c>
      <c r="N217" s="164">
        <v>28</v>
      </c>
      <c r="O217" s="165">
        <v>16.3</v>
      </c>
      <c r="P217" s="165">
        <v>19.100000000000001</v>
      </c>
      <c r="Q217" s="164">
        <v>424</v>
      </c>
      <c r="R217" s="164">
        <v>472</v>
      </c>
      <c r="S217" s="166">
        <v>0.1</v>
      </c>
      <c r="T217" s="164" t="s">
        <v>163</v>
      </c>
      <c r="U217" s="164"/>
      <c r="V217" s="167">
        <v>41834</v>
      </c>
      <c r="W217" s="167">
        <v>41837</v>
      </c>
      <c r="X217" s="164" t="s">
        <v>387</v>
      </c>
      <c r="Y217" s="164" t="s">
        <v>805</v>
      </c>
      <c r="Z217" s="164" t="s">
        <v>163</v>
      </c>
      <c r="AA217" s="168" t="s">
        <v>184</v>
      </c>
      <c r="AB217" s="168" t="s">
        <v>193</v>
      </c>
      <c r="AC217" s="168" t="s">
        <v>162</v>
      </c>
      <c r="AD217" s="168" t="s">
        <v>163</v>
      </c>
      <c r="AE217" s="168" t="s">
        <v>163</v>
      </c>
      <c r="AF217" s="168" t="s">
        <v>163</v>
      </c>
      <c r="AG217" s="168" t="s">
        <v>182</v>
      </c>
      <c r="AH217" s="168" t="str">
        <f t="shared" si="19"/>
        <v>Refrigerator-Top Freezer-Automatic-No-No-No-Yes</v>
      </c>
      <c r="AI217" s="168" t="s">
        <v>223</v>
      </c>
      <c r="AJ217" s="168">
        <v>8.07</v>
      </c>
      <c r="AK217" s="169">
        <v>317.7</v>
      </c>
      <c r="AL217" s="169">
        <f t="shared" si="20"/>
        <v>471.83699999999999</v>
      </c>
      <c r="AM217" s="168">
        <f t="shared" si="21"/>
        <v>472</v>
      </c>
      <c r="AN217" s="168">
        <f t="shared" si="22"/>
        <v>424</v>
      </c>
      <c r="AO217" s="164" t="str">
        <f t="shared" si="23"/>
        <v>Yes</v>
      </c>
      <c r="AP217" s="164">
        <f t="shared" si="24"/>
        <v>48</v>
      </c>
    </row>
    <row r="218" spans="2:42">
      <c r="B218" s="164">
        <v>2219159</v>
      </c>
      <c r="C218" s="164" t="s">
        <v>170</v>
      </c>
      <c r="D218" s="164" t="s">
        <v>806</v>
      </c>
      <c r="E218" s="164"/>
      <c r="F218" s="164" t="s">
        <v>193</v>
      </c>
      <c r="G218" s="164" t="s">
        <v>162</v>
      </c>
      <c r="H218" s="164" t="s">
        <v>163</v>
      </c>
      <c r="I218" s="164" t="s">
        <v>163</v>
      </c>
      <c r="J218" s="164" t="s">
        <v>163</v>
      </c>
      <c r="K218" s="164" t="s">
        <v>163</v>
      </c>
      <c r="L218" s="164" t="s">
        <v>163</v>
      </c>
      <c r="M218" s="164">
        <v>66.099999999999994</v>
      </c>
      <c r="N218" s="164">
        <v>29.6</v>
      </c>
      <c r="O218" s="165">
        <v>18.100000000000001</v>
      </c>
      <c r="P218" s="165">
        <v>21.1</v>
      </c>
      <c r="Q218" s="164">
        <v>363</v>
      </c>
      <c r="R218" s="164">
        <v>404</v>
      </c>
      <c r="S218" s="166">
        <v>0.1</v>
      </c>
      <c r="T218" s="164" t="s">
        <v>163</v>
      </c>
      <c r="U218" s="164"/>
      <c r="V218" s="167">
        <v>41857</v>
      </c>
      <c r="W218" s="167">
        <v>41889</v>
      </c>
      <c r="X218" s="164" t="s">
        <v>387</v>
      </c>
      <c r="Y218" s="164" t="s">
        <v>807</v>
      </c>
      <c r="Z218" s="164" t="s">
        <v>163</v>
      </c>
      <c r="AA218" s="168" t="s">
        <v>184</v>
      </c>
      <c r="AB218" s="168" t="s">
        <v>193</v>
      </c>
      <c r="AC218" s="168" t="s">
        <v>162</v>
      </c>
      <c r="AD218" s="168" t="s">
        <v>163</v>
      </c>
      <c r="AE218" s="168" t="s">
        <v>163</v>
      </c>
      <c r="AF218" s="168" t="s">
        <v>163</v>
      </c>
      <c r="AG218" s="168" t="s">
        <v>163</v>
      </c>
      <c r="AH218" s="168" t="str">
        <f t="shared" si="19"/>
        <v>Refrigerator-Top Freezer-Automatic-No-No-No-No</v>
      </c>
      <c r="AI218" s="168">
        <v>3</v>
      </c>
      <c r="AJ218" s="168">
        <v>8.07</v>
      </c>
      <c r="AK218" s="169">
        <v>233.7</v>
      </c>
      <c r="AL218" s="169">
        <f t="shared" si="20"/>
        <v>403.97699999999998</v>
      </c>
      <c r="AM218" s="168">
        <f t="shared" si="21"/>
        <v>404</v>
      </c>
      <c r="AN218" s="168">
        <f t="shared" si="22"/>
        <v>363</v>
      </c>
      <c r="AO218" s="164" t="str">
        <f t="shared" si="23"/>
        <v>Yes</v>
      </c>
      <c r="AP218" s="164">
        <f t="shared" si="24"/>
        <v>41</v>
      </c>
    </row>
    <row r="219" spans="2:42">
      <c r="B219" s="164">
        <v>2219162</v>
      </c>
      <c r="C219" s="164" t="s">
        <v>170</v>
      </c>
      <c r="D219" s="164" t="s">
        <v>806</v>
      </c>
      <c r="E219" s="164"/>
      <c r="F219" s="164" t="s">
        <v>193</v>
      </c>
      <c r="G219" s="164" t="s">
        <v>162</v>
      </c>
      <c r="H219" s="164" t="s">
        <v>163</v>
      </c>
      <c r="I219" s="164" t="s">
        <v>163</v>
      </c>
      <c r="J219" s="164" t="s">
        <v>163</v>
      </c>
      <c r="K219" s="164" t="s">
        <v>182</v>
      </c>
      <c r="L219" s="164" t="s">
        <v>163</v>
      </c>
      <c r="M219" s="164">
        <v>66.099999999999994</v>
      </c>
      <c r="N219" s="164">
        <v>29.6</v>
      </c>
      <c r="O219" s="165">
        <v>18.100000000000001</v>
      </c>
      <c r="P219" s="165">
        <v>21.1</v>
      </c>
      <c r="Q219" s="164">
        <v>439</v>
      </c>
      <c r="R219" s="164">
        <v>488</v>
      </c>
      <c r="S219" s="166">
        <v>0.1</v>
      </c>
      <c r="T219" s="164" t="s">
        <v>163</v>
      </c>
      <c r="U219" s="164"/>
      <c r="V219" s="167">
        <v>41857</v>
      </c>
      <c r="W219" s="167">
        <v>41889</v>
      </c>
      <c r="X219" s="164" t="s">
        <v>387</v>
      </c>
      <c r="Y219" s="164" t="s">
        <v>808</v>
      </c>
      <c r="Z219" s="164" t="s">
        <v>163</v>
      </c>
      <c r="AA219" s="168" t="s">
        <v>184</v>
      </c>
      <c r="AB219" s="168" t="s">
        <v>193</v>
      </c>
      <c r="AC219" s="168" t="s">
        <v>162</v>
      </c>
      <c r="AD219" s="168" t="s">
        <v>163</v>
      </c>
      <c r="AE219" s="168" t="s">
        <v>163</v>
      </c>
      <c r="AF219" s="168" t="s">
        <v>163</v>
      </c>
      <c r="AG219" s="168" t="s">
        <v>182</v>
      </c>
      <c r="AH219" s="168" t="str">
        <f t="shared" si="19"/>
        <v>Refrigerator-Top Freezer-Automatic-No-No-No-Yes</v>
      </c>
      <c r="AI219" s="168" t="s">
        <v>223</v>
      </c>
      <c r="AJ219" s="168">
        <v>8.07</v>
      </c>
      <c r="AK219" s="169">
        <v>317.7</v>
      </c>
      <c r="AL219" s="169">
        <f t="shared" si="20"/>
        <v>487.97699999999998</v>
      </c>
      <c r="AM219" s="168">
        <f t="shared" si="21"/>
        <v>488</v>
      </c>
      <c r="AN219" s="168">
        <f t="shared" si="22"/>
        <v>439</v>
      </c>
      <c r="AO219" s="164" t="str">
        <f t="shared" si="23"/>
        <v>Yes</v>
      </c>
      <c r="AP219" s="164">
        <f t="shared" si="24"/>
        <v>49</v>
      </c>
    </row>
    <row r="220" spans="2:42">
      <c r="B220" s="164">
        <v>2214557</v>
      </c>
      <c r="C220" s="164" t="s">
        <v>170</v>
      </c>
      <c r="D220" s="164" t="s">
        <v>809</v>
      </c>
      <c r="E220" s="164"/>
      <c r="F220" s="164" t="s">
        <v>191</v>
      </c>
      <c r="G220" s="164" t="s">
        <v>162</v>
      </c>
      <c r="H220" s="164" t="s">
        <v>163</v>
      </c>
      <c r="I220" s="164" t="s">
        <v>163</v>
      </c>
      <c r="J220" s="164" t="s">
        <v>182</v>
      </c>
      <c r="K220" s="164" t="s">
        <v>182</v>
      </c>
      <c r="L220" s="164" t="s">
        <v>163</v>
      </c>
      <c r="M220" s="164">
        <v>69.900000000000006</v>
      </c>
      <c r="N220" s="164">
        <v>35.6</v>
      </c>
      <c r="O220" s="165">
        <v>27.2</v>
      </c>
      <c r="P220" s="165">
        <v>33.799999999999997</v>
      </c>
      <c r="Q220" s="164">
        <v>709</v>
      </c>
      <c r="R220" s="164">
        <v>788</v>
      </c>
      <c r="S220" s="166">
        <v>0.1</v>
      </c>
      <c r="T220" s="164" t="s">
        <v>163</v>
      </c>
      <c r="U220" s="164"/>
      <c r="V220" s="167">
        <v>41821</v>
      </c>
      <c r="W220" s="167">
        <v>41823</v>
      </c>
      <c r="X220" s="164" t="s">
        <v>387</v>
      </c>
      <c r="Y220" s="164" t="s">
        <v>810</v>
      </c>
      <c r="Z220" s="164" t="s">
        <v>163</v>
      </c>
      <c r="AA220" s="168" t="s">
        <v>184</v>
      </c>
      <c r="AB220" s="168" t="s">
        <v>191</v>
      </c>
      <c r="AC220" s="168" t="s">
        <v>162</v>
      </c>
      <c r="AD220" s="168" t="s">
        <v>163</v>
      </c>
      <c r="AE220" s="168" t="s">
        <v>163</v>
      </c>
      <c r="AF220" s="168" t="s">
        <v>182</v>
      </c>
      <c r="AG220" s="168" t="s">
        <v>182</v>
      </c>
      <c r="AH220" s="168" t="str">
        <f t="shared" si="19"/>
        <v>Refrigerator-Bottom Freezer-Automatic-No-No-Yes-Yes</v>
      </c>
      <c r="AI220" s="168" t="s">
        <v>269</v>
      </c>
      <c r="AJ220" s="168">
        <v>9.25</v>
      </c>
      <c r="AK220" s="169">
        <v>475.4</v>
      </c>
      <c r="AL220" s="169">
        <f t="shared" si="20"/>
        <v>788.05</v>
      </c>
      <c r="AM220" s="168">
        <f t="shared" si="21"/>
        <v>788</v>
      </c>
      <c r="AN220" s="168">
        <f t="shared" si="22"/>
        <v>709</v>
      </c>
      <c r="AO220" s="164" t="str">
        <f t="shared" si="23"/>
        <v>Yes</v>
      </c>
      <c r="AP220" s="164">
        <f t="shared" si="24"/>
        <v>79</v>
      </c>
    </row>
    <row r="221" spans="2:42">
      <c r="B221" s="164">
        <v>2214695</v>
      </c>
      <c r="C221" s="164" t="s">
        <v>170</v>
      </c>
      <c r="D221" s="164" t="s">
        <v>811</v>
      </c>
      <c r="E221" s="164"/>
      <c r="F221" s="164" t="s">
        <v>191</v>
      </c>
      <c r="G221" s="164" t="s">
        <v>162</v>
      </c>
      <c r="H221" s="164" t="s">
        <v>163</v>
      </c>
      <c r="I221" s="164" t="s">
        <v>163</v>
      </c>
      <c r="J221" s="164" t="s">
        <v>182</v>
      </c>
      <c r="K221" s="164" t="s">
        <v>182</v>
      </c>
      <c r="L221" s="164" t="s">
        <v>163</v>
      </c>
      <c r="M221" s="164">
        <v>69.900000000000006</v>
      </c>
      <c r="N221" s="164">
        <v>35.6</v>
      </c>
      <c r="O221" s="165">
        <v>27.2</v>
      </c>
      <c r="P221" s="165">
        <v>33.799999999999997</v>
      </c>
      <c r="Q221" s="164">
        <v>709</v>
      </c>
      <c r="R221" s="164">
        <v>788</v>
      </c>
      <c r="S221" s="166">
        <v>0.1</v>
      </c>
      <c r="T221" s="164" t="s">
        <v>163</v>
      </c>
      <c r="U221" s="164"/>
      <c r="V221" s="167">
        <v>41821</v>
      </c>
      <c r="W221" s="167">
        <v>41827</v>
      </c>
      <c r="X221" s="164" t="s">
        <v>387</v>
      </c>
      <c r="Y221" s="164" t="s">
        <v>812</v>
      </c>
      <c r="Z221" s="164" t="s">
        <v>163</v>
      </c>
      <c r="AA221" s="168" t="s">
        <v>184</v>
      </c>
      <c r="AB221" s="168" t="s">
        <v>191</v>
      </c>
      <c r="AC221" s="168" t="s">
        <v>162</v>
      </c>
      <c r="AD221" s="168" t="s">
        <v>163</v>
      </c>
      <c r="AE221" s="168" t="s">
        <v>163</v>
      </c>
      <c r="AF221" s="168" t="s">
        <v>182</v>
      </c>
      <c r="AG221" s="168" t="s">
        <v>182</v>
      </c>
      <c r="AH221" s="168" t="str">
        <f t="shared" si="19"/>
        <v>Refrigerator-Bottom Freezer-Automatic-No-No-Yes-Yes</v>
      </c>
      <c r="AI221" s="168" t="s">
        <v>269</v>
      </c>
      <c r="AJ221" s="168">
        <v>9.25</v>
      </c>
      <c r="AK221" s="169">
        <v>475.4</v>
      </c>
      <c r="AL221" s="169">
        <f t="shared" si="20"/>
        <v>788.05</v>
      </c>
      <c r="AM221" s="168">
        <f t="shared" si="21"/>
        <v>788</v>
      </c>
      <c r="AN221" s="168">
        <f t="shared" si="22"/>
        <v>709</v>
      </c>
      <c r="AO221" s="164" t="str">
        <f t="shared" si="23"/>
        <v>Yes</v>
      </c>
      <c r="AP221" s="164">
        <f t="shared" si="24"/>
        <v>79</v>
      </c>
    </row>
    <row r="222" spans="2:42">
      <c r="B222" s="164">
        <v>2216731</v>
      </c>
      <c r="C222" s="164" t="s">
        <v>170</v>
      </c>
      <c r="D222" s="164" t="s">
        <v>813</v>
      </c>
      <c r="E222" s="164"/>
      <c r="F222" s="164" t="s">
        <v>191</v>
      </c>
      <c r="G222" s="164" t="s">
        <v>162</v>
      </c>
      <c r="H222" s="164" t="s">
        <v>163</v>
      </c>
      <c r="I222" s="164" t="s">
        <v>163</v>
      </c>
      <c r="J222" s="164" t="s">
        <v>163</v>
      </c>
      <c r="K222" s="164" t="s">
        <v>182</v>
      </c>
      <c r="L222" s="164" t="s">
        <v>163</v>
      </c>
      <c r="M222" s="164">
        <v>69.900000000000006</v>
      </c>
      <c r="N222" s="164">
        <v>35.6</v>
      </c>
      <c r="O222" s="165">
        <v>27.6</v>
      </c>
      <c r="P222" s="165">
        <v>34.299999999999997</v>
      </c>
      <c r="Q222" s="164">
        <v>634</v>
      </c>
      <c r="R222" s="164">
        <v>705</v>
      </c>
      <c r="S222" s="166">
        <v>0.1</v>
      </c>
      <c r="T222" s="164" t="s">
        <v>163</v>
      </c>
      <c r="U222" s="164"/>
      <c r="V222" s="167">
        <v>41805</v>
      </c>
      <c r="W222" s="167">
        <v>41850</v>
      </c>
      <c r="X222" s="164" t="s">
        <v>387</v>
      </c>
      <c r="Y222" s="164" t="s">
        <v>814</v>
      </c>
      <c r="Z222" s="164" t="s">
        <v>163</v>
      </c>
      <c r="AA222" s="168" t="s">
        <v>184</v>
      </c>
      <c r="AB222" s="168" t="s">
        <v>191</v>
      </c>
      <c r="AC222" s="168" t="s">
        <v>162</v>
      </c>
      <c r="AD222" s="168" t="s">
        <v>163</v>
      </c>
      <c r="AE222" s="168" t="s">
        <v>163</v>
      </c>
      <c r="AF222" s="168" t="s">
        <v>163</v>
      </c>
      <c r="AG222" s="168" t="s">
        <v>182</v>
      </c>
      <c r="AH222" s="168" t="str">
        <f t="shared" si="19"/>
        <v>Refrigerator-Bottom Freezer-Automatic-No-No-No-Yes</v>
      </c>
      <c r="AI222" s="168" t="s">
        <v>261</v>
      </c>
      <c r="AJ222" s="168">
        <v>8.85</v>
      </c>
      <c r="AK222" s="169">
        <v>401</v>
      </c>
      <c r="AL222" s="169">
        <f t="shared" si="20"/>
        <v>704.55499999999995</v>
      </c>
      <c r="AM222" s="168">
        <f t="shared" si="21"/>
        <v>705</v>
      </c>
      <c r="AN222" s="168">
        <f t="shared" si="22"/>
        <v>634</v>
      </c>
      <c r="AO222" s="164" t="str">
        <f t="shared" si="23"/>
        <v>Yes</v>
      </c>
      <c r="AP222" s="164">
        <f t="shared" si="24"/>
        <v>71</v>
      </c>
    </row>
    <row r="223" spans="2:42">
      <c r="B223" s="164">
        <v>2216582</v>
      </c>
      <c r="C223" s="164" t="s">
        <v>170</v>
      </c>
      <c r="D223" s="164" t="s">
        <v>815</v>
      </c>
      <c r="E223" s="164"/>
      <c r="F223" s="164" t="s">
        <v>191</v>
      </c>
      <c r="G223" s="164" t="s">
        <v>162</v>
      </c>
      <c r="H223" s="164" t="s">
        <v>163</v>
      </c>
      <c r="I223" s="164" t="s">
        <v>163</v>
      </c>
      <c r="J223" s="164" t="s">
        <v>163</v>
      </c>
      <c r="K223" s="164" t="s">
        <v>182</v>
      </c>
      <c r="L223" s="164" t="s">
        <v>182</v>
      </c>
      <c r="M223" s="164">
        <v>69.900000000000006</v>
      </c>
      <c r="N223" s="164">
        <v>35.6</v>
      </c>
      <c r="O223" s="165">
        <v>22.4</v>
      </c>
      <c r="P223" s="165">
        <v>27.5</v>
      </c>
      <c r="Q223" s="164">
        <v>580</v>
      </c>
      <c r="R223" s="164">
        <v>644</v>
      </c>
      <c r="S223" s="166">
        <v>0.1</v>
      </c>
      <c r="T223" s="164" t="s">
        <v>163</v>
      </c>
      <c r="U223" s="164"/>
      <c r="V223" s="167">
        <v>41838</v>
      </c>
      <c r="W223" s="167">
        <v>41837</v>
      </c>
      <c r="X223" s="164" t="s">
        <v>387</v>
      </c>
      <c r="Y223" s="164" t="s">
        <v>816</v>
      </c>
      <c r="Z223" s="164" t="s">
        <v>163</v>
      </c>
      <c r="AA223" s="168" t="s">
        <v>184</v>
      </c>
      <c r="AB223" s="168" t="s">
        <v>191</v>
      </c>
      <c r="AC223" s="168" t="s">
        <v>162</v>
      </c>
      <c r="AD223" s="168" t="s">
        <v>163</v>
      </c>
      <c r="AE223" s="168" t="s">
        <v>163</v>
      </c>
      <c r="AF223" s="168" t="s">
        <v>163</v>
      </c>
      <c r="AG223" s="168" t="s">
        <v>182</v>
      </c>
      <c r="AH223" s="168" t="str">
        <f t="shared" si="19"/>
        <v>Refrigerator-Bottom Freezer-Automatic-No-No-No-Yes</v>
      </c>
      <c r="AI223" s="168" t="s">
        <v>261</v>
      </c>
      <c r="AJ223" s="168">
        <v>8.85</v>
      </c>
      <c r="AK223" s="169">
        <v>401</v>
      </c>
      <c r="AL223" s="169">
        <f t="shared" si="20"/>
        <v>644.375</v>
      </c>
      <c r="AM223" s="168">
        <f t="shared" si="21"/>
        <v>644</v>
      </c>
      <c r="AN223" s="168">
        <f t="shared" si="22"/>
        <v>580</v>
      </c>
      <c r="AO223" s="164" t="str">
        <f t="shared" si="23"/>
        <v>Yes</v>
      </c>
      <c r="AP223" s="164">
        <f t="shared" si="24"/>
        <v>64</v>
      </c>
    </row>
    <row r="224" spans="2:42">
      <c r="B224" s="164">
        <v>2214554</v>
      </c>
      <c r="C224" s="164" t="s">
        <v>170</v>
      </c>
      <c r="D224" s="164" t="s">
        <v>817</v>
      </c>
      <c r="E224" s="164"/>
      <c r="F224" s="164" t="s">
        <v>191</v>
      </c>
      <c r="G224" s="164" t="s">
        <v>162</v>
      </c>
      <c r="H224" s="164" t="s">
        <v>163</v>
      </c>
      <c r="I224" s="164" t="s">
        <v>163</v>
      </c>
      <c r="J224" s="164" t="s">
        <v>182</v>
      </c>
      <c r="K224" s="164" t="s">
        <v>182</v>
      </c>
      <c r="L224" s="164" t="s">
        <v>182</v>
      </c>
      <c r="M224" s="164">
        <v>69.900000000000006</v>
      </c>
      <c r="N224" s="164">
        <v>35.6</v>
      </c>
      <c r="O224" s="165">
        <v>21.9</v>
      </c>
      <c r="P224" s="165">
        <v>27.1</v>
      </c>
      <c r="Q224" s="164">
        <v>654</v>
      </c>
      <c r="R224" s="164">
        <v>726</v>
      </c>
      <c r="S224" s="166">
        <v>0.1</v>
      </c>
      <c r="T224" s="164" t="s">
        <v>163</v>
      </c>
      <c r="U224" s="164"/>
      <c r="V224" s="167">
        <v>41821</v>
      </c>
      <c r="W224" s="167">
        <v>41823</v>
      </c>
      <c r="X224" s="164" t="s">
        <v>387</v>
      </c>
      <c r="Y224" s="164" t="s">
        <v>818</v>
      </c>
      <c r="Z224" s="164" t="s">
        <v>163</v>
      </c>
      <c r="AA224" s="168" t="s">
        <v>184</v>
      </c>
      <c r="AB224" s="168" t="s">
        <v>191</v>
      </c>
      <c r="AC224" s="168" t="s">
        <v>162</v>
      </c>
      <c r="AD224" s="168" t="s">
        <v>163</v>
      </c>
      <c r="AE224" s="168" t="s">
        <v>163</v>
      </c>
      <c r="AF224" s="168" t="s">
        <v>182</v>
      </c>
      <c r="AG224" s="168" t="s">
        <v>182</v>
      </c>
      <c r="AH224" s="168" t="str">
        <f t="shared" si="19"/>
        <v>Refrigerator-Bottom Freezer-Automatic-No-No-Yes-Yes</v>
      </c>
      <c r="AI224" s="168" t="s">
        <v>269</v>
      </c>
      <c r="AJ224" s="168">
        <v>9.25</v>
      </c>
      <c r="AK224" s="169">
        <v>475.4</v>
      </c>
      <c r="AL224" s="169">
        <f t="shared" si="20"/>
        <v>726.07500000000005</v>
      </c>
      <c r="AM224" s="168">
        <f t="shared" si="21"/>
        <v>726</v>
      </c>
      <c r="AN224" s="168">
        <f t="shared" si="22"/>
        <v>654</v>
      </c>
      <c r="AO224" s="164" t="str">
        <f t="shared" si="23"/>
        <v>Yes</v>
      </c>
      <c r="AP224" s="164">
        <f t="shared" si="24"/>
        <v>72</v>
      </c>
    </row>
    <row r="225" spans="2:42">
      <c r="B225" s="164">
        <v>2214719</v>
      </c>
      <c r="C225" s="164" t="s">
        <v>170</v>
      </c>
      <c r="D225" s="164" t="s">
        <v>819</v>
      </c>
      <c r="E225" s="164"/>
      <c r="F225" s="164" t="s">
        <v>191</v>
      </c>
      <c r="G225" s="164" t="s">
        <v>162</v>
      </c>
      <c r="H225" s="164" t="s">
        <v>163</v>
      </c>
      <c r="I225" s="164" t="s">
        <v>163</v>
      </c>
      <c r="J225" s="164" t="s">
        <v>182</v>
      </c>
      <c r="K225" s="164" t="s">
        <v>182</v>
      </c>
      <c r="L225" s="164" t="s">
        <v>182</v>
      </c>
      <c r="M225" s="164">
        <v>69.900000000000006</v>
      </c>
      <c r="N225" s="164">
        <v>35.6</v>
      </c>
      <c r="O225" s="165">
        <v>21.9</v>
      </c>
      <c r="P225" s="165">
        <v>27.1</v>
      </c>
      <c r="Q225" s="164">
        <v>654</v>
      </c>
      <c r="R225" s="164">
        <v>726</v>
      </c>
      <c r="S225" s="166">
        <v>0.1</v>
      </c>
      <c r="T225" s="164" t="s">
        <v>163</v>
      </c>
      <c r="U225" s="164"/>
      <c r="V225" s="167">
        <v>41821</v>
      </c>
      <c r="W225" s="167">
        <v>41827</v>
      </c>
      <c r="X225" s="164" t="s">
        <v>387</v>
      </c>
      <c r="Y225" s="164" t="s">
        <v>820</v>
      </c>
      <c r="Z225" s="164" t="s">
        <v>163</v>
      </c>
      <c r="AA225" s="168" t="s">
        <v>184</v>
      </c>
      <c r="AB225" s="168" t="s">
        <v>191</v>
      </c>
      <c r="AC225" s="168" t="s">
        <v>162</v>
      </c>
      <c r="AD225" s="168" t="s">
        <v>163</v>
      </c>
      <c r="AE225" s="168" t="s">
        <v>163</v>
      </c>
      <c r="AF225" s="168" t="s">
        <v>182</v>
      </c>
      <c r="AG225" s="168" t="s">
        <v>182</v>
      </c>
      <c r="AH225" s="168" t="str">
        <f t="shared" si="19"/>
        <v>Refrigerator-Bottom Freezer-Automatic-No-No-Yes-Yes</v>
      </c>
      <c r="AI225" s="168" t="s">
        <v>269</v>
      </c>
      <c r="AJ225" s="168">
        <v>9.25</v>
      </c>
      <c r="AK225" s="169">
        <v>475.4</v>
      </c>
      <c r="AL225" s="169">
        <f t="shared" si="20"/>
        <v>726.07500000000005</v>
      </c>
      <c r="AM225" s="168">
        <f t="shared" si="21"/>
        <v>726</v>
      </c>
      <c r="AN225" s="168">
        <f t="shared" si="22"/>
        <v>654</v>
      </c>
      <c r="AO225" s="164" t="str">
        <f t="shared" si="23"/>
        <v>Yes</v>
      </c>
      <c r="AP225" s="164">
        <f t="shared" si="24"/>
        <v>72</v>
      </c>
    </row>
    <row r="226" spans="2:42">
      <c r="B226" s="164">
        <v>2219163</v>
      </c>
      <c r="C226" s="164" t="s">
        <v>170</v>
      </c>
      <c r="D226" s="164" t="s">
        <v>821</v>
      </c>
      <c r="E226" s="164"/>
      <c r="F226" s="164" t="s">
        <v>193</v>
      </c>
      <c r="G226" s="164" t="s">
        <v>162</v>
      </c>
      <c r="H226" s="164" t="s">
        <v>163</v>
      </c>
      <c r="I226" s="164" t="s">
        <v>163</v>
      </c>
      <c r="J226" s="164" t="s">
        <v>163</v>
      </c>
      <c r="K226" s="164" t="s">
        <v>182</v>
      </c>
      <c r="L226" s="164" t="s">
        <v>163</v>
      </c>
      <c r="M226" s="164">
        <v>66.099999999999994</v>
      </c>
      <c r="N226" s="164">
        <v>29.6</v>
      </c>
      <c r="O226" s="165">
        <v>18.100000000000001</v>
      </c>
      <c r="P226" s="165">
        <v>21.1</v>
      </c>
      <c r="Q226" s="164">
        <v>439</v>
      </c>
      <c r="R226" s="164">
        <v>488</v>
      </c>
      <c r="S226" s="166">
        <v>0.1</v>
      </c>
      <c r="T226" s="164" t="s">
        <v>163</v>
      </c>
      <c r="U226" s="164"/>
      <c r="V226" s="167">
        <v>41857</v>
      </c>
      <c r="W226" s="167">
        <v>41889</v>
      </c>
      <c r="X226" s="164" t="s">
        <v>387</v>
      </c>
      <c r="Y226" s="164" t="s">
        <v>822</v>
      </c>
      <c r="Z226" s="164" t="s">
        <v>163</v>
      </c>
      <c r="AA226" s="168" t="s">
        <v>184</v>
      </c>
      <c r="AB226" s="168" t="s">
        <v>193</v>
      </c>
      <c r="AC226" s="168" t="s">
        <v>162</v>
      </c>
      <c r="AD226" s="168" t="s">
        <v>163</v>
      </c>
      <c r="AE226" s="168" t="s">
        <v>163</v>
      </c>
      <c r="AF226" s="168" t="s">
        <v>163</v>
      </c>
      <c r="AG226" s="168" t="s">
        <v>182</v>
      </c>
      <c r="AH226" s="168" t="str">
        <f t="shared" si="19"/>
        <v>Refrigerator-Top Freezer-Automatic-No-No-No-Yes</v>
      </c>
      <c r="AI226" s="168" t="s">
        <v>223</v>
      </c>
      <c r="AJ226" s="168">
        <v>8.07</v>
      </c>
      <c r="AK226" s="169">
        <v>317.7</v>
      </c>
      <c r="AL226" s="169">
        <f t="shared" si="20"/>
        <v>487.97699999999998</v>
      </c>
      <c r="AM226" s="168">
        <f t="shared" si="21"/>
        <v>488</v>
      </c>
      <c r="AN226" s="168">
        <f t="shared" si="22"/>
        <v>439</v>
      </c>
      <c r="AO226" s="164" t="str">
        <f t="shared" si="23"/>
        <v>Yes</v>
      </c>
      <c r="AP226" s="164">
        <f t="shared" si="24"/>
        <v>49</v>
      </c>
    </row>
    <row r="227" spans="2:42">
      <c r="B227" s="164">
        <v>2216271</v>
      </c>
      <c r="C227" s="164" t="s">
        <v>170</v>
      </c>
      <c r="D227" s="164" t="s">
        <v>823</v>
      </c>
      <c r="E227" s="164"/>
      <c r="F227" s="164" t="s">
        <v>192</v>
      </c>
      <c r="G227" s="164" t="s">
        <v>162</v>
      </c>
      <c r="H227" s="164" t="s">
        <v>163</v>
      </c>
      <c r="I227" s="164" t="s">
        <v>163</v>
      </c>
      <c r="J227" s="164" t="s">
        <v>182</v>
      </c>
      <c r="K227" s="164" t="s">
        <v>182</v>
      </c>
      <c r="L227" s="164" t="s">
        <v>163</v>
      </c>
      <c r="M227" s="164">
        <v>67</v>
      </c>
      <c r="N227" s="164">
        <v>33</v>
      </c>
      <c r="O227" s="165">
        <v>21.9</v>
      </c>
      <c r="P227" s="165">
        <v>27.1</v>
      </c>
      <c r="Q227" s="164">
        <v>598</v>
      </c>
      <c r="R227" s="164">
        <v>664</v>
      </c>
      <c r="S227" s="166">
        <v>0.1</v>
      </c>
      <c r="T227" s="164" t="s">
        <v>163</v>
      </c>
      <c r="U227" s="164"/>
      <c r="V227" s="167">
        <v>41837</v>
      </c>
      <c r="W227" s="167">
        <v>41842</v>
      </c>
      <c r="X227" s="164" t="s">
        <v>387</v>
      </c>
      <c r="Y227" s="164" t="s">
        <v>824</v>
      </c>
      <c r="Z227" s="164" t="s">
        <v>163</v>
      </c>
      <c r="AA227" s="168" t="s">
        <v>184</v>
      </c>
      <c r="AB227" s="168" t="s">
        <v>192</v>
      </c>
      <c r="AC227" s="168" t="s">
        <v>162</v>
      </c>
      <c r="AD227" s="168" t="s">
        <v>163</v>
      </c>
      <c r="AE227" s="168" t="s">
        <v>163</v>
      </c>
      <c r="AF227" s="168" t="s">
        <v>182</v>
      </c>
      <c r="AG227" s="168" t="s">
        <v>182</v>
      </c>
      <c r="AH227" s="168" t="str">
        <f t="shared" si="19"/>
        <v>Refrigerator-Side-by-Side-Automatic-No-No-Yes-Yes</v>
      </c>
      <c r="AI227" s="168">
        <v>7</v>
      </c>
      <c r="AJ227" s="168">
        <v>8.5399999999999991</v>
      </c>
      <c r="AK227" s="169">
        <v>432.8</v>
      </c>
      <c r="AL227" s="169">
        <f t="shared" si="20"/>
        <v>664.23400000000004</v>
      </c>
      <c r="AM227" s="168">
        <f t="shared" si="21"/>
        <v>664</v>
      </c>
      <c r="AN227" s="168">
        <f t="shared" si="22"/>
        <v>598</v>
      </c>
      <c r="AO227" s="164" t="str">
        <f t="shared" si="23"/>
        <v>Yes</v>
      </c>
      <c r="AP227" s="164">
        <f t="shared" si="24"/>
        <v>66</v>
      </c>
    </row>
    <row r="228" spans="2:42">
      <c r="B228" s="164">
        <v>2214538</v>
      </c>
      <c r="C228" s="164" t="s">
        <v>170</v>
      </c>
      <c r="D228" s="164" t="s">
        <v>825</v>
      </c>
      <c r="E228" s="164"/>
      <c r="F228" s="164" t="s">
        <v>193</v>
      </c>
      <c r="G228" s="164" t="s">
        <v>162</v>
      </c>
      <c r="H228" s="164" t="s">
        <v>163</v>
      </c>
      <c r="I228" s="164" t="s">
        <v>163</v>
      </c>
      <c r="J228" s="164" t="s">
        <v>163</v>
      </c>
      <c r="K228" s="164" t="s">
        <v>163</v>
      </c>
      <c r="L228" s="164" t="s">
        <v>163</v>
      </c>
      <c r="M228" s="164">
        <v>69</v>
      </c>
      <c r="N228" s="164">
        <v>33</v>
      </c>
      <c r="O228" s="165">
        <v>23.8</v>
      </c>
      <c r="P228" s="165">
        <v>28.5</v>
      </c>
      <c r="Q228" s="164">
        <v>463</v>
      </c>
      <c r="R228" s="164">
        <v>464</v>
      </c>
      <c r="S228" s="166">
        <v>0</v>
      </c>
      <c r="T228" s="164" t="s">
        <v>163</v>
      </c>
      <c r="U228" s="164"/>
      <c r="V228" s="167">
        <v>41821</v>
      </c>
      <c r="W228" s="167">
        <v>41820</v>
      </c>
      <c r="X228" s="164" t="s">
        <v>387</v>
      </c>
      <c r="Y228" s="164" t="s">
        <v>826</v>
      </c>
      <c r="Z228" s="164" t="s">
        <v>163</v>
      </c>
      <c r="AA228" s="168" t="s">
        <v>184</v>
      </c>
      <c r="AB228" s="168" t="s">
        <v>193</v>
      </c>
      <c r="AC228" s="168" t="s">
        <v>162</v>
      </c>
      <c r="AD228" s="168" t="s">
        <v>163</v>
      </c>
      <c r="AE228" s="168" t="s">
        <v>163</v>
      </c>
      <c r="AF228" s="168" t="s">
        <v>163</v>
      </c>
      <c r="AG228" s="168" t="s">
        <v>163</v>
      </c>
      <c r="AH228" s="168" t="str">
        <f t="shared" si="19"/>
        <v>Refrigerator-Top Freezer-Automatic-No-No-No-No</v>
      </c>
      <c r="AI228" s="168">
        <v>3</v>
      </c>
      <c r="AJ228" s="168">
        <v>8.07</v>
      </c>
      <c r="AK228" s="169">
        <v>233.7</v>
      </c>
      <c r="AL228" s="169">
        <f t="shared" si="20"/>
        <v>463.69499999999999</v>
      </c>
      <c r="AM228" s="168">
        <f t="shared" si="21"/>
        <v>464</v>
      </c>
      <c r="AN228" s="168">
        <f t="shared" si="22"/>
        <v>463</v>
      </c>
      <c r="AO228" s="164" t="str">
        <f t="shared" si="23"/>
        <v>Yes</v>
      </c>
      <c r="AP228" s="164">
        <f t="shared" si="24"/>
        <v>1</v>
      </c>
    </row>
    <row r="229" spans="2:42">
      <c r="B229" s="164">
        <v>2218007</v>
      </c>
      <c r="C229" s="164" t="s">
        <v>827</v>
      </c>
      <c r="D229" s="164" t="s">
        <v>828</v>
      </c>
      <c r="E229" s="164"/>
      <c r="F229" s="164" t="s">
        <v>194</v>
      </c>
      <c r="G229" s="164" t="s">
        <v>162</v>
      </c>
      <c r="H229" s="164" t="s">
        <v>182</v>
      </c>
      <c r="I229" s="164" t="s">
        <v>163</v>
      </c>
      <c r="J229" s="164" t="s">
        <v>163</v>
      </c>
      <c r="K229" s="164" t="s">
        <v>163</v>
      </c>
      <c r="L229" s="164" t="s">
        <v>163</v>
      </c>
      <c r="M229" s="164">
        <v>33.299999999999997</v>
      </c>
      <c r="N229" s="164">
        <v>18.600000000000001</v>
      </c>
      <c r="O229" s="165">
        <v>3</v>
      </c>
      <c r="P229" s="165">
        <v>3.6</v>
      </c>
      <c r="Q229" s="164">
        <v>319</v>
      </c>
      <c r="R229" s="164">
        <v>357</v>
      </c>
      <c r="S229" s="166">
        <v>0.11</v>
      </c>
      <c r="T229" s="164" t="s">
        <v>163</v>
      </c>
      <c r="U229" s="164" t="s">
        <v>163</v>
      </c>
      <c r="V229" s="167">
        <v>41852</v>
      </c>
      <c r="W229" s="167">
        <v>41878</v>
      </c>
      <c r="X229" s="164" t="s">
        <v>387</v>
      </c>
      <c r="Y229" s="164" t="s">
        <v>829</v>
      </c>
      <c r="Z229" s="164" t="s">
        <v>163</v>
      </c>
      <c r="AA229" s="168" t="s">
        <v>184</v>
      </c>
      <c r="AB229" s="168" t="s">
        <v>194</v>
      </c>
      <c r="AC229" s="168" t="s">
        <v>162</v>
      </c>
      <c r="AD229" s="168" t="s">
        <v>182</v>
      </c>
      <c r="AE229" s="168" t="s">
        <v>163</v>
      </c>
      <c r="AF229" s="168" t="s">
        <v>163</v>
      </c>
      <c r="AG229" s="168" t="s">
        <v>163</v>
      </c>
      <c r="AH229" s="168" t="str">
        <f t="shared" si="19"/>
        <v>Refrigerator-Compact-Automatic-Yes-No-No-No</v>
      </c>
      <c r="AI229" s="168" t="s">
        <v>329</v>
      </c>
      <c r="AJ229" s="168">
        <v>9.17</v>
      </c>
      <c r="AK229" s="169">
        <v>259.3</v>
      </c>
      <c r="AL229" s="169">
        <f t="shared" si="20"/>
        <v>292.31200000000001</v>
      </c>
      <c r="AM229" s="168">
        <f t="shared" si="21"/>
        <v>357</v>
      </c>
      <c r="AN229" s="168">
        <f t="shared" si="22"/>
        <v>319</v>
      </c>
      <c r="AO229" s="164" t="str">
        <f t="shared" si="23"/>
        <v>Yes</v>
      </c>
      <c r="AP229" s="164">
        <f t="shared" si="24"/>
        <v>38</v>
      </c>
    </row>
    <row r="230" spans="2:42">
      <c r="B230" s="164">
        <v>2218008</v>
      </c>
      <c r="C230" s="164" t="s">
        <v>827</v>
      </c>
      <c r="D230" s="164" t="s">
        <v>830</v>
      </c>
      <c r="E230" s="164"/>
      <c r="F230" s="164" t="s">
        <v>194</v>
      </c>
      <c r="G230" s="164" t="s">
        <v>162</v>
      </c>
      <c r="H230" s="164" t="s">
        <v>182</v>
      </c>
      <c r="I230" s="164" t="s">
        <v>163</v>
      </c>
      <c r="J230" s="164" t="s">
        <v>163</v>
      </c>
      <c r="K230" s="164" t="s">
        <v>163</v>
      </c>
      <c r="L230" s="164" t="s">
        <v>163</v>
      </c>
      <c r="M230" s="164">
        <v>33.299999999999997</v>
      </c>
      <c r="N230" s="164">
        <v>18.600000000000001</v>
      </c>
      <c r="O230" s="165">
        <v>3</v>
      </c>
      <c r="P230" s="165">
        <v>3.6</v>
      </c>
      <c r="Q230" s="164">
        <v>319</v>
      </c>
      <c r="R230" s="164">
        <v>357</v>
      </c>
      <c r="S230" s="166">
        <v>0.11</v>
      </c>
      <c r="T230" s="164" t="s">
        <v>163</v>
      </c>
      <c r="U230" s="164" t="s">
        <v>163</v>
      </c>
      <c r="V230" s="167">
        <v>41852</v>
      </c>
      <c r="W230" s="167">
        <v>41878</v>
      </c>
      <c r="X230" s="164" t="s">
        <v>387</v>
      </c>
      <c r="Y230" s="164" t="s">
        <v>831</v>
      </c>
      <c r="Z230" s="164" t="s">
        <v>163</v>
      </c>
      <c r="AA230" s="168" t="s">
        <v>184</v>
      </c>
      <c r="AB230" s="168" t="s">
        <v>194</v>
      </c>
      <c r="AC230" s="168" t="s">
        <v>162</v>
      </c>
      <c r="AD230" s="168" t="s">
        <v>182</v>
      </c>
      <c r="AE230" s="168" t="s">
        <v>163</v>
      </c>
      <c r="AF230" s="168" t="s">
        <v>163</v>
      </c>
      <c r="AG230" s="168" t="s">
        <v>163</v>
      </c>
      <c r="AH230" s="168" t="str">
        <f t="shared" si="19"/>
        <v>Refrigerator-Compact-Automatic-Yes-No-No-No</v>
      </c>
      <c r="AI230" s="168" t="s">
        <v>329</v>
      </c>
      <c r="AJ230" s="168">
        <v>9.17</v>
      </c>
      <c r="AK230" s="169">
        <v>259.3</v>
      </c>
      <c r="AL230" s="169">
        <f t="shared" si="20"/>
        <v>292.31200000000001</v>
      </c>
      <c r="AM230" s="168">
        <f t="shared" si="21"/>
        <v>357</v>
      </c>
      <c r="AN230" s="168">
        <f t="shared" si="22"/>
        <v>319</v>
      </c>
      <c r="AO230" s="164" t="str">
        <f t="shared" si="23"/>
        <v>Yes</v>
      </c>
      <c r="AP230" s="164">
        <f t="shared" si="24"/>
        <v>38</v>
      </c>
    </row>
    <row r="231" spans="2:42">
      <c r="B231" s="164">
        <v>2218011</v>
      </c>
      <c r="C231" s="164" t="s">
        <v>827</v>
      </c>
      <c r="D231" s="164" t="s">
        <v>832</v>
      </c>
      <c r="E231" s="164"/>
      <c r="F231" s="164" t="s">
        <v>194</v>
      </c>
      <c r="G231" s="164" t="s">
        <v>162</v>
      </c>
      <c r="H231" s="164" t="s">
        <v>182</v>
      </c>
      <c r="I231" s="164" t="s">
        <v>163</v>
      </c>
      <c r="J231" s="164" t="s">
        <v>163</v>
      </c>
      <c r="K231" s="164" t="s">
        <v>163</v>
      </c>
      <c r="L231" s="164" t="s">
        <v>163</v>
      </c>
      <c r="M231" s="164">
        <v>33.299999999999997</v>
      </c>
      <c r="N231" s="164">
        <v>18.600000000000001</v>
      </c>
      <c r="O231" s="165">
        <v>3</v>
      </c>
      <c r="P231" s="165">
        <v>3.6</v>
      </c>
      <c r="Q231" s="164">
        <v>319</v>
      </c>
      <c r="R231" s="164">
        <v>357</v>
      </c>
      <c r="S231" s="166">
        <v>0.11</v>
      </c>
      <c r="T231" s="164" t="s">
        <v>163</v>
      </c>
      <c r="U231" s="164" t="s">
        <v>163</v>
      </c>
      <c r="V231" s="167">
        <v>41852</v>
      </c>
      <c r="W231" s="167">
        <v>41878</v>
      </c>
      <c r="X231" s="164" t="s">
        <v>387</v>
      </c>
      <c r="Y231" s="164" t="s">
        <v>833</v>
      </c>
      <c r="Z231" s="164" t="s">
        <v>163</v>
      </c>
      <c r="AA231" s="168" t="s">
        <v>184</v>
      </c>
      <c r="AB231" s="168" t="s">
        <v>194</v>
      </c>
      <c r="AC231" s="168" t="s">
        <v>162</v>
      </c>
      <c r="AD231" s="168" t="s">
        <v>182</v>
      </c>
      <c r="AE231" s="168" t="s">
        <v>163</v>
      </c>
      <c r="AF231" s="168" t="s">
        <v>163</v>
      </c>
      <c r="AG231" s="168" t="s">
        <v>163</v>
      </c>
      <c r="AH231" s="168" t="str">
        <f t="shared" si="19"/>
        <v>Refrigerator-Compact-Automatic-Yes-No-No-No</v>
      </c>
      <c r="AI231" s="168" t="s">
        <v>329</v>
      </c>
      <c r="AJ231" s="168">
        <v>9.17</v>
      </c>
      <c r="AK231" s="169">
        <v>259.3</v>
      </c>
      <c r="AL231" s="169">
        <f t="shared" si="20"/>
        <v>292.31200000000001</v>
      </c>
      <c r="AM231" s="168">
        <f t="shared" si="21"/>
        <v>357</v>
      </c>
      <c r="AN231" s="168">
        <f t="shared" si="22"/>
        <v>319</v>
      </c>
      <c r="AO231" s="164" t="str">
        <f t="shared" si="23"/>
        <v>Yes</v>
      </c>
      <c r="AP231" s="164">
        <f t="shared" si="24"/>
        <v>38</v>
      </c>
    </row>
    <row r="232" spans="2:42">
      <c r="B232" s="164">
        <v>2218012</v>
      </c>
      <c r="C232" s="164" t="s">
        <v>827</v>
      </c>
      <c r="D232" s="164" t="s">
        <v>834</v>
      </c>
      <c r="E232" s="164"/>
      <c r="F232" s="164" t="s">
        <v>194</v>
      </c>
      <c r="G232" s="164" t="s">
        <v>162</v>
      </c>
      <c r="H232" s="164" t="s">
        <v>182</v>
      </c>
      <c r="I232" s="164" t="s">
        <v>163</v>
      </c>
      <c r="J232" s="164" t="s">
        <v>163</v>
      </c>
      <c r="K232" s="164" t="s">
        <v>163</v>
      </c>
      <c r="L232" s="164" t="s">
        <v>163</v>
      </c>
      <c r="M232" s="164">
        <v>33.299999999999997</v>
      </c>
      <c r="N232" s="164">
        <v>18.600000000000001</v>
      </c>
      <c r="O232" s="165">
        <v>3</v>
      </c>
      <c r="P232" s="165">
        <v>3.6</v>
      </c>
      <c r="Q232" s="164">
        <v>319</v>
      </c>
      <c r="R232" s="164">
        <v>357</v>
      </c>
      <c r="S232" s="166">
        <v>0.11</v>
      </c>
      <c r="T232" s="164" t="s">
        <v>163</v>
      </c>
      <c r="U232" s="164" t="s">
        <v>163</v>
      </c>
      <c r="V232" s="167">
        <v>41852</v>
      </c>
      <c r="W232" s="167">
        <v>41878</v>
      </c>
      <c r="X232" s="164" t="s">
        <v>387</v>
      </c>
      <c r="Y232" s="164" t="s">
        <v>835</v>
      </c>
      <c r="Z232" s="164" t="s">
        <v>163</v>
      </c>
      <c r="AA232" s="168" t="s">
        <v>184</v>
      </c>
      <c r="AB232" s="168" t="s">
        <v>194</v>
      </c>
      <c r="AC232" s="168" t="s">
        <v>162</v>
      </c>
      <c r="AD232" s="168" t="s">
        <v>182</v>
      </c>
      <c r="AE232" s="168" t="s">
        <v>163</v>
      </c>
      <c r="AF232" s="168" t="s">
        <v>163</v>
      </c>
      <c r="AG232" s="168" t="s">
        <v>163</v>
      </c>
      <c r="AH232" s="168" t="str">
        <f t="shared" si="19"/>
        <v>Refrigerator-Compact-Automatic-Yes-No-No-No</v>
      </c>
      <c r="AI232" s="168" t="s">
        <v>329</v>
      </c>
      <c r="AJ232" s="168">
        <v>9.17</v>
      </c>
      <c r="AK232" s="169">
        <v>259.3</v>
      </c>
      <c r="AL232" s="169">
        <f t="shared" si="20"/>
        <v>292.31200000000001</v>
      </c>
      <c r="AM232" s="168">
        <f t="shared" si="21"/>
        <v>357</v>
      </c>
      <c r="AN232" s="168">
        <f t="shared" si="22"/>
        <v>319</v>
      </c>
      <c r="AO232" s="164" t="str">
        <f t="shared" si="23"/>
        <v>Yes</v>
      </c>
      <c r="AP232" s="164">
        <f t="shared" si="24"/>
        <v>38</v>
      </c>
    </row>
    <row r="233" spans="2:42">
      <c r="B233" s="164">
        <v>2218010</v>
      </c>
      <c r="C233" s="164" t="s">
        <v>827</v>
      </c>
      <c r="D233" s="164" t="s">
        <v>836</v>
      </c>
      <c r="E233" s="164"/>
      <c r="F233" s="164" t="s">
        <v>194</v>
      </c>
      <c r="G233" s="164" t="s">
        <v>162</v>
      </c>
      <c r="H233" s="164" t="s">
        <v>182</v>
      </c>
      <c r="I233" s="164" t="s">
        <v>163</v>
      </c>
      <c r="J233" s="164" t="s">
        <v>163</v>
      </c>
      <c r="K233" s="164" t="s">
        <v>163</v>
      </c>
      <c r="L233" s="164" t="s">
        <v>163</v>
      </c>
      <c r="M233" s="164">
        <v>33.299999999999997</v>
      </c>
      <c r="N233" s="164">
        <v>18.600000000000001</v>
      </c>
      <c r="O233" s="165">
        <v>3</v>
      </c>
      <c r="P233" s="165">
        <v>3.6</v>
      </c>
      <c r="Q233" s="164">
        <v>319</v>
      </c>
      <c r="R233" s="164">
        <v>357</v>
      </c>
      <c r="S233" s="166">
        <v>0.11</v>
      </c>
      <c r="T233" s="164" t="s">
        <v>163</v>
      </c>
      <c r="U233" s="164" t="s">
        <v>163</v>
      </c>
      <c r="V233" s="167">
        <v>41852</v>
      </c>
      <c r="W233" s="167">
        <v>41878</v>
      </c>
      <c r="X233" s="164" t="s">
        <v>387</v>
      </c>
      <c r="Y233" s="164" t="s">
        <v>837</v>
      </c>
      <c r="Z233" s="164" t="s">
        <v>163</v>
      </c>
      <c r="AA233" s="168" t="s">
        <v>184</v>
      </c>
      <c r="AB233" s="168" t="s">
        <v>194</v>
      </c>
      <c r="AC233" s="168" t="s">
        <v>162</v>
      </c>
      <c r="AD233" s="168" t="s">
        <v>182</v>
      </c>
      <c r="AE233" s="168" t="s">
        <v>163</v>
      </c>
      <c r="AF233" s="168" t="s">
        <v>163</v>
      </c>
      <c r="AG233" s="168" t="s">
        <v>163</v>
      </c>
      <c r="AH233" s="168" t="str">
        <f t="shared" si="19"/>
        <v>Refrigerator-Compact-Automatic-Yes-No-No-No</v>
      </c>
      <c r="AI233" s="168" t="s">
        <v>329</v>
      </c>
      <c r="AJ233" s="168">
        <v>9.17</v>
      </c>
      <c r="AK233" s="169">
        <v>259.3</v>
      </c>
      <c r="AL233" s="169">
        <f t="shared" si="20"/>
        <v>292.31200000000001</v>
      </c>
      <c r="AM233" s="168">
        <f t="shared" si="21"/>
        <v>357</v>
      </c>
      <c r="AN233" s="168">
        <f t="shared" si="22"/>
        <v>319</v>
      </c>
      <c r="AO233" s="164" t="str">
        <f t="shared" si="23"/>
        <v>Yes</v>
      </c>
      <c r="AP233" s="164">
        <f t="shared" si="24"/>
        <v>38</v>
      </c>
    </row>
    <row r="234" spans="2:42">
      <c r="B234" s="164">
        <v>2218016</v>
      </c>
      <c r="C234" s="164" t="s">
        <v>827</v>
      </c>
      <c r="D234" s="164" t="s">
        <v>838</v>
      </c>
      <c r="E234" s="164"/>
      <c r="F234" s="164" t="s">
        <v>194</v>
      </c>
      <c r="G234" s="164" t="s">
        <v>162</v>
      </c>
      <c r="H234" s="164" t="s">
        <v>182</v>
      </c>
      <c r="I234" s="164" t="s">
        <v>163</v>
      </c>
      <c r="J234" s="164" t="s">
        <v>163</v>
      </c>
      <c r="K234" s="164" t="s">
        <v>163</v>
      </c>
      <c r="L234" s="164" t="s">
        <v>163</v>
      </c>
      <c r="M234" s="164">
        <v>33.299999999999997</v>
      </c>
      <c r="N234" s="164">
        <v>18.600000000000001</v>
      </c>
      <c r="O234" s="165">
        <v>3.6</v>
      </c>
      <c r="P234" s="165">
        <v>3.6</v>
      </c>
      <c r="Q234" s="164">
        <v>262</v>
      </c>
      <c r="R234" s="164">
        <v>292</v>
      </c>
      <c r="S234" s="166">
        <v>0.1</v>
      </c>
      <c r="T234" s="164" t="s">
        <v>163</v>
      </c>
      <c r="U234" s="164" t="s">
        <v>163</v>
      </c>
      <c r="V234" s="167">
        <v>41869</v>
      </c>
      <c r="W234" s="167">
        <v>41878</v>
      </c>
      <c r="X234" s="164" t="s">
        <v>387</v>
      </c>
      <c r="Y234" s="164" t="s">
        <v>839</v>
      </c>
      <c r="Z234" s="164" t="s">
        <v>163</v>
      </c>
      <c r="AA234" s="168" t="s">
        <v>184</v>
      </c>
      <c r="AB234" s="168" t="s">
        <v>194</v>
      </c>
      <c r="AC234" s="168" t="s">
        <v>162</v>
      </c>
      <c r="AD234" s="168" t="s">
        <v>182</v>
      </c>
      <c r="AE234" s="168" t="s">
        <v>163</v>
      </c>
      <c r="AF234" s="168" t="s">
        <v>163</v>
      </c>
      <c r="AG234" s="168" t="s">
        <v>163</v>
      </c>
      <c r="AH234" s="168" t="str">
        <f t="shared" si="19"/>
        <v>Refrigerator-Compact-Automatic-Yes-No-No-No</v>
      </c>
      <c r="AI234" s="168" t="s">
        <v>329</v>
      </c>
      <c r="AJ234" s="168">
        <v>9.17</v>
      </c>
      <c r="AK234" s="169">
        <v>259.3</v>
      </c>
      <c r="AL234" s="169">
        <f t="shared" si="20"/>
        <v>292.31200000000001</v>
      </c>
      <c r="AM234" s="168">
        <f t="shared" si="21"/>
        <v>292</v>
      </c>
      <c r="AN234" s="168">
        <f t="shared" si="22"/>
        <v>262</v>
      </c>
      <c r="AO234" s="164" t="str">
        <f t="shared" si="23"/>
        <v>Yes</v>
      </c>
      <c r="AP234" s="164">
        <f t="shared" si="24"/>
        <v>30</v>
      </c>
    </row>
    <row r="235" spans="2:42">
      <c r="B235" s="164">
        <v>2218017</v>
      </c>
      <c r="C235" s="164" t="s">
        <v>827</v>
      </c>
      <c r="D235" s="164" t="s">
        <v>840</v>
      </c>
      <c r="E235" s="164"/>
      <c r="F235" s="164" t="s">
        <v>194</v>
      </c>
      <c r="G235" s="164" t="s">
        <v>162</v>
      </c>
      <c r="H235" s="164" t="s">
        <v>182</v>
      </c>
      <c r="I235" s="164" t="s">
        <v>163</v>
      </c>
      <c r="J235" s="164" t="s">
        <v>163</v>
      </c>
      <c r="K235" s="164" t="s">
        <v>163</v>
      </c>
      <c r="L235" s="164" t="s">
        <v>163</v>
      </c>
      <c r="M235" s="164">
        <v>33.299999999999997</v>
      </c>
      <c r="N235" s="164">
        <v>18.600000000000001</v>
      </c>
      <c r="O235" s="165">
        <v>3.6</v>
      </c>
      <c r="P235" s="165">
        <v>3.6</v>
      </c>
      <c r="Q235" s="164">
        <v>262</v>
      </c>
      <c r="R235" s="164">
        <v>292</v>
      </c>
      <c r="S235" s="166">
        <v>0.1</v>
      </c>
      <c r="T235" s="164" t="s">
        <v>163</v>
      </c>
      <c r="U235" s="164" t="s">
        <v>163</v>
      </c>
      <c r="V235" s="167">
        <v>41869</v>
      </c>
      <c r="W235" s="167">
        <v>41878</v>
      </c>
      <c r="X235" s="164" t="s">
        <v>387</v>
      </c>
      <c r="Y235" s="164" t="s">
        <v>841</v>
      </c>
      <c r="Z235" s="164" t="s">
        <v>163</v>
      </c>
      <c r="AA235" s="168" t="s">
        <v>184</v>
      </c>
      <c r="AB235" s="168" t="s">
        <v>194</v>
      </c>
      <c r="AC235" s="168" t="s">
        <v>162</v>
      </c>
      <c r="AD235" s="168" t="s">
        <v>182</v>
      </c>
      <c r="AE235" s="168" t="s">
        <v>163</v>
      </c>
      <c r="AF235" s="168" t="s">
        <v>163</v>
      </c>
      <c r="AG235" s="168" t="s">
        <v>163</v>
      </c>
      <c r="AH235" s="168" t="str">
        <f t="shared" si="19"/>
        <v>Refrigerator-Compact-Automatic-Yes-No-No-No</v>
      </c>
      <c r="AI235" s="168" t="s">
        <v>329</v>
      </c>
      <c r="AJ235" s="168">
        <v>9.17</v>
      </c>
      <c r="AK235" s="169">
        <v>259.3</v>
      </c>
      <c r="AL235" s="169">
        <f t="shared" si="20"/>
        <v>292.31200000000001</v>
      </c>
      <c r="AM235" s="168">
        <f t="shared" si="21"/>
        <v>292</v>
      </c>
      <c r="AN235" s="168">
        <f t="shared" si="22"/>
        <v>262</v>
      </c>
      <c r="AO235" s="164" t="str">
        <f t="shared" si="23"/>
        <v>Yes</v>
      </c>
      <c r="AP235" s="164">
        <f t="shared" si="24"/>
        <v>30</v>
      </c>
    </row>
    <row r="236" spans="2:42">
      <c r="B236" s="164">
        <v>2218018</v>
      </c>
      <c r="C236" s="164" t="s">
        <v>827</v>
      </c>
      <c r="D236" s="164" t="s">
        <v>842</v>
      </c>
      <c r="E236" s="164"/>
      <c r="F236" s="164" t="s">
        <v>194</v>
      </c>
      <c r="G236" s="164" t="s">
        <v>162</v>
      </c>
      <c r="H236" s="164" t="s">
        <v>182</v>
      </c>
      <c r="I236" s="164" t="s">
        <v>163</v>
      </c>
      <c r="J236" s="164" t="s">
        <v>163</v>
      </c>
      <c r="K236" s="164" t="s">
        <v>163</v>
      </c>
      <c r="L236" s="164" t="s">
        <v>163</v>
      </c>
      <c r="M236" s="164">
        <v>33.299999999999997</v>
      </c>
      <c r="N236" s="164">
        <v>18.600000000000001</v>
      </c>
      <c r="O236" s="165">
        <v>3.6</v>
      </c>
      <c r="P236" s="165">
        <v>3.6</v>
      </c>
      <c r="Q236" s="164">
        <v>262</v>
      </c>
      <c r="R236" s="164">
        <v>292</v>
      </c>
      <c r="S236" s="166">
        <v>0.1</v>
      </c>
      <c r="T236" s="164" t="s">
        <v>163</v>
      </c>
      <c r="U236" s="164" t="s">
        <v>163</v>
      </c>
      <c r="V236" s="167">
        <v>41869</v>
      </c>
      <c r="W236" s="167">
        <v>41878</v>
      </c>
      <c r="X236" s="164" t="s">
        <v>387</v>
      </c>
      <c r="Y236" s="164" t="s">
        <v>843</v>
      </c>
      <c r="Z236" s="164" t="s">
        <v>163</v>
      </c>
      <c r="AA236" s="168" t="s">
        <v>184</v>
      </c>
      <c r="AB236" s="168" t="s">
        <v>194</v>
      </c>
      <c r="AC236" s="168" t="s">
        <v>162</v>
      </c>
      <c r="AD236" s="168" t="s">
        <v>182</v>
      </c>
      <c r="AE236" s="168" t="s">
        <v>163</v>
      </c>
      <c r="AF236" s="168" t="s">
        <v>163</v>
      </c>
      <c r="AG236" s="168" t="s">
        <v>163</v>
      </c>
      <c r="AH236" s="168" t="str">
        <f t="shared" si="19"/>
        <v>Refrigerator-Compact-Automatic-Yes-No-No-No</v>
      </c>
      <c r="AI236" s="168" t="s">
        <v>329</v>
      </c>
      <c r="AJ236" s="168">
        <v>9.17</v>
      </c>
      <c r="AK236" s="169">
        <v>259.3</v>
      </c>
      <c r="AL236" s="169">
        <f t="shared" si="20"/>
        <v>292.31200000000001</v>
      </c>
      <c r="AM236" s="168">
        <f t="shared" si="21"/>
        <v>292</v>
      </c>
      <c r="AN236" s="168">
        <f t="shared" si="22"/>
        <v>262</v>
      </c>
      <c r="AO236" s="164" t="str">
        <f t="shared" si="23"/>
        <v>Yes</v>
      </c>
      <c r="AP236" s="164">
        <f t="shared" si="24"/>
        <v>30</v>
      </c>
    </row>
    <row r="237" spans="2:42">
      <c r="B237" s="164">
        <v>2218021</v>
      </c>
      <c r="C237" s="164" t="s">
        <v>827</v>
      </c>
      <c r="D237" s="164" t="s">
        <v>844</v>
      </c>
      <c r="E237" s="164"/>
      <c r="F237" s="164" t="s">
        <v>194</v>
      </c>
      <c r="G237" s="164" t="s">
        <v>162</v>
      </c>
      <c r="H237" s="164" t="s">
        <v>182</v>
      </c>
      <c r="I237" s="164" t="s">
        <v>163</v>
      </c>
      <c r="J237" s="164" t="s">
        <v>163</v>
      </c>
      <c r="K237" s="164" t="s">
        <v>163</v>
      </c>
      <c r="L237" s="164" t="s">
        <v>163</v>
      </c>
      <c r="M237" s="164">
        <v>46</v>
      </c>
      <c r="N237" s="164">
        <v>18.600000000000001</v>
      </c>
      <c r="O237" s="165">
        <v>4.8</v>
      </c>
      <c r="P237" s="165">
        <v>5.8</v>
      </c>
      <c r="Q237" s="164">
        <v>346</v>
      </c>
      <c r="R237" s="164">
        <v>408</v>
      </c>
      <c r="S237" s="166">
        <v>0.15</v>
      </c>
      <c r="T237" s="164" t="s">
        <v>163</v>
      </c>
      <c r="U237" s="164" t="s">
        <v>163</v>
      </c>
      <c r="V237" s="167">
        <v>41887</v>
      </c>
      <c r="W237" s="167">
        <v>41878</v>
      </c>
      <c r="X237" s="164" t="s">
        <v>387</v>
      </c>
      <c r="Y237" s="164" t="s">
        <v>845</v>
      </c>
      <c r="Z237" s="164" t="s">
        <v>163</v>
      </c>
      <c r="AA237" s="168" t="s">
        <v>184</v>
      </c>
      <c r="AB237" s="168" t="s">
        <v>194</v>
      </c>
      <c r="AC237" s="168" t="s">
        <v>162</v>
      </c>
      <c r="AD237" s="168" t="s">
        <v>182</v>
      </c>
      <c r="AE237" s="168" t="s">
        <v>163</v>
      </c>
      <c r="AF237" s="168" t="s">
        <v>163</v>
      </c>
      <c r="AG237" s="168" t="s">
        <v>163</v>
      </c>
      <c r="AH237" s="168" t="str">
        <f t="shared" si="19"/>
        <v>Refrigerator-Compact-Automatic-Yes-No-No-No</v>
      </c>
      <c r="AI237" s="168" t="s">
        <v>329</v>
      </c>
      <c r="AJ237" s="168">
        <v>9.17</v>
      </c>
      <c r="AK237" s="169">
        <v>259.3</v>
      </c>
      <c r="AL237" s="169">
        <f t="shared" si="20"/>
        <v>312.48599999999999</v>
      </c>
      <c r="AM237" s="168">
        <f t="shared" si="21"/>
        <v>408</v>
      </c>
      <c r="AN237" s="168">
        <f t="shared" si="22"/>
        <v>346</v>
      </c>
      <c r="AO237" s="164" t="str">
        <f t="shared" si="23"/>
        <v>Yes</v>
      </c>
      <c r="AP237" s="164">
        <f t="shared" si="24"/>
        <v>62</v>
      </c>
    </row>
    <row r="238" spans="2:42">
      <c r="B238" s="164">
        <v>2218019</v>
      </c>
      <c r="C238" s="164" t="s">
        <v>827</v>
      </c>
      <c r="D238" s="164" t="s">
        <v>846</v>
      </c>
      <c r="E238" s="164"/>
      <c r="F238" s="164" t="s">
        <v>194</v>
      </c>
      <c r="G238" s="164" t="s">
        <v>162</v>
      </c>
      <c r="H238" s="164" t="s">
        <v>182</v>
      </c>
      <c r="I238" s="164" t="s">
        <v>163</v>
      </c>
      <c r="J238" s="164" t="s">
        <v>163</v>
      </c>
      <c r="K238" s="164" t="s">
        <v>163</v>
      </c>
      <c r="L238" s="164" t="s">
        <v>163</v>
      </c>
      <c r="M238" s="164">
        <v>46</v>
      </c>
      <c r="N238" s="164">
        <v>18.600000000000001</v>
      </c>
      <c r="O238" s="165">
        <v>4.8</v>
      </c>
      <c r="P238" s="165">
        <v>5.8</v>
      </c>
      <c r="Q238" s="164">
        <v>346</v>
      </c>
      <c r="R238" s="164">
        <v>408</v>
      </c>
      <c r="S238" s="166">
        <v>0.15</v>
      </c>
      <c r="T238" s="164" t="s">
        <v>163</v>
      </c>
      <c r="U238" s="164" t="s">
        <v>163</v>
      </c>
      <c r="V238" s="167">
        <v>41887</v>
      </c>
      <c r="W238" s="167">
        <v>41878</v>
      </c>
      <c r="X238" s="164" t="s">
        <v>387</v>
      </c>
      <c r="Y238" s="164" t="s">
        <v>847</v>
      </c>
      <c r="Z238" s="164" t="s">
        <v>163</v>
      </c>
      <c r="AA238" s="168" t="s">
        <v>184</v>
      </c>
      <c r="AB238" s="168" t="s">
        <v>194</v>
      </c>
      <c r="AC238" s="168" t="s">
        <v>162</v>
      </c>
      <c r="AD238" s="168" t="s">
        <v>182</v>
      </c>
      <c r="AE238" s="168" t="s">
        <v>163</v>
      </c>
      <c r="AF238" s="168" t="s">
        <v>163</v>
      </c>
      <c r="AG238" s="168" t="s">
        <v>163</v>
      </c>
      <c r="AH238" s="168" t="str">
        <f t="shared" si="19"/>
        <v>Refrigerator-Compact-Automatic-Yes-No-No-No</v>
      </c>
      <c r="AI238" s="168" t="s">
        <v>329</v>
      </c>
      <c r="AJ238" s="168">
        <v>9.17</v>
      </c>
      <c r="AK238" s="169">
        <v>259.3</v>
      </c>
      <c r="AL238" s="169">
        <f t="shared" si="20"/>
        <v>312.48599999999999</v>
      </c>
      <c r="AM238" s="168">
        <f t="shared" si="21"/>
        <v>408</v>
      </c>
      <c r="AN238" s="168">
        <f t="shared" si="22"/>
        <v>346</v>
      </c>
      <c r="AO238" s="164" t="str">
        <f t="shared" si="23"/>
        <v>Yes</v>
      </c>
      <c r="AP238" s="164">
        <f t="shared" si="24"/>
        <v>62</v>
      </c>
    </row>
    <row r="239" spans="2:42">
      <c r="B239" s="164">
        <v>2218020</v>
      </c>
      <c r="C239" s="164" t="s">
        <v>827</v>
      </c>
      <c r="D239" s="164" t="s">
        <v>848</v>
      </c>
      <c r="E239" s="164"/>
      <c r="F239" s="164" t="s">
        <v>194</v>
      </c>
      <c r="G239" s="164" t="s">
        <v>162</v>
      </c>
      <c r="H239" s="164" t="s">
        <v>182</v>
      </c>
      <c r="I239" s="164" t="s">
        <v>163</v>
      </c>
      <c r="J239" s="164" t="s">
        <v>163</v>
      </c>
      <c r="K239" s="164" t="s">
        <v>163</v>
      </c>
      <c r="L239" s="164" t="s">
        <v>163</v>
      </c>
      <c r="M239" s="164">
        <v>46</v>
      </c>
      <c r="N239" s="164">
        <v>18.600000000000001</v>
      </c>
      <c r="O239" s="165">
        <v>4.8</v>
      </c>
      <c r="P239" s="165">
        <v>5.8</v>
      </c>
      <c r="Q239" s="164">
        <v>346</v>
      </c>
      <c r="R239" s="164">
        <v>408</v>
      </c>
      <c r="S239" s="166">
        <v>0.15</v>
      </c>
      <c r="T239" s="164" t="s">
        <v>163</v>
      </c>
      <c r="U239" s="164" t="s">
        <v>163</v>
      </c>
      <c r="V239" s="167">
        <v>41887</v>
      </c>
      <c r="W239" s="167">
        <v>41878</v>
      </c>
      <c r="X239" s="164" t="s">
        <v>387</v>
      </c>
      <c r="Y239" s="164" t="s">
        <v>849</v>
      </c>
      <c r="Z239" s="164" t="s">
        <v>163</v>
      </c>
      <c r="AA239" s="168" t="s">
        <v>184</v>
      </c>
      <c r="AB239" s="168" t="s">
        <v>194</v>
      </c>
      <c r="AC239" s="168" t="s">
        <v>162</v>
      </c>
      <c r="AD239" s="168" t="s">
        <v>182</v>
      </c>
      <c r="AE239" s="168" t="s">
        <v>163</v>
      </c>
      <c r="AF239" s="168" t="s">
        <v>163</v>
      </c>
      <c r="AG239" s="168" t="s">
        <v>163</v>
      </c>
      <c r="AH239" s="168" t="str">
        <f t="shared" si="19"/>
        <v>Refrigerator-Compact-Automatic-Yes-No-No-No</v>
      </c>
      <c r="AI239" s="168" t="s">
        <v>329</v>
      </c>
      <c r="AJ239" s="168">
        <v>9.17</v>
      </c>
      <c r="AK239" s="169">
        <v>259.3</v>
      </c>
      <c r="AL239" s="169">
        <f t="shared" si="20"/>
        <v>312.48599999999999</v>
      </c>
      <c r="AM239" s="168">
        <f t="shared" si="21"/>
        <v>408</v>
      </c>
      <c r="AN239" s="168">
        <f t="shared" si="22"/>
        <v>346</v>
      </c>
      <c r="AO239" s="164" t="str">
        <f t="shared" si="23"/>
        <v>Yes</v>
      </c>
      <c r="AP239" s="164">
        <f t="shared" si="24"/>
        <v>62</v>
      </c>
    </row>
    <row r="240" spans="2:42">
      <c r="B240" s="164">
        <v>2218022</v>
      </c>
      <c r="C240" s="164" t="s">
        <v>827</v>
      </c>
      <c r="D240" s="164" t="s">
        <v>850</v>
      </c>
      <c r="E240" s="164"/>
      <c r="F240" s="164" t="s">
        <v>194</v>
      </c>
      <c r="G240" s="164" t="s">
        <v>162</v>
      </c>
      <c r="H240" s="164" t="s">
        <v>182</v>
      </c>
      <c r="I240" s="164" t="s">
        <v>163</v>
      </c>
      <c r="J240" s="164" t="s">
        <v>163</v>
      </c>
      <c r="K240" s="164" t="s">
        <v>163</v>
      </c>
      <c r="L240" s="164" t="s">
        <v>163</v>
      </c>
      <c r="M240" s="164">
        <v>46</v>
      </c>
      <c r="N240" s="164">
        <v>18.600000000000001</v>
      </c>
      <c r="O240" s="165">
        <v>4.8</v>
      </c>
      <c r="P240" s="165">
        <v>5.8</v>
      </c>
      <c r="Q240" s="164">
        <v>346</v>
      </c>
      <c r="R240" s="164">
        <v>408</v>
      </c>
      <c r="S240" s="166">
        <v>0.15</v>
      </c>
      <c r="T240" s="164" t="s">
        <v>163</v>
      </c>
      <c r="U240" s="164" t="s">
        <v>163</v>
      </c>
      <c r="V240" s="167">
        <v>41887</v>
      </c>
      <c r="W240" s="167">
        <v>41878</v>
      </c>
      <c r="X240" s="164" t="s">
        <v>387</v>
      </c>
      <c r="Y240" s="164" t="s">
        <v>851</v>
      </c>
      <c r="Z240" s="164" t="s">
        <v>163</v>
      </c>
      <c r="AA240" s="168" t="s">
        <v>184</v>
      </c>
      <c r="AB240" s="168" t="s">
        <v>194</v>
      </c>
      <c r="AC240" s="168" t="s">
        <v>162</v>
      </c>
      <c r="AD240" s="168" t="s">
        <v>182</v>
      </c>
      <c r="AE240" s="168" t="s">
        <v>163</v>
      </c>
      <c r="AF240" s="168" t="s">
        <v>163</v>
      </c>
      <c r="AG240" s="168" t="s">
        <v>163</v>
      </c>
      <c r="AH240" s="168" t="str">
        <f t="shared" si="19"/>
        <v>Refrigerator-Compact-Automatic-Yes-No-No-No</v>
      </c>
      <c r="AI240" s="168" t="s">
        <v>329</v>
      </c>
      <c r="AJ240" s="168">
        <v>9.17</v>
      </c>
      <c r="AK240" s="169">
        <v>259.3</v>
      </c>
      <c r="AL240" s="169">
        <f t="shared" si="20"/>
        <v>312.48599999999999</v>
      </c>
      <c r="AM240" s="168">
        <f t="shared" si="21"/>
        <v>408</v>
      </c>
      <c r="AN240" s="168">
        <f t="shared" si="22"/>
        <v>346</v>
      </c>
      <c r="AO240" s="164" t="str">
        <f t="shared" si="23"/>
        <v>Yes</v>
      </c>
      <c r="AP240" s="164">
        <f t="shared" si="24"/>
        <v>62</v>
      </c>
    </row>
    <row r="241" spans="2:42">
      <c r="B241" s="164">
        <v>2212659</v>
      </c>
      <c r="C241" s="164" t="s">
        <v>852</v>
      </c>
      <c r="D241" s="164" t="s">
        <v>853</v>
      </c>
      <c r="E241" s="164"/>
      <c r="F241" s="164" t="s">
        <v>194</v>
      </c>
      <c r="G241" s="164" t="s">
        <v>162</v>
      </c>
      <c r="H241" s="164" t="s">
        <v>182</v>
      </c>
      <c r="I241" s="164" t="s">
        <v>163</v>
      </c>
      <c r="J241" s="164" t="s">
        <v>163</v>
      </c>
      <c r="K241" s="164" t="s">
        <v>163</v>
      </c>
      <c r="L241" s="164" t="s">
        <v>163</v>
      </c>
      <c r="M241" s="164">
        <v>26.9</v>
      </c>
      <c r="N241" s="164">
        <v>19.600000000000001</v>
      </c>
      <c r="O241" s="165">
        <v>2.5</v>
      </c>
      <c r="P241" s="165">
        <v>2.5</v>
      </c>
      <c r="Q241" s="164">
        <v>227</v>
      </c>
      <c r="R241" s="164">
        <v>282</v>
      </c>
      <c r="S241" s="166">
        <v>0.2</v>
      </c>
      <c r="T241" s="164" t="s">
        <v>163</v>
      </c>
      <c r="U241" s="164"/>
      <c r="V241" s="167">
        <v>41802</v>
      </c>
      <c r="W241" s="167">
        <v>41786</v>
      </c>
      <c r="X241" s="164" t="s">
        <v>387</v>
      </c>
      <c r="Y241" s="164" t="s">
        <v>854</v>
      </c>
      <c r="Z241" s="164" t="s">
        <v>163</v>
      </c>
      <c r="AA241" s="168" t="s">
        <v>184</v>
      </c>
      <c r="AB241" s="168" t="s">
        <v>194</v>
      </c>
      <c r="AC241" s="168" t="s">
        <v>162</v>
      </c>
      <c r="AD241" s="168" t="s">
        <v>182</v>
      </c>
      <c r="AE241" s="168" t="s">
        <v>163</v>
      </c>
      <c r="AF241" s="168" t="s">
        <v>163</v>
      </c>
      <c r="AG241" s="168" t="s">
        <v>163</v>
      </c>
      <c r="AH241" s="168" t="str">
        <f t="shared" si="19"/>
        <v>Refrigerator-Compact-Automatic-Yes-No-No-No</v>
      </c>
      <c r="AI241" s="168" t="s">
        <v>329</v>
      </c>
      <c r="AJ241" s="168">
        <v>9.17</v>
      </c>
      <c r="AK241" s="169">
        <v>259.3</v>
      </c>
      <c r="AL241" s="169">
        <f t="shared" si="20"/>
        <v>282.22500000000002</v>
      </c>
      <c r="AM241" s="168">
        <f t="shared" si="21"/>
        <v>282</v>
      </c>
      <c r="AN241" s="168">
        <f t="shared" si="22"/>
        <v>227</v>
      </c>
      <c r="AO241" s="164" t="str">
        <f t="shared" si="23"/>
        <v>Yes</v>
      </c>
      <c r="AP241" s="164">
        <f t="shared" si="24"/>
        <v>55</v>
      </c>
    </row>
    <row r="242" spans="2:42">
      <c r="B242" s="164">
        <v>2214482</v>
      </c>
      <c r="C242" s="164" t="s">
        <v>855</v>
      </c>
      <c r="D242" s="164" t="s">
        <v>856</v>
      </c>
      <c r="E242" s="164"/>
      <c r="F242" s="164" t="s">
        <v>194</v>
      </c>
      <c r="G242" s="164" t="s">
        <v>162</v>
      </c>
      <c r="H242" s="164" t="s">
        <v>182</v>
      </c>
      <c r="I242" s="164" t="s">
        <v>163</v>
      </c>
      <c r="J242" s="164" t="s">
        <v>163</v>
      </c>
      <c r="K242" s="164" t="s">
        <v>163</v>
      </c>
      <c r="L242" s="164" t="s">
        <v>163</v>
      </c>
      <c r="M242" s="164">
        <v>33</v>
      </c>
      <c r="N242" s="164">
        <v>18.5</v>
      </c>
      <c r="O242" s="165">
        <v>3.1</v>
      </c>
      <c r="P242" s="165">
        <v>3.8</v>
      </c>
      <c r="Q242" s="164">
        <v>240</v>
      </c>
      <c r="R242" s="164">
        <v>358</v>
      </c>
      <c r="S242" s="166">
        <v>0.33</v>
      </c>
      <c r="T242" s="164" t="s">
        <v>163</v>
      </c>
      <c r="U242" s="164"/>
      <c r="V242" s="167">
        <v>41835</v>
      </c>
      <c r="W242" s="167">
        <v>41822</v>
      </c>
      <c r="X242" s="164" t="s">
        <v>387</v>
      </c>
      <c r="Y242" s="164" t="s">
        <v>857</v>
      </c>
      <c r="Z242" s="164" t="s">
        <v>163</v>
      </c>
      <c r="AA242" s="168" t="s">
        <v>184</v>
      </c>
      <c r="AB242" s="168" t="s">
        <v>194</v>
      </c>
      <c r="AC242" s="168" t="s">
        <v>162</v>
      </c>
      <c r="AD242" s="168" t="s">
        <v>182</v>
      </c>
      <c r="AE242" s="168" t="s">
        <v>163</v>
      </c>
      <c r="AF242" s="168" t="s">
        <v>163</v>
      </c>
      <c r="AG242" s="168" t="s">
        <v>163</v>
      </c>
      <c r="AH242" s="168" t="str">
        <f t="shared" si="19"/>
        <v>Refrigerator-Compact-Automatic-Yes-No-No-No</v>
      </c>
      <c r="AI242" s="168" t="s">
        <v>329</v>
      </c>
      <c r="AJ242" s="168">
        <v>9.17</v>
      </c>
      <c r="AK242" s="169">
        <v>259.3</v>
      </c>
      <c r="AL242" s="169">
        <f t="shared" si="20"/>
        <v>294.14600000000002</v>
      </c>
      <c r="AM242" s="168">
        <f t="shared" si="21"/>
        <v>358</v>
      </c>
      <c r="AN242" s="168">
        <f t="shared" si="22"/>
        <v>240</v>
      </c>
      <c r="AO242" s="164" t="str">
        <f t="shared" si="23"/>
        <v>Yes</v>
      </c>
      <c r="AP242" s="164">
        <f t="shared" si="24"/>
        <v>118</v>
      </c>
    </row>
    <row r="243" spans="2:42">
      <c r="B243" s="164">
        <v>2199102</v>
      </c>
      <c r="C243" s="164" t="s">
        <v>855</v>
      </c>
      <c r="D243" s="164" t="s">
        <v>858</v>
      </c>
      <c r="E243" s="164"/>
      <c r="F243" s="164" t="s">
        <v>194</v>
      </c>
      <c r="G243" s="164" t="s">
        <v>162</v>
      </c>
      <c r="H243" s="164" t="s">
        <v>182</v>
      </c>
      <c r="I243" s="164" t="s">
        <v>163</v>
      </c>
      <c r="J243" s="164" t="s">
        <v>163</v>
      </c>
      <c r="K243" s="164" t="s">
        <v>163</v>
      </c>
      <c r="L243" s="164" t="s">
        <v>163</v>
      </c>
      <c r="M243" s="164">
        <v>43</v>
      </c>
      <c r="N243" s="164">
        <v>21.6</v>
      </c>
      <c r="O243" s="165">
        <v>4.5</v>
      </c>
      <c r="P243" s="165">
        <v>5.4</v>
      </c>
      <c r="Q243" s="164">
        <v>347</v>
      </c>
      <c r="R243" s="164">
        <v>403</v>
      </c>
      <c r="S243" s="166">
        <v>0.14000000000000001</v>
      </c>
      <c r="T243" s="164" t="s">
        <v>163</v>
      </c>
      <c r="U243" s="164"/>
      <c r="V243" s="167">
        <v>41631</v>
      </c>
      <c r="W243" s="167">
        <v>41620</v>
      </c>
      <c r="X243" s="164" t="s">
        <v>387</v>
      </c>
      <c r="Y243" s="164" t="s">
        <v>859</v>
      </c>
      <c r="Z243" s="164" t="s">
        <v>163</v>
      </c>
      <c r="AA243" s="168" t="s">
        <v>184</v>
      </c>
      <c r="AB243" s="168" t="s">
        <v>194</v>
      </c>
      <c r="AC243" s="168" t="s">
        <v>162</v>
      </c>
      <c r="AD243" s="168" t="s">
        <v>182</v>
      </c>
      <c r="AE243" s="168" t="s">
        <v>163</v>
      </c>
      <c r="AF243" s="168" t="s">
        <v>163</v>
      </c>
      <c r="AG243" s="168" t="s">
        <v>163</v>
      </c>
      <c r="AH243" s="168" t="str">
        <f t="shared" si="19"/>
        <v>Refrigerator-Compact-Automatic-Yes-No-No-No</v>
      </c>
      <c r="AI243" s="168" t="s">
        <v>329</v>
      </c>
      <c r="AJ243" s="168">
        <v>9.17</v>
      </c>
      <c r="AK243" s="169">
        <v>259.3</v>
      </c>
      <c r="AL243" s="169">
        <f t="shared" si="20"/>
        <v>308.81799999999998</v>
      </c>
      <c r="AM243" s="168">
        <f t="shared" si="21"/>
        <v>403</v>
      </c>
      <c r="AN243" s="168">
        <f t="shared" si="22"/>
        <v>347</v>
      </c>
      <c r="AO243" s="164" t="str">
        <f t="shared" si="23"/>
        <v>Yes</v>
      </c>
      <c r="AP243" s="164">
        <f t="shared" si="24"/>
        <v>56</v>
      </c>
    </row>
    <row r="244" spans="2:42">
      <c r="B244" s="164">
        <v>2199506</v>
      </c>
      <c r="C244" s="164" t="s">
        <v>855</v>
      </c>
      <c r="D244" s="164" t="s">
        <v>860</v>
      </c>
      <c r="E244" s="164"/>
      <c r="F244" s="164" t="s">
        <v>193</v>
      </c>
      <c r="G244" s="164" t="s">
        <v>162</v>
      </c>
      <c r="H244" s="164" t="s">
        <v>163</v>
      </c>
      <c r="I244" s="164" t="s">
        <v>163</v>
      </c>
      <c r="J244" s="164" t="s">
        <v>163</v>
      </c>
      <c r="K244" s="164" t="s">
        <v>163</v>
      </c>
      <c r="L244" s="164" t="s">
        <v>163</v>
      </c>
      <c r="M244" s="164">
        <v>59.8</v>
      </c>
      <c r="N244" s="164">
        <v>24</v>
      </c>
      <c r="O244" s="165">
        <v>9.9</v>
      </c>
      <c r="P244" s="165">
        <v>9.9</v>
      </c>
      <c r="Q244" s="164">
        <v>296</v>
      </c>
      <c r="R244" s="164">
        <v>314</v>
      </c>
      <c r="S244" s="166">
        <v>0.06</v>
      </c>
      <c r="T244" s="164" t="s">
        <v>163</v>
      </c>
      <c r="U244" s="164"/>
      <c r="V244" s="167">
        <v>41639</v>
      </c>
      <c r="W244" s="167">
        <v>41631</v>
      </c>
      <c r="X244" s="164" t="s">
        <v>387</v>
      </c>
      <c r="Y244" s="164" t="s">
        <v>861</v>
      </c>
      <c r="Z244" s="164" t="s">
        <v>163</v>
      </c>
      <c r="AA244" s="168" t="s">
        <v>184</v>
      </c>
      <c r="AB244" s="168" t="s">
        <v>193</v>
      </c>
      <c r="AC244" s="168" t="s">
        <v>162</v>
      </c>
      <c r="AD244" s="168" t="s">
        <v>163</v>
      </c>
      <c r="AE244" s="168" t="s">
        <v>163</v>
      </c>
      <c r="AF244" s="168" t="s">
        <v>163</v>
      </c>
      <c r="AG244" s="168" t="s">
        <v>163</v>
      </c>
      <c r="AH244" s="168" t="str">
        <f t="shared" si="19"/>
        <v>Refrigerator-Top Freezer-Automatic-No-No-No-No</v>
      </c>
      <c r="AI244" s="168">
        <v>3</v>
      </c>
      <c r="AJ244" s="168">
        <v>8.07</v>
      </c>
      <c r="AK244" s="169">
        <v>233.7</v>
      </c>
      <c r="AL244" s="169">
        <f t="shared" si="20"/>
        <v>313.59299999999996</v>
      </c>
      <c r="AM244" s="168">
        <f t="shared" si="21"/>
        <v>314</v>
      </c>
      <c r="AN244" s="168">
        <f t="shared" si="22"/>
        <v>296</v>
      </c>
      <c r="AO244" s="164" t="str">
        <f t="shared" si="23"/>
        <v>Yes</v>
      </c>
      <c r="AP244" s="164">
        <f t="shared" si="24"/>
        <v>18</v>
      </c>
    </row>
    <row r="245" spans="2:42">
      <c r="B245" s="164">
        <v>2199507</v>
      </c>
      <c r="C245" s="164" t="s">
        <v>855</v>
      </c>
      <c r="D245" s="164" t="s">
        <v>862</v>
      </c>
      <c r="E245" s="164"/>
      <c r="F245" s="164" t="s">
        <v>193</v>
      </c>
      <c r="G245" s="164" t="s">
        <v>162</v>
      </c>
      <c r="H245" s="164" t="s">
        <v>163</v>
      </c>
      <c r="I245" s="164" t="s">
        <v>163</v>
      </c>
      <c r="J245" s="164" t="s">
        <v>163</v>
      </c>
      <c r="K245" s="164" t="s">
        <v>163</v>
      </c>
      <c r="L245" s="164" t="s">
        <v>163</v>
      </c>
      <c r="M245" s="164">
        <v>59.8</v>
      </c>
      <c r="N245" s="164">
        <v>24</v>
      </c>
      <c r="O245" s="165">
        <v>11.5</v>
      </c>
      <c r="P245" s="165">
        <v>11.5</v>
      </c>
      <c r="Q245" s="164">
        <v>311</v>
      </c>
      <c r="R245" s="164">
        <v>327</v>
      </c>
      <c r="S245" s="166">
        <v>0.05</v>
      </c>
      <c r="T245" s="164" t="s">
        <v>163</v>
      </c>
      <c r="U245" s="164"/>
      <c r="V245" s="167">
        <v>41639</v>
      </c>
      <c r="W245" s="167">
        <v>41631</v>
      </c>
      <c r="X245" s="164" t="s">
        <v>387</v>
      </c>
      <c r="Y245" s="164" t="s">
        <v>863</v>
      </c>
      <c r="Z245" s="164" t="s">
        <v>163</v>
      </c>
      <c r="AA245" s="168" t="s">
        <v>184</v>
      </c>
      <c r="AB245" s="168" t="s">
        <v>193</v>
      </c>
      <c r="AC245" s="168" t="s">
        <v>162</v>
      </c>
      <c r="AD245" s="168" t="s">
        <v>163</v>
      </c>
      <c r="AE245" s="168" t="s">
        <v>163</v>
      </c>
      <c r="AF245" s="168" t="s">
        <v>163</v>
      </c>
      <c r="AG245" s="168" t="s">
        <v>163</v>
      </c>
      <c r="AH245" s="168" t="str">
        <f t="shared" si="19"/>
        <v>Refrigerator-Top Freezer-Automatic-No-No-No-No</v>
      </c>
      <c r="AI245" s="168">
        <v>3</v>
      </c>
      <c r="AJ245" s="168">
        <v>8.07</v>
      </c>
      <c r="AK245" s="169">
        <v>233.7</v>
      </c>
      <c r="AL245" s="169">
        <f t="shared" si="20"/>
        <v>326.505</v>
      </c>
      <c r="AM245" s="168">
        <f t="shared" si="21"/>
        <v>327</v>
      </c>
      <c r="AN245" s="168">
        <f t="shared" si="22"/>
        <v>311</v>
      </c>
      <c r="AO245" s="164" t="str">
        <f t="shared" si="23"/>
        <v>Yes</v>
      </c>
      <c r="AP245" s="164">
        <f t="shared" si="24"/>
        <v>16</v>
      </c>
    </row>
    <row r="246" spans="2:42">
      <c r="B246" s="164">
        <v>2210407</v>
      </c>
      <c r="C246" s="164" t="s">
        <v>855</v>
      </c>
      <c r="D246" s="164" t="s">
        <v>864</v>
      </c>
      <c r="E246" s="164"/>
      <c r="F246" s="164" t="s">
        <v>193</v>
      </c>
      <c r="G246" s="164" t="s">
        <v>162</v>
      </c>
      <c r="H246" s="164" t="s">
        <v>163</v>
      </c>
      <c r="I246" s="164" t="s">
        <v>163</v>
      </c>
      <c r="J246" s="164" t="s">
        <v>163</v>
      </c>
      <c r="K246" s="164" t="s">
        <v>163</v>
      </c>
      <c r="L246" s="164" t="s">
        <v>163</v>
      </c>
      <c r="M246" s="164">
        <v>66.599999999999994</v>
      </c>
      <c r="N246" s="164">
        <v>29.5</v>
      </c>
      <c r="O246" s="165">
        <v>18</v>
      </c>
      <c r="P246" s="165">
        <v>21</v>
      </c>
      <c r="Q246" s="164">
        <v>362</v>
      </c>
      <c r="R246" s="164">
        <v>403</v>
      </c>
      <c r="S246" s="166">
        <v>0.1</v>
      </c>
      <c r="T246" s="164" t="s">
        <v>163</v>
      </c>
      <c r="U246" s="164"/>
      <c r="V246" s="167">
        <v>41699</v>
      </c>
      <c r="W246" s="167">
        <v>41695</v>
      </c>
      <c r="X246" s="164" t="s">
        <v>387</v>
      </c>
      <c r="Y246" s="164" t="s">
        <v>865</v>
      </c>
      <c r="Z246" s="164" t="s">
        <v>163</v>
      </c>
      <c r="AA246" s="168" t="s">
        <v>184</v>
      </c>
      <c r="AB246" s="168" t="s">
        <v>193</v>
      </c>
      <c r="AC246" s="168" t="s">
        <v>162</v>
      </c>
      <c r="AD246" s="168" t="s">
        <v>163</v>
      </c>
      <c r="AE246" s="168" t="s">
        <v>163</v>
      </c>
      <c r="AF246" s="168" t="s">
        <v>163</v>
      </c>
      <c r="AG246" s="168" t="s">
        <v>163</v>
      </c>
      <c r="AH246" s="168" t="str">
        <f t="shared" si="19"/>
        <v>Refrigerator-Top Freezer-Automatic-No-No-No-No</v>
      </c>
      <c r="AI246" s="168">
        <v>3</v>
      </c>
      <c r="AJ246" s="168">
        <v>8.07</v>
      </c>
      <c r="AK246" s="169">
        <v>233.7</v>
      </c>
      <c r="AL246" s="169">
        <f t="shared" si="20"/>
        <v>403.16999999999996</v>
      </c>
      <c r="AM246" s="168">
        <f t="shared" si="21"/>
        <v>403</v>
      </c>
      <c r="AN246" s="168">
        <f t="shared" si="22"/>
        <v>362</v>
      </c>
      <c r="AO246" s="164" t="str">
        <f t="shared" si="23"/>
        <v>Yes</v>
      </c>
      <c r="AP246" s="164">
        <f t="shared" si="24"/>
        <v>41</v>
      </c>
    </row>
    <row r="247" spans="2:42">
      <c r="B247" s="164">
        <v>2210473</v>
      </c>
      <c r="C247" s="164" t="s">
        <v>855</v>
      </c>
      <c r="D247" s="164" t="s">
        <v>866</v>
      </c>
      <c r="E247" s="164"/>
      <c r="F247" s="164" t="s">
        <v>194</v>
      </c>
      <c r="G247" s="164" t="s">
        <v>188</v>
      </c>
      <c r="H247" s="164" t="s">
        <v>182</v>
      </c>
      <c r="I247" s="164" t="s">
        <v>163</v>
      </c>
      <c r="J247" s="164" t="s">
        <v>163</v>
      </c>
      <c r="K247" s="164" t="s">
        <v>163</v>
      </c>
      <c r="L247" s="164" t="s">
        <v>163</v>
      </c>
      <c r="M247" s="164">
        <v>19.399999999999999</v>
      </c>
      <c r="N247" s="164">
        <v>18.600000000000001</v>
      </c>
      <c r="O247" s="165">
        <v>1.6</v>
      </c>
      <c r="P247" s="165">
        <v>1.6</v>
      </c>
      <c r="Q247" s="164">
        <v>207</v>
      </c>
      <c r="R247" s="164">
        <v>267</v>
      </c>
      <c r="S247" s="166">
        <v>0.22</v>
      </c>
      <c r="T247" s="164" t="s">
        <v>163</v>
      </c>
      <c r="U247" s="164"/>
      <c r="V247" s="167">
        <v>41759</v>
      </c>
      <c r="W247" s="167">
        <v>41752</v>
      </c>
      <c r="X247" s="164" t="s">
        <v>506</v>
      </c>
      <c r="Y247" s="164" t="s">
        <v>867</v>
      </c>
      <c r="Z247" s="164" t="s">
        <v>163</v>
      </c>
      <c r="AA247" s="168" t="s">
        <v>184</v>
      </c>
      <c r="AB247" s="168" t="s">
        <v>194</v>
      </c>
      <c r="AC247" s="168" t="s">
        <v>188</v>
      </c>
      <c r="AD247" s="168" t="s">
        <v>182</v>
      </c>
      <c r="AE247" s="168" t="s">
        <v>163</v>
      </c>
      <c r="AF247" s="168" t="s">
        <v>163</v>
      </c>
      <c r="AG247" s="168" t="s">
        <v>163</v>
      </c>
      <c r="AH247" s="168" t="str">
        <f t="shared" si="19"/>
        <v>Refrigerator-Compact-Manual-Yes-No-No-No</v>
      </c>
      <c r="AI247" s="168" t="s">
        <v>315</v>
      </c>
      <c r="AJ247" s="168">
        <v>7.84</v>
      </c>
      <c r="AK247" s="169">
        <v>219.1</v>
      </c>
      <c r="AL247" s="169">
        <f t="shared" si="20"/>
        <v>231.64400000000001</v>
      </c>
      <c r="AM247" s="168">
        <f t="shared" si="21"/>
        <v>267</v>
      </c>
      <c r="AN247" s="168">
        <f t="shared" si="22"/>
        <v>207</v>
      </c>
      <c r="AO247" s="164" t="str">
        <f t="shared" si="23"/>
        <v>Yes</v>
      </c>
      <c r="AP247" s="164">
        <f t="shared" si="24"/>
        <v>60</v>
      </c>
    </row>
    <row r="248" spans="2:42">
      <c r="B248" s="164">
        <v>2210474</v>
      </c>
      <c r="C248" s="164" t="s">
        <v>855</v>
      </c>
      <c r="D248" s="164" t="s">
        <v>868</v>
      </c>
      <c r="E248" s="164"/>
      <c r="F248" s="164" t="s">
        <v>194</v>
      </c>
      <c r="G248" s="164" t="s">
        <v>188</v>
      </c>
      <c r="H248" s="164" t="s">
        <v>182</v>
      </c>
      <c r="I248" s="164" t="s">
        <v>163</v>
      </c>
      <c r="J248" s="164" t="s">
        <v>163</v>
      </c>
      <c r="K248" s="164" t="s">
        <v>163</v>
      </c>
      <c r="L248" s="164" t="s">
        <v>163</v>
      </c>
      <c r="M248" s="164">
        <v>19.399999999999999</v>
      </c>
      <c r="N248" s="164">
        <v>18.600000000000001</v>
      </c>
      <c r="O248" s="165">
        <v>1.6</v>
      </c>
      <c r="P248" s="165">
        <v>1.6</v>
      </c>
      <c r="Q248" s="164">
        <v>207</v>
      </c>
      <c r="R248" s="164">
        <v>267</v>
      </c>
      <c r="S248" s="166">
        <v>0.22</v>
      </c>
      <c r="T248" s="164" t="s">
        <v>163</v>
      </c>
      <c r="U248" s="164"/>
      <c r="V248" s="167">
        <v>41759</v>
      </c>
      <c r="W248" s="167">
        <v>41752</v>
      </c>
      <c r="X248" s="164" t="s">
        <v>506</v>
      </c>
      <c r="Y248" s="164" t="s">
        <v>869</v>
      </c>
      <c r="Z248" s="164" t="s">
        <v>163</v>
      </c>
      <c r="AA248" s="168" t="s">
        <v>184</v>
      </c>
      <c r="AB248" s="168" t="s">
        <v>194</v>
      </c>
      <c r="AC248" s="168" t="s">
        <v>188</v>
      </c>
      <c r="AD248" s="168" t="s">
        <v>182</v>
      </c>
      <c r="AE248" s="168" t="s">
        <v>163</v>
      </c>
      <c r="AF248" s="168" t="s">
        <v>163</v>
      </c>
      <c r="AG248" s="168" t="s">
        <v>163</v>
      </c>
      <c r="AH248" s="168" t="str">
        <f t="shared" si="19"/>
        <v>Refrigerator-Compact-Manual-Yes-No-No-No</v>
      </c>
      <c r="AI248" s="168" t="s">
        <v>315</v>
      </c>
      <c r="AJ248" s="168">
        <v>7.84</v>
      </c>
      <c r="AK248" s="169">
        <v>219.1</v>
      </c>
      <c r="AL248" s="169">
        <f t="shared" si="20"/>
        <v>231.64400000000001</v>
      </c>
      <c r="AM248" s="168">
        <f t="shared" si="21"/>
        <v>267</v>
      </c>
      <c r="AN248" s="168">
        <f t="shared" si="22"/>
        <v>207</v>
      </c>
      <c r="AO248" s="164" t="str">
        <f t="shared" si="23"/>
        <v>Yes</v>
      </c>
      <c r="AP248" s="164">
        <f t="shared" si="24"/>
        <v>60</v>
      </c>
    </row>
    <row r="249" spans="2:42">
      <c r="B249" s="164">
        <v>2210475</v>
      </c>
      <c r="C249" s="164" t="s">
        <v>855</v>
      </c>
      <c r="D249" s="164" t="s">
        <v>870</v>
      </c>
      <c r="E249" s="164"/>
      <c r="F249" s="164" t="s">
        <v>194</v>
      </c>
      <c r="G249" s="164" t="s">
        <v>188</v>
      </c>
      <c r="H249" s="164" t="s">
        <v>182</v>
      </c>
      <c r="I249" s="164" t="s">
        <v>163</v>
      </c>
      <c r="J249" s="164" t="s">
        <v>163</v>
      </c>
      <c r="K249" s="164" t="s">
        <v>163</v>
      </c>
      <c r="L249" s="164" t="s">
        <v>163</v>
      </c>
      <c r="M249" s="164">
        <v>19.399999999999999</v>
      </c>
      <c r="N249" s="164">
        <v>18.600000000000001</v>
      </c>
      <c r="O249" s="165">
        <v>1.6</v>
      </c>
      <c r="P249" s="165">
        <v>1.6</v>
      </c>
      <c r="Q249" s="164">
        <v>207</v>
      </c>
      <c r="R249" s="164">
        <v>267</v>
      </c>
      <c r="S249" s="166">
        <v>0.22</v>
      </c>
      <c r="T249" s="164" t="s">
        <v>163</v>
      </c>
      <c r="U249" s="164"/>
      <c r="V249" s="167">
        <v>41759</v>
      </c>
      <c r="W249" s="167">
        <v>41752</v>
      </c>
      <c r="X249" s="164" t="s">
        <v>506</v>
      </c>
      <c r="Y249" s="164" t="s">
        <v>871</v>
      </c>
      <c r="Z249" s="164" t="s">
        <v>163</v>
      </c>
      <c r="AA249" s="168" t="s">
        <v>184</v>
      </c>
      <c r="AB249" s="168" t="s">
        <v>194</v>
      </c>
      <c r="AC249" s="168" t="s">
        <v>188</v>
      </c>
      <c r="AD249" s="168" t="s">
        <v>182</v>
      </c>
      <c r="AE249" s="168" t="s">
        <v>163</v>
      </c>
      <c r="AF249" s="168" t="s">
        <v>163</v>
      </c>
      <c r="AG249" s="168" t="s">
        <v>163</v>
      </c>
      <c r="AH249" s="168" t="str">
        <f t="shared" si="19"/>
        <v>Refrigerator-Compact-Manual-Yes-No-No-No</v>
      </c>
      <c r="AI249" s="168" t="s">
        <v>315</v>
      </c>
      <c r="AJ249" s="168">
        <v>7.84</v>
      </c>
      <c r="AK249" s="169">
        <v>219.1</v>
      </c>
      <c r="AL249" s="169">
        <f t="shared" si="20"/>
        <v>231.64400000000001</v>
      </c>
      <c r="AM249" s="168">
        <f t="shared" si="21"/>
        <v>267</v>
      </c>
      <c r="AN249" s="168">
        <f t="shared" si="22"/>
        <v>207</v>
      </c>
      <c r="AO249" s="164" t="str">
        <f t="shared" si="23"/>
        <v>Yes</v>
      </c>
      <c r="AP249" s="164">
        <f t="shared" si="24"/>
        <v>60</v>
      </c>
    </row>
    <row r="250" spans="2:42">
      <c r="B250" s="164">
        <v>2199101</v>
      </c>
      <c r="C250" s="164" t="s">
        <v>855</v>
      </c>
      <c r="D250" s="164" t="s">
        <v>872</v>
      </c>
      <c r="E250" s="164"/>
      <c r="F250" s="164" t="s">
        <v>194</v>
      </c>
      <c r="G250" s="164" t="s">
        <v>162</v>
      </c>
      <c r="H250" s="164" t="s">
        <v>182</v>
      </c>
      <c r="I250" s="164" t="s">
        <v>163</v>
      </c>
      <c r="J250" s="164" t="s">
        <v>163</v>
      </c>
      <c r="K250" s="164" t="s">
        <v>163</v>
      </c>
      <c r="L250" s="164" t="s">
        <v>163</v>
      </c>
      <c r="M250" s="164">
        <v>43</v>
      </c>
      <c r="N250" s="164">
        <v>21.6</v>
      </c>
      <c r="O250" s="165">
        <v>4.5</v>
      </c>
      <c r="P250" s="165">
        <v>5.4</v>
      </c>
      <c r="Q250" s="164">
        <v>347</v>
      </c>
      <c r="R250" s="164">
        <v>403</v>
      </c>
      <c r="S250" s="166">
        <v>0.14000000000000001</v>
      </c>
      <c r="T250" s="164" t="s">
        <v>163</v>
      </c>
      <c r="U250" s="164"/>
      <c r="V250" s="167">
        <v>41631</v>
      </c>
      <c r="W250" s="167">
        <v>41620</v>
      </c>
      <c r="X250" s="164" t="s">
        <v>387</v>
      </c>
      <c r="Y250" s="164" t="s">
        <v>873</v>
      </c>
      <c r="Z250" s="164" t="s">
        <v>163</v>
      </c>
      <c r="AA250" s="168" t="s">
        <v>184</v>
      </c>
      <c r="AB250" s="168" t="s">
        <v>194</v>
      </c>
      <c r="AC250" s="168" t="s">
        <v>162</v>
      </c>
      <c r="AD250" s="168" t="s">
        <v>182</v>
      </c>
      <c r="AE250" s="168" t="s">
        <v>163</v>
      </c>
      <c r="AF250" s="168" t="s">
        <v>163</v>
      </c>
      <c r="AG250" s="168" t="s">
        <v>163</v>
      </c>
      <c r="AH250" s="168" t="str">
        <f t="shared" si="19"/>
        <v>Refrigerator-Compact-Automatic-Yes-No-No-No</v>
      </c>
      <c r="AI250" s="168" t="s">
        <v>329</v>
      </c>
      <c r="AJ250" s="168">
        <v>9.17</v>
      </c>
      <c r="AK250" s="169">
        <v>259.3</v>
      </c>
      <c r="AL250" s="169">
        <f t="shared" si="20"/>
        <v>308.81799999999998</v>
      </c>
      <c r="AM250" s="168">
        <f t="shared" si="21"/>
        <v>403</v>
      </c>
      <c r="AN250" s="168">
        <f t="shared" si="22"/>
        <v>347</v>
      </c>
      <c r="AO250" s="164" t="str">
        <f t="shared" si="23"/>
        <v>Yes</v>
      </c>
      <c r="AP250" s="164">
        <f t="shared" si="24"/>
        <v>56</v>
      </c>
    </row>
    <row r="251" spans="2:42">
      <c r="B251" s="164">
        <v>2199508</v>
      </c>
      <c r="C251" s="164" t="s">
        <v>855</v>
      </c>
      <c r="D251" s="164" t="s">
        <v>874</v>
      </c>
      <c r="E251" s="164"/>
      <c r="F251" s="164" t="s">
        <v>193</v>
      </c>
      <c r="G251" s="164" t="s">
        <v>162</v>
      </c>
      <c r="H251" s="164" t="s">
        <v>163</v>
      </c>
      <c r="I251" s="164" t="s">
        <v>163</v>
      </c>
      <c r="J251" s="164" t="s">
        <v>163</v>
      </c>
      <c r="K251" s="164" t="s">
        <v>163</v>
      </c>
      <c r="L251" s="164" t="s">
        <v>163</v>
      </c>
      <c r="M251" s="164">
        <v>59.8</v>
      </c>
      <c r="N251" s="164">
        <v>24</v>
      </c>
      <c r="O251" s="165">
        <v>9.9</v>
      </c>
      <c r="P251" s="165">
        <v>9.9</v>
      </c>
      <c r="Q251" s="164">
        <v>296</v>
      </c>
      <c r="R251" s="164">
        <v>314</v>
      </c>
      <c r="S251" s="166">
        <v>0.06</v>
      </c>
      <c r="T251" s="164" t="s">
        <v>163</v>
      </c>
      <c r="U251" s="164"/>
      <c r="V251" s="167">
        <v>41639</v>
      </c>
      <c r="W251" s="167">
        <v>41631</v>
      </c>
      <c r="X251" s="164" t="s">
        <v>387</v>
      </c>
      <c r="Y251" s="164" t="s">
        <v>875</v>
      </c>
      <c r="Z251" s="164" t="s">
        <v>163</v>
      </c>
      <c r="AA251" s="168" t="s">
        <v>184</v>
      </c>
      <c r="AB251" s="168" t="s">
        <v>193</v>
      </c>
      <c r="AC251" s="168" t="s">
        <v>162</v>
      </c>
      <c r="AD251" s="168" t="s">
        <v>163</v>
      </c>
      <c r="AE251" s="168" t="s">
        <v>163</v>
      </c>
      <c r="AF251" s="168" t="s">
        <v>163</v>
      </c>
      <c r="AG251" s="168" t="s">
        <v>163</v>
      </c>
      <c r="AH251" s="168" t="str">
        <f t="shared" si="19"/>
        <v>Refrigerator-Top Freezer-Automatic-No-No-No-No</v>
      </c>
      <c r="AI251" s="168">
        <v>3</v>
      </c>
      <c r="AJ251" s="168">
        <v>8.07</v>
      </c>
      <c r="AK251" s="169">
        <v>233.7</v>
      </c>
      <c r="AL251" s="169">
        <f t="shared" si="20"/>
        <v>313.59299999999996</v>
      </c>
      <c r="AM251" s="168">
        <f t="shared" si="21"/>
        <v>314</v>
      </c>
      <c r="AN251" s="168">
        <f t="shared" si="22"/>
        <v>296</v>
      </c>
      <c r="AO251" s="164" t="str">
        <f t="shared" si="23"/>
        <v>Yes</v>
      </c>
      <c r="AP251" s="164">
        <f t="shared" si="24"/>
        <v>18</v>
      </c>
    </row>
    <row r="252" spans="2:42">
      <c r="B252" s="164">
        <v>2199509</v>
      </c>
      <c r="C252" s="164" t="s">
        <v>855</v>
      </c>
      <c r="D252" s="164" t="s">
        <v>876</v>
      </c>
      <c r="E252" s="164"/>
      <c r="F252" s="164" t="s">
        <v>193</v>
      </c>
      <c r="G252" s="164" t="s">
        <v>162</v>
      </c>
      <c r="H252" s="164" t="s">
        <v>163</v>
      </c>
      <c r="I252" s="164" t="s">
        <v>163</v>
      </c>
      <c r="J252" s="164" t="s">
        <v>163</v>
      </c>
      <c r="K252" s="164" t="s">
        <v>163</v>
      </c>
      <c r="L252" s="164" t="s">
        <v>163</v>
      </c>
      <c r="M252" s="164">
        <v>59.8</v>
      </c>
      <c r="N252" s="164">
        <v>24</v>
      </c>
      <c r="O252" s="165">
        <v>11.5</v>
      </c>
      <c r="P252" s="165">
        <v>11.5</v>
      </c>
      <c r="Q252" s="164">
        <v>311</v>
      </c>
      <c r="R252" s="164">
        <v>327</v>
      </c>
      <c r="S252" s="166">
        <v>0.05</v>
      </c>
      <c r="T252" s="164" t="s">
        <v>163</v>
      </c>
      <c r="U252" s="164"/>
      <c r="V252" s="167">
        <v>41639</v>
      </c>
      <c r="W252" s="167">
        <v>41631</v>
      </c>
      <c r="X252" s="164" t="s">
        <v>387</v>
      </c>
      <c r="Y252" s="164" t="s">
        <v>877</v>
      </c>
      <c r="Z252" s="164" t="s">
        <v>163</v>
      </c>
      <c r="AA252" s="168" t="s">
        <v>184</v>
      </c>
      <c r="AB252" s="168" t="s">
        <v>193</v>
      </c>
      <c r="AC252" s="168" t="s">
        <v>162</v>
      </c>
      <c r="AD252" s="168" t="s">
        <v>163</v>
      </c>
      <c r="AE252" s="168" t="s">
        <v>163</v>
      </c>
      <c r="AF252" s="168" t="s">
        <v>163</v>
      </c>
      <c r="AG252" s="168" t="s">
        <v>163</v>
      </c>
      <c r="AH252" s="168" t="str">
        <f t="shared" si="19"/>
        <v>Refrigerator-Top Freezer-Automatic-No-No-No-No</v>
      </c>
      <c r="AI252" s="168">
        <v>3</v>
      </c>
      <c r="AJ252" s="168">
        <v>8.07</v>
      </c>
      <c r="AK252" s="169">
        <v>233.7</v>
      </c>
      <c r="AL252" s="169">
        <f t="shared" si="20"/>
        <v>326.505</v>
      </c>
      <c r="AM252" s="168">
        <f t="shared" si="21"/>
        <v>327</v>
      </c>
      <c r="AN252" s="168">
        <f t="shared" si="22"/>
        <v>311</v>
      </c>
      <c r="AO252" s="164" t="str">
        <f t="shared" si="23"/>
        <v>Yes</v>
      </c>
      <c r="AP252" s="164">
        <f t="shared" si="24"/>
        <v>16</v>
      </c>
    </row>
    <row r="253" spans="2:42">
      <c r="B253" s="164">
        <v>2210476</v>
      </c>
      <c r="C253" s="164" t="s">
        <v>855</v>
      </c>
      <c r="D253" s="164" t="s">
        <v>878</v>
      </c>
      <c r="E253" s="164"/>
      <c r="F253" s="164" t="s">
        <v>194</v>
      </c>
      <c r="G253" s="164" t="s">
        <v>162</v>
      </c>
      <c r="H253" s="164" t="s">
        <v>182</v>
      </c>
      <c r="I253" s="164" t="s">
        <v>163</v>
      </c>
      <c r="J253" s="164" t="s">
        <v>163</v>
      </c>
      <c r="K253" s="164" t="s">
        <v>163</v>
      </c>
      <c r="L253" s="164" t="s">
        <v>163</v>
      </c>
      <c r="M253" s="164">
        <v>33</v>
      </c>
      <c r="N253" s="164">
        <v>18.5</v>
      </c>
      <c r="O253" s="165">
        <v>3.1</v>
      </c>
      <c r="P253" s="165">
        <v>3.8</v>
      </c>
      <c r="Q253" s="164">
        <v>270</v>
      </c>
      <c r="R253" s="164">
        <v>358</v>
      </c>
      <c r="S253" s="166">
        <v>0.25</v>
      </c>
      <c r="T253" s="164" t="s">
        <v>163</v>
      </c>
      <c r="U253" s="164"/>
      <c r="V253" s="167">
        <v>41759</v>
      </c>
      <c r="W253" s="167">
        <v>41752</v>
      </c>
      <c r="X253" s="164" t="s">
        <v>506</v>
      </c>
      <c r="Y253" s="164" t="s">
        <v>879</v>
      </c>
      <c r="Z253" s="164" t="s">
        <v>163</v>
      </c>
      <c r="AA253" s="168" t="s">
        <v>184</v>
      </c>
      <c r="AB253" s="168" t="s">
        <v>194</v>
      </c>
      <c r="AC253" s="168" t="s">
        <v>162</v>
      </c>
      <c r="AD253" s="168" t="s">
        <v>182</v>
      </c>
      <c r="AE253" s="168" t="s">
        <v>163</v>
      </c>
      <c r="AF253" s="168" t="s">
        <v>163</v>
      </c>
      <c r="AG253" s="168" t="s">
        <v>163</v>
      </c>
      <c r="AH253" s="168" t="str">
        <f t="shared" si="19"/>
        <v>Refrigerator-Compact-Automatic-Yes-No-No-No</v>
      </c>
      <c r="AI253" s="168" t="s">
        <v>329</v>
      </c>
      <c r="AJ253" s="168">
        <v>9.17</v>
      </c>
      <c r="AK253" s="169">
        <v>259.3</v>
      </c>
      <c r="AL253" s="169">
        <f t="shared" si="20"/>
        <v>294.14600000000002</v>
      </c>
      <c r="AM253" s="168">
        <f t="shared" si="21"/>
        <v>358</v>
      </c>
      <c r="AN253" s="168">
        <f t="shared" si="22"/>
        <v>270</v>
      </c>
      <c r="AO253" s="164" t="str">
        <f t="shared" si="23"/>
        <v>Yes</v>
      </c>
      <c r="AP253" s="164">
        <f t="shared" si="24"/>
        <v>88</v>
      </c>
    </row>
    <row r="254" spans="2:42">
      <c r="B254" s="164">
        <v>2210455</v>
      </c>
      <c r="C254" s="164" t="s">
        <v>855</v>
      </c>
      <c r="D254" s="164" t="s">
        <v>880</v>
      </c>
      <c r="E254" s="164"/>
      <c r="F254" s="164" t="s">
        <v>194</v>
      </c>
      <c r="G254" s="164" t="s">
        <v>162</v>
      </c>
      <c r="H254" s="164" t="s">
        <v>182</v>
      </c>
      <c r="I254" s="164" t="s">
        <v>163</v>
      </c>
      <c r="J254" s="164" t="s">
        <v>163</v>
      </c>
      <c r="K254" s="164" t="s">
        <v>163</v>
      </c>
      <c r="L254" s="164" t="s">
        <v>163</v>
      </c>
      <c r="M254" s="164">
        <v>33</v>
      </c>
      <c r="N254" s="164">
        <v>18.5</v>
      </c>
      <c r="O254" s="165">
        <v>3.1</v>
      </c>
      <c r="P254" s="165">
        <v>3.8</v>
      </c>
      <c r="Q254" s="164">
        <v>270</v>
      </c>
      <c r="R254" s="164">
        <v>358</v>
      </c>
      <c r="S254" s="166">
        <v>0.25</v>
      </c>
      <c r="T254" s="164" t="s">
        <v>163</v>
      </c>
      <c r="U254" s="164"/>
      <c r="V254" s="167">
        <v>41759</v>
      </c>
      <c r="W254" s="167">
        <v>41752</v>
      </c>
      <c r="X254" s="164" t="s">
        <v>506</v>
      </c>
      <c r="Y254" s="164" t="s">
        <v>881</v>
      </c>
      <c r="Z254" s="164" t="s">
        <v>163</v>
      </c>
      <c r="AA254" s="168" t="s">
        <v>184</v>
      </c>
      <c r="AB254" s="168" t="s">
        <v>194</v>
      </c>
      <c r="AC254" s="168" t="s">
        <v>162</v>
      </c>
      <c r="AD254" s="168" t="s">
        <v>182</v>
      </c>
      <c r="AE254" s="168" t="s">
        <v>163</v>
      </c>
      <c r="AF254" s="168" t="s">
        <v>163</v>
      </c>
      <c r="AG254" s="168" t="s">
        <v>163</v>
      </c>
      <c r="AH254" s="168" t="str">
        <f t="shared" si="19"/>
        <v>Refrigerator-Compact-Automatic-Yes-No-No-No</v>
      </c>
      <c r="AI254" s="168" t="s">
        <v>329</v>
      </c>
      <c r="AJ254" s="168">
        <v>9.17</v>
      </c>
      <c r="AK254" s="169">
        <v>259.3</v>
      </c>
      <c r="AL254" s="169">
        <f t="shared" si="20"/>
        <v>294.14600000000002</v>
      </c>
      <c r="AM254" s="168">
        <f t="shared" si="21"/>
        <v>358</v>
      </c>
      <c r="AN254" s="168">
        <f t="shared" si="22"/>
        <v>270</v>
      </c>
      <c r="AO254" s="164" t="str">
        <f t="shared" si="23"/>
        <v>Yes</v>
      </c>
      <c r="AP254" s="164">
        <f t="shared" si="24"/>
        <v>88</v>
      </c>
    </row>
    <row r="255" spans="2:42">
      <c r="B255" s="164">
        <v>2210456</v>
      </c>
      <c r="C255" s="164" t="s">
        <v>855</v>
      </c>
      <c r="D255" s="164" t="s">
        <v>882</v>
      </c>
      <c r="E255" s="164"/>
      <c r="F255" s="164" t="s">
        <v>194</v>
      </c>
      <c r="G255" s="164" t="s">
        <v>162</v>
      </c>
      <c r="H255" s="164" t="s">
        <v>182</v>
      </c>
      <c r="I255" s="164" t="s">
        <v>163</v>
      </c>
      <c r="J255" s="164" t="s">
        <v>163</v>
      </c>
      <c r="K255" s="164" t="s">
        <v>163</v>
      </c>
      <c r="L255" s="164" t="s">
        <v>163</v>
      </c>
      <c r="M255" s="164">
        <v>33</v>
      </c>
      <c r="N255" s="164">
        <v>18.5</v>
      </c>
      <c r="O255" s="165">
        <v>3.1</v>
      </c>
      <c r="P255" s="165">
        <v>3.8</v>
      </c>
      <c r="Q255" s="164">
        <v>270</v>
      </c>
      <c r="R255" s="164">
        <v>358</v>
      </c>
      <c r="S255" s="166">
        <v>0.25</v>
      </c>
      <c r="T255" s="164" t="s">
        <v>163</v>
      </c>
      <c r="U255" s="164"/>
      <c r="V255" s="167">
        <v>41759</v>
      </c>
      <c r="W255" s="167">
        <v>41752</v>
      </c>
      <c r="X255" s="164" t="s">
        <v>506</v>
      </c>
      <c r="Y255" s="164" t="s">
        <v>883</v>
      </c>
      <c r="Z255" s="164" t="s">
        <v>163</v>
      </c>
      <c r="AA255" s="168" t="s">
        <v>184</v>
      </c>
      <c r="AB255" s="168" t="s">
        <v>194</v>
      </c>
      <c r="AC255" s="168" t="s">
        <v>162</v>
      </c>
      <c r="AD255" s="168" t="s">
        <v>182</v>
      </c>
      <c r="AE255" s="168" t="s">
        <v>163</v>
      </c>
      <c r="AF255" s="168" t="s">
        <v>163</v>
      </c>
      <c r="AG255" s="168" t="s">
        <v>163</v>
      </c>
      <c r="AH255" s="168" t="str">
        <f t="shared" si="19"/>
        <v>Refrigerator-Compact-Automatic-Yes-No-No-No</v>
      </c>
      <c r="AI255" s="168" t="s">
        <v>329</v>
      </c>
      <c r="AJ255" s="168">
        <v>9.17</v>
      </c>
      <c r="AK255" s="169">
        <v>259.3</v>
      </c>
      <c r="AL255" s="169">
        <f t="shared" si="20"/>
        <v>294.14600000000002</v>
      </c>
      <c r="AM255" s="168">
        <f t="shared" si="21"/>
        <v>358</v>
      </c>
      <c r="AN255" s="168">
        <f t="shared" si="22"/>
        <v>270</v>
      </c>
      <c r="AO255" s="164" t="str">
        <f t="shared" si="23"/>
        <v>Yes</v>
      </c>
      <c r="AP255" s="164">
        <f t="shared" si="24"/>
        <v>88</v>
      </c>
    </row>
    <row r="256" spans="2:42">
      <c r="B256" s="164">
        <v>2210457</v>
      </c>
      <c r="C256" s="164" t="s">
        <v>855</v>
      </c>
      <c r="D256" s="164" t="s">
        <v>884</v>
      </c>
      <c r="E256" s="164"/>
      <c r="F256" s="164" t="s">
        <v>194</v>
      </c>
      <c r="G256" s="164" t="s">
        <v>188</v>
      </c>
      <c r="H256" s="164" t="s">
        <v>182</v>
      </c>
      <c r="I256" s="164" t="s">
        <v>163</v>
      </c>
      <c r="J256" s="164" t="s">
        <v>163</v>
      </c>
      <c r="K256" s="164" t="s">
        <v>163</v>
      </c>
      <c r="L256" s="164" t="s">
        <v>163</v>
      </c>
      <c r="M256" s="164">
        <v>33.9</v>
      </c>
      <c r="N256" s="164">
        <v>18.600000000000001</v>
      </c>
      <c r="O256" s="165">
        <v>3.3</v>
      </c>
      <c r="P256" s="165">
        <v>3.3</v>
      </c>
      <c r="Q256" s="164">
        <v>220</v>
      </c>
      <c r="R256" s="164">
        <v>282</v>
      </c>
      <c r="S256" s="166">
        <v>0.22</v>
      </c>
      <c r="T256" s="164" t="s">
        <v>163</v>
      </c>
      <c r="U256" s="164"/>
      <c r="V256" s="167">
        <v>41759</v>
      </c>
      <c r="W256" s="167">
        <v>41752</v>
      </c>
      <c r="X256" s="164" t="s">
        <v>506</v>
      </c>
      <c r="Y256" s="164" t="s">
        <v>885</v>
      </c>
      <c r="Z256" s="164" t="s">
        <v>163</v>
      </c>
      <c r="AA256" s="168" t="s">
        <v>184</v>
      </c>
      <c r="AB256" s="168" t="s">
        <v>194</v>
      </c>
      <c r="AC256" s="168" t="s">
        <v>188</v>
      </c>
      <c r="AD256" s="168" t="s">
        <v>182</v>
      </c>
      <c r="AE256" s="168" t="s">
        <v>163</v>
      </c>
      <c r="AF256" s="168" t="s">
        <v>163</v>
      </c>
      <c r="AG256" s="168" t="s">
        <v>163</v>
      </c>
      <c r="AH256" s="168" t="str">
        <f t="shared" si="19"/>
        <v>Refrigerator-Compact-Manual-Yes-No-No-No</v>
      </c>
      <c r="AI256" s="168" t="s">
        <v>315</v>
      </c>
      <c r="AJ256" s="168">
        <v>7.84</v>
      </c>
      <c r="AK256" s="169">
        <v>219.1</v>
      </c>
      <c r="AL256" s="169">
        <f t="shared" si="20"/>
        <v>244.97199999999998</v>
      </c>
      <c r="AM256" s="168">
        <f t="shared" si="21"/>
        <v>282</v>
      </c>
      <c r="AN256" s="168">
        <f t="shared" si="22"/>
        <v>220</v>
      </c>
      <c r="AO256" s="164" t="str">
        <f t="shared" si="23"/>
        <v>Yes</v>
      </c>
      <c r="AP256" s="164">
        <f t="shared" si="24"/>
        <v>62</v>
      </c>
    </row>
    <row r="257" spans="2:42">
      <c r="B257" s="164">
        <v>2210462</v>
      </c>
      <c r="C257" s="164" t="s">
        <v>855</v>
      </c>
      <c r="D257" s="164" t="s">
        <v>886</v>
      </c>
      <c r="E257" s="164"/>
      <c r="F257" s="164" t="s">
        <v>194</v>
      </c>
      <c r="G257" s="164" t="s">
        <v>188</v>
      </c>
      <c r="H257" s="164" t="s">
        <v>182</v>
      </c>
      <c r="I257" s="164" t="s">
        <v>163</v>
      </c>
      <c r="J257" s="164" t="s">
        <v>163</v>
      </c>
      <c r="K257" s="164" t="s">
        <v>163</v>
      </c>
      <c r="L257" s="164" t="s">
        <v>163</v>
      </c>
      <c r="M257" s="164">
        <v>33.9</v>
      </c>
      <c r="N257" s="164">
        <v>18.600000000000001</v>
      </c>
      <c r="O257" s="165">
        <v>3.3</v>
      </c>
      <c r="P257" s="165">
        <v>3.3</v>
      </c>
      <c r="Q257" s="164">
        <v>220</v>
      </c>
      <c r="R257" s="164">
        <v>282</v>
      </c>
      <c r="S257" s="166">
        <v>0.22</v>
      </c>
      <c r="T257" s="164" t="s">
        <v>163</v>
      </c>
      <c r="U257" s="164"/>
      <c r="V257" s="167">
        <v>41759</v>
      </c>
      <c r="W257" s="167">
        <v>41752</v>
      </c>
      <c r="X257" s="164" t="s">
        <v>506</v>
      </c>
      <c r="Y257" s="164" t="s">
        <v>887</v>
      </c>
      <c r="Z257" s="164" t="s">
        <v>163</v>
      </c>
      <c r="AA257" s="168" t="s">
        <v>184</v>
      </c>
      <c r="AB257" s="168" t="s">
        <v>194</v>
      </c>
      <c r="AC257" s="168" t="s">
        <v>188</v>
      </c>
      <c r="AD257" s="168" t="s">
        <v>182</v>
      </c>
      <c r="AE257" s="168" t="s">
        <v>163</v>
      </c>
      <c r="AF257" s="168" t="s">
        <v>163</v>
      </c>
      <c r="AG257" s="168" t="s">
        <v>163</v>
      </c>
      <c r="AH257" s="168" t="str">
        <f t="shared" si="19"/>
        <v>Refrigerator-Compact-Manual-Yes-No-No-No</v>
      </c>
      <c r="AI257" s="168" t="s">
        <v>315</v>
      </c>
      <c r="AJ257" s="168">
        <v>7.84</v>
      </c>
      <c r="AK257" s="169">
        <v>219.1</v>
      </c>
      <c r="AL257" s="169">
        <f t="shared" si="20"/>
        <v>244.97199999999998</v>
      </c>
      <c r="AM257" s="168">
        <f t="shared" si="21"/>
        <v>282</v>
      </c>
      <c r="AN257" s="168">
        <f t="shared" si="22"/>
        <v>220</v>
      </c>
      <c r="AO257" s="164" t="str">
        <f t="shared" si="23"/>
        <v>Yes</v>
      </c>
      <c r="AP257" s="164">
        <f t="shared" si="24"/>
        <v>62</v>
      </c>
    </row>
    <row r="258" spans="2:42">
      <c r="B258" s="164">
        <v>2210466</v>
      </c>
      <c r="C258" s="164" t="s">
        <v>855</v>
      </c>
      <c r="D258" s="164" t="s">
        <v>888</v>
      </c>
      <c r="E258" s="164"/>
      <c r="F258" s="164" t="s">
        <v>194</v>
      </c>
      <c r="G258" s="164" t="s">
        <v>188</v>
      </c>
      <c r="H258" s="164" t="s">
        <v>182</v>
      </c>
      <c r="I258" s="164" t="s">
        <v>163</v>
      </c>
      <c r="J258" s="164" t="s">
        <v>163</v>
      </c>
      <c r="K258" s="164" t="s">
        <v>163</v>
      </c>
      <c r="L258" s="164" t="s">
        <v>163</v>
      </c>
      <c r="M258" s="164">
        <v>33.9</v>
      </c>
      <c r="N258" s="164">
        <v>18.600000000000001</v>
      </c>
      <c r="O258" s="165">
        <v>3.3</v>
      </c>
      <c r="P258" s="165">
        <v>3.3</v>
      </c>
      <c r="Q258" s="164">
        <v>220</v>
      </c>
      <c r="R258" s="164">
        <v>282</v>
      </c>
      <c r="S258" s="166">
        <v>0.22</v>
      </c>
      <c r="T258" s="164" t="s">
        <v>163</v>
      </c>
      <c r="U258" s="164"/>
      <c r="V258" s="167">
        <v>41759</v>
      </c>
      <c r="W258" s="167">
        <v>41752</v>
      </c>
      <c r="X258" s="164" t="s">
        <v>506</v>
      </c>
      <c r="Y258" s="164" t="s">
        <v>889</v>
      </c>
      <c r="Z258" s="164" t="s">
        <v>163</v>
      </c>
      <c r="AA258" s="168" t="s">
        <v>184</v>
      </c>
      <c r="AB258" s="168" t="s">
        <v>194</v>
      </c>
      <c r="AC258" s="168" t="s">
        <v>188</v>
      </c>
      <c r="AD258" s="168" t="s">
        <v>182</v>
      </c>
      <c r="AE258" s="168" t="s">
        <v>163</v>
      </c>
      <c r="AF258" s="168" t="s">
        <v>163</v>
      </c>
      <c r="AG258" s="168" t="s">
        <v>163</v>
      </c>
      <c r="AH258" s="168" t="str">
        <f t="shared" si="19"/>
        <v>Refrigerator-Compact-Manual-Yes-No-No-No</v>
      </c>
      <c r="AI258" s="168" t="s">
        <v>315</v>
      </c>
      <c r="AJ258" s="168">
        <v>7.84</v>
      </c>
      <c r="AK258" s="169">
        <v>219.1</v>
      </c>
      <c r="AL258" s="169">
        <f t="shared" si="20"/>
        <v>244.97199999999998</v>
      </c>
      <c r="AM258" s="168">
        <f t="shared" si="21"/>
        <v>282</v>
      </c>
      <c r="AN258" s="168">
        <f t="shared" si="22"/>
        <v>220</v>
      </c>
      <c r="AO258" s="164" t="str">
        <f t="shared" si="23"/>
        <v>Yes</v>
      </c>
      <c r="AP258" s="164">
        <f t="shared" si="24"/>
        <v>62</v>
      </c>
    </row>
    <row r="259" spans="2:42">
      <c r="B259" s="164">
        <v>2210458</v>
      </c>
      <c r="C259" s="164" t="s">
        <v>855</v>
      </c>
      <c r="D259" s="164" t="s">
        <v>890</v>
      </c>
      <c r="E259" s="164"/>
      <c r="F259" s="164" t="s">
        <v>194</v>
      </c>
      <c r="G259" s="164" t="s">
        <v>188</v>
      </c>
      <c r="H259" s="164" t="s">
        <v>182</v>
      </c>
      <c r="I259" s="164" t="s">
        <v>163</v>
      </c>
      <c r="J259" s="164" t="s">
        <v>163</v>
      </c>
      <c r="K259" s="164" t="s">
        <v>163</v>
      </c>
      <c r="L259" s="164" t="s">
        <v>163</v>
      </c>
      <c r="M259" s="164">
        <v>33.9</v>
      </c>
      <c r="N259" s="164">
        <v>19.7</v>
      </c>
      <c r="O259" s="165">
        <v>4.4000000000000004</v>
      </c>
      <c r="P259" s="165">
        <v>4.4000000000000004</v>
      </c>
      <c r="Q259" s="164">
        <v>226</v>
      </c>
      <c r="R259" s="164">
        <v>292</v>
      </c>
      <c r="S259" s="166">
        <v>0.23</v>
      </c>
      <c r="T259" s="164" t="s">
        <v>163</v>
      </c>
      <c r="U259" s="164"/>
      <c r="V259" s="167">
        <v>41759</v>
      </c>
      <c r="W259" s="167">
        <v>41752</v>
      </c>
      <c r="X259" s="164" t="s">
        <v>506</v>
      </c>
      <c r="Y259" s="164" t="s">
        <v>891</v>
      </c>
      <c r="Z259" s="164" t="s">
        <v>163</v>
      </c>
      <c r="AA259" s="168" t="s">
        <v>184</v>
      </c>
      <c r="AB259" s="168" t="s">
        <v>194</v>
      </c>
      <c r="AC259" s="168" t="s">
        <v>188</v>
      </c>
      <c r="AD259" s="168" t="s">
        <v>182</v>
      </c>
      <c r="AE259" s="168" t="s">
        <v>163</v>
      </c>
      <c r="AF259" s="168" t="s">
        <v>163</v>
      </c>
      <c r="AG259" s="168" t="s">
        <v>163</v>
      </c>
      <c r="AH259" s="168" t="str">
        <f t="shared" si="19"/>
        <v>Refrigerator-Compact-Manual-Yes-No-No-No</v>
      </c>
      <c r="AI259" s="168" t="s">
        <v>315</v>
      </c>
      <c r="AJ259" s="168">
        <v>7.84</v>
      </c>
      <c r="AK259" s="169">
        <v>219.1</v>
      </c>
      <c r="AL259" s="169">
        <f t="shared" si="20"/>
        <v>253.596</v>
      </c>
      <c r="AM259" s="168">
        <f t="shared" si="21"/>
        <v>292</v>
      </c>
      <c r="AN259" s="168">
        <f t="shared" si="22"/>
        <v>226</v>
      </c>
      <c r="AO259" s="164" t="str">
        <f t="shared" si="23"/>
        <v>Yes</v>
      </c>
      <c r="AP259" s="164">
        <f t="shared" si="24"/>
        <v>66</v>
      </c>
    </row>
    <row r="260" spans="2:42">
      <c r="B260" s="164">
        <v>2210477</v>
      </c>
      <c r="C260" s="164" t="s">
        <v>855</v>
      </c>
      <c r="D260" s="164" t="s">
        <v>892</v>
      </c>
      <c r="E260" s="164"/>
      <c r="F260" s="164" t="s">
        <v>194</v>
      </c>
      <c r="G260" s="164" t="s">
        <v>188</v>
      </c>
      <c r="H260" s="164" t="s">
        <v>182</v>
      </c>
      <c r="I260" s="164" t="s">
        <v>163</v>
      </c>
      <c r="J260" s="164" t="s">
        <v>163</v>
      </c>
      <c r="K260" s="164" t="s">
        <v>163</v>
      </c>
      <c r="L260" s="164" t="s">
        <v>163</v>
      </c>
      <c r="M260" s="164">
        <v>33.9</v>
      </c>
      <c r="N260" s="164">
        <v>19.7</v>
      </c>
      <c r="O260" s="165">
        <v>4.4000000000000004</v>
      </c>
      <c r="P260" s="165">
        <v>4.4000000000000004</v>
      </c>
      <c r="Q260" s="164">
        <v>226</v>
      </c>
      <c r="R260" s="164">
        <v>292</v>
      </c>
      <c r="S260" s="166">
        <v>0.23</v>
      </c>
      <c r="T260" s="164" t="s">
        <v>163</v>
      </c>
      <c r="U260" s="164"/>
      <c r="V260" s="167">
        <v>41759</v>
      </c>
      <c r="W260" s="167">
        <v>41752</v>
      </c>
      <c r="X260" s="164" t="s">
        <v>506</v>
      </c>
      <c r="Y260" s="164" t="s">
        <v>893</v>
      </c>
      <c r="Z260" s="164" t="s">
        <v>163</v>
      </c>
      <c r="AA260" s="168" t="s">
        <v>184</v>
      </c>
      <c r="AB260" s="168" t="s">
        <v>194</v>
      </c>
      <c r="AC260" s="168" t="s">
        <v>188</v>
      </c>
      <c r="AD260" s="168" t="s">
        <v>182</v>
      </c>
      <c r="AE260" s="168" t="s">
        <v>163</v>
      </c>
      <c r="AF260" s="168" t="s">
        <v>163</v>
      </c>
      <c r="AG260" s="168" t="s">
        <v>163</v>
      </c>
      <c r="AH260" s="168" t="str">
        <f t="shared" si="19"/>
        <v>Refrigerator-Compact-Manual-Yes-No-No-No</v>
      </c>
      <c r="AI260" s="168" t="s">
        <v>315</v>
      </c>
      <c r="AJ260" s="168">
        <v>7.84</v>
      </c>
      <c r="AK260" s="169">
        <v>219.1</v>
      </c>
      <c r="AL260" s="169">
        <f t="shared" si="20"/>
        <v>253.596</v>
      </c>
      <c r="AM260" s="168">
        <f t="shared" si="21"/>
        <v>292</v>
      </c>
      <c r="AN260" s="168">
        <f t="shared" si="22"/>
        <v>226</v>
      </c>
      <c r="AO260" s="164" t="str">
        <f t="shared" si="23"/>
        <v>Yes</v>
      </c>
      <c r="AP260" s="164">
        <f t="shared" si="24"/>
        <v>66</v>
      </c>
    </row>
    <row r="261" spans="2:42">
      <c r="B261" s="164">
        <v>2210472</v>
      </c>
      <c r="C261" s="164" t="s">
        <v>855</v>
      </c>
      <c r="D261" s="164" t="s">
        <v>894</v>
      </c>
      <c r="E261" s="164"/>
      <c r="F261" s="164" t="s">
        <v>194</v>
      </c>
      <c r="G261" s="164" t="s">
        <v>188</v>
      </c>
      <c r="H261" s="164" t="s">
        <v>182</v>
      </c>
      <c r="I261" s="164" t="s">
        <v>163</v>
      </c>
      <c r="J261" s="164" t="s">
        <v>163</v>
      </c>
      <c r="K261" s="164" t="s">
        <v>163</v>
      </c>
      <c r="L261" s="164" t="s">
        <v>163</v>
      </c>
      <c r="M261" s="164">
        <v>33.9</v>
      </c>
      <c r="N261" s="164">
        <v>19.7</v>
      </c>
      <c r="O261" s="165">
        <v>4.4000000000000004</v>
      </c>
      <c r="P261" s="165">
        <v>4.4000000000000004</v>
      </c>
      <c r="Q261" s="164">
        <v>226</v>
      </c>
      <c r="R261" s="164">
        <v>292</v>
      </c>
      <c r="S261" s="166">
        <v>0.23</v>
      </c>
      <c r="T261" s="164" t="s">
        <v>163</v>
      </c>
      <c r="U261" s="164"/>
      <c r="V261" s="167">
        <v>41759</v>
      </c>
      <c r="W261" s="167">
        <v>41752</v>
      </c>
      <c r="X261" s="164" t="s">
        <v>506</v>
      </c>
      <c r="Y261" s="164" t="s">
        <v>895</v>
      </c>
      <c r="Z261" s="164" t="s">
        <v>163</v>
      </c>
      <c r="AA261" s="168" t="s">
        <v>184</v>
      </c>
      <c r="AB261" s="168" t="s">
        <v>194</v>
      </c>
      <c r="AC261" s="168" t="s">
        <v>188</v>
      </c>
      <c r="AD261" s="168" t="s">
        <v>182</v>
      </c>
      <c r="AE261" s="168" t="s">
        <v>163</v>
      </c>
      <c r="AF261" s="168" t="s">
        <v>163</v>
      </c>
      <c r="AG261" s="168" t="s">
        <v>163</v>
      </c>
      <c r="AH261" s="168" t="str">
        <f t="shared" si="19"/>
        <v>Refrigerator-Compact-Manual-Yes-No-No-No</v>
      </c>
      <c r="AI261" s="168" t="s">
        <v>315</v>
      </c>
      <c r="AJ261" s="168">
        <v>7.84</v>
      </c>
      <c r="AK261" s="169">
        <v>219.1</v>
      </c>
      <c r="AL261" s="169">
        <f t="shared" si="20"/>
        <v>253.596</v>
      </c>
      <c r="AM261" s="168">
        <f t="shared" si="21"/>
        <v>292</v>
      </c>
      <c r="AN261" s="168">
        <f t="shared" si="22"/>
        <v>226</v>
      </c>
      <c r="AO261" s="164" t="str">
        <f t="shared" si="23"/>
        <v>Yes</v>
      </c>
      <c r="AP261" s="164">
        <f t="shared" si="24"/>
        <v>66</v>
      </c>
    </row>
    <row r="262" spans="2:42">
      <c r="B262" s="164">
        <v>2210459</v>
      </c>
      <c r="C262" s="164" t="s">
        <v>855</v>
      </c>
      <c r="D262" s="164" t="s">
        <v>896</v>
      </c>
      <c r="E262" s="164"/>
      <c r="F262" s="164" t="s">
        <v>194</v>
      </c>
      <c r="G262" s="164" t="s">
        <v>188</v>
      </c>
      <c r="H262" s="164" t="s">
        <v>182</v>
      </c>
      <c r="I262" s="164" t="s">
        <v>163</v>
      </c>
      <c r="J262" s="164" t="s">
        <v>163</v>
      </c>
      <c r="K262" s="164" t="s">
        <v>163</v>
      </c>
      <c r="L262" s="164" t="s">
        <v>163</v>
      </c>
      <c r="M262" s="164">
        <v>19.399999999999999</v>
      </c>
      <c r="N262" s="164">
        <v>18.600000000000001</v>
      </c>
      <c r="O262" s="165">
        <v>1.6</v>
      </c>
      <c r="P262" s="165">
        <v>1.6</v>
      </c>
      <c r="Q262" s="164">
        <v>207</v>
      </c>
      <c r="R262" s="164">
        <v>267</v>
      </c>
      <c r="S262" s="166">
        <v>0.22</v>
      </c>
      <c r="T262" s="164" t="s">
        <v>163</v>
      </c>
      <c r="U262" s="164"/>
      <c r="V262" s="167">
        <v>41759</v>
      </c>
      <c r="W262" s="167">
        <v>41752</v>
      </c>
      <c r="X262" s="164" t="s">
        <v>506</v>
      </c>
      <c r="Y262" s="164" t="s">
        <v>897</v>
      </c>
      <c r="Z262" s="164" t="s">
        <v>163</v>
      </c>
      <c r="AA262" s="168" t="s">
        <v>184</v>
      </c>
      <c r="AB262" s="168" t="s">
        <v>194</v>
      </c>
      <c r="AC262" s="168" t="s">
        <v>188</v>
      </c>
      <c r="AD262" s="168" t="s">
        <v>182</v>
      </c>
      <c r="AE262" s="168" t="s">
        <v>163</v>
      </c>
      <c r="AF262" s="168" t="s">
        <v>163</v>
      </c>
      <c r="AG262" s="168" t="s">
        <v>163</v>
      </c>
      <c r="AH262" s="168" t="str">
        <f t="shared" si="19"/>
        <v>Refrigerator-Compact-Manual-Yes-No-No-No</v>
      </c>
      <c r="AI262" s="168" t="s">
        <v>315</v>
      </c>
      <c r="AJ262" s="168">
        <v>7.84</v>
      </c>
      <c r="AK262" s="169">
        <v>219.1</v>
      </c>
      <c r="AL262" s="169">
        <f t="shared" si="20"/>
        <v>231.64400000000001</v>
      </c>
      <c r="AM262" s="168">
        <f t="shared" si="21"/>
        <v>267</v>
      </c>
      <c r="AN262" s="168">
        <f t="shared" si="22"/>
        <v>207</v>
      </c>
      <c r="AO262" s="164" t="str">
        <f t="shared" si="23"/>
        <v>Yes</v>
      </c>
      <c r="AP262" s="164">
        <f t="shared" si="24"/>
        <v>60</v>
      </c>
    </row>
    <row r="263" spans="2:42">
      <c r="B263" s="164">
        <v>2210463</v>
      </c>
      <c r="C263" s="164" t="s">
        <v>855</v>
      </c>
      <c r="D263" s="164" t="s">
        <v>898</v>
      </c>
      <c r="E263" s="164"/>
      <c r="F263" s="164" t="s">
        <v>194</v>
      </c>
      <c r="G263" s="164" t="s">
        <v>188</v>
      </c>
      <c r="H263" s="164" t="s">
        <v>182</v>
      </c>
      <c r="I263" s="164" t="s">
        <v>163</v>
      </c>
      <c r="J263" s="164" t="s">
        <v>163</v>
      </c>
      <c r="K263" s="164" t="s">
        <v>163</v>
      </c>
      <c r="L263" s="164" t="s">
        <v>163</v>
      </c>
      <c r="M263" s="164">
        <v>19.399999999999999</v>
      </c>
      <c r="N263" s="164">
        <v>18.600000000000001</v>
      </c>
      <c r="O263" s="165">
        <v>1.6</v>
      </c>
      <c r="P263" s="165">
        <v>1.6</v>
      </c>
      <c r="Q263" s="164">
        <v>207</v>
      </c>
      <c r="R263" s="164">
        <v>267</v>
      </c>
      <c r="S263" s="166">
        <v>0.22</v>
      </c>
      <c r="T263" s="164" t="s">
        <v>163</v>
      </c>
      <c r="U263" s="164"/>
      <c r="V263" s="167">
        <v>41759</v>
      </c>
      <c r="W263" s="167">
        <v>41752</v>
      </c>
      <c r="X263" s="164" t="s">
        <v>506</v>
      </c>
      <c r="Y263" s="164" t="s">
        <v>899</v>
      </c>
      <c r="Z263" s="164" t="s">
        <v>163</v>
      </c>
      <c r="AA263" s="168" t="s">
        <v>184</v>
      </c>
      <c r="AB263" s="168" t="s">
        <v>194</v>
      </c>
      <c r="AC263" s="168" t="s">
        <v>188</v>
      </c>
      <c r="AD263" s="168" t="s">
        <v>182</v>
      </c>
      <c r="AE263" s="168" t="s">
        <v>163</v>
      </c>
      <c r="AF263" s="168" t="s">
        <v>163</v>
      </c>
      <c r="AG263" s="168" t="s">
        <v>163</v>
      </c>
      <c r="AH263" s="168" t="str">
        <f t="shared" si="19"/>
        <v>Refrigerator-Compact-Manual-Yes-No-No-No</v>
      </c>
      <c r="AI263" s="168" t="s">
        <v>315</v>
      </c>
      <c r="AJ263" s="168">
        <v>7.84</v>
      </c>
      <c r="AK263" s="169">
        <v>219.1</v>
      </c>
      <c r="AL263" s="169">
        <f t="shared" si="20"/>
        <v>231.64400000000001</v>
      </c>
      <c r="AM263" s="168">
        <f t="shared" si="21"/>
        <v>267</v>
      </c>
      <c r="AN263" s="168">
        <f t="shared" si="22"/>
        <v>207</v>
      </c>
      <c r="AO263" s="164" t="str">
        <f t="shared" si="23"/>
        <v>Yes</v>
      </c>
      <c r="AP263" s="164">
        <f t="shared" si="24"/>
        <v>60</v>
      </c>
    </row>
    <row r="264" spans="2:42">
      <c r="B264" s="164">
        <v>2210460</v>
      </c>
      <c r="C264" s="164" t="s">
        <v>855</v>
      </c>
      <c r="D264" s="164" t="s">
        <v>900</v>
      </c>
      <c r="E264" s="164"/>
      <c r="F264" s="164" t="s">
        <v>194</v>
      </c>
      <c r="G264" s="164" t="s">
        <v>188</v>
      </c>
      <c r="H264" s="164" t="s">
        <v>182</v>
      </c>
      <c r="I264" s="164" t="s">
        <v>163</v>
      </c>
      <c r="J264" s="164" t="s">
        <v>163</v>
      </c>
      <c r="K264" s="164" t="s">
        <v>163</v>
      </c>
      <c r="L264" s="164" t="s">
        <v>163</v>
      </c>
      <c r="M264" s="164">
        <v>19.399999999999999</v>
      </c>
      <c r="N264" s="164">
        <v>18.600000000000001</v>
      </c>
      <c r="O264" s="165">
        <v>1.6</v>
      </c>
      <c r="P264" s="165">
        <v>1.6</v>
      </c>
      <c r="Q264" s="164">
        <v>207</v>
      </c>
      <c r="R264" s="164">
        <v>267</v>
      </c>
      <c r="S264" s="166">
        <v>0.22</v>
      </c>
      <c r="T264" s="164" t="s">
        <v>163</v>
      </c>
      <c r="U264" s="164"/>
      <c r="V264" s="167">
        <v>41759</v>
      </c>
      <c r="W264" s="167">
        <v>41752</v>
      </c>
      <c r="X264" s="164" t="s">
        <v>506</v>
      </c>
      <c r="Y264" s="164" t="s">
        <v>901</v>
      </c>
      <c r="Z264" s="164" t="s">
        <v>163</v>
      </c>
      <c r="AA264" s="168" t="s">
        <v>184</v>
      </c>
      <c r="AB264" s="168" t="s">
        <v>194</v>
      </c>
      <c r="AC264" s="168" t="s">
        <v>188</v>
      </c>
      <c r="AD264" s="168" t="s">
        <v>182</v>
      </c>
      <c r="AE264" s="168" t="s">
        <v>163</v>
      </c>
      <c r="AF264" s="168" t="s">
        <v>163</v>
      </c>
      <c r="AG264" s="168" t="s">
        <v>163</v>
      </c>
      <c r="AH264" s="168" t="str">
        <f t="shared" si="19"/>
        <v>Refrigerator-Compact-Manual-Yes-No-No-No</v>
      </c>
      <c r="AI264" s="168" t="s">
        <v>315</v>
      </c>
      <c r="AJ264" s="168">
        <v>7.84</v>
      </c>
      <c r="AK264" s="169">
        <v>219.1</v>
      </c>
      <c r="AL264" s="169">
        <f t="shared" si="20"/>
        <v>231.64400000000001</v>
      </c>
      <c r="AM264" s="168">
        <f t="shared" si="21"/>
        <v>267</v>
      </c>
      <c r="AN264" s="168">
        <f t="shared" si="22"/>
        <v>207</v>
      </c>
      <c r="AO264" s="164" t="str">
        <f t="shared" si="23"/>
        <v>Yes</v>
      </c>
      <c r="AP264" s="164">
        <f t="shared" si="24"/>
        <v>60</v>
      </c>
    </row>
    <row r="265" spans="2:42">
      <c r="B265" s="164">
        <v>2210464</v>
      </c>
      <c r="C265" s="164" t="s">
        <v>855</v>
      </c>
      <c r="D265" s="164" t="s">
        <v>902</v>
      </c>
      <c r="E265" s="164"/>
      <c r="F265" s="164" t="s">
        <v>194</v>
      </c>
      <c r="G265" s="164" t="s">
        <v>188</v>
      </c>
      <c r="H265" s="164" t="s">
        <v>182</v>
      </c>
      <c r="I265" s="164" t="s">
        <v>163</v>
      </c>
      <c r="J265" s="164" t="s">
        <v>163</v>
      </c>
      <c r="K265" s="164" t="s">
        <v>163</v>
      </c>
      <c r="L265" s="164" t="s">
        <v>163</v>
      </c>
      <c r="M265" s="164">
        <v>24.8</v>
      </c>
      <c r="N265" s="164">
        <v>17.5</v>
      </c>
      <c r="O265" s="165">
        <v>2.4</v>
      </c>
      <c r="P265" s="165">
        <v>2.4</v>
      </c>
      <c r="Q265" s="164">
        <v>213</v>
      </c>
      <c r="R265" s="164">
        <v>274</v>
      </c>
      <c r="S265" s="166">
        <v>0.22</v>
      </c>
      <c r="T265" s="164" t="s">
        <v>163</v>
      </c>
      <c r="U265" s="164"/>
      <c r="V265" s="167">
        <v>41759</v>
      </c>
      <c r="W265" s="167">
        <v>41752</v>
      </c>
      <c r="X265" s="164" t="s">
        <v>506</v>
      </c>
      <c r="Y265" s="164" t="s">
        <v>903</v>
      </c>
      <c r="Z265" s="164" t="s">
        <v>163</v>
      </c>
      <c r="AA265" s="168" t="s">
        <v>184</v>
      </c>
      <c r="AB265" s="168" t="s">
        <v>194</v>
      </c>
      <c r="AC265" s="168" t="s">
        <v>188</v>
      </c>
      <c r="AD265" s="168" t="s">
        <v>182</v>
      </c>
      <c r="AE265" s="168" t="s">
        <v>163</v>
      </c>
      <c r="AF265" s="168" t="s">
        <v>163</v>
      </c>
      <c r="AG265" s="168" t="s">
        <v>163</v>
      </c>
      <c r="AH265" s="168" t="str">
        <f t="shared" si="19"/>
        <v>Refrigerator-Compact-Manual-Yes-No-No-No</v>
      </c>
      <c r="AI265" s="168" t="s">
        <v>315</v>
      </c>
      <c r="AJ265" s="168">
        <v>7.84</v>
      </c>
      <c r="AK265" s="169">
        <v>219.1</v>
      </c>
      <c r="AL265" s="169">
        <f t="shared" si="20"/>
        <v>237.916</v>
      </c>
      <c r="AM265" s="168">
        <f t="shared" si="21"/>
        <v>274</v>
      </c>
      <c r="AN265" s="168">
        <f t="shared" si="22"/>
        <v>213</v>
      </c>
      <c r="AO265" s="164" t="str">
        <f t="shared" si="23"/>
        <v>Yes</v>
      </c>
      <c r="AP265" s="164">
        <f t="shared" si="24"/>
        <v>61</v>
      </c>
    </row>
    <row r="266" spans="2:42">
      <c r="B266" s="164">
        <v>2210467</v>
      </c>
      <c r="C266" s="164" t="s">
        <v>855</v>
      </c>
      <c r="D266" s="164" t="s">
        <v>904</v>
      </c>
      <c r="E266" s="164"/>
      <c r="F266" s="164" t="s">
        <v>194</v>
      </c>
      <c r="G266" s="164" t="s">
        <v>188</v>
      </c>
      <c r="H266" s="164" t="s">
        <v>182</v>
      </c>
      <c r="I266" s="164" t="s">
        <v>163</v>
      </c>
      <c r="J266" s="164" t="s">
        <v>163</v>
      </c>
      <c r="K266" s="164" t="s">
        <v>163</v>
      </c>
      <c r="L266" s="164" t="s">
        <v>163</v>
      </c>
      <c r="M266" s="164">
        <v>24.8</v>
      </c>
      <c r="N266" s="164">
        <v>17.5</v>
      </c>
      <c r="O266" s="165">
        <v>2.4</v>
      </c>
      <c r="P266" s="165">
        <v>2.4</v>
      </c>
      <c r="Q266" s="164">
        <v>213</v>
      </c>
      <c r="R266" s="164">
        <v>274</v>
      </c>
      <c r="S266" s="166">
        <v>0.22</v>
      </c>
      <c r="T266" s="164" t="s">
        <v>163</v>
      </c>
      <c r="U266" s="164"/>
      <c r="V266" s="167">
        <v>41759</v>
      </c>
      <c r="W266" s="167">
        <v>41752</v>
      </c>
      <c r="X266" s="164" t="s">
        <v>506</v>
      </c>
      <c r="Y266" s="164" t="s">
        <v>905</v>
      </c>
      <c r="Z266" s="164" t="s">
        <v>163</v>
      </c>
      <c r="AA266" s="168" t="s">
        <v>184</v>
      </c>
      <c r="AB266" s="168" t="s">
        <v>194</v>
      </c>
      <c r="AC266" s="168" t="s">
        <v>188</v>
      </c>
      <c r="AD266" s="168" t="s">
        <v>182</v>
      </c>
      <c r="AE266" s="168" t="s">
        <v>163</v>
      </c>
      <c r="AF266" s="168" t="s">
        <v>163</v>
      </c>
      <c r="AG266" s="168" t="s">
        <v>163</v>
      </c>
      <c r="AH266" s="168" t="str">
        <f t="shared" si="19"/>
        <v>Refrigerator-Compact-Manual-Yes-No-No-No</v>
      </c>
      <c r="AI266" s="168" t="s">
        <v>315</v>
      </c>
      <c r="AJ266" s="168">
        <v>7.84</v>
      </c>
      <c r="AK266" s="169">
        <v>219.1</v>
      </c>
      <c r="AL266" s="169">
        <f t="shared" si="20"/>
        <v>237.916</v>
      </c>
      <c r="AM266" s="168">
        <f t="shared" si="21"/>
        <v>274</v>
      </c>
      <c r="AN266" s="168">
        <f t="shared" si="22"/>
        <v>213</v>
      </c>
      <c r="AO266" s="164" t="str">
        <f t="shared" si="23"/>
        <v>Yes</v>
      </c>
      <c r="AP266" s="164">
        <f t="shared" si="24"/>
        <v>61</v>
      </c>
    </row>
    <row r="267" spans="2:42">
      <c r="B267" s="164">
        <v>2208209</v>
      </c>
      <c r="C267" s="164" t="s">
        <v>170</v>
      </c>
      <c r="D267" s="164" t="s">
        <v>906</v>
      </c>
      <c r="E267" s="164"/>
      <c r="F267" s="164" t="s">
        <v>191</v>
      </c>
      <c r="G267" s="164" t="s">
        <v>162</v>
      </c>
      <c r="H267" s="164" t="s">
        <v>163</v>
      </c>
      <c r="I267" s="164" t="s">
        <v>163</v>
      </c>
      <c r="J267" s="164" t="s">
        <v>163</v>
      </c>
      <c r="K267" s="164" t="s">
        <v>163</v>
      </c>
      <c r="L267" s="164" t="s">
        <v>163</v>
      </c>
      <c r="M267" s="164">
        <v>65.5</v>
      </c>
      <c r="N267" s="164">
        <v>29.6</v>
      </c>
      <c r="O267" s="165">
        <v>18.600000000000001</v>
      </c>
      <c r="P267" s="165">
        <v>23</v>
      </c>
      <c r="Q267" s="164">
        <v>469</v>
      </c>
      <c r="R267" s="164">
        <v>521</v>
      </c>
      <c r="S267" s="166">
        <v>0.1</v>
      </c>
      <c r="T267" s="164" t="s">
        <v>163</v>
      </c>
      <c r="U267" s="164"/>
      <c r="V267" s="167">
        <v>41554</v>
      </c>
      <c r="W267" s="167">
        <v>41726</v>
      </c>
      <c r="X267" s="164" t="s">
        <v>387</v>
      </c>
      <c r="Y267" s="164" t="s">
        <v>907</v>
      </c>
      <c r="Z267" s="164" t="s">
        <v>163</v>
      </c>
      <c r="AA267" s="168" t="s">
        <v>184</v>
      </c>
      <c r="AB267" s="168" t="s">
        <v>191</v>
      </c>
      <c r="AC267" s="168" t="s">
        <v>162</v>
      </c>
      <c r="AD267" s="168" t="s">
        <v>163</v>
      </c>
      <c r="AE267" s="168" t="s">
        <v>163</v>
      </c>
      <c r="AF267" s="168" t="s">
        <v>163</v>
      </c>
      <c r="AG267" s="168" t="s">
        <v>163</v>
      </c>
      <c r="AH267" s="168" t="str">
        <f t="shared" si="19"/>
        <v>Refrigerator-Bottom Freezer-Automatic-No-No-No-No</v>
      </c>
      <c r="AI267" s="168">
        <v>5</v>
      </c>
      <c r="AJ267" s="168">
        <v>8.85</v>
      </c>
      <c r="AK267" s="169">
        <v>317</v>
      </c>
      <c r="AL267" s="169">
        <f t="shared" si="20"/>
        <v>520.54999999999995</v>
      </c>
      <c r="AM267" s="168">
        <f t="shared" si="21"/>
        <v>521</v>
      </c>
      <c r="AN267" s="168">
        <f t="shared" si="22"/>
        <v>469</v>
      </c>
      <c r="AO267" s="164" t="str">
        <f t="shared" si="23"/>
        <v>Yes</v>
      </c>
      <c r="AP267" s="164">
        <f t="shared" si="24"/>
        <v>52</v>
      </c>
    </row>
    <row r="268" spans="2:42">
      <c r="B268" s="164">
        <v>2208210</v>
      </c>
      <c r="C268" s="164" t="s">
        <v>170</v>
      </c>
      <c r="D268" s="164" t="s">
        <v>908</v>
      </c>
      <c r="E268" s="164"/>
      <c r="F268" s="164" t="s">
        <v>191</v>
      </c>
      <c r="G268" s="164" t="s">
        <v>162</v>
      </c>
      <c r="H268" s="164" t="s">
        <v>163</v>
      </c>
      <c r="I268" s="164" t="s">
        <v>163</v>
      </c>
      <c r="J268" s="164" t="s">
        <v>163</v>
      </c>
      <c r="K268" s="164" t="s">
        <v>163</v>
      </c>
      <c r="L268" s="164" t="s">
        <v>163</v>
      </c>
      <c r="M268" s="164">
        <v>65.5</v>
      </c>
      <c r="N268" s="164">
        <v>29.6</v>
      </c>
      <c r="O268" s="165">
        <v>18.600000000000001</v>
      </c>
      <c r="P268" s="165">
        <v>23</v>
      </c>
      <c r="Q268" s="164">
        <v>469</v>
      </c>
      <c r="R268" s="164">
        <v>521</v>
      </c>
      <c r="S268" s="166">
        <v>0.1</v>
      </c>
      <c r="T268" s="164" t="s">
        <v>163</v>
      </c>
      <c r="U268" s="164"/>
      <c r="V268" s="167">
        <v>41554</v>
      </c>
      <c r="W268" s="167">
        <v>41726</v>
      </c>
      <c r="X268" s="164" t="s">
        <v>387</v>
      </c>
      <c r="Y268" s="164" t="s">
        <v>909</v>
      </c>
      <c r="Z268" s="164" t="s">
        <v>163</v>
      </c>
      <c r="AA268" s="168" t="s">
        <v>184</v>
      </c>
      <c r="AB268" s="168" t="s">
        <v>191</v>
      </c>
      <c r="AC268" s="168" t="s">
        <v>162</v>
      </c>
      <c r="AD268" s="168" t="s">
        <v>163</v>
      </c>
      <c r="AE268" s="168" t="s">
        <v>163</v>
      </c>
      <c r="AF268" s="168" t="s">
        <v>163</v>
      </c>
      <c r="AG268" s="168" t="s">
        <v>163</v>
      </c>
      <c r="AH268" s="168" t="str">
        <f t="shared" si="19"/>
        <v>Refrigerator-Bottom Freezer-Automatic-No-No-No-No</v>
      </c>
      <c r="AI268" s="168">
        <v>5</v>
      </c>
      <c r="AJ268" s="168">
        <v>8.85</v>
      </c>
      <c r="AK268" s="169">
        <v>317</v>
      </c>
      <c r="AL268" s="169">
        <f t="shared" si="20"/>
        <v>520.54999999999995</v>
      </c>
      <c r="AM268" s="168">
        <f t="shared" si="21"/>
        <v>521</v>
      </c>
      <c r="AN268" s="168">
        <f t="shared" si="22"/>
        <v>469</v>
      </c>
      <c r="AO268" s="164" t="str">
        <f t="shared" si="23"/>
        <v>Yes</v>
      </c>
      <c r="AP268" s="164">
        <f t="shared" si="24"/>
        <v>52</v>
      </c>
    </row>
    <row r="269" spans="2:42">
      <c r="B269" s="164">
        <v>2208213</v>
      </c>
      <c r="C269" s="164" t="s">
        <v>170</v>
      </c>
      <c r="D269" s="164" t="s">
        <v>910</v>
      </c>
      <c r="E269" s="164"/>
      <c r="F269" s="164" t="s">
        <v>191</v>
      </c>
      <c r="G269" s="164" t="s">
        <v>162</v>
      </c>
      <c r="H269" s="164" t="s">
        <v>163</v>
      </c>
      <c r="I269" s="164" t="s">
        <v>163</v>
      </c>
      <c r="J269" s="164" t="s">
        <v>163</v>
      </c>
      <c r="K269" s="164" t="s">
        <v>163</v>
      </c>
      <c r="L269" s="164" t="s">
        <v>163</v>
      </c>
      <c r="M269" s="164">
        <v>68.900000000000006</v>
      </c>
      <c r="N269" s="164">
        <v>32.6</v>
      </c>
      <c r="O269" s="165">
        <v>22.1</v>
      </c>
      <c r="P269" s="165">
        <v>27</v>
      </c>
      <c r="Q269" s="164">
        <v>500</v>
      </c>
      <c r="R269" s="164">
        <v>556</v>
      </c>
      <c r="S269" s="166">
        <v>0.1</v>
      </c>
      <c r="T269" s="164" t="s">
        <v>163</v>
      </c>
      <c r="U269" s="164"/>
      <c r="V269" s="167">
        <v>41554</v>
      </c>
      <c r="W269" s="167">
        <v>41726</v>
      </c>
      <c r="X269" s="164" t="s">
        <v>387</v>
      </c>
      <c r="Y269" s="164" t="s">
        <v>911</v>
      </c>
      <c r="Z269" s="164" t="s">
        <v>163</v>
      </c>
      <c r="AA269" s="168" t="s">
        <v>184</v>
      </c>
      <c r="AB269" s="168" t="s">
        <v>191</v>
      </c>
      <c r="AC269" s="168" t="s">
        <v>162</v>
      </c>
      <c r="AD269" s="168" t="s">
        <v>163</v>
      </c>
      <c r="AE269" s="168" t="s">
        <v>163</v>
      </c>
      <c r="AF269" s="168" t="s">
        <v>163</v>
      </c>
      <c r="AG269" s="168" t="s">
        <v>163</v>
      </c>
      <c r="AH269" s="168" t="str">
        <f t="shared" ref="AH269:AH332" si="25">CONCATENATE(AA269,"-",AB269,"-",AC269,"-",AD269,"-",AE269,"-",AF269,"-",AG269)</f>
        <v>Refrigerator-Bottom Freezer-Automatic-No-No-No-No</v>
      </c>
      <c r="AI269" s="168">
        <v>5</v>
      </c>
      <c r="AJ269" s="168">
        <v>8.85</v>
      </c>
      <c r="AK269" s="169">
        <v>317</v>
      </c>
      <c r="AL269" s="169">
        <f t="shared" ref="AL269:AL332" si="26">AJ269*P269+AK269</f>
        <v>555.95000000000005</v>
      </c>
      <c r="AM269" s="168">
        <f t="shared" ref="AM269:AM332" si="27">R269</f>
        <v>556</v>
      </c>
      <c r="AN269" s="168">
        <f t="shared" ref="AN269:AN332" si="28">Q269</f>
        <v>500</v>
      </c>
      <c r="AO269" s="164" t="str">
        <f t="shared" ref="AO269:AO332" si="29">IF(AN269&lt;AM269,"Yes","No")</f>
        <v>Yes</v>
      </c>
      <c r="AP269" s="164">
        <f t="shared" ref="AP269:AP332" si="30">AM269-AN269</f>
        <v>56</v>
      </c>
    </row>
    <row r="270" spans="2:42">
      <c r="B270" s="164">
        <v>2203486</v>
      </c>
      <c r="C270" s="164" t="s">
        <v>170</v>
      </c>
      <c r="D270" s="164" t="s">
        <v>912</v>
      </c>
      <c r="E270" s="164"/>
      <c r="F270" s="164" t="s">
        <v>191</v>
      </c>
      <c r="G270" s="164" t="s">
        <v>162</v>
      </c>
      <c r="H270" s="164" t="s">
        <v>163</v>
      </c>
      <c r="I270" s="164" t="s">
        <v>163</v>
      </c>
      <c r="J270" s="164" t="s">
        <v>163</v>
      </c>
      <c r="K270" s="164" t="s">
        <v>182</v>
      </c>
      <c r="L270" s="164" t="s">
        <v>163</v>
      </c>
      <c r="M270" s="164">
        <v>69.900000000000006</v>
      </c>
      <c r="N270" s="164">
        <v>32.799999999999997</v>
      </c>
      <c r="O270" s="165">
        <v>23.9</v>
      </c>
      <c r="P270" s="165">
        <v>29.8</v>
      </c>
      <c r="Q270" s="164">
        <v>598</v>
      </c>
      <c r="R270" s="164">
        <v>665</v>
      </c>
      <c r="S270" s="166">
        <v>0.1</v>
      </c>
      <c r="T270" s="164" t="s">
        <v>163</v>
      </c>
      <c r="U270" s="164"/>
      <c r="V270" s="167">
        <v>41667</v>
      </c>
      <c r="W270" s="167">
        <v>41667</v>
      </c>
      <c r="X270" s="164" t="s">
        <v>387</v>
      </c>
      <c r="Y270" s="164" t="s">
        <v>913</v>
      </c>
      <c r="Z270" s="164" t="s">
        <v>163</v>
      </c>
      <c r="AA270" s="168" t="s">
        <v>184</v>
      </c>
      <c r="AB270" s="168" t="s">
        <v>191</v>
      </c>
      <c r="AC270" s="168" t="s">
        <v>162</v>
      </c>
      <c r="AD270" s="168" t="s">
        <v>163</v>
      </c>
      <c r="AE270" s="168" t="s">
        <v>163</v>
      </c>
      <c r="AF270" s="168" t="s">
        <v>163</v>
      </c>
      <c r="AG270" s="168" t="s">
        <v>182</v>
      </c>
      <c r="AH270" s="168" t="str">
        <f t="shared" si="25"/>
        <v>Refrigerator-Bottom Freezer-Automatic-No-No-No-Yes</v>
      </c>
      <c r="AI270" s="168" t="s">
        <v>261</v>
      </c>
      <c r="AJ270" s="168">
        <v>8.85</v>
      </c>
      <c r="AK270" s="169">
        <v>401</v>
      </c>
      <c r="AL270" s="169">
        <f t="shared" si="26"/>
        <v>664.73</v>
      </c>
      <c r="AM270" s="168">
        <f t="shared" si="27"/>
        <v>665</v>
      </c>
      <c r="AN270" s="168">
        <f t="shared" si="28"/>
        <v>598</v>
      </c>
      <c r="AO270" s="164" t="str">
        <f t="shared" si="29"/>
        <v>Yes</v>
      </c>
      <c r="AP270" s="164">
        <f t="shared" si="30"/>
        <v>67</v>
      </c>
    </row>
    <row r="271" spans="2:42">
      <c r="B271" s="164">
        <v>2203491</v>
      </c>
      <c r="C271" s="164" t="s">
        <v>170</v>
      </c>
      <c r="D271" s="164" t="s">
        <v>914</v>
      </c>
      <c r="E271" s="164"/>
      <c r="F271" s="164" t="s">
        <v>191</v>
      </c>
      <c r="G271" s="164" t="s">
        <v>162</v>
      </c>
      <c r="H271" s="164" t="s">
        <v>163</v>
      </c>
      <c r="I271" s="164" t="s">
        <v>163</v>
      </c>
      <c r="J271" s="164" t="s">
        <v>163</v>
      </c>
      <c r="K271" s="164" t="s">
        <v>182</v>
      </c>
      <c r="L271" s="164" t="s">
        <v>163</v>
      </c>
      <c r="M271" s="164">
        <v>68.5</v>
      </c>
      <c r="N271" s="164">
        <v>29.8</v>
      </c>
      <c r="O271" s="165">
        <v>21.8</v>
      </c>
      <c r="P271" s="165">
        <v>27.3</v>
      </c>
      <c r="Q271" s="164">
        <v>579</v>
      </c>
      <c r="R271" s="164">
        <v>643</v>
      </c>
      <c r="S271" s="166">
        <v>0.1</v>
      </c>
      <c r="T271" s="164" t="s">
        <v>163</v>
      </c>
      <c r="U271" s="164"/>
      <c r="V271" s="167">
        <v>41667</v>
      </c>
      <c r="W271" s="167">
        <v>41667</v>
      </c>
      <c r="X271" s="164" t="s">
        <v>387</v>
      </c>
      <c r="Y271" s="164" t="s">
        <v>915</v>
      </c>
      <c r="Z271" s="164" t="s">
        <v>163</v>
      </c>
      <c r="AA271" s="168" t="s">
        <v>184</v>
      </c>
      <c r="AB271" s="168" t="s">
        <v>191</v>
      </c>
      <c r="AC271" s="168" t="s">
        <v>162</v>
      </c>
      <c r="AD271" s="168" t="s">
        <v>163</v>
      </c>
      <c r="AE271" s="168" t="s">
        <v>163</v>
      </c>
      <c r="AF271" s="168" t="s">
        <v>163</v>
      </c>
      <c r="AG271" s="168" t="s">
        <v>182</v>
      </c>
      <c r="AH271" s="168" t="str">
        <f t="shared" si="25"/>
        <v>Refrigerator-Bottom Freezer-Automatic-No-No-No-Yes</v>
      </c>
      <c r="AI271" s="168" t="s">
        <v>261</v>
      </c>
      <c r="AJ271" s="168">
        <v>8.85</v>
      </c>
      <c r="AK271" s="169">
        <v>401</v>
      </c>
      <c r="AL271" s="169">
        <f t="shared" si="26"/>
        <v>642.60500000000002</v>
      </c>
      <c r="AM271" s="168">
        <f t="shared" si="27"/>
        <v>643</v>
      </c>
      <c r="AN271" s="168">
        <f t="shared" si="28"/>
        <v>579</v>
      </c>
      <c r="AO271" s="164" t="str">
        <f t="shared" si="29"/>
        <v>Yes</v>
      </c>
      <c r="AP271" s="164">
        <f t="shared" si="30"/>
        <v>64</v>
      </c>
    </row>
    <row r="272" spans="2:42">
      <c r="B272" s="164">
        <v>2205762</v>
      </c>
      <c r="C272" s="164" t="s">
        <v>170</v>
      </c>
      <c r="D272" s="164" t="s">
        <v>916</v>
      </c>
      <c r="E272" s="164"/>
      <c r="F272" s="164" t="s">
        <v>191</v>
      </c>
      <c r="G272" s="164" t="s">
        <v>162</v>
      </c>
      <c r="H272" s="164" t="s">
        <v>163</v>
      </c>
      <c r="I272" s="164" t="s">
        <v>163</v>
      </c>
      <c r="J272" s="164" t="s">
        <v>163</v>
      </c>
      <c r="K272" s="164" t="s">
        <v>182</v>
      </c>
      <c r="L272" s="164" t="s">
        <v>163</v>
      </c>
      <c r="M272" s="164">
        <v>69.8</v>
      </c>
      <c r="N272" s="164">
        <v>35.799999999999997</v>
      </c>
      <c r="O272" s="165">
        <v>25.4</v>
      </c>
      <c r="P272" s="165">
        <v>31.3</v>
      </c>
      <c r="Q272" s="164">
        <v>610</v>
      </c>
      <c r="R272" s="164">
        <v>678</v>
      </c>
      <c r="S272" s="166">
        <v>0.1</v>
      </c>
      <c r="T272" s="164" t="s">
        <v>163</v>
      </c>
      <c r="U272" s="164"/>
      <c r="V272" s="167">
        <v>41690</v>
      </c>
      <c r="W272" s="167">
        <v>41702</v>
      </c>
      <c r="X272" s="164" t="s">
        <v>387</v>
      </c>
      <c r="Y272" s="164" t="s">
        <v>917</v>
      </c>
      <c r="Z272" s="164" t="s">
        <v>163</v>
      </c>
      <c r="AA272" s="168" t="s">
        <v>184</v>
      </c>
      <c r="AB272" s="168" t="s">
        <v>191</v>
      </c>
      <c r="AC272" s="168" t="s">
        <v>162</v>
      </c>
      <c r="AD272" s="168" t="s">
        <v>163</v>
      </c>
      <c r="AE272" s="168" t="s">
        <v>163</v>
      </c>
      <c r="AF272" s="168" t="s">
        <v>163</v>
      </c>
      <c r="AG272" s="168" t="s">
        <v>182</v>
      </c>
      <c r="AH272" s="168" t="str">
        <f t="shared" si="25"/>
        <v>Refrigerator-Bottom Freezer-Automatic-No-No-No-Yes</v>
      </c>
      <c r="AI272" s="168" t="s">
        <v>261</v>
      </c>
      <c r="AJ272" s="168">
        <v>8.85</v>
      </c>
      <c r="AK272" s="169">
        <v>401</v>
      </c>
      <c r="AL272" s="169">
        <f t="shared" si="26"/>
        <v>678.005</v>
      </c>
      <c r="AM272" s="168">
        <f t="shared" si="27"/>
        <v>678</v>
      </c>
      <c r="AN272" s="168">
        <f t="shared" si="28"/>
        <v>610</v>
      </c>
      <c r="AO272" s="164" t="str">
        <f t="shared" si="29"/>
        <v>Yes</v>
      </c>
      <c r="AP272" s="164">
        <f t="shared" si="30"/>
        <v>68</v>
      </c>
    </row>
    <row r="273" spans="2:42">
      <c r="B273" s="164">
        <v>2209777</v>
      </c>
      <c r="C273" s="164" t="s">
        <v>170</v>
      </c>
      <c r="D273" s="164" t="s">
        <v>918</v>
      </c>
      <c r="E273" s="164"/>
      <c r="F273" s="164" t="s">
        <v>191</v>
      </c>
      <c r="G273" s="164" t="s">
        <v>162</v>
      </c>
      <c r="H273" s="164" t="s">
        <v>163</v>
      </c>
      <c r="I273" s="164" t="s">
        <v>163</v>
      </c>
      <c r="J273" s="164" t="s">
        <v>182</v>
      </c>
      <c r="K273" s="164" t="s">
        <v>182</v>
      </c>
      <c r="L273" s="164" t="s">
        <v>163</v>
      </c>
      <c r="M273" s="164">
        <v>70.3</v>
      </c>
      <c r="N273" s="164">
        <v>35.799999999999997</v>
      </c>
      <c r="O273" s="165">
        <v>29.9</v>
      </c>
      <c r="P273" s="165">
        <v>36.6</v>
      </c>
      <c r="Q273" s="164">
        <v>733</v>
      </c>
      <c r="R273" s="164">
        <v>814</v>
      </c>
      <c r="S273" s="166">
        <v>0.1</v>
      </c>
      <c r="T273" s="164" t="s">
        <v>163</v>
      </c>
      <c r="U273" s="164"/>
      <c r="V273" s="167">
        <v>41788</v>
      </c>
      <c r="W273" s="167">
        <v>41758</v>
      </c>
      <c r="X273" s="164" t="s">
        <v>387</v>
      </c>
      <c r="Y273" s="164" t="s">
        <v>919</v>
      </c>
      <c r="Z273" s="164" t="s">
        <v>163</v>
      </c>
      <c r="AA273" s="168" t="s">
        <v>184</v>
      </c>
      <c r="AB273" s="168" t="s">
        <v>191</v>
      </c>
      <c r="AC273" s="168" t="s">
        <v>162</v>
      </c>
      <c r="AD273" s="168" t="s">
        <v>163</v>
      </c>
      <c r="AE273" s="168" t="s">
        <v>163</v>
      </c>
      <c r="AF273" s="168" t="s">
        <v>182</v>
      </c>
      <c r="AG273" s="168" t="s">
        <v>182</v>
      </c>
      <c r="AH273" s="168" t="str">
        <f t="shared" si="25"/>
        <v>Refrigerator-Bottom Freezer-Automatic-No-No-Yes-Yes</v>
      </c>
      <c r="AI273" s="168" t="s">
        <v>269</v>
      </c>
      <c r="AJ273" s="168">
        <v>9.25</v>
      </c>
      <c r="AK273" s="169">
        <v>475.4</v>
      </c>
      <c r="AL273" s="169">
        <f t="shared" si="26"/>
        <v>813.95</v>
      </c>
      <c r="AM273" s="168">
        <f t="shared" si="27"/>
        <v>814</v>
      </c>
      <c r="AN273" s="168">
        <f t="shared" si="28"/>
        <v>733</v>
      </c>
      <c r="AO273" s="164" t="str">
        <f t="shared" si="29"/>
        <v>Yes</v>
      </c>
      <c r="AP273" s="164">
        <f t="shared" si="30"/>
        <v>81</v>
      </c>
    </row>
    <row r="274" spans="2:42">
      <c r="B274" s="164">
        <v>2217513</v>
      </c>
      <c r="C274" s="164" t="s">
        <v>170</v>
      </c>
      <c r="D274" s="164" t="s">
        <v>920</v>
      </c>
      <c r="E274" s="164"/>
      <c r="F274" s="164" t="s">
        <v>191</v>
      </c>
      <c r="G274" s="164" t="s">
        <v>162</v>
      </c>
      <c r="H274" s="164" t="s">
        <v>163</v>
      </c>
      <c r="I274" s="164" t="s">
        <v>163</v>
      </c>
      <c r="J274" s="164" t="s">
        <v>163</v>
      </c>
      <c r="K274" s="164" t="s">
        <v>182</v>
      </c>
      <c r="L274" s="164" t="s">
        <v>163</v>
      </c>
      <c r="M274" s="164">
        <v>69.8</v>
      </c>
      <c r="N274" s="164">
        <v>32.799999999999997</v>
      </c>
      <c r="O274" s="165">
        <v>25</v>
      </c>
      <c r="P274" s="165">
        <v>31.1</v>
      </c>
      <c r="Q274" s="164">
        <v>609</v>
      </c>
      <c r="R274" s="164">
        <v>676</v>
      </c>
      <c r="S274" s="166">
        <v>0.1</v>
      </c>
      <c r="T274" s="164" t="s">
        <v>163</v>
      </c>
      <c r="U274" s="164"/>
      <c r="V274" s="167">
        <v>41866</v>
      </c>
      <c r="W274" s="167">
        <v>41864</v>
      </c>
      <c r="X274" s="164" t="s">
        <v>387</v>
      </c>
      <c r="Y274" s="164" t="s">
        <v>921</v>
      </c>
      <c r="Z274" s="164" t="s">
        <v>163</v>
      </c>
      <c r="AA274" s="168" t="s">
        <v>184</v>
      </c>
      <c r="AB274" s="168" t="s">
        <v>191</v>
      </c>
      <c r="AC274" s="168" t="s">
        <v>162</v>
      </c>
      <c r="AD274" s="168" t="s">
        <v>163</v>
      </c>
      <c r="AE274" s="168" t="s">
        <v>163</v>
      </c>
      <c r="AF274" s="168" t="s">
        <v>163</v>
      </c>
      <c r="AG274" s="168" t="s">
        <v>182</v>
      </c>
      <c r="AH274" s="168" t="str">
        <f t="shared" si="25"/>
        <v>Refrigerator-Bottom Freezer-Automatic-No-No-No-Yes</v>
      </c>
      <c r="AI274" s="168" t="s">
        <v>261</v>
      </c>
      <c r="AJ274" s="168">
        <v>8.85</v>
      </c>
      <c r="AK274" s="169">
        <v>401</v>
      </c>
      <c r="AL274" s="169">
        <f t="shared" si="26"/>
        <v>676.23500000000001</v>
      </c>
      <c r="AM274" s="168">
        <f t="shared" si="27"/>
        <v>676</v>
      </c>
      <c r="AN274" s="168">
        <f t="shared" si="28"/>
        <v>609</v>
      </c>
      <c r="AO274" s="164" t="str">
        <f t="shared" si="29"/>
        <v>Yes</v>
      </c>
      <c r="AP274" s="164">
        <f t="shared" si="30"/>
        <v>67</v>
      </c>
    </row>
    <row r="275" spans="2:42">
      <c r="B275" s="164">
        <v>2212582</v>
      </c>
      <c r="C275" s="164" t="s">
        <v>170</v>
      </c>
      <c r="D275" s="164" t="s">
        <v>922</v>
      </c>
      <c r="E275" s="164"/>
      <c r="F275" s="164" t="s">
        <v>191</v>
      </c>
      <c r="G275" s="164" t="s">
        <v>162</v>
      </c>
      <c r="H275" s="164" t="s">
        <v>163</v>
      </c>
      <c r="I275" s="164" t="s">
        <v>163</v>
      </c>
      <c r="J275" s="164" t="s">
        <v>182</v>
      </c>
      <c r="K275" s="164" t="s">
        <v>182</v>
      </c>
      <c r="L275" s="164" t="s">
        <v>163</v>
      </c>
      <c r="M275" s="164">
        <v>69.8</v>
      </c>
      <c r="N275" s="164">
        <v>35.799999999999997</v>
      </c>
      <c r="O275" s="165">
        <v>26.8</v>
      </c>
      <c r="P275" s="165">
        <v>33.5</v>
      </c>
      <c r="Q275" s="164">
        <v>707</v>
      </c>
      <c r="R275" s="164">
        <v>785</v>
      </c>
      <c r="S275" s="166">
        <v>0.1</v>
      </c>
      <c r="T275" s="164" t="s">
        <v>163</v>
      </c>
      <c r="U275" s="164"/>
      <c r="V275" s="167">
        <v>41810</v>
      </c>
      <c r="W275" s="167">
        <v>41795</v>
      </c>
      <c r="X275" s="164" t="s">
        <v>387</v>
      </c>
      <c r="Y275" s="164" t="s">
        <v>923</v>
      </c>
      <c r="Z275" s="164" t="s">
        <v>163</v>
      </c>
      <c r="AA275" s="168" t="s">
        <v>184</v>
      </c>
      <c r="AB275" s="168" t="s">
        <v>191</v>
      </c>
      <c r="AC275" s="168" t="s">
        <v>162</v>
      </c>
      <c r="AD275" s="168" t="s">
        <v>163</v>
      </c>
      <c r="AE275" s="168" t="s">
        <v>163</v>
      </c>
      <c r="AF275" s="168" t="s">
        <v>182</v>
      </c>
      <c r="AG275" s="168" t="s">
        <v>182</v>
      </c>
      <c r="AH275" s="168" t="str">
        <f t="shared" si="25"/>
        <v>Refrigerator-Bottom Freezer-Automatic-No-No-Yes-Yes</v>
      </c>
      <c r="AI275" s="168" t="s">
        <v>269</v>
      </c>
      <c r="AJ275" s="168">
        <v>9.25</v>
      </c>
      <c r="AK275" s="169">
        <v>475.4</v>
      </c>
      <c r="AL275" s="169">
        <f t="shared" si="26"/>
        <v>785.27499999999998</v>
      </c>
      <c r="AM275" s="168">
        <f t="shared" si="27"/>
        <v>785</v>
      </c>
      <c r="AN275" s="168">
        <f t="shared" si="28"/>
        <v>707</v>
      </c>
      <c r="AO275" s="164" t="str">
        <f t="shared" si="29"/>
        <v>Yes</v>
      </c>
      <c r="AP275" s="164">
        <f t="shared" si="30"/>
        <v>78</v>
      </c>
    </row>
    <row r="276" spans="2:42">
      <c r="B276" s="164">
        <v>2214543</v>
      </c>
      <c r="C276" s="164" t="s">
        <v>170</v>
      </c>
      <c r="D276" s="164" t="s">
        <v>924</v>
      </c>
      <c r="E276" s="164"/>
      <c r="F276" s="164" t="s">
        <v>191</v>
      </c>
      <c r="G276" s="164" t="s">
        <v>162</v>
      </c>
      <c r="H276" s="164" t="s">
        <v>163</v>
      </c>
      <c r="I276" s="164" t="s">
        <v>163</v>
      </c>
      <c r="J276" s="164" t="s">
        <v>182</v>
      </c>
      <c r="K276" s="164" t="s">
        <v>182</v>
      </c>
      <c r="L276" s="164" t="s">
        <v>163</v>
      </c>
      <c r="M276" s="164">
        <v>69.8</v>
      </c>
      <c r="N276" s="164">
        <v>32.799999999999997</v>
      </c>
      <c r="O276" s="165">
        <v>24.2</v>
      </c>
      <c r="P276" s="165">
        <v>30.3</v>
      </c>
      <c r="Q276" s="164">
        <v>680</v>
      </c>
      <c r="R276" s="164">
        <v>756</v>
      </c>
      <c r="S276" s="166">
        <v>0.1</v>
      </c>
      <c r="T276" s="164" t="s">
        <v>163</v>
      </c>
      <c r="U276" s="164"/>
      <c r="V276" s="167">
        <v>41821</v>
      </c>
      <c r="W276" s="167">
        <v>41820</v>
      </c>
      <c r="X276" s="164" t="s">
        <v>387</v>
      </c>
      <c r="Y276" s="164" t="s">
        <v>925</v>
      </c>
      <c r="Z276" s="164" t="s">
        <v>163</v>
      </c>
      <c r="AA276" s="168" t="s">
        <v>184</v>
      </c>
      <c r="AB276" s="168" t="s">
        <v>191</v>
      </c>
      <c r="AC276" s="168" t="s">
        <v>162</v>
      </c>
      <c r="AD276" s="168" t="s">
        <v>163</v>
      </c>
      <c r="AE276" s="168" t="s">
        <v>163</v>
      </c>
      <c r="AF276" s="168" t="s">
        <v>182</v>
      </c>
      <c r="AG276" s="168" t="s">
        <v>182</v>
      </c>
      <c r="AH276" s="168" t="str">
        <f t="shared" si="25"/>
        <v>Refrigerator-Bottom Freezer-Automatic-No-No-Yes-Yes</v>
      </c>
      <c r="AI276" s="168" t="s">
        <v>269</v>
      </c>
      <c r="AJ276" s="168">
        <v>9.25</v>
      </c>
      <c r="AK276" s="169">
        <v>475.4</v>
      </c>
      <c r="AL276" s="169">
        <f t="shared" si="26"/>
        <v>755.67499999999995</v>
      </c>
      <c r="AM276" s="168">
        <f t="shared" si="27"/>
        <v>756</v>
      </c>
      <c r="AN276" s="168">
        <f t="shared" si="28"/>
        <v>680</v>
      </c>
      <c r="AO276" s="164" t="str">
        <f t="shared" si="29"/>
        <v>Yes</v>
      </c>
      <c r="AP276" s="164">
        <f t="shared" si="30"/>
        <v>76</v>
      </c>
    </row>
    <row r="277" spans="2:42">
      <c r="B277" s="164">
        <v>2219500</v>
      </c>
      <c r="C277" s="164" t="s">
        <v>170</v>
      </c>
      <c r="D277" s="164" t="s">
        <v>926</v>
      </c>
      <c r="E277" s="164"/>
      <c r="F277" s="164" t="s">
        <v>191</v>
      </c>
      <c r="G277" s="164" t="s">
        <v>162</v>
      </c>
      <c r="H277" s="164" t="s">
        <v>163</v>
      </c>
      <c r="I277" s="164" t="s">
        <v>163</v>
      </c>
      <c r="J277" s="164" t="s">
        <v>163</v>
      </c>
      <c r="K277" s="164" t="s">
        <v>182</v>
      </c>
      <c r="L277" s="164" t="s">
        <v>163</v>
      </c>
      <c r="M277" s="164">
        <v>70.3</v>
      </c>
      <c r="N277" s="164">
        <v>35.799999999999997</v>
      </c>
      <c r="O277" s="165">
        <v>30.6</v>
      </c>
      <c r="P277" s="165">
        <v>30.6</v>
      </c>
      <c r="Q277" s="164">
        <v>666</v>
      </c>
      <c r="R277" s="164">
        <v>672</v>
      </c>
      <c r="S277" s="166">
        <v>0.01</v>
      </c>
      <c r="T277" s="164" t="s">
        <v>163</v>
      </c>
      <c r="U277" s="164"/>
      <c r="V277" s="167">
        <v>41883</v>
      </c>
      <c r="W277" s="167">
        <v>41884</v>
      </c>
      <c r="X277" s="164" t="s">
        <v>387</v>
      </c>
      <c r="Y277" s="164" t="s">
        <v>927</v>
      </c>
      <c r="Z277" s="164" t="s">
        <v>163</v>
      </c>
      <c r="AA277" s="168" t="s">
        <v>184</v>
      </c>
      <c r="AB277" s="168" t="s">
        <v>191</v>
      </c>
      <c r="AC277" s="168" t="s">
        <v>162</v>
      </c>
      <c r="AD277" s="168" t="s">
        <v>163</v>
      </c>
      <c r="AE277" s="168" t="s">
        <v>163</v>
      </c>
      <c r="AF277" s="168" t="s">
        <v>163</v>
      </c>
      <c r="AG277" s="168" t="s">
        <v>182</v>
      </c>
      <c r="AH277" s="168" t="str">
        <f t="shared" si="25"/>
        <v>Refrigerator-Bottom Freezer-Automatic-No-No-No-Yes</v>
      </c>
      <c r="AI277" s="168" t="s">
        <v>261</v>
      </c>
      <c r="AJ277" s="168">
        <v>8.85</v>
      </c>
      <c r="AK277" s="169">
        <v>401</v>
      </c>
      <c r="AL277" s="169">
        <f t="shared" si="26"/>
        <v>671.81</v>
      </c>
      <c r="AM277" s="168">
        <f t="shared" si="27"/>
        <v>672</v>
      </c>
      <c r="AN277" s="168">
        <f t="shared" si="28"/>
        <v>666</v>
      </c>
      <c r="AO277" s="164" t="str">
        <f t="shared" si="29"/>
        <v>Yes</v>
      </c>
      <c r="AP277" s="164">
        <f t="shared" si="30"/>
        <v>6</v>
      </c>
    </row>
    <row r="278" spans="2:42">
      <c r="B278" s="164">
        <v>2212306</v>
      </c>
      <c r="C278" s="164" t="s">
        <v>170</v>
      </c>
      <c r="D278" s="164" t="s">
        <v>928</v>
      </c>
      <c r="E278" s="164"/>
      <c r="F278" s="164" t="s">
        <v>191</v>
      </c>
      <c r="G278" s="164" t="s">
        <v>162</v>
      </c>
      <c r="H278" s="164" t="s">
        <v>163</v>
      </c>
      <c r="I278" s="164" t="s">
        <v>163</v>
      </c>
      <c r="J278" s="164" t="s">
        <v>182</v>
      </c>
      <c r="K278" s="164" t="s">
        <v>182</v>
      </c>
      <c r="L278" s="164" t="s">
        <v>163</v>
      </c>
      <c r="M278" s="164">
        <v>70.3</v>
      </c>
      <c r="N278" s="164">
        <v>35.799999999999997</v>
      </c>
      <c r="O278" s="165">
        <v>29.8</v>
      </c>
      <c r="P278" s="165">
        <v>37.5</v>
      </c>
      <c r="Q278" s="164">
        <v>740</v>
      </c>
      <c r="R278" s="164">
        <v>822</v>
      </c>
      <c r="S278" s="166">
        <v>0.1</v>
      </c>
      <c r="T278" s="164" t="s">
        <v>163</v>
      </c>
      <c r="U278" s="164"/>
      <c r="V278" s="167">
        <v>41817</v>
      </c>
      <c r="W278" s="167">
        <v>41789</v>
      </c>
      <c r="X278" s="164" t="s">
        <v>387</v>
      </c>
      <c r="Y278" s="164" t="s">
        <v>929</v>
      </c>
      <c r="Z278" s="164" t="s">
        <v>163</v>
      </c>
      <c r="AA278" s="168" t="s">
        <v>184</v>
      </c>
      <c r="AB278" s="168" t="s">
        <v>191</v>
      </c>
      <c r="AC278" s="168" t="s">
        <v>162</v>
      </c>
      <c r="AD278" s="168" t="s">
        <v>163</v>
      </c>
      <c r="AE278" s="168" t="s">
        <v>163</v>
      </c>
      <c r="AF278" s="168" t="s">
        <v>182</v>
      </c>
      <c r="AG278" s="168" t="s">
        <v>182</v>
      </c>
      <c r="AH278" s="168" t="str">
        <f t="shared" si="25"/>
        <v>Refrigerator-Bottom Freezer-Automatic-No-No-Yes-Yes</v>
      </c>
      <c r="AI278" s="168" t="s">
        <v>269</v>
      </c>
      <c r="AJ278" s="168">
        <v>9.25</v>
      </c>
      <c r="AK278" s="169">
        <v>475.4</v>
      </c>
      <c r="AL278" s="169">
        <f t="shared" si="26"/>
        <v>822.27499999999998</v>
      </c>
      <c r="AM278" s="168">
        <f t="shared" si="27"/>
        <v>822</v>
      </c>
      <c r="AN278" s="168">
        <f t="shared" si="28"/>
        <v>740</v>
      </c>
      <c r="AO278" s="164" t="str">
        <f t="shared" si="29"/>
        <v>Yes</v>
      </c>
      <c r="AP278" s="164">
        <f t="shared" si="30"/>
        <v>82</v>
      </c>
    </row>
    <row r="279" spans="2:42">
      <c r="B279" s="164">
        <v>2212303</v>
      </c>
      <c r="C279" s="164" t="s">
        <v>170</v>
      </c>
      <c r="D279" s="164" t="s">
        <v>930</v>
      </c>
      <c r="E279" s="164"/>
      <c r="F279" s="164" t="s">
        <v>191</v>
      </c>
      <c r="G279" s="164" t="s">
        <v>162</v>
      </c>
      <c r="H279" s="164" t="s">
        <v>163</v>
      </c>
      <c r="I279" s="164" t="s">
        <v>163</v>
      </c>
      <c r="J279" s="164" t="s">
        <v>182</v>
      </c>
      <c r="K279" s="164" t="s">
        <v>182</v>
      </c>
      <c r="L279" s="164" t="s">
        <v>163</v>
      </c>
      <c r="M279" s="164">
        <v>70.3</v>
      </c>
      <c r="N279" s="164">
        <v>35.799999999999997</v>
      </c>
      <c r="O279" s="165">
        <v>29.6</v>
      </c>
      <c r="P279" s="165">
        <v>37.299999999999997</v>
      </c>
      <c r="Q279" s="164">
        <v>739</v>
      </c>
      <c r="R279" s="164">
        <v>820</v>
      </c>
      <c r="S279" s="166">
        <v>0.1</v>
      </c>
      <c r="T279" s="164" t="s">
        <v>163</v>
      </c>
      <c r="U279" s="164"/>
      <c r="V279" s="167">
        <v>41817</v>
      </c>
      <c r="W279" s="167">
        <v>41789</v>
      </c>
      <c r="X279" s="164" t="s">
        <v>387</v>
      </c>
      <c r="Y279" s="164" t="s">
        <v>931</v>
      </c>
      <c r="Z279" s="164" t="s">
        <v>163</v>
      </c>
      <c r="AA279" s="168" t="s">
        <v>184</v>
      </c>
      <c r="AB279" s="168" t="s">
        <v>191</v>
      </c>
      <c r="AC279" s="168" t="s">
        <v>162</v>
      </c>
      <c r="AD279" s="168" t="s">
        <v>163</v>
      </c>
      <c r="AE279" s="168" t="s">
        <v>163</v>
      </c>
      <c r="AF279" s="168" t="s">
        <v>182</v>
      </c>
      <c r="AG279" s="168" t="s">
        <v>182</v>
      </c>
      <c r="AH279" s="168" t="str">
        <f t="shared" si="25"/>
        <v>Refrigerator-Bottom Freezer-Automatic-No-No-Yes-Yes</v>
      </c>
      <c r="AI279" s="168" t="s">
        <v>269</v>
      </c>
      <c r="AJ279" s="168">
        <v>9.25</v>
      </c>
      <c r="AK279" s="169">
        <v>475.4</v>
      </c>
      <c r="AL279" s="169">
        <f t="shared" si="26"/>
        <v>820.42499999999995</v>
      </c>
      <c r="AM279" s="168">
        <f t="shared" si="27"/>
        <v>820</v>
      </c>
      <c r="AN279" s="168">
        <f t="shared" si="28"/>
        <v>739</v>
      </c>
      <c r="AO279" s="164" t="str">
        <f t="shared" si="29"/>
        <v>Yes</v>
      </c>
      <c r="AP279" s="164">
        <f t="shared" si="30"/>
        <v>81</v>
      </c>
    </row>
    <row r="280" spans="2:42">
      <c r="B280" s="164">
        <v>2212308</v>
      </c>
      <c r="C280" s="164" t="s">
        <v>170</v>
      </c>
      <c r="D280" s="164" t="s">
        <v>932</v>
      </c>
      <c r="E280" s="164"/>
      <c r="F280" s="164" t="s">
        <v>191</v>
      </c>
      <c r="G280" s="164" t="s">
        <v>162</v>
      </c>
      <c r="H280" s="164" t="s">
        <v>163</v>
      </c>
      <c r="I280" s="164" t="s">
        <v>163</v>
      </c>
      <c r="J280" s="164" t="s">
        <v>182</v>
      </c>
      <c r="K280" s="164" t="s">
        <v>182</v>
      </c>
      <c r="L280" s="164" t="s">
        <v>182</v>
      </c>
      <c r="M280" s="164">
        <v>70.3</v>
      </c>
      <c r="N280" s="164">
        <v>35.799999999999997</v>
      </c>
      <c r="O280" s="165">
        <v>23.7</v>
      </c>
      <c r="P280" s="165">
        <v>29.7</v>
      </c>
      <c r="Q280" s="164">
        <v>675</v>
      </c>
      <c r="R280" s="164">
        <v>750</v>
      </c>
      <c r="S280" s="166">
        <v>0.1</v>
      </c>
      <c r="T280" s="164" t="s">
        <v>163</v>
      </c>
      <c r="U280" s="164"/>
      <c r="V280" s="167">
        <v>41817</v>
      </c>
      <c r="W280" s="167">
        <v>41789</v>
      </c>
      <c r="X280" s="164" t="s">
        <v>387</v>
      </c>
      <c r="Y280" s="164" t="s">
        <v>933</v>
      </c>
      <c r="Z280" s="164" t="s">
        <v>163</v>
      </c>
      <c r="AA280" s="168" t="s">
        <v>184</v>
      </c>
      <c r="AB280" s="168" t="s">
        <v>191</v>
      </c>
      <c r="AC280" s="168" t="s">
        <v>162</v>
      </c>
      <c r="AD280" s="168" t="s">
        <v>163</v>
      </c>
      <c r="AE280" s="168" t="s">
        <v>163</v>
      </c>
      <c r="AF280" s="168" t="s">
        <v>182</v>
      </c>
      <c r="AG280" s="168" t="s">
        <v>182</v>
      </c>
      <c r="AH280" s="168" t="str">
        <f t="shared" si="25"/>
        <v>Refrigerator-Bottom Freezer-Automatic-No-No-Yes-Yes</v>
      </c>
      <c r="AI280" s="168" t="s">
        <v>269</v>
      </c>
      <c r="AJ280" s="168">
        <v>9.25</v>
      </c>
      <c r="AK280" s="169">
        <v>475.4</v>
      </c>
      <c r="AL280" s="169">
        <f t="shared" si="26"/>
        <v>750.125</v>
      </c>
      <c r="AM280" s="168">
        <f t="shared" si="27"/>
        <v>750</v>
      </c>
      <c r="AN280" s="168">
        <f t="shared" si="28"/>
        <v>675</v>
      </c>
      <c r="AO280" s="164" t="str">
        <f t="shared" si="29"/>
        <v>Yes</v>
      </c>
      <c r="AP280" s="164">
        <f t="shared" si="30"/>
        <v>75</v>
      </c>
    </row>
    <row r="281" spans="2:42">
      <c r="B281" s="164">
        <v>2212304</v>
      </c>
      <c r="C281" s="164" t="s">
        <v>170</v>
      </c>
      <c r="D281" s="164" t="s">
        <v>934</v>
      </c>
      <c r="E281" s="164"/>
      <c r="F281" s="164" t="s">
        <v>191</v>
      </c>
      <c r="G281" s="164" t="s">
        <v>162</v>
      </c>
      <c r="H281" s="164" t="s">
        <v>163</v>
      </c>
      <c r="I281" s="164" t="s">
        <v>163</v>
      </c>
      <c r="J281" s="164" t="s">
        <v>182</v>
      </c>
      <c r="K281" s="164" t="s">
        <v>182</v>
      </c>
      <c r="L281" s="164" t="s">
        <v>182</v>
      </c>
      <c r="M281" s="164">
        <v>70.3</v>
      </c>
      <c r="N281" s="164">
        <v>35.799999999999997</v>
      </c>
      <c r="O281" s="165">
        <v>23.5</v>
      </c>
      <c r="P281" s="165">
        <v>29.5</v>
      </c>
      <c r="Q281" s="164">
        <v>674</v>
      </c>
      <c r="R281" s="164">
        <v>748</v>
      </c>
      <c r="S281" s="166">
        <v>0.1</v>
      </c>
      <c r="T281" s="164" t="s">
        <v>163</v>
      </c>
      <c r="U281" s="164"/>
      <c r="V281" s="167">
        <v>41817</v>
      </c>
      <c r="W281" s="167">
        <v>41789</v>
      </c>
      <c r="X281" s="164" t="s">
        <v>387</v>
      </c>
      <c r="Y281" s="164" t="s">
        <v>935</v>
      </c>
      <c r="Z281" s="164" t="s">
        <v>163</v>
      </c>
      <c r="AA281" s="168" t="s">
        <v>184</v>
      </c>
      <c r="AB281" s="168" t="s">
        <v>191</v>
      </c>
      <c r="AC281" s="168" t="s">
        <v>162</v>
      </c>
      <c r="AD281" s="168" t="s">
        <v>163</v>
      </c>
      <c r="AE281" s="168" t="s">
        <v>163</v>
      </c>
      <c r="AF281" s="168" t="s">
        <v>182</v>
      </c>
      <c r="AG281" s="168" t="s">
        <v>182</v>
      </c>
      <c r="AH281" s="168" t="str">
        <f t="shared" si="25"/>
        <v>Refrigerator-Bottom Freezer-Automatic-No-No-Yes-Yes</v>
      </c>
      <c r="AI281" s="168" t="s">
        <v>269</v>
      </c>
      <c r="AJ281" s="168">
        <v>9.25</v>
      </c>
      <c r="AK281" s="169">
        <v>475.4</v>
      </c>
      <c r="AL281" s="169">
        <f t="shared" si="26"/>
        <v>748.27499999999998</v>
      </c>
      <c r="AM281" s="168">
        <f t="shared" si="27"/>
        <v>748</v>
      </c>
      <c r="AN281" s="168">
        <f t="shared" si="28"/>
        <v>674</v>
      </c>
      <c r="AO281" s="164" t="str">
        <f t="shared" si="29"/>
        <v>Yes</v>
      </c>
      <c r="AP281" s="164">
        <f t="shared" si="30"/>
        <v>74</v>
      </c>
    </row>
    <row r="282" spans="2:42">
      <c r="B282" s="164">
        <v>2216474</v>
      </c>
      <c r="C282" s="164" t="s">
        <v>170</v>
      </c>
      <c r="D282" s="164" t="s">
        <v>936</v>
      </c>
      <c r="E282" s="164"/>
      <c r="F282" s="164" t="s">
        <v>191</v>
      </c>
      <c r="G282" s="164" t="s">
        <v>162</v>
      </c>
      <c r="H282" s="164" t="s">
        <v>163</v>
      </c>
      <c r="I282" s="164" t="s">
        <v>163</v>
      </c>
      <c r="J282" s="164" t="s">
        <v>182</v>
      </c>
      <c r="K282" s="164" t="s">
        <v>182</v>
      </c>
      <c r="L282" s="164" t="s">
        <v>163</v>
      </c>
      <c r="M282" s="164">
        <v>70.3</v>
      </c>
      <c r="N282" s="164">
        <v>35.799999999999997</v>
      </c>
      <c r="O282" s="165">
        <v>31.7</v>
      </c>
      <c r="P282" s="165">
        <v>39.9</v>
      </c>
      <c r="Q282" s="164">
        <v>760</v>
      </c>
      <c r="R282" s="164">
        <v>844</v>
      </c>
      <c r="S282" s="166">
        <v>0.1</v>
      </c>
      <c r="T282" s="164" t="s">
        <v>163</v>
      </c>
      <c r="U282" s="164"/>
      <c r="V282" s="167">
        <v>41873</v>
      </c>
      <c r="W282" s="167">
        <v>41845</v>
      </c>
      <c r="X282" s="164" t="s">
        <v>387</v>
      </c>
      <c r="Y282" s="164" t="s">
        <v>937</v>
      </c>
      <c r="Z282" s="164" t="s">
        <v>163</v>
      </c>
      <c r="AA282" s="168" t="s">
        <v>184</v>
      </c>
      <c r="AB282" s="168" t="s">
        <v>191</v>
      </c>
      <c r="AC282" s="168" t="s">
        <v>162</v>
      </c>
      <c r="AD282" s="168" t="s">
        <v>163</v>
      </c>
      <c r="AE282" s="168" t="s">
        <v>163</v>
      </c>
      <c r="AF282" s="168" t="s">
        <v>182</v>
      </c>
      <c r="AG282" s="168" t="s">
        <v>182</v>
      </c>
      <c r="AH282" s="168" t="str">
        <f t="shared" si="25"/>
        <v>Refrigerator-Bottom Freezer-Automatic-No-No-Yes-Yes</v>
      </c>
      <c r="AI282" s="168" t="s">
        <v>269</v>
      </c>
      <c r="AJ282" s="168">
        <v>9.25</v>
      </c>
      <c r="AK282" s="169">
        <v>475.4</v>
      </c>
      <c r="AL282" s="169">
        <f t="shared" si="26"/>
        <v>844.47499999999991</v>
      </c>
      <c r="AM282" s="168">
        <f t="shared" si="27"/>
        <v>844</v>
      </c>
      <c r="AN282" s="168">
        <f t="shared" si="28"/>
        <v>760</v>
      </c>
      <c r="AO282" s="164" t="str">
        <f t="shared" si="29"/>
        <v>Yes</v>
      </c>
      <c r="AP282" s="164">
        <f t="shared" si="30"/>
        <v>84</v>
      </c>
    </row>
    <row r="283" spans="2:42">
      <c r="B283" s="164">
        <v>2214541</v>
      </c>
      <c r="C283" s="164" t="s">
        <v>170</v>
      </c>
      <c r="D283" s="164" t="s">
        <v>938</v>
      </c>
      <c r="E283" s="164"/>
      <c r="F283" s="164" t="s">
        <v>193</v>
      </c>
      <c r="G283" s="164" t="s">
        <v>162</v>
      </c>
      <c r="H283" s="164" t="s">
        <v>163</v>
      </c>
      <c r="I283" s="164" t="s">
        <v>163</v>
      </c>
      <c r="J283" s="164" t="s">
        <v>163</v>
      </c>
      <c r="K283" s="164" t="s">
        <v>182</v>
      </c>
      <c r="L283" s="164" t="s">
        <v>163</v>
      </c>
      <c r="M283" s="164">
        <v>69</v>
      </c>
      <c r="N283" s="164">
        <v>33</v>
      </c>
      <c r="O283" s="165">
        <v>23.8</v>
      </c>
      <c r="P283" s="165">
        <v>28.5</v>
      </c>
      <c r="Q283" s="164">
        <v>539</v>
      </c>
      <c r="R283" s="164">
        <v>548</v>
      </c>
      <c r="S283" s="166">
        <v>0.02</v>
      </c>
      <c r="T283" s="164" t="s">
        <v>163</v>
      </c>
      <c r="U283" s="164"/>
      <c r="V283" s="167">
        <v>41821</v>
      </c>
      <c r="W283" s="167">
        <v>41820</v>
      </c>
      <c r="X283" s="164" t="s">
        <v>387</v>
      </c>
      <c r="Y283" s="164" t="s">
        <v>939</v>
      </c>
      <c r="Z283" s="164" t="s">
        <v>163</v>
      </c>
      <c r="AA283" s="168" t="s">
        <v>184</v>
      </c>
      <c r="AB283" s="168" t="s">
        <v>193</v>
      </c>
      <c r="AC283" s="168" t="s">
        <v>162</v>
      </c>
      <c r="AD283" s="168" t="s">
        <v>163</v>
      </c>
      <c r="AE283" s="168" t="s">
        <v>163</v>
      </c>
      <c r="AF283" s="168" t="s">
        <v>163</v>
      </c>
      <c r="AG283" s="168" t="s">
        <v>182</v>
      </c>
      <c r="AH283" s="168" t="str">
        <f t="shared" si="25"/>
        <v>Refrigerator-Top Freezer-Automatic-No-No-No-Yes</v>
      </c>
      <c r="AI283" s="168" t="s">
        <v>223</v>
      </c>
      <c r="AJ283" s="168">
        <v>8.07</v>
      </c>
      <c r="AK283" s="169">
        <v>317.7</v>
      </c>
      <c r="AL283" s="169">
        <f t="shared" si="26"/>
        <v>547.69499999999994</v>
      </c>
      <c r="AM283" s="168">
        <f t="shared" si="27"/>
        <v>548</v>
      </c>
      <c r="AN283" s="168">
        <f t="shared" si="28"/>
        <v>539</v>
      </c>
      <c r="AO283" s="164" t="str">
        <f t="shared" si="29"/>
        <v>Yes</v>
      </c>
      <c r="AP283" s="164">
        <f t="shared" si="30"/>
        <v>9</v>
      </c>
    </row>
    <row r="284" spans="2:42">
      <c r="B284" s="164">
        <v>2205765</v>
      </c>
      <c r="C284" s="164" t="s">
        <v>170</v>
      </c>
      <c r="D284" s="164" t="s">
        <v>940</v>
      </c>
      <c r="E284" s="164"/>
      <c r="F284" s="164" t="s">
        <v>191</v>
      </c>
      <c r="G284" s="164" t="s">
        <v>162</v>
      </c>
      <c r="H284" s="164" t="s">
        <v>163</v>
      </c>
      <c r="I284" s="164" t="s">
        <v>163</v>
      </c>
      <c r="J284" s="164" t="s">
        <v>163</v>
      </c>
      <c r="K284" s="164" t="s">
        <v>182</v>
      </c>
      <c r="L284" s="164" t="s">
        <v>163</v>
      </c>
      <c r="M284" s="164">
        <v>68.5</v>
      </c>
      <c r="N284" s="164">
        <v>29.8</v>
      </c>
      <c r="O284" s="165">
        <v>22.1</v>
      </c>
      <c r="P284" s="165">
        <v>27.6</v>
      </c>
      <c r="Q284" s="164">
        <v>581</v>
      </c>
      <c r="R284" s="164">
        <v>645</v>
      </c>
      <c r="S284" s="166">
        <v>0.1</v>
      </c>
      <c r="T284" s="164" t="s">
        <v>163</v>
      </c>
      <c r="U284" s="164"/>
      <c r="V284" s="167">
        <v>41691</v>
      </c>
      <c r="W284" s="167">
        <v>41703</v>
      </c>
      <c r="X284" s="164" t="s">
        <v>387</v>
      </c>
      <c r="Y284" s="164" t="s">
        <v>941</v>
      </c>
      <c r="Z284" s="164" t="s">
        <v>163</v>
      </c>
      <c r="AA284" s="168" t="s">
        <v>184</v>
      </c>
      <c r="AB284" s="168" t="s">
        <v>191</v>
      </c>
      <c r="AC284" s="168" t="s">
        <v>162</v>
      </c>
      <c r="AD284" s="168" t="s">
        <v>163</v>
      </c>
      <c r="AE284" s="168" t="s">
        <v>163</v>
      </c>
      <c r="AF284" s="168" t="s">
        <v>163</v>
      </c>
      <c r="AG284" s="168" t="s">
        <v>182</v>
      </c>
      <c r="AH284" s="168" t="str">
        <f t="shared" si="25"/>
        <v>Refrigerator-Bottom Freezer-Automatic-No-No-No-Yes</v>
      </c>
      <c r="AI284" s="168" t="s">
        <v>261</v>
      </c>
      <c r="AJ284" s="168">
        <v>8.85</v>
      </c>
      <c r="AK284" s="169">
        <v>401</v>
      </c>
      <c r="AL284" s="169">
        <f t="shared" si="26"/>
        <v>645.26</v>
      </c>
      <c r="AM284" s="168">
        <f t="shared" si="27"/>
        <v>645</v>
      </c>
      <c r="AN284" s="168">
        <f t="shared" si="28"/>
        <v>581</v>
      </c>
      <c r="AO284" s="164" t="str">
        <f t="shared" si="29"/>
        <v>Yes</v>
      </c>
      <c r="AP284" s="164">
        <f t="shared" si="30"/>
        <v>64</v>
      </c>
    </row>
    <row r="285" spans="2:42">
      <c r="B285" s="164">
        <v>2203488</v>
      </c>
      <c r="C285" s="164" t="s">
        <v>170</v>
      </c>
      <c r="D285" s="172" t="s">
        <v>942</v>
      </c>
      <c r="E285" s="164"/>
      <c r="F285" s="164" t="s">
        <v>191</v>
      </c>
      <c r="G285" s="164" t="s">
        <v>162</v>
      </c>
      <c r="H285" s="164" t="s">
        <v>163</v>
      </c>
      <c r="I285" s="164" t="s">
        <v>163</v>
      </c>
      <c r="J285" s="164" t="s">
        <v>163</v>
      </c>
      <c r="K285" s="164" t="s">
        <v>182</v>
      </c>
      <c r="L285" s="164" t="s">
        <v>163</v>
      </c>
      <c r="M285" s="164">
        <v>69.900000000000006</v>
      </c>
      <c r="N285" s="164">
        <v>32.799999999999997</v>
      </c>
      <c r="O285" s="165">
        <v>24.1</v>
      </c>
      <c r="P285" s="165">
        <v>30</v>
      </c>
      <c r="Q285" s="164">
        <v>600</v>
      </c>
      <c r="R285" s="164">
        <v>667</v>
      </c>
      <c r="S285" s="166">
        <v>0.1</v>
      </c>
      <c r="T285" s="164" t="s">
        <v>163</v>
      </c>
      <c r="U285" s="164"/>
      <c r="V285" s="167">
        <v>41667</v>
      </c>
      <c r="W285" s="167">
        <v>41667</v>
      </c>
      <c r="X285" s="164" t="s">
        <v>387</v>
      </c>
      <c r="Y285" s="164" t="s">
        <v>943</v>
      </c>
      <c r="Z285" s="164" t="s">
        <v>163</v>
      </c>
      <c r="AA285" s="168" t="s">
        <v>184</v>
      </c>
      <c r="AB285" s="168" t="s">
        <v>191</v>
      </c>
      <c r="AC285" s="168" t="s">
        <v>162</v>
      </c>
      <c r="AD285" s="168" t="s">
        <v>163</v>
      </c>
      <c r="AE285" s="168" t="s">
        <v>163</v>
      </c>
      <c r="AF285" s="168" t="s">
        <v>163</v>
      </c>
      <c r="AG285" s="168" t="s">
        <v>182</v>
      </c>
      <c r="AH285" s="168" t="str">
        <f t="shared" si="25"/>
        <v>Refrigerator-Bottom Freezer-Automatic-No-No-No-Yes</v>
      </c>
      <c r="AI285" s="168" t="s">
        <v>261</v>
      </c>
      <c r="AJ285" s="168">
        <v>8.85</v>
      </c>
      <c r="AK285" s="169">
        <v>401</v>
      </c>
      <c r="AL285" s="169">
        <f t="shared" si="26"/>
        <v>666.5</v>
      </c>
      <c r="AM285" s="168">
        <f t="shared" si="27"/>
        <v>667</v>
      </c>
      <c r="AN285" s="168">
        <f t="shared" si="28"/>
        <v>600</v>
      </c>
      <c r="AO285" s="164" t="str">
        <f t="shared" si="29"/>
        <v>Yes</v>
      </c>
      <c r="AP285" s="164">
        <f t="shared" si="30"/>
        <v>67</v>
      </c>
    </row>
    <row r="286" spans="2:42">
      <c r="B286" s="164">
        <v>2209860</v>
      </c>
      <c r="C286" s="164" t="s">
        <v>170</v>
      </c>
      <c r="D286" s="164" t="s">
        <v>944</v>
      </c>
      <c r="E286" s="164"/>
      <c r="F286" s="164" t="s">
        <v>191</v>
      </c>
      <c r="G286" s="164" t="s">
        <v>162</v>
      </c>
      <c r="H286" s="164" t="s">
        <v>163</v>
      </c>
      <c r="I286" s="164" t="s">
        <v>163</v>
      </c>
      <c r="J286" s="164" t="s">
        <v>163</v>
      </c>
      <c r="K286" s="164" t="s">
        <v>163</v>
      </c>
      <c r="L286" s="164" t="s">
        <v>163</v>
      </c>
      <c r="M286" s="164">
        <v>68.900000000000006</v>
      </c>
      <c r="N286" s="164">
        <v>32.6</v>
      </c>
      <c r="O286" s="165">
        <v>22.2</v>
      </c>
      <c r="P286" s="165">
        <v>27</v>
      </c>
      <c r="Q286" s="164">
        <v>501</v>
      </c>
      <c r="R286" s="164">
        <v>556</v>
      </c>
      <c r="S286" s="166">
        <v>0.1</v>
      </c>
      <c r="T286" s="164" t="s">
        <v>163</v>
      </c>
      <c r="U286" s="164"/>
      <c r="V286" s="167">
        <v>41760</v>
      </c>
      <c r="W286" s="167">
        <v>41760</v>
      </c>
      <c r="X286" s="164" t="s">
        <v>387</v>
      </c>
      <c r="Y286" s="164" t="s">
        <v>945</v>
      </c>
      <c r="Z286" s="164" t="s">
        <v>163</v>
      </c>
      <c r="AA286" s="168" t="s">
        <v>184</v>
      </c>
      <c r="AB286" s="168" t="s">
        <v>191</v>
      </c>
      <c r="AC286" s="168" t="s">
        <v>162</v>
      </c>
      <c r="AD286" s="168" t="s">
        <v>163</v>
      </c>
      <c r="AE286" s="168" t="s">
        <v>163</v>
      </c>
      <c r="AF286" s="168" t="s">
        <v>163</v>
      </c>
      <c r="AG286" s="168" t="s">
        <v>163</v>
      </c>
      <c r="AH286" s="168" t="str">
        <f t="shared" si="25"/>
        <v>Refrigerator-Bottom Freezer-Automatic-No-No-No-No</v>
      </c>
      <c r="AI286" s="168">
        <v>5</v>
      </c>
      <c r="AJ286" s="168">
        <v>8.85</v>
      </c>
      <c r="AK286" s="169">
        <v>317</v>
      </c>
      <c r="AL286" s="169">
        <f t="shared" si="26"/>
        <v>555.95000000000005</v>
      </c>
      <c r="AM286" s="168">
        <f t="shared" si="27"/>
        <v>556</v>
      </c>
      <c r="AN286" s="168">
        <f t="shared" si="28"/>
        <v>501</v>
      </c>
      <c r="AO286" s="164" t="str">
        <f t="shared" si="29"/>
        <v>Yes</v>
      </c>
      <c r="AP286" s="164">
        <f t="shared" si="30"/>
        <v>55</v>
      </c>
    </row>
    <row r="287" spans="2:42">
      <c r="B287" s="164">
        <v>2209859</v>
      </c>
      <c r="C287" s="164" t="s">
        <v>170</v>
      </c>
      <c r="D287" s="164" t="s">
        <v>946</v>
      </c>
      <c r="E287" s="164"/>
      <c r="F287" s="164" t="s">
        <v>191</v>
      </c>
      <c r="G287" s="164" t="s">
        <v>162</v>
      </c>
      <c r="H287" s="164" t="s">
        <v>163</v>
      </c>
      <c r="I287" s="164" t="s">
        <v>163</v>
      </c>
      <c r="J287" s="164" t="s">
        <v>163</v>
      </c>
      <c r="K287" s="164" t="s">
        <v>182</v>
      </c>
      <c r="L287" s="164" t="s">
        <v>163</v>
      </c>
      <c r="M287" s="164">
        <v>68.900000000000006</v>
      </c>
      <c r="N287" s="164">
        <v>32.6</v>
      </c>
      <c r="O287" s="165">
        <v>22.2</v>
      </c>
      <c r="P287" s="165">
        <v>27</v>
      </c>
      <c r="Q287" s="164">
        <v>577</v>
      </c>
      <c r="R287" s="164">
        <v>640</v>
      </c>
      <c r="S287" s="166">
        <v>0.1</v>
      </c>
      <c r="T287" s="164" t="s">
        <v>163</v>
      </c>
      <c r="U287" s="164"/>
      <c r="V287" s="167">
        <v>41760</v>
      </c>
      <c r="W287" s="167">
        <v>41760</v>
      </c>
      <c r="X287" s="164" t="s">
        <v>387</v>
      </c>
      <c r="Y287" s="164" t="s">
        <v>947</v>
      </c>
      <c r="Z287" s="164" t="s">
        <v>163</v>
      </c>
      <c r="AA287" s="168" t="s">
        <v>184</v>
      </c>
      <c r="AB287" s="168" t="s">
        <v>191</v>
      </c>
      <c r="AC287" s="168" t="s">
        <v>162</v>
      </c>
      <c r="AD287" s="168" t="s">
        <v>163</v>
      </c>
      <c r="AE287" s="168" t="s">
        <v>163</v>
      </c>
      <c r="AF287" s="168" t="s">
        <v>163</v>
      </c>
      <c r="AG287" s="168" t="s">
        <v>182</v>
      </c>
      <c r="AH287" s="168" t="str">
        <f t="shared" si="25"/>
        <v>Refrigerator-Bottom Freezer-Automatic-No-No-No-Yes</v>
      </c>
      <c r="AI287" s="168" t="s">
        <v>261</v>
      </c>
      <c r="AJ287" s="168">
        <v>8.85</v>
      </c>
      <c r="AK287" s="169">
        <v>401</v>
      </c>
      <c r="AL287" s="169">
        <f t="shared" si="26"/>
        <v>639.95000000000005</v>
      </c>
      <c r="AM287" s="168">
        <f t="shared" si="27"/>
        <v>640</v>
      </c>
      <c r="AN287" s="168">
        <f t="shared" si="28"/>
        <v>577</v>
      </c>
      <c r="AO287" s="164" t="str">
        <f t="shared" si="29"/>
        <v>Yes</v>
      </c>
      <c r="AP287" s="164">
        <f t="shared" si="30"/>
        <v>63</v>
      </c>
    </row>
    <row r="288" spans="2:42">
      <c r="B288" s="164">
        <v>2214540</v>
      </c>
      <c r="C288" s="164" t="s">
        <v>170</v>
      </c>
      <c r="D288" s="164" t="s">
        <v>948</v>
      </c>
      <c r="E288" s="164"/>
      <c r="F288" s="164" t="s">
        <v>193</v>
      </c>
      <c r="G288" s="164" t="s">
        <v>162</v>
      </c>
      <c r="H288" s="164" t="s">
        <v>163</v>
      </c>
      <c r="I288" s="164" t="s">
        <v>163</v>
      </c>
      <c r="J288" s="164" t="s">
        <v>163</v>
      </c>
      <c r="K288" s="164" t="s">
        <v>182</v>
      </c>
      <c r="L288" s="164" t="s">
        <v>163</v>
      </c>
      <c r="M288" s="164">
        <v>69</v>
      </c>
      <c r="N288" s="164">
        <v>33</v>
      </c>
      <c r="O288" s="165">
        <v>23.8</v>
      </c>
      <c r="P288" s="165">
        <v>28.5</v>
      </c>
      <c r="Q288" s="164">
        <v>539</v>
      </c>
      <c r="R288" s="164">
        <v>548</v>
      </c>
      <c r="S288" s="166">
        <v>0.02</v>
      </c>
      <c r="T288" s="164" t="s">
        <v>163</v>
      </c>
      <c r="U288" s="164"/>
      <c r="V288" s="167">
        <v>41821</v>
      </c>
      <c r="W288" s="167">
        <v>41820</v>
      </c>
      <c r="X288" s="164" t="s">
        <v>387</v>
      </c>
      <c r="Y288" s="164" t="s">
        <v>949</v>
      </c>
      <c r="Z288" s="164" t="s">
        <v>163</v>
      </c>
      <c r="AA288" s="168" t="s">
        <v>184</v>
      </c>
      <c r="AB288" s="168" t="s">
        <v>193</v>
      </c>
      <c r="AC288" s="168" t="s">
        <v>162</v>
      </c>
      <c r="AD288" s="168" t="s">
        <v>163</v>
      </c>
      <c r="AE288" s="168" t="s">
        <v>163</v>
      </c>
      <c r="AF288" s="168" t="s">
        <v>163</v>
      </c>
      <c r="AG288" s="168" t="s">
        <v>182</v>
      </c>
      <c r="AH288" s="168" t="str">
        <f t="shared" si="25"/>
        <v>Refrigerator-Top Freezer-Automatic-No-No-No-Yes</v>
      </c>
      <c r="AI288" s="168" t="s">
        <v>223</v>
      </c>
      <c r="AJ288" s="168">
        <v>8.07</v>
      </c>
      <c r="AK288" s="169">
        <v>317.7</v>
      </c>
      <c r="AL288" s="169">
        <f t="shared" si="26"/>
        <v>547.69499999999994</v>
      </c>
      <c r="AM288" s="168">
        <f t="shared" si="27"/>
        <v>548</v>
      </c>
      <c r="AN288" s="168">
        <f t="shared" si="28"/>
        <v>539</v>
      </c>
      <c r="AO288" s="164" t="str">
        <f t="shared" si="29"/>
        <v>Yes</v>
      </c>
      <c r="AP288" s="164">
        <f t="shared" si="30"/>
        <v>9</v>
      </c>
    </row>
    <row r="289" spans="2:42">
      <c r="B289" s="164">
        <v>2209861</v>
      </c>
      <c r="C289" s="164" t="s">
        <v>170</v>
      </c>
      <c r="D289" s="164" t="s">
        <v>950</v>
      </c>
      <c r="E289" s="164"/>
      <c r="F289" s="164" t="s">
        <v>191</v>
      </c>
      <c r="G289" s="164" t="s">
        <v>162</v>
      </c>
      <c r="H289" s="164" t="s">
        <v>163</v>
      </c>
      <c r="I289" s="164" t="s">
        <v>163</v>
      </c>
      <c r="J289" s="164" t="s">
        <v>163</v>
      </c>
      <c r="K289" s="164" t="s">
        <v>182</v>
      </c>
      <c r="L289" s="164" t="s">
        <v>163</v>
      </c>
      <c r="M289" s="164">
        <v>68.900000000000006</v>
      </c>
      <c r="N289" s="164">
        <v>32.6</v>
      </c>
      <c r="O289" s="165">
        <v>25.2</v>
      </c>
      <c r="P289" s="165">
        <v>30.8</v>
      </c>
      <c r="Q289" s="164">
        <v>607</v>
      </c>
      <c r="R289" s="164">
        <v>674</v>
      </c>
      <c r="S289" s="166">
        <v>0.1</v>
      </c>
      <c r="T289" s="164" t="s">
        <v>163</v>
      </c>
      <c r="U289" s="164"/>
      <c r="V289" s="167">
        <v>41760</v>
      </c>
      <c r="W289" s="167">
        <v>41760</v>
      </c>
      <c r="X289" s="164" t="s">
        <v>387</v>
      </c>
      <c r="Y289" s="164" t="s">
        <v>951</v>
      </c>
      <c r="Z289" s="164" t="s">
        <v>163</v>
      </c>
      <c r="AA289" s="168" t="s">
        <v>184</v>
      </c>
      <c r="AB289" s="168" t="s">
        <v>191</v>
      </c>
      <c r="AC289" s="168" t="s">
        <v>162</v>
      </c>
      <c r="AD289" s="168" t="s">
        <v>163</v>
      </c>
      <c r="AE289" s="168" t="s">
        <v>163</v>
      </c>
      <c r="AF289" s="168" t="s">
        <v>163</v>
      </c>
      <c r="AG289" s="168" t="s">
        <v>182</v>
      </c>
      <c r="AH289" s="168" t="str">
        <f t="shared" si="25"/>
        <v>Refrigerator-Bottom Freezer-Automatic-No-No-No-Yes</v>
      </c>
      <c r="AI289" s="168" t="s">
        <v>261</v>
      </c>
      <c r="AJ289" s="168">
        <v>8.85</v>
      </c>
      <c r="AK289" s="169">
        <v>401</v>
      </c>
      <c r="AL289" s="169">
        <f t="shared" si="26"/>
        <v>673.57999999999993</v>
      </c>
      <c r="AM289" s="168">
        <f t="shared" si="27"/>
        <v>674</v>
      </c>
      <c r="AN289" s="168">
        <f t="shared" si="28"/>
        <v>607</v>
      </c>
      <c r="AO289" s="164" t="str">
        <f t="shared" si="29"/>
        <v>Yes</v>
      </c>
      <c r="AP289" s="164">
        <f t="shared" si="30"/>
        <v>67</v>
      </c>
    </row>
    <row r="290" spans="2:42">
      <c r="B290" s="164">
        <v>2219160</v>
      </c>
      <c r="C290" s="164" t="s">
        <v>170</v>
      </c>
      <c r="D290" s="164" t="s">
        <v>952</v>
      </c>
      <c r="E290" s="164"/>
      <c r="F290" s="164" t="s">
        <v>193</v>
      </c>
      <c r="G290" s="164" t="s">
        <v>162</v>
      </c>
      <c r="H290" s="164" t="s">
        <v>163</v>
      </c>
      <c r="I290" s="164" t="s">
        <v>163</v>
      </c>
      <c r="J290" s="164" t="s">
        <v>163</v>
      </c>
      <c r="K290" s="164" t="s">
        <v>163</v>
      </c>
      <c r="L290" s="164" t="s">
        <v>163</v>
      </c>
      <c r="M290" s="164">
        <v>66.099999999999994</v>
      </c>
      <c r="N290" s="164">
        <v>29.6</v>
      </c>
      <c r="O290" s="165">
        <v>18.100000000000001</v>
      </c>
      <c r="P290" s="165">
        <v>21.1</v>
      </c>
      <c r="Q290" s="164">
        <v>363</v>
      </c>
      <c r="R290" s="164">
        <v>404</v>
      </c>
      <c r="S290" s="166">
        <v>0.1</v>
      </c>
      <c r="T290" s="164" t="s">
        <v>163</v>
      </c>
      <c r="U290" s="164"/>
      <c r="V290" s="167">
        <v>41857</v>
      </c>
      <c r="W290" s="167">
        <v>41889</v>
      </c>
      <c r="X290" s="164" t="s">
        <v>387</v>
      </c>
      <c r="Y290" s="164" t="s">
        <v>953</v>
      </c>
      <c r="Z290" s="164" t="s">
        <v>163</v>
      </c>
      <c r="AA290" s="168" t="s">
        <v>184</v>
      </c>
      <c r="AB290" s="168" t="s">
        <v>193</v>
      </c>
      <c r="AC290" s="168" t="s">
        <v>162</v>
      </c>
      <c r="AD290" s="168" t="s">
        <v>163</v>
      </c>
      <c r="AE290" s="168" t="s">
        <v>163</v>
      </c>
      <c r="AF290" s="168" t="s">
        <v>163</v>
      </c>
      <c r="AG290" s="168" t="s">
        <v>163</v>
      </c>
      <c r="AH290" s="168" t="str">
        <f t="shared" si="25"/>
        <v>Refrigerator-Top Freezer-Automatic-No-No-No-No</v>
      </c>
      <c r="AI290" s="168">
        <v>3</v>
      </c>
      <c r="AJ290" s="168">
        <v>8.07</v>
      </c>
      <c r="AK290" s="169">
        <v>233.7</v>
      </c>
      <c r="AL290" s="169">
        <f t="shared" si="26"/>
        <v>403.97699999999998</v>
      </c>
      <c r="AM290" s="168">
        <f t="shared" si="27"/>
        <v>404</v>
      </c>
      <c r="AN290" s="168">
        <f t="shared" si="28"/>
        <v>363</v>
      </c>
      <c r="AO290" s="164" t="str">
        <f t="shared" si="29"/>
        <v>Yes</v>
      </c>
      <c r="AP290" s="164">
        <f t="shared" si="30"/>
        <v>41</v>
      </c>
    </row>
    <row r="291" spans="2:42">
      <c r="B291" s="164">
        <v>2219164</v>
      </c>
      <c r="C291" s="164" t="s">
        <v>170</v>
      </c>
      <c r="D291" s="164" t="s">
        <v>952</v>
      </c>
      <c r="E291" s="164"/>
      <c r="F291" s="164" t="s">
        <v>193</v>
      </c>
      <c r="G291" s="164" t="s">
        <v>162</v>
      </c>
      <c r="H291" s="164" t="s">
        <v>163</v>
      </c>
      <c r="I291" s="164" t="s">
        <v>163</v>
      </c>
      <c r="J291" s="164" t="s">
        <v>163</v>
      </c>
      <c r="K291" s="164" t="s">
        <v>182</v>
      </c>
      <c r="L291" s="164" t="s">
        <v>163</v>
      </c>
      <c r="M291" s="164">
        <v>66.099999999999994</v>
      </c>
      <c r="N291" s="164">
        <v>29.6</v>
      </c>
      <c r="O291" s="165">
        <v>18.100000000000001</v>
      </c>
      <c r="P291" s="165">
        <v>21.1</v>
      </c>
      <c r="Q291" s="164">
        <v>439</v>
      </c>
      <c r="R291" s="164">
        <v>488</v>
      </c>
      <c r="S291" s="166">
        <v>0.1</v>
      </c>
      <c r="T291" s="164" t="s">
        <v>163</v>
      </c>
      <c r="U291" s="164"/>
      <c r="V291" s="167">
        <v>41857</v>
      </c>
      <c r="W291" s="167">
        <v>41889</v>
      </c>
      <c r="X291" s="164" t="s">
        <v>387</v>
      </c>
      <c r="Y291" s="164" t="s">
        <v>954</v>
      </c>
      <c r="Z291" s="164" t="s">
        <v>163</v>
      </c>
      <c r="AA291" s="168" t="s">
        <v>184</v>
      </c>
      <c r="AB291" s="168" t="s">
        <v>193</v>
      </c>
      <c r="AC291" s="168" t="s">
        <v>162</v>
      </c>
      <c r="AD291" s="168" t="s">
        <v>163</v>
      </c>
      <c r="AE291" s="168" t="s">
        <v>163</v>
      </c>
      <c r="AF291" s="168" t="s">
        <v>163</v>
      </c>
      <c r="AG291" s="168" t="s">
        <v>182</v>
      </c>
      <c r="AH291" s="168" t="str">
        <f t="shared" si="25"/>
        <v>Refrigerator-Top Freezer-Automatic-No-No-No-Yes</v>
      </c>
      <c r="AI291" s="168" t="s">
        <v>223</v>
      </c>
      <c r="AJ291" s="168">
        <v>8.07</v>
      </c>
      <c r="AK291" s="169">
        <v>317.7</v>
      </c>
      <c r="AL291" s="169">
        <f t="shared" si="26"/>
        <v>487.97699999999998</v>
      </c>
      <c r="AM291" s="168">
        <f t="shared" si="27"/>
        <v>488</v>
      </c>
      <c r="AN291" s="168">
        <f t="shared" si="28"/>
        <v>439</v>
      </c>
      <c r="AO291" s="164" t="str">
        <f t="shared" si="29"/>
        <v>Yes</v>
      </c>
      <c r="AP291" s="164">
        <f t="shared" si="30"/>
        <v>49</v>
      </c>
    </row>
    <row r="292" spans="2:42">
      <c r="B292" s="164">
        <v>2219161</v>
      </c>
      <c r="C292" s="164" t="s">
        <v>170</v>
      </c>
      <c r="D292" s="164" t="s">
        <v>955</v>
      </c>
      <c r="E292" s="164"/>
      <c r="F292" s="164" t="s">
        <v>193</v>
      </c>
      <c r="G292" s="164" t="s">
        <v>162</v>
      </c>
      <c r="H292" s="164" t="s">
        <v>163</v>
      </c>
      <c r="I292" s="164" t="s">
        <v>163</v>
      </c>
      <c r="J292" s="164" t="s">
        <v>163</v>
      </c>
      <c r="K292" s="164" t="s">
        <v>182</v>
      </c>
      <c r="L292" s="164" t="s">
        <v>163</v>
      </c>
      <c r="M292" s="164">
        <v>66.099999999999994</v>
      </c>
      <c r="N292" s="164">
        <v>29.6</v>
      </c>
      <c r="O292" s="165">
        <v>18.100000000000001</v>
      </c>
      <c r="P292" s="165">
        <v>21.1</v>
      </c>
      <c r="Q292" s="164">
        <v>439</v>
      </c>
      <c r="R292" s="164">
        <v>488</v>
      </c>
      <c r="S292" s="166">
        <v>0.1</v>
      </c>
      <c r="T292" s="164" t="s">
        <v>163</v>
      </c>
      <c r="U292" s="164"/>
      <c r="V292" s="167">
        <v>41894</v>
      </c>
      <c r="W292" s="167">
        <v>41889</v>
      </c>
      <c r="X292" s="164" t="s">
        <v>387</v>
      </c>
      <c r="Y292" s="164" t="s">
        <v>956</v>
      </c>
      <c r="Z292" s="164" t="s">
        <v>163</v>
      </c>
      <c r="AA292" s="168" t="s">
        <v>184</v>
      </c>
      <c r="AB292" s="168" t="s">
        <v>193</v>
      </c>
      <c r="AC292" s="168" t="s">
        <v>162</v>
      </c>
      <c r="AD292" s="168" t="s">
        <v>163</v>
      </c>
      <c r="AE292" s="168" t="s">
        <v>163</v>
      </c>
      <c r="AF292" s="168" t="s">
        <v>163</v>
      </c>
      <c r="AG292" s="168" t="s">
        <v>182</v>
      </c>
      <c r="AH292" s="168" t="str">
        <f t="shared" si="25"/>
        <v>Refrigerator-Top Freezer-Automatic-No-No-No-Yes</v>
      </c>
      <c r="AI292" s="168" t="s">
        <v>223</v>
      </c>
      <c r="AJ292" s="168">
        <v>8.07</v>
      </c>
      <c r="AK292" s="169">
        <v>317.7</v>
      </c>
      <c r="AL292" s="169">
        <f t="shared" si="26"/>
        <v>487.97699999999998</v>
      </c>
      <c r="AM292" s="168">
        <f t="shared" si="27"/>
        <v>488</v>
      </c>
      <c r="AN292" s="168">
        <f t="shared" si="28"/>
        <v>439</v>
      </c>
      <c r="AO292" s="164" t="str">
        <f t="shared" si="29"/>
        <v>Yes</v>
      </c>
      <c r="AP292" s="164">
        <f t="shared" si="30"/>
        <v>49</v>
      </c>
    </row>
    <row r="293" spans="2:42">
      <c r="B293" s="164">
        <v>2219249</v>
      </c>
      <c r="C293" s="164" t="s">
        <v>170</v>
      </c>
      <c r="D293" s="164" t="s">
        <v>955</v>
      </c>
      <c r="E293" s="164"/>
      <c r="F293" s="164" t="s">
        <v>193</v>
      </c>
      <c r="G293" s="164" t="s">
        <v>162</v>
      </c>
      <c r="H293" s="164" t="s">
        <v>163</v>
      </c>
      <c r="I293" s="164" t="s">
        <v>163</v>
      </c>
      <c r="J293" s="164" t="s">
        <v>163</v>
      </c>
      <c r="K293" s="164" t="s">
        <v>163</v>
      </c>
      <c r="L293" s="164" t="s">
        <v>163</v>
      </c>
      <c r="M293" s="164">
        <v>66.099999999999994</v>
      </c>
      <c r="N293" s="164">
        <v>29.6</v>
      </c>
      <c r="O293" s="165">
        <v>18.100000000000001</v>
      </c>
      <c r="P293" s="165">
        <v>21.1</v>
      </c>
      <c r="Q293" s="164">
        <v>363</v>
      </c>
      <c r="R293" s="164">
        <v>404</v>
      </c>
      <c r="S293" s="166">
        <v>0.1</v>
      </c>
      <c r="T293" s="164" t="s">
        <v>163</v>
      </c>
      <c r="U293" s="164"/>
      <c r="V293" s="167">
        <v>41897</v>
      </c>
      <c r="W293" s="167">
        <v>41889</v>
      </c>
      <c r="X293" s="164" t="s">
        <v>387</v>
      </c>
      <c r="Y293" s="164" t="s">
        <v>957</v>
      </c>
      <c r="Z293" s="164" t="s">
        <v>163</v>
      </c>
      <c r="AA293" s="168" t="s">
        <v>184</v>
      </c>
      <c r="AB293" s="168" t="s">
        <v>193</v>
      </c>
      <c r="AC293" s="168" t="s">
        <v>162</v>
      </c>
      <c r="AD293" s="168" t="s">
        <v>163</v>
      </c>
      <c r="AE293" s="168" t="s">
        <v>163</v>
      </c>
      <c r="AF293" s="168" t="s">
        <v>163</v>
      </c>
      <c r="AG293" s="168" t="s">
        <v>163</v>
      </c>
      <c r="AH293" s="168" t="str">
        <f t="shared" si="25"/>
        <v>Refrigerator-Top Freezer-Automatic-No-No-No-No</v>
      </c>
      <c r="AI293" s="168">
        <v>3</v>
      </c>
      <c r="AJ293" s="168">
        <v>8.07</v>
      </c>
      <c r="AK293" s="169">
        <v>233.7</v>
      </c>
      <c r="AL293" s="169">
        <f t="shared" si="26"/>
        <v>403.97699999999998</v>
      </c>
      <c r="AM293" s="168">
        <f t="shared" si="27"/>
        <v>404</v>
      </c>
      <c r="AN293" s="168">
        <f t="shared" si="28"/>
        <v>363</v>
      </c>
      <c r="AO293" s="164" t="str">
        <f t="shared" si="29"/>
        <v>Yes</v>
      </c>
      <c r="AP293" s="164">
        <f t="shared" si="30"/>
        <v>41</v>
      </c>
    </row>
    <row r="294" spans="2:42">
      <c r="B294" s="164">
        <v>2207187</v>
      </c>
      <c r="C294" s="164" t="s">
        <v>170</v>
      </c>
      <c r="D294" s="164" t="s">
        <v>958</v>
      </c>
      <c r="E294" s="164"/>
      <c r="F294" s="164" t="s">
        <v>191</v>
      </c>
      <c r="G294" s="164" t="s">
        <v>162</v>
      </c>
      <c r="H294" s="164" t="s">
        <v>163</v>
      </c>
      <c r="I294" s="164" t="s">
        <v>163</v>
      </c>
      <c r="J294" s="164" t="s">
        <v>163</v>
      </c>
      <c r="K294" s="164" t="s">
        <v>182</v>
      </c>
      <c r="L294" s="164" t="s">
        <v>182</v>
      </c>
      <c r="M294" s="164">
        <v>67.8</v>
      </c>
      <c r="N294" s="164">
        <v>35.6</v>
      </c>
      <c r="O294" s="165">
        <v>22.4</v>
      </c>
      <c r="P294" s="165">
        <v>27.8</v>
      </c>
      <c r="Q294" s="164">
        <v>582</v>
      </c>
      <c r="R294" s="164">
        <v>647</v>
      </c>
      <c r="S294" s="166">
        <v>0.1</v>
      </c>
      <c r="T294" s="164" t="s">
        <v>163</v>
      </c>
      <c r="U294" s="164"/>
      <c r="V294" s="167">
        <v>41730</v>
      </c>
      <c r="W294" s="167">
        <v>41781</v>
      </c>
      <c r="X294" s="164" t="s">
        <v>387</v>
      </c>
      <c r="Y294" s="164" t="s">
        <v>959</v>
      </c>
      <c r="Z294" s="164" t="s">
        <v>163</v>
      </c>
      <c r="AA294" s="168" t="s">
        <v>184</v>
      </c>
      <c r="AB294" s="168" t="s">
        <v>191</v>
      </c>
      <c r="AC294" s="168" t="s">
        <v>162</v>
      </c>
      <c r="AD294" s="168" t="s">
        <v>163</v>
      </c>
      <c r="AE294" s="168" t="s">
        <v>163</v>
      </c>
      <c r="AF294" s="168" t="s">
        <v>163</v>
      </c>
      <c r="AG294" s="168" t="s">
        <v>182</v>
      </c>
      <c r="AH294" s="168" t="str">
        <f t="shared" si="25"/>
        <v>Refrigerator-Bottom Freezer-Automatic-No-No-No-Yes</v>
      </c>
      <c r="AI294" s="168" t="s">
        <v>261</v>
      </c>
      <c r="AJ294" s="168">
        <v>8.85</v>
      </c>
      <c r="AK294" s="169">
        <v>401</v>
      </c>
      <c r="AL294" s="169">
        <f t="shared" si="26"/>
        <v>647.03</v>
      </c>
      <c r="AM294" s="168">
        <f t="shared" si="27"/>
        <v>647</v>
      </c>
      <c r="AN294" s="168">
        <f t="shared" si="28"/>
        <v>582</v>
      </c>
      <c r="AO294" s="164" t="str">
        <f t="shared" si="29"/>
        <v>Yes</v>
      </c>
      <c r="AP294" s="164">
        <f t="shared" si="30"/>
        <v>65</v>
      </c>
    </row>
    <row r="295" spans="2:42">
      <c r="B295" s="164">
        <v>2211359</v>
      </c>
      <c r="C295" s="164" t="s">
        <v>170</v>
      </c>
      <c r="D295" s="164" t="s">
        <v>960</v>
      </c>
      <c r="E295" s="164"/>
      <c r="F295" s="164" t="s">
        <v>191</v>
      </c>
      <c r="G295" s="164" t="s">
        <v>162</v>
      </c>
      <c r="H295" s="164" t="s">
        <v>163</v>
      </c>
      <c r="I295" s="164" t="s">
        <v>163</v>
      </c>
      <c r="J295" s="164" t="s">
        <v>182</v>
      </c>
      <c r="K295" s="164" t="s">
        <v>182</v>
      </c>
      <c r="L295" s="164" t="s">
        <v>163</v>
      </c>
      <c r="M295" s="164">
        <v>69.900000000000006</v>
      </c>
      <c r="N295" s="164">
        <v>35.6</v>
      </c>
      <c r="O295" s="165">
        <v>27.2</v>
      </c>
      <c r="P295" s="165">
        <v>33.799999999999997</v>
      </c>
      <c r="Q295" s="164">
        <v>709</v>
      </c>
      <c r="R295" s="164">
        <v>788</v>
      </c>
      <c r="S295" s="166">
        <v>0.1</v>
      </c>
      <c r="T295" s="164" t="s">
        <v>163</v>
      </c>
      <c r="U295" s="164"/>
      <c r="V295" s="167">
        <v>41778</v>
      </c>
      <c r="W295" s="167">
        <v>41781</v>
      </c>
      <c r="X295" s="164" t="s">
        <v>387</v>
      </c>
      <c r="Y295" s="164" t="s">
        <v>961</v>
      </c>
      <c r="Z295" s="164" t="s">
        <v>163</v>
      </c>
      <c r="AA295" s="168" t="s">
        <v>184</v>
      </c>
      <c r="AB295" s="168" t="s">
        <v>191</v>
      </c>
      <c r="AC295" s="168" t="s">
        <v>162</v>
      </c>
      <c r="AD295" s="168" t="s">
        <v>163</v>
      </c>
      <c r="AE295" s="168" t="s">
        <v>163</v>
      </c>
      <c r="AF295" s="168" t="s">
        <v>182</v>
      </c>
      <c r="AG295" s="168" t="s">
        <v>182</v>
      </c>
      <c r="AH295" s="168" t="str">
        <f t="shared" si="25"/>
        <v>Refrigerator-Bottom Freezer-Automatic-No-No-Yes-Yes</v>
      </c>
      <c r="AI295" s="168" t="s">
        <v>269</v>
      </c>
      <c r="AJ295" s="168">
        <v>9.25</v>
      </c>
      <c r="AK295" s="169">
        <v>475.4</v>
      </c>
      <c r="AL295" s="169">
        <f t="shared" si="26"/>
        <v>788.05</v>
      </c>
      <c r="AM295" s="168">
        <f t="shared" si="27"/>
        <v>788</v>
      </c>
      <c r="AN295" s="168">
        <f t="shared" si="28"/>
        <v>709</v>
      </c>
      <c r="AO295" s="164" t="str">
        <f t="shared" si="29"/>
        <v>Yes</v>
      </c>
      <c r="AP295" s="164">
        <f t="shared" si="30"/>
        <v>79</v>
      </c>
    </row>
    <row r="296" spans="2:42">
      <c r="B296" s="164">
        <v>2211363</v>
      </c>
      <c r="C296" s="164" t="s">
        <v>170</v>
      </c>
      <c r="D296" s="164" t="s">
        <v>962</v>
      </c>
      <c r="E296" s="164"/>
      <c r="F296" s="164" t="s">
        <v>191</v>
      </c>
      <c r="G296" s="164" t="s">
        <v>162</v>
      </c>
      <c r="H296" s="164" t="s">
        <v>163</v>
      </c>
      <c r="I296" s="164" t="s">
        <v>163</v>
      </c>
      <c r="J296" s="164" t="s">
        <v>182</v>
      </c>
      <c r="K296" s="164" t="s">
        <v>182</v>
      </c>
      <c r="L296" s="164" t="s">
        <v>182</v>
      </c>
      <c r="M296" s="164">
        <v>69.900000000000006</v>
      </c>
      <c r="N296" s="164">
        <v>35.6</v>
      </c>
      <c r="O296" s="165">
        <v>21.9</v>
      </c>
      <c r="P296" s="165">
        <v>27.1</v>
      </c>
      <c r="Q296" s="164">
        <v>654</v>
      </c>
      <c r="R296" s="164">
        <v>726</v>
      </c>
      <c r="S296" s="166">
        <v>0.1</v>
      </c>
      <c r="T296" s="164" t="s">
        <v>163</v>
      </c>
      <c r="U296" s="164"/>
      <c r="V296" s="167">
        <v>41778</v>
      </c>
      <c r="W296" s="167">
        <v>41781</v>
      </c>
      <c r="X296" s="164" t="s">
        <v>387</v>
      </c>
      <c r="Y296" s="164" t="s">
        <v>963</v>
      </c>
      <c r="Z296" s="164" t="s">
        <v>163</v>
      </c>
      <c r="AA296" s="168" t="s">
        <v>184</v>
      </c>
      <c r="AB296" s="168" t="s">
        <v>191</v>
      </c>
      <c r="AC296" s="168" t="s">
        <v>162</v>
      </c>
      <c r="AD296" s="168" t="s">
        <v>163</v>
      </c>
      <c r="AE296" s="168" t="s">
        <v>163</v>
      </c>
      <c r="AF296" s="168" t="s">
        <v>182</v>
      </c>
      <c r="AG296" s="168" t="s">
        <v>182</v>
      </c>
      <c r="AH296" s="168" t="str">
        <f t="shared" si="25"/>
        <v>Refrigerator-Bottom Freezer-Automatic-No-No-Yes-Yes</v>
      </c>
      <c r="AI296" s="168" t="s">
        <v>269</v>
      </c>
      <c r="AJ296" s="168">
        <v>9.25</v>
      </c>
      <c r="AK296" s="169">
        <v>475.4</v>
      </c>
      <c r="AL296" s="169">
        <f t="shared" si="26"/>
        <v>726.07500000000005</v>
      </c>
      <c r="AM296" s="168">
        <f t="shared" si="27"/>
        <v>726</v>
      </c>
      <c r="AN296" s="168">
        <f t="shared" si="28"/>
        <v>654</v>
      </c>
      <c r="AO296" s="164" t="str">
        <f t="shared" si="29"/>
        <v>Yes</v>
      </c>
      <c r="AP296" s="164">
        <f t="shared" si="30"/>
        <v>72</v>
      </c>
    </row>
    <row r="297" spans="2:42">
      <c r="B297" s="164">
        <v>2210408</v>
      </c>
      <c r="C297" s="164" t="s">
        <v>170</v>
      </c>
      <c r="D297" s="164">
        <v>99742</v>
      </c>
      <c r="E297" s="164"/>
      <c r="F297" s="164" t="s">
        <v>194</v>
      </c>
      <c r="G297" s="164" t="s">
        <v>188</v>
      </c>
      <c r="H297" s="164" t="s">
        <v>182</v>
      </c>
      <c r="I297" s="164" t="s">
        <v>163</v>
      </c>
      <c r="J297" s="164" t="s">
        <v>163</v>
      </c>
      <c r="K297" s="164" t="s">
        <v>163</v>
      </c>
      <c r="L297" s="164" t="s">
        <v>163</v>
      </c>
      <c r="M297" s="164">
        <v>19.399999999999999</v>
      </c>
      <c r="N297" s="164">
        <v>18.600000000000001</v>
      </c>
      <c r="O297" s="165">
        <v>1.6</v>
      </c>
      <c r="P297" s="165">
        <v>1.6</v>
      </c>
      <c r="Q297" s="164">
        <v>207</v>
      </c>
      <c r="R297" s="164">
        <v>267</v>
      </c>
      <c r="S297" s="166">
        <v>0.22</v>
      </c>
      <c r="T297" s="164" t="s">
        <v>163</v>
      </c>
      <c r="U297" s="164"/>
      <c r="V297" s="167">
        <v>41698</v>
      </c>
      <c r="W297" s="167">
        <v>41712</v>
      </c>
      <c r="X297" s="164" t="s">
        <v>387</v>
      </c>
      <c r="Y297" s="164" t="s">
        <v>964</v>
      </c>
      <c r="Z297" s="164" t="s">
        <v>163</v>
      </c>
      <c r="AA297" s="168" t="s">
        <v>184</v>
      </c>
      <c r="AB297" s="168" t="s">
        <v>194</v>
      </c>
      <c r="AC297" s="168" t="s">
        <v>188</v>
      </c>
      <c r="AD297" s="168" t="s">
        <v>182</v>
      </c>
      <c r="AE297" s="168" t="s">
        <v>163</v>
      </c>
      <c r="AF297" s="168" t="s">
        <v>163</v>
      </c>
      <c r="AG297" s="168" t="s">
        <v>163</v>
      </c>
      <c r="AH297" s="168" t="str">
        <f t="shared" si="25"/>
        <v>Refrigerator-Compact-Manual-Yes-No-No-No</v>
      </c>
      <c r="AI297" s="168" t="s">
        <v>315</v>
      </c>
      <c r="AJ297" s="168">
        <v>7.84</v>
      </c>
      <c r="AK297" s="169">
        <v>219.1</v>
      </c>
      <c r="AL297" s="169">
        <f t="shared" si="26"/>
        <v>231.64400000000001</v>
      </c>
      <c r="AM297" s="168">
        <f t="shared" si="27"/>
        <v>267</v>
      </c>
      <c r="AN297" s="168">
        <f t="shared" si="28"/>
        <v>207</v>
      </c>
      <c r="AO297" s="164" t="str">
        <f t="shared" si="29"/>
        <v>Yes</v>
      </c>
      <c r="AP297" s="164">
        <f t="shared" si="30"/>
        <v>60</v>
      </c>
    </row>
    <row r="298" spans="2:42">
      <c r="B298" s="164">
        <v>2210409</v>
      </c>
      <c r="C298" s="164" t="s">
        <v>170</v>
      </c>
      <c r="D298" s="164">
        <v>99763</v>
      </c>
      <c r="E298" s="164"/>
      <c r="F298" s="164" t="s">
        <v>194</v>
      </c>
      <c r="G298" s="164" t="s">
        <v>162</v>
      </c>
      <c r="H298" s="164" t="s">
        <v>182</v>
      </c>
      <c r="I298" s="164" t="s">
        <v>163</v>
      </c>
      <c r="J298" s="164" t="s">
        <v>163</v>
      </c>
      <c r="K298" s="164" t="s">
        <v>163</v>
      </c>
      <c r="L298" s="164" t="s">
        <v>163</v>
      </c>
      <c r="M298" s="164">
        <v>33</v>
      </c>
      <c r="N298" s="164">
        <v>18.5</v>
      </c>
      <c r="O298" s="165">
        <v>3.1</v>
      </c>
      <c r="P298" s="165">
        <v>3.8</v>
      </c>
      <c r="Q298" s="164">
        <v>270</v>
      </c>
      <c r="R298" s="164">
        <v>358</v>
      </c>
      <c r="S298" s="166">
        <v>0.25</v>
      </c>
      <c r="T298" s="164" t="s">
        <v>163</v>
      </c>
      <c r="U298" s="164"/>
      <c r="V298" s="167">
        <v>41698</v>
      </c>
      <c r="W298" s="167">
        <v>41712</v>
      </c>
      <c r="X298" s="164" t="s">
        <v>387</v>
      </c>
      <c r="Y298" s="164" t="s">
        <v>965</v>
      </c>
      <c r="Z298" s="164" t="s">
        <v>163</v>
      </c>
      <c r="AA298" s="168" t="s">
        <v>184</v>
      </c>
      <c r="AB298" s="168" t="s">
        <v>194</v>
      </c>
      <c r="AC298" s="168" t="s">
        <v>162</v>
      </c>
      <c r="AD298" s="168" t="s">
        <v>182</v>
      </c>
      <c r="AE298" s="168" t="s">
        <v>163</v>
      </c>
      <c r="AF298" s="168" t="s">
        <v>163</v>
      </c>
      <c r="AG298" s="168" t="s">
        <v>163</v>
      </c>
      <c r="AH298" s="168" t="str">
        <f t="shared" si="25"/>
        <v>Refrigerator-Compact-Automatic-Yes-No-No-No</v>
      </c>
      <c r="AI298" s="168" t="s">
        <v>329</v>
      </c>
      <c r="AJ298" s="168">
        <v>9.17</v>
      </c>
      <c r="AK298" s="169">
        <v>259.3</v>
      </c>
      <c r="AL298" s="169">
        <f t="shared" si="26"/>
        <v>294.14600000000002</v>
      </c>
      <c r="AM298" s="168">
        <f t="shared" si="27"/>
        <v>358</v>
      </c>
      <c r="AN298" s="168">
        <f t="shared" si="28"/>
        <v>270</v>
      </c>
      <c r="AO298" s="164" t="str">
        <f t="shared" si="29"/>
        <v>Yes</v>
      </c>
      <c r="AP298" s="164">
        <f t="shared" si="30"/>
        <v>88</v>
      </c>
    </row>
    <row r="299" spans="2:42">
      <c r="B299" s="164">
        <v>2210410</v>
      </c>
      <c r="C299" s="164" t="s">
        <v>170</v>
      </c>
      <c r="D299" s="164">
        <v>99782</v>
      </c>
      <c r="E299" s="164"/>
      <c r="F299" s="164" t="s">
        <v>194</v>
      </c>
      <c r="G299" s="164" t="s">
        <v>188</v>
      </c>
      <c r="H299" s="164" t="s">
        <v>182</v>
      </c>
      <c r="I299" s="164" t="s">
        <v>163</v>
      </c>
      <c r="J299" s="164" t="s">
        <v>163</v>
      </c>
      <c r="K299" s="164" t="s">
        <v>163</v>
      </c>
      <c r="L299" s="164" t="s">
        <v>163</v>
      </c>
      <c r="M299" s="164">
        <v>33.9</v>
      </c>
      <c r="N299" s="164">
        <v>19.7</v>
      </c>
      <c r="O299" s="165">
        <v>4.4000000000000004</v>
      </c>
      <c r="P299" s="165">
        <v>4.4000000000000004</v>
      </c>
      <c r="Q299" s="164">
        <v>226</v>
      </c>
      <c r="R299" s="164">
        <v>292</v>
      </c>
      <c r="S299" s="166">
        <v>0.23</v>
      </c>
      <c r="T299" s="164" t="s">
        <v>163</v>
      </c>
      <c r="U299" s="164"/>
      <c r="V299" s="167">
        <v>41698</v>
      </c>
      <c r="W299" s="167">
        <v>41712</v>
      </c>
      <c r="X299" s="164" t="s">
        <v>387</v>
      </c>
      <c r="Y299" s="164" t="s">
        <v>966</v>
      </c>
      <c r="Z299" s="164" t="s">
        <v>163</v>
      </c>
      <c r="AA299" s="168" t="s">
        <v>184</v>
      </c>
      <c r="AB299" s="168" t="s">
        <v>194</v>
      </c>
      <c r="AC299" s="168" t="s">
        <v>188</v>
      </c>
      <c r="AD299" s="168" t="s">
        <v>182</v>
      </c>
      <c r="AE299" s="168" t="s">
        <v>163</v>
      </c>
      <c r="AF299" s="168" t="s">
        <v>163</v>
      </c>
      <c r="AG299" s="168" t="s">
        <v>163</v>
      </c>
      <c r="AH299" s="168" t="str">
        <f t="shared" si="25"/>
        <v>Refrigerator-Compact-Manual-Yes-No-No-No</v>
      </c>
      <c r="AI299" s="168" t="s">
        <v>315</v>
      </c>
      <c r="AJ299" s="168">
        <v>7.84</v>
      </c>
      <c r="AK299" s="169">
        <v>219.1</v>
      </c>
      <c r="AL299" s="169">
        <f t="shared" si="26"/>
        <v>253.596</v>
      </c>
      <c r="AM299" s="168">
        <f t="shared" si="27"/>
        <v>292</v>
      </c>
      <c r="AN299" s="168">
        <f t="shared" si="28"/>
        <v>226</v>
      </c>
      <c r="AO299" s="164" t="str">
        <f t="shared" si="29"/>
        <v>Yes</v>
      </c>
      <c r="AP299" s="164">
        <f t="shared" si="30"/>
        <v>66</v>
      </c>
    </row>
    <row r="300" spans="2:42">
      <c r="B300" s="164">
        <v>2210411</v>
      </c>
      <c r="C300" s="164" t="s">
        <v>170</v>
      </c>
      <c r="D300" s="164">
        <v>99783</v>
      </c>
      <c r="E300" s="164"/>
      <c r="F300" s="164" t="s">
        <v>194</v>
      </c>
      <c r="G300" s="164" t="s">
        <v>188</v>
      </c>
      <c r="H300" s="164" t="s">
        <v>182</v>
      </c>
      <c r="I300" s="164" t="s">
        <v>163</v>
      </c>
      <c r="J300" s="164" t="s">
        <v>163</v>
      </c>
      <c r="K300" s="164" t="s">
        <v>163</v>
      </c>
      <c r="L300" s="164" t="s">
        <v>163</v>
      </c>
      <c r="M300" s="164">
        <v>33.9</v>
      </c>
      <c r="N300" s="164">
        <v>19.7</v>
      </c>
      <c r="O300" s="165">
        <v>4.4000000000000004</v>
      </c>
      <c r="P300" s="165">
        <v>4.4000000000000004</v>
      </c>
      <c r="Q300" s="164">
        <v>226</v>
      </c>
      <c r="R300" s="164">
        <v>292</v>
      </c>
      <c r="S300" s="166">
        <v>0.23</v>
      </c>
      <c r="T300" s="164" t="s">
        <v>163</v>
      </c>
      <c r="U300" s="164"/>
      <c r="V300" s="167">
        <v>41698</v>
      </c>
      <c r="W300" s="167">
        <v>41712</v>
      </c>
      <c r="X300" s="164" t="s">
        <v>387</v>
      </c>
      <c r="Y300" s="164" t="s">
        <v>967</v>
      </c>
      <c r="Z300" s="164" t="s">
        <v>163</v>
      </c>
      <c r="AA300" s="168" t="s">
        <v>184</v>
      </c>
      <c r="AB300" s="168" t="s">
        <v>194</v>
      </c>
      <c r="AC300" s="168" t="s">
        <v>188</v>
      </c>
      <c r="AD300" s="168" t="s">
        <v>182</v>
      </c>
      <c r="AE300" s="168" t="s">
        <v>163</v>
      </c>
      <c r="AF300" s="168" t="s">
        <v>163</v>
      </c>
      <c r="AG300" s="168" t="s">
        <v>163</v>
      </c>
      <c r="AH300" s="168" t="str">
        <f t="shared" si="25"/>
        <v>Refrigerator-Compact-Manual-Yes-No-No-No</v>
      </c>
      <c r="AI300" s="168" t="s">
        <v>315</v>
      </c>
      <c r="AJ300" s="168">
        <v>7.84</v>
      </c>
      <c r="AK300" s="169">
        <v>219.1</v>
      </c>
      <c r="AL300" s="169">
        <f t="shared" si="26"/>
        <v>253.596</v>
      </c>
      <c r="AM300" s="168">
        <f t="shared" si="27"/>
        <v>292</v>
      </c>
      <c r="AN300" s="168">
        <f t="shared" si="28"/>
        <v>226</v>
      </c>
      <c r="AO300" s="164" t="str">
        <f t="shared" si="29"/>
        <v>Yes</v>
      </c>
      <c r="AP300" s="164">
        <f t="shared" si="30"/>
        <v>66</v>
      </c>
    </row>
    <row r="301" spans="2:42">
      <c r="B301" s="164">
        <v>2210412</v>
      </c>
      <c r="C301" s="164" t="s">
        <v>170</v>
      </c>
      <c r="D301" s="164">
        <v>99789</v>
      </c>
      <c r="E301" s="164"/>
      <c r="F301" s="164" t="s">
        <v>194</v>
      </c>
      <c r="G301" s="164" t="s">
        <v>188</v>
      </c>
      <c r="H301" s="164" t="s">
        <v>182</v>
      </c>
      <c r="I301" s="164" t="s">
        <v>163</v>
      </c>
      <c r="J301" s="164" t="s">
        <v>163</v>
      </c>
      <c r="K301" s="164" t="s">
        <v>163</v>
      </c>
      <c r="L301" s="164" t="s">
        <v>163</v>
      </c>
      <c r="M301" s="164">
        <v>33.9</v>
      </c>
      <c r="N301" s="164">
        <v>19.7</v>
      </c>
      <c r="O301" s="165">
        <v>4.4000000000000004</v>
      </c>
      <c r="P301" s="165">
        <v>4.4000000000000004</v>
      </c>
      <c r="Q301" s="164">
        <v>226</v>
      </c>
      <c r="R301" s="164">
        <v>292</v>
      </c>
      <c r="S301" s="166">
        <v>0.23</v>
      </c>
      <c r="T301" s="164" t="s">
        <v>163</v>
      </c>
      <c r="U301" s="164"/>
      <c r="V301" s="167">
        <v>41698</v>
      </c>
      <c r="W301" s="167">
        <v>41712</v>
      </c>
      <c r="X301" s="164" t="s">
        <v>387</v>
      </c>
      <c r="Y301" s="164" t="s">
        <v>968</v>
      </c>
      <c r="Z301" s="164" t="s">
        <v>163</v>
      </c>
      <c r="AA301" s="168" t="s">
        <v>184</v>
      </c>
      <c r="AB301" s="168" t="s">
        <v>194</v>
      </c>
      <c r="AC301" s="168" t="s">
        <v>188</v>
      </c>
      <c r="AD301" s="168" t="s">
        <v>182</v>
      </c>
      <c r="AE301" s="168" t="s">
        <v>163</v>
      </c>
      <c r="AF301" s="168" t="s">
        <v>163</v>
      </c>
      <c r="AG301" s="168" t="s">
        <v>163</v>
      </c>
      <c r="AH301" s="168" t="str">
        <f t="shared" si="25"/>
        <v>Refrigerator-Compact-Manual-Yes-No-No-No</v>
      </c>
      <c r="AI301" s="168" t="s">
        <v>315</v>
      </c>
      <c r="AJ301" s="168">
        <v>7.84</v>
      </c>
      <c r="AK301" s="169">
        <v>219.1</v>
      </c>
      <c r="AL301" s="169">
        <f t="shared" si="26"/>
        <v>253.596</v>
      </c>
      <c r="AM301" s="168">
        <f t="shared" si="27"/>
        <v>292</v>
      </c>
      <c r="AN301" s="168">
        <f t="shared" si="28"/>
        <v>226</v>
      </c>
      <c r="AO301" s="164" t="str">
        <f t="shared" si="29"/>
        <v>Yes</v>
      </c>
      <c r="AP301" s="164">
        <f t="shared" si="30"/>
        <v>66</v>
      </c>
    </row>
    <row r="302" spans="2:42">
      <c r="B302" s="164">
        <v>2217331</v>
      </c>
      <c r="C302" s="164" t="s">
        <v>969</v>
      </c>
      <c r="D302" s="164" t="s">
        <v>970</v>
      </c>
      <c r="E302" s="164"/>
      <c r="F302" s="164" t="s">
        <v>194</v>
      </c>
      <c r="G302" s="164" t="s">
        <v>188</v>
      </c>
      <c r="H302" s="164" t="s">
        <v>182</v>
      </c>
      <c r="I302" s="164" t="s">
        <v>163</v>
      </c>
      <c r="J302" s="164" t="s">
        <v>163</v>
      </c>
      <c r="K302" s="164" t="s">
        <v>163</v>
      </c>
      <c r="L302" s="164" t="s">
        <v>163</v>
      </c>
      <c r="M302" s="164">
        <v>24.8</v>
      </c>
      <c r="N302" s="164">
        <v>17.5</v>
      </c>
      <c r="O302" s="165">
        <v>2.4</v>
      </c>
      <c r="P302" s="165">
        <v>2.4</v>
      </c>
      <c r="Q302" s="164">
        <v>213</v>
      </c>
      <c r="R302" s="164">
        <v>274</v>
      </c>
      <c r="S302" s="166">
        <v>0.22</v>
      </c>
      <c r="T302" s="164" t="s">
        <v>163</v>
      </c>
      <c r="U302" s="164"/>
      <c r="V302" s="167">
        <v>41881</v>
      </c>
      <c r="W302" s="167">
        <v>41858</v>
      </c>
      <c r="X302" s="164" t="s">
        <v>387</v>
      </c>
      <c r="Y302" s="164" t="s">
        <v>971</v>
      </c>
      <c r="Z302" s="164" t="s">
        <v>163</v>
      </c>
      <c r="AA302" s="168" t="s">
        <v>184</v>
      </c>
      <c r="AB302" s="168" t="s">
        <v>194</v>
      </c>
      <c r="AC302" s="168" t="s">
        <v>188</v>
      </c>
      <c r="AD302" s="168" t="s">
        <v>182</v>
      </c>
      <c r="AE302" s="168" t="s">
        <v>163</v>
      </c>
      <c r="AF302" s="168" t="s">
        <v>163</v>
      </c>
      <c r="AG302" s="168" t="s">
        <v>163</v>
      </c>
      <c r="AH302" s="168" t="str">
        <f t="shared" si="25"/>
        <v>Refrigerator-Compact-Manual-Yes-No-No-No</v>
      </c>
      <c r="AI302" s="168" t="s">
        <v>315</v>
      </c>
      <c r="AJ302" s="168">
        <v>7.84</v>
      </c>
      <c r="AK302" s="169">
        <v>219.1</v>
      </c>
      <c r="AL302" s="169">
        <f t="shared" si="26"/>
        <v>237.916</v>
      </c>
      <c r="AM302" s="168">
        <f t="shared" si="27"/>
        <v>274</v>
      </c>
      <c r="AN302" s="168">
        <f t="shared" si="28"/>
        <v>213</v>
      </c>
      <c r="AO302" s="164" t="str">
        <f t="shared" si="29"/>
        <v>Yes</v>
      </c>
      <c r="AP302" s="164">
        <f t="shared" si="30"/>
        <v>61</v>
      </c>
    </row>
    <row r="303" spans="2:42">
      <c r="B303" s="164">
        <v>2217332</v>
      </c>
      <c r="C303" s="164" t="s">
        <v>969</v>
      </c>
      <c r="D303" s="164" t="s">
        <v>972</v>
      </c>
      <c r="E303" s="164"/>
      <c r="F303" s="164" t="s">
        <v>194</v>
      </c>
      <c r="G303" s="164" t="s">
        <v>188</v>
      </c>
      <c r="H303" s="164" t="s">
        <v>182</v>
      </c>
      <c r="I303" s="164" t="s">
        <v>163</v>
      </c>
      <c r="J303" s="164" t="s">
        <v>163</v>
      </c>
      <c r="K303" s="164" t="s">
        <v>163</v>
      </c>
      <c r="L303" s="164" t="s">
        <v>163</v>
      </c>
      <c r="M303" s="164">
        <v>24.8</v>
      </c>
      <c r="N303" s="164">
        <v>17.5</v>
      </c>
      <c r="O303" s="165">
        <v>2.4</v>
      </c>
      <c r="P303" s="165">
        <v>2.4</v>
      </c>
      <c r="Q303" s="164">
        <v>213</v>
      </c>
      <c r="R303" s="164">
        <v>274</v>
      </c>
      <c r="S303" s="166">
        <v>0.22</v>
      </c>
      <c r="T303" s="164" t="s">
        <v>163</v>
      </c>
      <c r="U303" s="164"/>
      <c r="V303" s="167">
        <v>41881</v>
      </c>
      <c r="W303" s="167">
        <v>41858</v>
      </c>
      <c r="X303" s="164" t="s">
        <v>387</v>
      </c>
      <c r="Y303" s="164" t="s">
        <v>973</v>
      </c>
      <c r="Z303" s="164" t="s">
        <v>163</v>
      </c>
      <c r="AA303" s="168" t="s">
        <v>184</v>
      </c>
      <c r="AB303" s="168" t="s">
        <v>194</v>
      </c>
      <c r="AC303" s="168" t="s">
        <v>188</v>
      </c>
      <c r="AD303" s="168" t="s">
        <v>182</v>
      </c>
      <c r="AE303" s="168" t="s">
        <v>163</v>
      </c>
      <c r="AF303" s="168" t="s">
        <v>163</v>
      </c>
      <c r="AG303" s="168" t="s">
        <v>163</v>
      </c>
      <c r="AH303" s="168" t="str">
        <f t="shared" si="25"/>
        <v>Refrigerator-Compact-Manual-Yes-No-No-No</v>
      </c>
      <c r="AI303" s="168" t="s">
        <v>315</v>
      </c>
      <c r="AJ303" s="168">
        <v>7.84</v>
      </c>
      <c r="AK303" s="169">
        <v>219.1</v>
      </c>
      <c r="AL303" s="169">
        <f t="shared" si="26"/>
        <v>237.916</v>
      </c>
      <c r="AM303" s="168">
        <f t="shared" si="27"/>
        <v>274</v>
      </c>
      <c r="AN303" s="168">
        <f t="shared" si="28"/>
        <v>213</v>
      </c>
      <c r="AO303" s="164" t="str">
        <f t="shared" si="29"/>
        <v>Yes</v>
      </c>
      <c r="AP303" s="164">
        <f t="shared" si="30"/>
        <v>61</v>
      </c>
    </row>
    <row r="304" spans="2:42">
      <c r="B304" s="164">
        <v>2217368</v>
      </c>
      <c r="C304" s="164" t="s">
        <v>969</v>
      </c>
      <c r="D304" s="164" t="s">
        <v>974</v>
      </c>
      <c r="E304" s="164"/>
      <c r="F304" s="164" t="s">
        <v>194</v>
      </c>
      <c r="G304" s="164" t="s">
        <v>162</v>
      </c>
      <c r="H304" s="164" t="s">
        <v>182</v>
      </c>
      <c r="I304" s="164" t="s">
        <v>163</v>
      </c>
      <c r="J304" s="164" t="s">
        <v>163</v>
      </c>
      <c r="K304" s="164" t="s">
        <v>163</v>
      </c>
      <c r="L304" s="164" t="s">
        <v>163</v>
      </c>
      <c r="M304" s="164">
        <v>33</v>
      </c>
      <c r="N304" s="164">
        <v>18.5</v>
      </c>
      <c r="O304" s="165">
        <v>3.1</v>
      </c>
      <c r="P304" s="165">
        <v>3.8</v>
      </c>
      <c r="Q304" s="164">
        <v>270</v>
      </c>
      <c r="R304" s="164">
        <v>358</v>
      </c>
      <c r="S304" s="166">
        <v>0.25</v>
      </c>
      <c r="T304" s="164" t="s">
        <v>163</v>
      </c>
      <c r="U304" s="164"/>
      <c r="V304" s="167">
        <v>41881</v>
      </c>
      <c r="W304" s="167">
        <v>41858</v>
      </c>
      <c r="X304" s="164" t="s">
        <v>387</v>
      </c>
      <c r="Y304" s="164" t="s">
        <v>975</v>
      </c>
      <c r="Z304" s="164" t="s">
        <v>163</v>
      </c>
      <c r="AA304" s="168" t="s">
        <v>184</v>
      </c>
      <c r="AB304" s="168" t="s">
        <v>194</v>
      </c>
      <c r="AC304" s="168" t="s">
        <v>162</v>
      </c>
      <c r="AD304" s="168" t="s">
        <v>182</v>
      </c>
      <c r="AE304" s="168" t="s">
        <v>163</v>
      </c>
      <c r="AF304" s="168" t="s">
        <v>163</v>
      </c>
      <c r="AG304" s="168" t="s">
        <v>163</v>
      </c>
      <c r="AH304" s="168" t="str">
        <f t="shared" si="25"/>
        <v>Refrigerator-Compact-Automatic-Yes-No-No-No</v>
      </c>
      <c r="AI304" s="168" t="s">
        <v>329</v>
      </c>
      <c r="AJ304" s="168">
        <v>9.17</v>
      </c>
      <c r="AK304" s="169">
        <v>259.3</v>
      </c>
      <c r="AL304" s="169">
        <f t="shared" si="26"/>
        <v>294.14600000000002</v>
      </c>
      <c r="AM304" s="168">
        <f t="shared" si="27"/>
        <v>358</v>
      </c>
      <c r="AN304" s="168">
        <f t="shared" si="28"/>
        <v>270</v>
      </c>
      <c r="AO304" s="164" t="str">
        <f t="shared" si="29"/>
        <v>Yes</v>
      </c>
      <c r="AP304" s="164">
        <f t="shared" si="30"/>
        <v>88</v>
      </c>
    </row>
    <row r="305" spans="2:42">
      <c r="B305" s="164">
        <v>2217369</v>
      </c>
      <c r="C305" s="164" t="s">
        <v>969</v>
      </c>
      <c r="D305" s="164" t="s">
        <v>976</v>
      </c>
      <c r="E305" s="164"/>
      <c r="F305" s="164" t="s">
        <v>194</v>
      </c>
      <c r="G305" s="164" t="s">
        <v>162</v>
      </c>
      <c r="H305" s="164" t="s">
        <v>182</v>
      </c>
      <c r="I305" s="164" t="s">
        <v>163</v>
      </c>
      <c r="J305" s="164" t="s">
        <v>163</v>
      </c>
      <c r="K305" s="164" t="s">
        <v>163</v>
      </c>
      <c r="L305" s="164" t="s">
        <v>163</v>
      </c>
      <c r="M305" s="164">
        <v>33</v>
      </c>
      <c r="N305" s="164">
        <v>18.5</v>
      </c>
      <c r="O305" s="165">
        <v>3.1</v>
      </c>
      <c r="P305" s="165">
        <v>3.8</v>
      </c>
      <c r="Q305" s="164">
        <v>270</v>
      </c>
      <c r="R305" s="164">
        <v>358</v>
      </c>
      <c r="S305" s="166">
        <v>0.25</v>
      </c>
      <c r="T305" s="164" t="s">
        <v>163</v>
      </c>
      <c r="U305" s="164"/>
      <c r="V305" s="167">
        <v>41881</v>
      </c>
      <c r="W305" s="167">
        <v>41858</v>
      </c>
      <c r="X305" s="164" t="s">
        <v>387</v>
      </c>
      <c r="Y305" s="164" t="s">
        <v>977</v>
      </c>
      <c r="Z305" s="164" t="s">
        <v>163</v>
      </c>
      <c r="AA305" s="168" t="s">
        <v>184</v>
      </c>
      <c r="AB305" s="168" t="s">
        <v>194</v>
      </c>
      <c r="AC305" s="168" t="s">
        <v>162</v>
      </c>
      <c r="AD305" s="168" t="s">
        <v>182</v>
      </c>
      <c r="AE305" s="168" t="s">
        <v>163</v>
      </c>
      <c r="AF305" s="168" t="s">
        <v>163</v>
      </c>
      <c r="AG305" s="168" t="s">
        <v>163</v>
      </c>
      <c r="AH305" s="168" t="str">
        <f t="shared" si="25"/>
        <v>Refrigerator-Compact-Automatic-Yes-No-No-No</v>
      </c>
      <c r="AI305" s="168" t="s">
        <v>329</v>
      </c>
      <c r="AJ305" s="168">
        <v>9.17</v>
      </c>
      <c r="AK305" s="169">
        <v>259.3</v>
      </c>
      <c r="AL305" s="169">
        <f t="shared" si="26"/>
        <v>294.14600000000002</v>
      </c>
      <c r="AM305" s="168">
        <f t="shared" si="27"/>
        <v>358</v>
      </c>
      <c r="AN305" s="168">
        <f t="shared" si="28"/>
        <v>270</v>
      </c>
      <c r="AO305" s="164" t="str">
        <f t="shared" si="29"/>
        <v>Yes</v>
      </c>
      <c r="AP305" s="164">
        <f t="shared" si="30"/>
        <v>88</v>
      </c>
    </row>
    <row r="306" spans="2:42">
      <c r="B306" s="164">
        <v>2217366</v>
      </c>
      <c r="C306" s="164" t="s">
        <v>969</v>
      </c>
      <c r="D306" s="164" t="s">
        <v>978</v>
      </c>
      <c r="E306" s="164"/>
      <c r="F306" s="164" t="s">
        <v>194</v>
      </c>
      <c r="G306" s="164" t="s">
        <v>188</v>
      </c>
      <c r="H306" s="164" t="s">
        <v>182</v>
      </c>
      <c r="I306" s="164" t="s">
        <v>163</v>
      </c>
      <c r="J306" s="164" t="s">
        <v>163</v>
      </c>
      <c r="K306" s="164" t="s">
        <v>163</v>
      </c>
      <c r="L306" s="164" t="s">
        <v>163</v>
      </c>
      <c r="M306" s="164">
        <v>33.9</v>
      </c>
      <c r="N306" s="164">
        <v>19.7</v>
      </c>
      <c r="O306" s="165">
        <v>4.4000000000000004</v>
      </c>
      <c r="P306" s="165">
        <v>4.4000000000000004</v>
      </c>
      <c r="Q306" s="164">
        <v>226</v>
      </c>
      <c r="R306" s="164">
        <v>292</v>
      </c>
      <c r="S306" s="166">
        <v>0.23</v>
      </c>
      <c r="T306" s="164" t="s">
        <v>163</v>
      </c>
      <c r="U306" s="164"/>
      <c r="V306" s="167">
        <v>41881</v>
      </c>
      <c r="W306" s="167">
        <v>41858</v>
      </c>
      <c r="X306" s="164" t="s">
        <v>387</v>
      </c>
      <c r="Y306" s="164" t="s">
        <v>979</v>
      </c>
      <c r="Z306" s="164" t="s">
        <v>163</v>
      </c>
      <c r="AA306" s="168" t="s">
        <v>184</v>
      </c>
      <c r="AB306" s="168" t="s">
        <v>194</v>
      </c>
      <c r="AC306" s="168" t="s">
        <v>188</v>
      </c>
      <c r="AD306" s="168" t="s">
        <v>182</v>
      </c>
      <c r="AE306" s="168" t="s">
        <v>163</v>
      </c>
      <c r="AF306" s="168" t="s">
        <v>163</v>
      </c>
      <c r="AG306" s="168" t="s">
        <v>163</v>
      </c>
      <c r="AH306" s="168" t="str">
        <f t="shared" si="25"/>
        <v>Refrigerator-Compact-Manual-Yes-No-No-No</v>
      </c>
      <c r="AI306" s="168" t="s">
        <v>315</v>
      </c>
      <c r="AJ306" s="168">
        <v>7.84</v>
      </c>
      <c r="AK306" s="169">
        <v>219.1</v>
      </c>
      <c r="AL306" s="169">
        <f t="shared" si="26"/>
        <v>253.596</v>
      </c>
      <c r="AM306" s="168">
        <f t="shared" si="27"/>
        <v>292</v>
      </c>
      <c r="AN306" s="168">
        <f t="shared" si="28"/>
        <v>226</v>
      </c>
      <c r="AO306" s="164" t="str">
        <f t="shared" si="29"/>
        <v>Yes</v>
      </c>
      <c r="AP306" s="164">
        <f t="shared" si="30"/>
        <v>66</v>
      </c>
    </row>
    <row r="307" spans="2:42">
      <c r="B307" s="164">
        <v>2217367</v>
      </c>
      <c r="C307" s="164" t="s">
        <v>969</v>
      </c>
      <c r="D307" s="164" t="s">
        <v>980</v>
      </c>
      <c r="E307" s="164"/>
      <c r="F307" s="164" t="s">
        <v>194</v>
      </c>
      <c r="G307" s="164" t="s">
        <v>188</v>
      </c>
      <c r="H307" s="164" t="s">
        <v>182</v>
      </c>
      <c r="I307" s="164" t="s">
        <v>163</v>
      </c>
      <c r="J307" s="164" t="s">
        <v>163</v>
      </c>
      <c r="K307" s="164" t="s">
        <v>163</v>
      </c>
      <c r="L307" s="164" t="s">
        <v>163</v>
      </c>
      <c r="M307" s="164">
        <v>33.9</v>
      </c>
      <c r="N307" s="164">
        <v>19.7</v>
      </c>
      <c r="O307" s="165">
        <v>4.4000000000000004</v>
      </c>
      <c r="P307" s="165">
        <v>4.4000000000000004</v>
      </c>
      <c r="Q307" s="164">
        <v>226</v>
      </c>
      <c r="R307" s="164">
        <v>292</v>
      </c>
      <c r="S307" s="166">
        <v>0.23</v>
      </c>
      <c r="T307" s="164" t="s">
        <v>163</v>
      </c>
      <c r="U307" s="164"/>
      <c r="V307" s="167">
        <v>41881</v>
      </c>
      <c r="W307" s="167">
        <v>41858</v>
      </c>
      <c r="X307" s="164" t="s">
        <v>387</v>
      </c>
      <c r="Y307" s="164" t="s">
        <v>981</v>
      </c>
      <c r="Z307" s="164" t="s">
        <v>163</v>
      </c>
      <c r="AA307" s="168" t="s">
        <v>184</v>
      </c>
      <c r="AB307" s="168" t="s">
        <v>194</v>
      </c>
      <c r="AC307" s="168" t="s">
        <v>188</v>
      </c>
      <c r="AD307" s="168" t="s">
        <v>182</v>
      </c>
      <c r="AE307" s="168" t="s">
        <v>163</v>
      </c>
      <c r="AF307" s="168" t="s">
        <v>163</v>
      </c>
      <c r="AG307" s="168" t="s">
        <v>163</v>
      </c>
      <c r="AH307" s="168" t="str">
        <f t="shared" si="25"/>
        <v>Refrigerator-Compact-Manual-Yes-No-No-No</v>
      </c>
      <c r="AI307" s="168" t="s">
        <v>315</v>
      </c>
      <c r="AJ307" s="168">
        <v>7.84</v>
      </c>
      <c r="AK307" s="169">
        <v>219.1</v>
      </c>
      <c r="AL307" s="169">
        <f t="shared" si="26"/>
        <v>253.596</v>
      </c>
      <c r="AM307" s="168">
        <f t="shared" si="27"/>
        <v>292</v>
      </c>
      <c r="AN307" s="168">
        <f t="shared" si="28"/>
        <v>226</v>
      </c>
      <c r="AO307" s="164" t="str">
        <f t="shared" si="29"/>
        <v>Yes</v>
      </c>
      <c r="AP307" s="164">
        <f t="shared" si="30"/>
        <v>66</v>
      </c>
    </row>
    <row r="308" spans="2:42">
      <c r="B308" s="164">
        <v>2218143</v>
      </c>
      <c r="C308" s="164" t="s">
        <v>982</v>
      </c>
      <c r="D308" s="164" t="s">
        <v>983</v>
      </c>
      <c r="E308" s="164"/>
      <c r="F308" s="164" t="s">
        <v>191</v>
      </c>
      <c r="G308" s="164" t="s">
        <v>162</v>
      </c>
      <c r="H308" s="164" t="s">
        <v>163</v>
      </c>
      <c r="I308" s="164" t="s">
        <v>182</v>
      </c>
      <c r="J308" s="164" t="s">
        <v>163</v>
      </c>
      <c r="K308" s="164" t="s">
        <v>182</v>
      </c>
      <c r="L308" s="164" t="s">
        <v>182</v>
      </c>
      <c r="M308" s="164">
        <v>83.1</v>
      </c>
      <c r="N308" s="164">
        <v>36.299999999999997</v>
      </c>
      <c r="O308" s="165">
        <v>20.9</v>
      </c>
      <c r="P308" s="165">
        <v>25.1</v>
      </c>
      <c r="Q308" s="164">
        <v>591</v>
      </c>
      <c r="R308" s="164">
        <v>657</v>
      </c>
      <c r="S308" s="166">
        <v>0.1</v>
      </c>
      <c r="T308" s="164" t="s">
        <v>163</v>
      </c>
      <c r="U308" s="164"/>
      <c r="V308" s="167">
        <v>41890</v>
      </c>
      <c r="W308" s="167">
        <v>41879</v>
      </c>
      <c r="X308" s="164" t="s">
        <v>387</v>
      </c>
      <c r="Y308" s="164" t="s">
        <v>984</v>
      </c>
      <c r="Z308" s="164" t="s">
        <v>163</v>
      </c>
      <c r="AA308" s="168" t="s">
        <v>184</v>
      </c>
      <c r="AB308" s="168" t="s">
        <v>191</v>
      </c>
      <c r="AC308" s="168" t="s">
        <v>162</v>
      </c>
      <c r="AD308" s="168" t="s">
        <v>163</v>
      </c>
      <c r="AE308" s="168" t="s">
        <v>182</v>
      </c>
      <c r="AF308" s="168" t="s">
        <v>163</v>
      </c>
      <c r="AG308" s="168" t="s">
        <v>182</v>
      </c>
      <c r="AH308" s="168" t="str">
        <f t="shared" si="25"/>
        <v>Refrigerator-Bottom Freezer-Automatic-No-Yes-No-Yes</v>
      </c>
      <c r="AI308" s="168" t="s">
        <v>265</v>
      </c>
      <c r="AJ308" s="168">
        <v>9.4</v>
      </c>
      <c r="AK308" s="169">
        <v>420.9</v>
      </c>
      <c r="AL308" s="169">
        <f t="shared" si="26"/>
        <v>656.84</v>
      </c>
      <c r="AM308" s="168">
        <f t="shared" si="27"/>
        <v>657</v>
      </c>
      <c r="AN308" s="168">
        <f t="shared" si="28"/>
        <v>591</v>
      </c>
      <c r="AO308" s="164" t="str">
        <f t="shared" si="29"/>
        <v>Yes</v>
      </c>
      <c r="AP308" s="164">
        <f t="shared" si="30"/>
        <v>66</v>
      </c>
    </row>
    <row r="309" spans="2:42">
      <c r="B309" s="164">
        <v>2218144</v>
      </c>
      <c r="C309" s="164" t="s">
        <v>982</v>
      </c>
      <c r="D309" s="164" t="s">
        <v>985</v>
      </c>
      <c r="E309" s="164"/>
      <c r="F309" s="164" t="s">
        <v>191</v>
      </c>
      <c r="G309" s="164" t="s">
        <v>162</v>
      </c>
      <c r="H309" s="164" t="s">
        <v>163</v>
      </c>
      <c r="I309" s="164" t="s">
        <v>182</v>
      </c>
      <c r="J309" s="164" t="s">
        <v>163</v>
      </c>
      <c r="K309" s="164" t="s">
        <v>182</v>
      </c>
      <c r="L309" s="164" t="s">
        <v>182</v>
      </c>
      <c r="M309" s="164">
        <v>83.1</v>
      </c>
      <c r="N309" s="164">
        <v>36.299999999999997</v>
      </c>
      <c r="O309" s="165">
        <v>20.9</v>
      </c>
      <c r="P309" s="165">
        <v>25.1</v>
      </c>
      <c r="Q309" s="164">
        <v>591</v>
      </c>
      <c r="R309" s="164">
        <v>657</v>
      </c>
      <c r="S309" s="166">
        <v>0.1</v>
      </c>
      <c r="T309" s="164" t="s">
        <v>163</v>
      </c>
      <c r="U309" s="164"/>
      <c r="V309" s="167">
        <v>41890</v>
      </c>
      <c r="W309" s="167">
        <v>41879</v>
      </c>
      <c r="X309" s="164" t="s">
        <v>387</v>
      </c>
      <c r="Y309" s="164" t="s">
        <v>986</v>
      </c>
      <c r="Z309" s="164" t="s">
        <v>163</v>
      </c>
      <c r="AA309" s="168" t="s">
        <v>184</v>
      </c>
      <c r="AB309" s="168" t="s">
        <v>191</v>
      </c>
      <c r="AC309" s="168" t="s">
        <v>162</v>
      </c>
      <c r="AD309" s="168" t="s">
        <v>163</v>
      </c>
      <c r="AE309" s="168" t="s">
        <v>182</v>
      </c>
      <c r="AF309" s="168" t="s">
        <v>163</v>
      </c>
      <c r="AG309" s="168" t="s">
        <v>182</v>
      </c>
      <c r="AH309" s="168" t="str">
        <f t="shared" si="25"/>
        <v>Refrigerator-Bottom Freezer-Automatic-No-Yes-No-Yes</v>
      </c>
      <c r="AI309" s="168" t="s">
        <v>265</v>
      </c>
      <c r="AJ309" s="168">
        <v>9.4</v>
      </c>
      <c r="AK309" s="169">
        <v>420.9</v>
      </c>
      <c r="AL309" s="169">
        <f t="shared" si="26"/>
        <v>656.84</v>
      </c>
      <c r="AM309" s="168">
        <f t="shared" si="27"/>
        <v>657</v>
      </c>
      <c r="AN309" s="168">
        <f t="shared" si="28"/>
        <v>591</v>
      </c>
      <c r="AO309" s="164" t="str">
        <f t="shared" si="29"/>
        <v>Yes</v>
      </c>
      <c r="AP309" s="164">
        <f t="shared" si="30"/>
        <v>66</v>
      </c>
    </row>
    <row r="310" spans="2:42">
      <c r="B310" s="164">
        <v>2218139</v>
      </c>
      <c r="C310" s="164" t="s">
        <v>982</v>
      </c>
      <c r="D310" s="164" t="s">
        <v>987</v>
      </c>
      <c r="E310" s="164"/>
      <c r="F310" s="164" t="s">
        <v>191</v>
      </c>
      <c r="G310" s="164" t="s">
        <v>162</v>
      </c>
      <c r="H310" s="164" t="s">
        <v>163</v>
      </c>
      <c r="I310" s="164" t="s">
        <v>182</v>
      </c>
      <c r="J310" s="164" t="s">
        <v>163</v>
      </c>
      <c r="K310" s="164" t="s">
        <v>182</v>
      </c>
      <c r="L310" s="164" t="s">
        <v>182</v>
      </c>
      <c r="M310" s="164">
        <v>83.1</v>
      </c>
      <c r="N310" s="164">
        <v>42.3</v>
      </c>
      <c r="O310" s="165">
        <v>24.2</v>
      </c>
      <c r="P310" s="165">
        <v>29.1</v>
      </c>
      <c r="Q310" s="164">
        <v>625</v>
      </c>
      <c r="R310" s="164">
        <v>694</v>
      </c>
      <c r="S310" s="166">
        <v>0.1</v>
      </c>
      <c r="T310" s="164" t="s">
        <v>163</v>
      </c>
      <c r="U310" s="164"/>
      <c r="V310" s="167">
        <v>41890</v>
      </c>
      <c r="W310" s="167">
        <v>41879</v>
      </c>
      <c r="X310" s="164" t="s">
        <v>387</v>
      </c>
      <c r="Y310" s="164" t="s">
        <v>988</v>
      </c>
      <c r="Z310" s="164" t="s">
        <v>163</v>
      </c>
      <c r="AA310" s="168" t="s">
        <v>184</v>
      </c>
      <c r="AB310" s="168" t="s">
        <v>191</v>
      </c>
      <c r="AC310" s="168" t="s">
        <v>162</v>
      </c>
      <c r="AD310" s="168" t="s">
        <v>163</v>
      </c>
      <c r="AE310" s="168" t="s">
        <v>182</v>
      </c>
      <c r="AF310" s="168" t="s">
        <v>163</v>
      </c>
      <c r="AG310" s="168" t="s">
        <v>182</v>
      </c>
      <c r="AH310" s="168" t="str">
        <f t="shared" si="25"/>
        <v>Refrigerator-Bottom Freezer-Automatic-No-Yes-No-Yes</v>
      </c>
      <c r="AI310" s="168" t="s">
        <v>265</v>
      </c>
      <c r="AJ310" s="168">
        <v>9.4</v>
      </c>
      <c r="AK310" s="169">
        <v>420.9</v>
      </c>
      <c r="AL310" s="169">
        <f t="shared" si="26"/>
        <v>694.44</v>
      </c>
      <c r="AM310" s="168">
        <f t="shared" si="27"/>
        <v>694</v>
      </c>
      <c r="AN310" s="168">
        <f t="shared" si="28"/>
        <v>625</v>
      </c>
      <c r="AO310" s="164" t="str">
        <f t="shared" si="29"/>
        <v>Yes</v>
      </c>
      <c r="AP310" s="164">
        <f t="shared" si="30"/>
        <v>69</v>
      </c>
    </row>
    <row r="311" spans="2:42">
      <c r="B311" s="164">
        <v>2218140</v>
      </c>
      <c r="C311" s="164" t="s">
        <v>982</v>
      </c>
      <c r="D311" s="164" t="s">
        <v>989</v>
      </c>
      <c r="E311" s="164"/>
      <c r="F311" s="164" t="s">
        <v>191</v>
      </c>
      <c r="G311" s="164" t="s">
        <v>162</v>
      </c>
      <c r="H311" s="164" t="s">
        <v>163</v>
      </c>
      <c r="I311" s="164" t="s">
        <v>182</v>
      </c>
      <c r="J311" s="164" t="s">
        <v>163</v>
      </c>
      <c r="K311" s="164" t="s">
        <v>182</v>
      </c>
      <c r="L311" s="164" t="s">
        <v>182</v>
      </c>
      <c r="M311" s="164">
        <v>83.1</v>
      </c>
      <c r="N311" s="164">
        <v>42.3</v>
      </c>
      <c r="O311" s="165">
        <v>24.2</v>
      </c>
      <c r="P311" s="165">
        <v>29.1</v>
      </c>
      <c r="Q311" s="164">
        <v>625</v>
      </c>
      <c r="R311" s="164">
        <v>694</v>
      </c>
      <c r="S311" s="166">
        <v>0.1</v>
      </c>
      <c r="T311" s="164" t="s">
        <v>163</v>
      </c>
      <c r="U311" s="164"/>
      <c r="V311" s="167">
        <v>41890</v>
      </c>
      <c r="W311" s="167">
        <v>41879</v>
      </c>
      <c r="X311" s="164" t="s">
        <v>387</v>
      </c>
      <c r="Y311" s="164" t="s">
        <v>990</v>
      </c>
      <c r="Z311" s="164" t="s">
        <v>163</v>
      </c>
      <c r="AA311" s="168" t="s">
        <v>184</v>
      </c>
      <c r="AB311" s="168" t="s">
        <v>191</v>
      </c>
      <c r="AC311" s="168" t="s">
        <v>162</v>
      </c>
      <c r="AD311" s="168" t="s">
        <v>163</v>
      </c>
      <c r="AE311" s="168" t="s">
        <v>182</v>
      </c>
      <c r="AF311" s="168" t="s">
        <v>163</v>
      </c>
      <c r="AG311" s="168" t="s">
        <v>182</v>
      </c>
      <c r="AH311" s="168" t="str">
        <f t="shared" si="25"/>
        <v>Refrigerator-Bottom Freezer-Automatic-No-Yes-No-Yes</v>
      </c>
      <c r="AI311" s="168" t="s">
        <v>265</v>
      </c>
      <c r="AJ311" s="168">
        <v>9.4</v>
      </c>
      <c r="AK311" s="169">
        <v>420.9</v>
      </c>
      <c r="AL311" s="169">
        <f t="shared" si="26"/>
        <v>694.44</v>
      </c>
      <c r="AM311" s="168">
        <f t="shared" si="27"/>
        <v>694</v>
      </c>
      <c r="AN311" s="168">
        <f t="shared" si="28"/>
        <v>625</v>
      </c>
      <c r="AO311" s="164" t="str">
        <f t="shared" si="29"/>
        <v>Yes</v>
      </c>
      <c r="AP311" s="164">
        <f t="shared" si="30"/>
        <v>69</v>
      </c>
    </row>
    <row r="312" spans="2:42">
      <c r="B312" s="164">
        <v>2208204</v>
      </c>
      <c r="C312" s="164" t="s">
        <v>982</v>
      </c>
      <c r="D312" s="164" t="s">
        <v>991</v>
      </c>
      <c r="E312" s="164"/>
      <c r="F312" s="164" t="s">
        <v>191</v>
      </c>
      <c r="G312" s="164" t="s">
        <v>162</v>
      </c>
      <c r="H312" s="164" t="s">
        <v>163</v>
      </c>
      <c r="I312" s="164" t="s">
        <v>163</v>
      </c>
      <c r="J312" s="164" t="s">
        <v>163</v>
      </c>
      <c r="K312" s="164" t="s">
        <v>182</v>
      </c>
      <c r="L312" s="164" t="s">
        <v>182</v>
      </c>
      <c r="M312" s="164">
        <v>68.5</v>
      </c>
      <c r="N312" s="164">
        <v>35.6</v>
      </c>
      <c r="O312" s="165">
        <v>20</v>
      </c>
      <c r="P312" s="165">
        <v>24.3</v>
      </c>
      <c r="Q312" s="164">
        <v>555</v>
      </c>
      <c r="R312" s="164">
        <v>616</v>
      </c>
      <c r="S312" s="166">
        <v>0.1</v>
      </c>
      <c r="T312" s="164" t="s">
        <v>163</v>
      </c>
      <c r="U312" s="164"/>
      <c r="V312" s="167">
        <v>41736</v>
      </c>
      <c r="W312" s="167">
        <v>41726</v>
      </c>
      <c r="X312" s="164" t="s">
        <v>387</v>
      </c>
      <c r="Y312" s="164" t="s">
        <v>992</v>
      </c>
      <c r="Z312" s="164" t="s">
        <v>163</v>
      </c>
      <c r="AA312" s="168" t="s">
        <v>184</v>
      </c>
      <c r="AB312" s="168" t="s">
        <v>191</v>
      </c>
      <c r="AC312" s="168" t="s">
        <v>162</v>
      </c>
      <c r="AD312" s="168" t="s">
        <v>163</v>
      </c>
      <c r="AE312" s="168" t="s">
        <v>163</v>
      </c>
      <c r="AF312" s="168" t="s">
        <v>163</v>
      </c>
      <c r="AG312" s="168" t="s">
        <v>182</v>
      </c>
      <c r="AH312" s="168" t="str">
        <f t="shared" si="25"/>
        <v>Refrigerator-Bottom Freezer-Automatic-No-No-No-Yes</v>
      </c>
      <c r="AI312" s="168" t="s">
        <v>261</v>
      </c>
      <c r="AJ312" s="168">
        <v>8.85</v>
      </c>
      <c r="AK312" s="169">
        <v>401</v>
      </c>
      <c r="AL312" s="169">
        <f t="shared" si="26"/>
        <v>616.05500000000006</v>
      </c>
      <c r="AM312" s="168">
        <f t="shared" si="27"/>
        <v>616</v>
      </c>
      <c r="AN312" s="168">
        <f t="shared" si="28"/>
        <v>555</v>
      </c>
      <c r="AO312" s="164" t="str">
        <f t="shared" si="29"/>
        <v>Yes</v>
      </c>
      <c r="AP312" s="164">
        <f t="shared" si="30"/>
        <v>61</v>
      </c>
    </row>
    <row r="313" spans="2:42">
      <c r="B313" s="164">
        <v>2208200</v>
      </c>
      <c r="C313" s="164" t="s">
        <v>982</v>
      </c>
      <c r="D313" s="164" t="s">
        <v>993</v>
      </c>
      <c r="E313" s="164"/>
      <c r="F313" s="164" t="s">
        <v>191</v>
      </c>
      <c r="G313" s="164" t="s">
        <v>162</v>
      </c>
      <c r="H313" s="164" t="s">
        <v>163</v>
      </c>
      <c r="I313" s="164" t="s">
        <v>163</v>
      </c>
      <c r="J313" s="164" t="s">
        <v>163</v>
      </c>
      <c r="K313" s="164" t="s">
        <v>182</v>
      </c>
      <c r="L313" s="164" t="s">
        <v>163</v>
      </c>
      <c r="M313" s="164">
        <v>68.900000000000006</v>
      </c>
      <c r="N313" s="164">
        <v>32.6</v>
      </c>
      <c r="O313" s="165">
        <v>22.2</v>
      </c>
      <c r="P313" s="165">
        <v>27</v>
      </c>
      <c r="Q313" s="164">
        <v>577</v>
      </c>
      <c r="R313" s="164">
        <v>640</v>
      </c>
      <c r="S313" s="166">
        <v>0.1</v>
      </c>
      <c r="T313" s="164" t="s">
        <v>163</v>
      </c>
      <c r="U313" s="164"/>
      <c r="V313" s="167">
        <v>41743</v>
      </c>
      <c r="W313" s="167">
        <v>41726</v>
      </c>
      <c r="X313" s="164" t="s">
        <v>387</v>
      </c>
      <c r="Y313" s="164" t="s">
        <v>994</v>
      </c>
      <c r="Z313" s="164" t="s">
        <v>163</v>
      </c>
      <c r="AA313" s="168" t="s">
        <v>184</v>
      </c>
      <c r="AB313" s="168" t="s">
        <v>191</v>
      </c>
      <c r="AC313" s="168" t="s">
        <v>162</v>
      </c>
      <c r="AD313" s="168" t="s">
        <v>163</v>
      </c>
      <c r="AE313" s="168" t="s">
        <v>163</v>
      </c>
      <c r="AF313" s="168" t="s">
        <v>163</v>
      </c>
      <c r="AG313" s="168" t="s">
        <v>182</v>
      </c>
      <c r="AH313" s="168" t="str">
        <f t="shared" si="25"/>
        <v>Refrigerator-Bottom Freezer-Automatic-No-No-No-Yes</v>
      </c>
      <c r="AI313" s="168" t="s">
        <v>261</v>
      </c>
      <c r="AJ313" s="168">
        <v>8.85</v>
      </c>
      <c r="AK313" s="169">
        <v>401</v>
      </c>
      <c r="AL313" s="169">
        <f t="shared" si="26"/>
        <v>639.95000000000005</v>
      </c>
      <c r="AM313" s="168">
        <f t="shared" si="27"/>
        <v>640</v>
      </c>
      <c r="AN313" s="168">
        <f t="shared" si="28"/>
        <v>577</v>
      </c>
      <c r="AO313" s="164" t="str">
        <f t="shared" si="29"/>
        <v>Yes</v>
      </c>
      <c r="AP313" s="164">
        <f t="shared" si="30"/>
        <v>63</v>
      </c>
    </row>
    <row r="314" spans="2:42">
      <c r="B314" s="164">
        <v>2208203</v>
      </c>
      <c r="C314" s="164" t="s">
        <v>982</v>
      </c>
      <c r="D314" s="164" t="s">
        <v>995</v>
      </c>
      <c r="E314" s="164"/>
      <c r="F314" s="164" t="s">
        <v>191</v>
      </c>
      <c r="G314" s="164" t="s">
        <v>162</v>
      </c>
      <c r="H314" s="164" t="s">
        <v>163</v>
      </c>
      <c r="I314" s="164" t="s">
        <v>163</v>
      </c>
      <c r="J314" s="164" t="s">
        <v>163</v>
      </c>
      <c r="K314" s="164" t="s">
        <v>182</v>
      </c>
      <c r="L314" s="164" t="s">
        <v>163</v>
      </c>
      <c r="M314" s="164">
        <v>68.900000000000006</v>
      </c>
      <c r="N314" s="164">
        <v>35.6</v>
      </c>
      <c r="O314" s="165">
        <v>25.2</v>
      </c>
      <c r="P314" s="165">
        <v>30.8</v>
      </c>
      <c r="Q314" s="164">
        <v>607</v>
      </c>
      <c r="R314" s="164">
        <v>674</v>
      </c>
      <c r="S314" s="166">
        <v>0.1</v>
      </c>
      <c r="T314" s="164" t="s">
        <v>163</v>
      </c>
      <c r="U314" s="164"/>
      <c r="V314" s="167">
        <v>41729</v>
      </c>
      <c r="W314" s="167">
        <v>41726</v>
      </c>
      <c r="X314" s="164" t="s">
        <v>387</v>
      </c>
      <c r="Y314" s="164" t="s">
        <v>996</v>
      </c>
      <c r="Z314" s="164" t="s">
        <v>163</v>
      </c>
      <c r="AA314" s="168" t="s">
        <v>184</v>
      </c>
      <c r="AB314" s="168" t="s">
        <v>191</v>
      </c>
      <c r="AC314" s="168" t="s">
        <v>162</v>
      </c>
      <c r="AD314" s="168" t="s">
        <v>163</v>
      </c>
      <c r="AE314" s="168" t="s">
        <v>163</v>
      </c>
      <c r="AF314" s="168" t="s">
        <v>163</v>
      </c>
      <c r="AG314" s="168" t="s">
        <v>182</v>
      </c>
      <c r="AH314" s="168" t="str">
        <f t="shared" si="25"/>
        <v>Refrigerator-Bottom Freezer-Automatic-No-No-No-Yes</v>
      </c>
      <c r="AI314" s="168" t="s">
        <v>261</v>
      </c>
      <c r="AJ314" s="168">
        <v>8.85</v>
      </c>
      <c r="AK314" s="169">
        <v>401</v>
      </c>
      <c r="AL314" s="169">
        <f t="shared" si="26"/>
        <v>673.57999999999993</v>
      </c>
      <c r="AM314" s="168">
        <f t="shared" si="27"/>
        <v>674</v>
      </c>
      <c r="AN314" s="168">
        <f t="shared" si="28"/>
        <v>607</v>
      </c>
      <c r="AO314" s="164" t="str">
        <f t="shared" si="29"/>
        <v>Yes</v>
      </c>
      <c r="AP314" s="164">
        <f t="shared" si="30"/>
        <v>67</v>
      </c>
    </row>
    <row r="315" spans="2:42">
      <c r="B315" s="164">
        <v>2218146</v>
      </c>
      <c r="C315" s="164" t="s">
        <v>982</v>
      </c>
      <c r="D315" s="164" t="s">
        <v>997</v>
      </c>
      <c r="E315" s="164"/>
      <c r="F315" s="164" t="s">
        <v>191</v>
      </c>
      <c r="G315" s="164" t="s">
        <v>162</v>
      </c>
      <c r="H315" s="164" t="s">
        <v>163</v>
      </c>
      <c r="I315" s="164" t="s">
        <v>182</v>
      </c>
      <c r="J315" s="164" t="s">
        <v>163</v>
      </c>
      <c r="K315" s="164" t="s">
        <v>182</v>
      </c>
      <c r="L315" s="164" t="s">
        <v>163</v>
      </c>
      <c r="M315" s="164">
        <v>83.4</v>
      </c>
      <c r="N315" s="164">
        <v>35.299999999999997</v>
      </c>
      <c r="O315" s="165">
        <v>20.8</v>
      </c>
      <c r="P315" s="165">
        <v>24.8</v>
      </c>
      <c r="Q315" s="164">
        <v>589</v>
      </c>
      <c r="R315" s="164">
        <v>654</v>
      </c>
      <c r="S315" s="166">
        <v>0.1</v>
      </c>
      <c r="T315" s="164" t="s">
        <v>163</v>
      </c>
      <c r="U315" s="164"/>
      <c r="V315" s="167">
        <v>41897</v>
      </c>
      <c r="W315" s="167">
        <v>41879</v>
      </c>
      <c r="X315" s="164" t="s">
        <v>387</v>
      </c>
      <c r="Y315" s="164" t="s">
        <v>998</v>
      </c>
      <c r="Z315" s="164" t="s">
        <v>163</v>
      </c>
      <c r="AA315" s="168" t="s">
        <v>184</v>
      </c>
      <c r="AB315" s="168" t="s">
        <v>191</v>
      </c>
      <c r="AC315" s="168" t="s">
        <v>162</v>
      </c>
      <c r="AD315" s="168" t="s">
        <v>163</v>
      </c>
      <c r="AE315" s="168" t="s">
        <v>182</v>
      </c>
      <c r="AF315" s="168" t="s">
        <v>163</v>
      </c>
      <c r="AG315" s="168" t="s">
        <v>182</v>
      </c>
      <c r="AH315" s="168" t="str">
        <f t="shared" si="25"/>
        <v>Refrigerator-Bottom Freezer-Automatic-No-Yes-No-Yes</v>
      </c>
      <c r="AI315" s="168" t="s">
        <v>265</v>
      </c>
      <c r="AJ315" s="168">
        <v>9.4</v>
      </c>
      <c r="AK315" s="169">
        <v>420.9</v>
      </c>
      <c r="AL315" s="169">
        <f t="shared" si="26"/>
        <v>654.02</v>
      </c>
      <c r="AM315" s="168">
        <f t="shared" si="27"/>
        <v>654</v>
      </c>
      <c r="AN315" s="168">
        <f t="shared" si="28"/>
        <v>589</v>
      </c>
      <c r="AO315" s="164" t="str">
        <f t="shared" si="29"/>
        <v>Yes</v>
      </c>
      <c r="AP315" s="164">
        <f t="shared" si="30"/>
        <v>65</v>
      </c>
    </row>
    <row r="316" spans="2:42">
      <c r="B316" s="164">
        <v>2218147</v>
      </c>
      <c r="C316" s="164" t="s">
        <v>982</v>
      </c>
      <c r="D316" s="164" t="s">
        <v>999</v>
      </c>
      <c r="E316" s="164"/>
      <c r="F316" s="164" t="s">
        <v>191</v>
      </c>
      <c r="G316" s="164" t="s">
        <v>162</v>
      </c>
      <c r="H316" s="164" t="s">
        <v>163</v>
      </c>
      <c r="I316" s="164" t="s">
        <v>182</v>
      </c>
      <c r="J316" s="164" t="s">
        <v>163</v>
      </c>
      <c r="K316" s="164" t="s">
        <v>182</v>
      </c>
      <c r="L316" s="164" t="s">
        <v>163</v>
      </c>
      <c r="M316" s="164">
        <v>83.4</v>
      </c>
      <c r="N316" s="164">
        <v>35.299999999999997</v>
      </c>
      <c r="O316" s="165">
        <v>20.8</v>
      </c>
      <c r="P316" s="165">
        <v>24.8</v>
      </c>
      <c r="Q316" s="164">
        <v>589</v>
      </c>
      <c r="R316" s="164">
        <v>654</v>
      </c>
      <c r="S316" s="166">
        <v>0.1</v>
      </c>
      <c r="T316" s="164" t="s">
        <v>163</v>
      </c>
      <c r="U316" s="164"/>
      <c r="V316" s="167">
        <v>41897</v>
      </c>
      <c r="W316" s="167">
        <v>41879</v>
      </c>
      <c r="X316" s="164" t="s">
        <v>387</v>
      </c>
      <c r="Y316" s="164" t="s">
        <v>1000</v>
      </c>
      <c r="Z316" s="164" t="s">
        <v>163</v>
      </c>
      <c r="AA316" s="168" t="s">
        <v>184</v>
      </c>
      <c r="AB316" s="168" t="s">
        <v>191</v>
      </c>
      <c r="AC316" s="168" t="s">
        <v>162</v>
      </c>
      <c r="AD316" s="168" t="s">
        <v>163</v>
      </c>
      <c r="AE316" s="168" t="s">
        <v>182</v>
      </c>
      <c r="AF316" s="168" t="s">
        <v>163</v>
      </c>
      <c r="AG316" s="168" t="s">
        <v>182</v>
      </c>
      <c r="AH316" s="168" t="str">
        <f t="shared" si="25"/>
        <v>Refrigerator-Bottom Freezer-Automatic-No-Yes-No-Yes</v>
      </c>
      <c r="AI316" s="168" t="s">
        <v>265</v>
      </c>
      <c r="AJ316" s="168">
        <v>9.4</v>
      </c>
      <c r="AK316" s="169">
        <v>420.9</v>
      </c>
      <c r="AL316" s="169">
        <f t="shared" si="26"/>
        <v>654.02</v>
      </c>
      <c r="AM316" s="168">
        <f t="shared" si="27"/>
        <v>654</v>
      </c>
      <c r="AN316" s="168">
        <f t="shared" si="28"/>
        <v>589</v>
      </c>
      <c r="AO316" s="164" t="str">
        <f t="shared" si="29"/>
        <v>Yes</v>
      </c>
      <c r="AP316" s="164">
        <f t="shared" si="30"/>
        <v>65</v>
      </c>
    </row>
    <row r="317" spans="2:42">
      <c r="B317" s="164">
        <v>2218148</v>
      </c>
      <c r="C317" s="164" t="s">
        <v>982</v>
      </c>
      <c r="D317" s="164" t="s">
        <v>1001</v>
      </c>
      <c r="E317" s="164"/>
      <c r="F317" s="164" t="s">
        <v>191</v>
      </c>
      <c r="G317" s="164" t="s">
        <v>162</v>
      </c>
      <c r="H317" s="164" t="s">
        <v>163</v>
      </c>
      <c r="I317" s="164" t="s">
        <v>182</v>
      </c>
      <c r="J317" s="164" t="s">
        <v>163</v>
      </c>
      <c r="K317" s="164" t="s">
        <v>182</v>
      </c>
      <c r="L317" s="164" t="s">
        <v>163</v>
      </c>
      <c r="M317" s="164">
        <v>83.4</v>
      </c>
      <c r="N317" s="164">
        <v>35.299999999999997</v>
      </c>
      <c r="O317" s="165">
        <v>20.8</v>
      </c>
      <c r="P317" s="165">
        <v>24.8</v>
      </c>
      <c r="Q317" s="164">
        <v>589</v>
      </c>
      <c r="R317" s="164">
        <v>654</v>
      </c>
      <c r="S317" s="166">
        <v>0.1</v>
      </c>
      <c r="T317" s="164" t="s">
        <v>163</v>
      </c>
      <c r="U317" s="164"/>
      <c r="V317" s="167">
        <v>41897</v>
      </c>
      <c r="W317" s="167">
        <v>41879</v>
      </c>
      <c r="X317" s="164" t="s">
        <v>387</v>
      </c>
      <c r="Y317" s="164" t="s">
        <v>1002</v>
      </c>
      <c r="Z317" s="164" t="s">
        <v>163</v>
      </c>
      <c r="AA317" s="168" t="s">
        <v>184</v>
      </c>
      <c r="AB317" s="168" t="s">
        <v>191</v>
      </c>
      <c r="AC317" s="168" t="s">
        <v>162</v>
      </c>
      <c r="AD317" s="168" t="s">
        <v>163</v>
      </c>
      <c r="AE317" s="168" t="s">
        <v>182</v>
      </c>
      <c r="AF317" s="168" t="s">
        <v>163</v>
      </c>
      <c r="AG317" s="168" t="s">
        <v>182</v>
      </c>
      <c r="AH317" s="168" t="str">
        <f t="shared" si="25"/>
        <v>Refrigerator-Bottom Freezer-Automatic-No-Yes-No-Yes</v>
      </c>
      <c r="AI317" s="168" t="s">
        <v>265</v>
      </c>
      <c r="AJ317" s="168">
        <v>9.4</v>
      </c>
      <c r="AK317" s="169">
        <v>420.9</v>
      </c>
      <c r="AL317" s="169">
        <f t="shared" si="26"/>
        <v>654.02</v>
      </c>
      <c r="AM317" s="168">
        <f t="shared" si="27"/>
        <v>654</v>
      </c>
      <c r="AN317" s="168">
        <f t="shared" si="28"/>
        <v>589</v>
      </c>
      <c r="AO317" s="164" t="str">
        <f t="shared" si="29"/>
        <v>Yes</v>
      </c>
      <c r="AP317" s="164">
        <f t="shared" si="30"/>
        <v>65</v>
      </c>
    </row>
    <row r="318" spans="2:42">
      <c r="B318" s="164">
        <v>2218149</v>
      </c>
      <c r="C318" s="164" t="s">
        <v>982</v>
      </c>
      <c r="D318" s="164" t="s">
        <v>1003</v>
      </c>
      <c r="E318" s="164"/>
      <c r="F318" s="164" t="s">
        <v>191</v>
      </c>
      <c r="G318" s="164" t="s">
        <v>162</v>
      </c>
      <c r="H318" s="164" t="s">
        <v>163</v>
      </c>
      <c r="I318" s="164" t="s">
        <v>182</v>
      </c>
      <c r="J318" s="164" t="s">
        <v>163</v>
      </c>
      <c r="K318" s="164" t="s">
        <v>182</v>
      </c>
      <c r="L318" s="164" t="s">
        <v>163</v>
      </c>
      <c r="M318" s="164">
        <v>83.4</v>
      </c>
      <c r="N318" s="164">
        <v>35.299999999999997</v>
      </c>
      <c r="O318" s="165">
        <v>20.8</v>
      </c>
      <c r="P318" s="165">
        <v>24.8</v>
      </c>
      <c r="Q318" s="164">
        <v>589</v>
      </c>
      <c r="R318" s="164">
        <v>654</v>
      </c>
      <c r="S318" s="166">
        <v>0.1</v>
      </c>
      <c r="T318" s="164" t="s">
        <v>163</v>
      </c>
      <c r="U318" s="164"/>
      <c r="V318" s="167">
        <v>41897</v>
      </c>
      <c r="W318" s="167">
        <v>41879</v>
      </c>
      <c r="X318" s="164" t="s">
        <v>387</v>
      </c>
      <c r="Y318" s="164" t="s">
        <v>1004</v>
      </c>
      <c r="Z318" s="164" t="s">
        <v>163</v>
      </c>
      <c r="AA318" s="168" t="s">
        <v>184</v>
      </c>
      <c r="AB318" s="168" t="s">
        <v>191</v>
      </c>
      <c r="AC318" s="168" t="s">
        <v>162</v>
      </c>
      <c r="AD318" s="168" t="s">
        <v>163</v>
      </c>
      <c r="AE318" s="168" t="s">
        <v>182</v>
      </c>
      <c r="AF318" s="168" t="s">
        <v>163</v>
      </c>
      <c r="AG318" s="168" t="s">
        <v>182</v>
      </c>
      <c r="AH318" s="168" t="str">
        <f t="shared" si="25"/>
        <v>Refrigerator-Bottom Freezer-Automatic-No-Yes-No-Yes</v>
      </c>
      <c r="AI318" s="168" t="s">
        <v>265</v>
      </c>
      <c r="AJ318" s="168">
        <v>9.4</v>
      </c>
      <c r="AK318" s="169">
        <v>420.9</v>
      </c>
      <c r="AL318" s="169">
        <f t="shared" si="26"/>
        <v>654.02</v>
      </c>
      <c r="AM318" s="168">
        <f t="shared" si="27"/>
        <v>654</v>
      </c>
      <c r="AN318" s="168">
        <f t="shared" si="28"/>
        <v>589</v>
      </c>
      <c r="AO318" s="164" t="str">
        <f t="shared" si="29"/>
        <v>Yes</v>
      </c>
      <c r="AP318" s="164">
        <f t="shared" si="30"/>
        <v>65</v>
      </c>
    </row>
    <row r="319" spans="2:42">
      <c r="B319" s="164">
        <v>2208196</v>
      </c>
      <c r="C319" s="164" t="s">
        <v>982</v>
      </c>
      <c r="D319" s="164" t="s">
        <v>1005</v>
      </c>
      <c r="E319" s="164"/>
      <c r="F319" s="164" t="s">
        <v>191</v>
      </c>
      <c r="G319" s="164" t="s">
        <v>162</v>
      </c>
      <c r="H319" s="164" t="s">
        <v>163</v>
      </c>
      <c r="I319" s="164" t="s">
        <v>163</v>
      </c>
      <c r="J319" s="164" t="s">
        <v>163</v>
      </c>
      <c r="K319" s="164" t="s">
        <v>163</v>
      </c>
      <c r="L319" s="164" t="s">
        <v>163</v>
      </c>
      <c r="M319" s="164">
        <v>65.5</v>
      </c>
      <c r="N319" s="164">
        <v>29.6</v>
      </c>
      <c r="O319" s="165">
        <v>18.600000000000001</v>
      </c>
      <c r="P319" s="165">
        <v>23</v>
      </c>
      <c r="Q319" s="164">
        <v>469</v>
      </c>
      <c r="R319" s="164">
        <v>521</v>
      </c>
      <c r="S319" s="166">
        <v>0.1</v>
      </c>
      <c r="T319" s="164" t="s">
        <v>163</v>
      </c>
      <c r="U319" s="164"/>
      <c r="V319" s="167">
        <v>41715</v>
      </c>
      <c r="W319" s="167">
        <v>41726</v>
      </c>
      <c r="X319" s="164" t="s">
        <v>387</v>
      </c>
      <c r="Y319" s="164" t="s">
        <v>1006</v>
      </c>
      <c r="Z319" s="164" t="s">
        <v>163</v>
      </c>
      <c r="AA319" s="168" t="s">
        <v>184</v>
      </c>
      <c r="AB319" s="168" t="s">
        <v>191</v>
      </c>
      <c r="AC319" s="168" t="s">
        <v>162</v>
      </c>
      <c r="AD319" s="168" t="s">
        <v>163</v>
      </c>
      <c r="AE319" s="168" t="s">
        <v>163</v>
      </c>
      <c r="AF319" s="168" t="s">
        <v>163</v>
      </c>
      <c r="AG319" s="168" t="s">
        <v>163</v>
      </c>
      <c r="AH319" s="168" t="str">
        <f t="shared" si="25"/>
        <v>Refrigerator-Bottom Freezer-Automatic-No-No-No-No</v>
      </c>
      <c r="AI319" s="168">
        <v>5</v>
      </c>
      <c r="AJ319" s="168">
        <v>8.85</v>
      </c>
      <c r="AK319" s="169">
        <v>317</v>
      </c>
      <c r="AL319" s="169">
        <f t="shared" si="26"/>
        <v>520.54999999999995</v>
      </c>
      <c r="AM319" s="168">
        <f t="shared" si="27"/>
        <v>521</v>
      </c>
      <c r="AN319" s="168">
        <f t="shared" si="28"/>
        <v>469</v>
      </c>
      <c r="AO319" s="164" t="str">
        <f t="shared" si="29"/>
        <v>Yes</v>
      </c>
      <c r="AP319" s="164">
        <f t="shared" si="30"/>
        <v>52</v>
      </c>
    </row>
    <row r="320" spans="2:42">
      <c r="B320" s="164">
        <v>2208198</v>
      </c>
      <c r="C320" s="164" t="s">
        <v>982</v>
      </c>
      <c r="D320" s="164" t="s">
        <v>1007</v>
      </c>
      <c r="E320" s="164"/>
      <c r="F320" s="164" t="s">
        <v>191</v>
      </c>
      <c r="G320" s="164" t="s">
        <v>162</v>
      </c>
      <c r="H320" s="164" t="s">
        <v>163</v>
      </c>
      <c r="I320" s="164" t="s">
        <v>163</v>
      </c>
      <c r="J320" s="164" t="s">
        <v>163</v>
      </c>
      <c r="K320" s="164" t="s">
        <v>163</v>
      </c>
      <c r="L320" s="164" t="s">
        <v>163</v>
      </c>
      <c r="M320" s="164">
        <v>68.900000000000006</v>
      </c>
      <c r="N320" s="164">
        <v>32.6</v>
      </c>
      <c r="O320" s="165">
        <v>22.1</v>
      </c>
      <c r="P320" s="165">
        <v>27</v>
      </c>
      <c r="Q320" s="164">
        <v>500</v>
      </c>
      <c r="R320" s="164">
        <v>556</v>
      </c>
      <c r="S320" s="166">
        <v>0.1</v>
      </c>
      <c r="T320" s="164" t="s">
        <v>163</v>
      </c>
      <c r="U320" s="164"/>
      <c r="V320" s="167">
        <v>41715</v>
      </c>
      <c r="W320" s="167">
        <v>41726</v>
      </c>
      <c r="X320" s="164" t="s">
        <v>387</v>
      </c>
      <c r="Y320" s="164" t="s">
        <v>1008</v>
      </c>
      <c r="Z320" s="164" t="s">
        <v>163</v>
      </c>
      <c r="AA320" s="168" t="s">
        <v>184</v>
      </c>
      <c r="AB320" s="168" t="s">
        <v>191</v>
      </c>
      <c r="AC320" s="168" t="s">
        <v>162</v>
      </c>
      <c r="AD320" s="168" t="s">
        <v>163</v>
      </c>
      <c r="AE320" s="168" t="s">
        <v>163</v>
      </c>
      <c r="AF320" s="168" t="s">
        <v>163</v>
      </c>
      <c r="AG320" s="168" t="s">
        <v>163</v>
      </c>
      <c r="AH320" s="168" t="str">
        <f t="shared" si="25"/>
        <v>Refrigerator-Bottom Freezer-Automatic-No-No-No-No</v>
      </c>
      <c r="AI320" s="168">
        <v>5</v>
      </c>
      <c r="AJ320" s="168">
        <v>8.85</v>
      </c>
      <c r="AK320" s="169">
        <v>317</v>
      </c>
      <c r="AL320" s="169">
        <f t="shared" si="26"/>
        <v>555.95000000000005</v>
      </c>
      <c r="AM320" s="168">
        <f t="shared" si="27"/>
        <v>556</v>
      </c>
      <c r="AN320" s="168">
        <f t="shared" si="28"/>
        <v>500</v>
      </c>
      <c r="AO320" s="164" t="str">
        <f t="shared" si="29"/>
        <v>Yes</v>
      </c>
      <c r="AP320" s="164">
        <f t="shared" si="30"/>
        <v>56</v>
      </c>
    </row>
    <row r="321" spans="2:42">
      <c r="B321" s="164">
        <v>2217319</v>
      </c>
      <c r="C321" s="164" t="s">
        <v>982</v>
      </c>
      <c r="D321" s="164" t="s">
        <v>1009</v>
      </c>
      <c r="E321" s="164"/>
      <c r="F321" s="164" t="s">
        <v>191</v>
      </c>
      <c r="G321" s="164" t="s">
        <v>162</v>
      </c>
      <c r="H321" s="164" t="s">
        <v>163</v>
      </c>
      <c r="I321" s="164" t="s">
        <v>163</v>
      </c>
      <c r="J321" s="164" t="s">
        <v>163</v>
      </c>
      <c r="K321" s="164" t="s">
        <v>163</v>
      </c>
      <c r="L321" s="164" t="s">
        <v>163</v>
      </c>
      <c r="M321" s="164">
        <v>74</v>
      </c>
      <c r="N321" s="164">
        <v>24</v>
      </c>
      <c r="O321" s="165">
        <v>11.3</v>
      </c>
      <c r="P321" s="165">
        <v>14</v>
      </c>
      <c r="Q321" s="164">
        <v>397</v>
      </c>
      <c r="R321" s="164">
        <v>441</v>
      </c>
      <c r="S321" s="166">
        <v>0.1</v>
      </c>
      <c r="T321" s="164" t="s">
        <v>163</v>
      </c>
      <c r="U321" s="164"/>
      <c r="V321" s="167">
        <v>41852</v>
      </c>
      <c r="W321" s="167">
        <v>41863</v>
      </c>
      <c r="X321" s="164" t="s">
        <v>387</v>
      </c>
      <c r="Y321" s="164" t="s">
        <v>1010</v>
      </c>
      <c r="Z321" s="164" t="s">
        <v>163</v>
      </c>
      <c r="AA321" s="168" t="s">
        <v>184</v>
      </c>
      <c r="AB321" s="168" t="s">
        <v>191</v>
      </c>
      <c r="AC321" s="168" t="s">
        <v>162</v>
      </c>
      <c r="AD321" s="168" t="s">
        <v>163</v>
      </c>
      <c r="AE321" s="168" t="s">
        <v>163</v>
      </c>
      <c r="AF321" s="168" t="s">
        <v>163</v>
      </c>
      <c r="AG321" s="168" t="s">
        <v>163</v>
      </c>
      <c r="AH321" s="168" t="str">
        <f t="shared" si="25"/>
        <v>Refrigerator-Bottom Freezer-Automatic-No-No-No-No</v>
      </c>
      <c r="AI321" s="168">
        <v>5</v>
      </c>
      <c r="AJ321" s="168">
        <v>8.85</v>
      </c>
      <c r="AK321" s="169">
        <v>317</v>
      </c>
      <c r="AL321" s="169">
        <f t="shared" si="26"/>
        <v>440.9</v>
      </c>
      <c r="AM321" s="168">
        <f t="shared" si="27"/>
        <v>441</v>
      </c>
      <c r="AN321" s="168">
        <f t="shared" si="28"/>
        <v>397</v>
      </c>
      <c r="AO321" s="164" t="str">
        <f t="shared" si="29"/>
        <v>Yes</v>
      </c>
      <c r="AP321" s="164">
        <f t="shared" si="30"/>
        <v>44</v>
      </c>
    </row>
    <row r="322" spans="2:42">
      <c r="B322" s="164">
        <v>2217250</v>
      </c>
      <c r="C322" s="164" t="s">
        <v>982</v>
      </c>
      <c r="D322" s="164" t="s">
        <v>1011</v>
      </c>
      <c r="E322" s="164"/>
      <c r="F322" s="164" t="s">
        <v>191</v>
      </c>
      <c r="G322" s="164" t="s">
        <v>162</v>
      </c>
      <c r="H322" s="164" t="s">
        <v>163</v>
      </c>
      <c r="I322" s="164" t="s">
        <v>163</v>
      </c>
      <c r="J322" s="164" t="s">
        <v>182</v>
      </c>
      <c r="K322" s="164" t="s">
        <v>182</v>
      </c>
      <c r="L322" s="164" t="s">
        <v>163</v>
      </c>
      <c r="M322" s="164">
        <v>70.099999999999994</v>
      </c>
      <c r="N322" s="164">
        <v>35.6</v>
      </c>
      <c r="O322" s="165">
        <v>24.5</v>
      </c>
      <c r="P322" s="165">
        <v>29.6</v>
      </c>
      <c r="Q322" s="164">
        <v>672</v>
      </c>
      <c r="R322" s="164">
        <v>749</v>
      </c>
      <c r="S322" s="166">
        <v>0.1</v>
      </c>
      <c r="T322" s="164" t="s">
        <v>163</v>
      </c>
      <c r="U322" s="164"/>
      <c r="V322" s="167">
        <v>40752</v>
      </c>
      <c r="W322" s="167">
        <v>41863</v>
      </c>
      <c r="X322" s="164" t="s">
        <v>387</v>
      </c>
      <c r="Y322" s="164" t="s">
        <v>1012</v>
      </c>
      <c r="Z322" s="164" t="s">
        <v>163</v>
      </c>
      <c r="AA322" s="168" t="s">
        <v>184</v>
      </c>
      <c r="AB322" s="168" t="s">
        <v>191</v>
      </c>
      <c r="AC322" s="168" t="s">
        <v>162</v>
      </c>
      <c r="AD322" s="168" t="s">
        <v>163</v>
      </c>
      <c r="AE322" s="168" t="s">
        <v>163</v>
      </c>
      <c r="AF322" s="168" t="s">
        <v>182</v>
      </c>
      <c r="AG322" s="168" t="s">
        <v>182</v>
      </c>
      <c r="AH322" s="168" t="str">
        <f t="shared" si="25"/>
        <v>Refrigerator-Bottom Freezer-Automatic-No-No-Yes-Yes</v>
      </c>
      <c r="AI322" s="168" t="s">
        <v>269</v>
      </c>
      <c r="AJ322" s="168">
        <v>9.25</v>
      </c>
      <c r="AK322" s="169">
        <v>475.4</v>
      </c>
      <c r="AL322" s="169">
        <f t="shared" si="26"/>
        <v>749.2</v>
      </c>
      <c r="AM322" s="168">
        <f t="shared" si="27"/>
        <v>749</v>
      </c>
      <c r="AN322" s="168">
        <f t="shared" si="28"/>
        <v>672</v>
      </c>
      <c r="AO322" s="164" t="str">
        <f t="shared" si="29"/>
        <v>Yes</v>
      </c>
      <c r="AP322" s="164">
        <f t="shared" si="30"/>
        <v>77</v>
      </c>
    </row>
    <row r="323" spans="2:42">
      <c r="B323" s="164">
        <v>2217249</v>
      </c>
      <c r="C323" s="164" t="s">
        <v>982</v>
      </c>
      <c r="D323" s="164" t="s">
        <v>1013</v>
      </c>
      <c r="E323" s="164"/>
      <c r="F323" s="164" t="s">
        <v>192</v>
      </c>
      <c r="G323" s="164" t="s">
        <v>162</v>
      </c>
      <c r="H323" s="164" t="s">
        <v>163</v>
      </c>
      <c r="I323" s="164" t="s">
        <v>182</v>
      </c>
      <c r="J323" s="164" t="s">
        <v>182</v>
      </c>
      <c r="K323" s="164" t="s">
        <v>182</v>
      </c>
      <c r="L323" s="164" t="s">
        <v>182</v>
      </c>
      <c r="M323" s="164">
        <v>83</v>
      </c>
      <c r="N323" s="164">
        <v>41.8</v>
      </c>
      <c r="O323" s="165">
        <v>25</v>
      </c>
      <c r="P323" s="165">
        <v>31.6</v>
      </c>
      <c r="Q323" s="164">
        <v>744</v>
      </c>
      <c r="R323" s="164">
        <v>827</v>
      </c>
      <c r="S323" s="166">
        <v>0.1</v>
      </c>
      <c r="T323" s="164" t="s">
        <v>163</v>
      </c>
      <c r="U323" s="164"/>
      <c r="V323" s="167">
        <v>41897</v>
      </c>
      <c r="W323" s="167">
        <v>41863</v>
      </c>
      <c r="X323" s="164" t="s">
        <v>387</v>
      </c>
      <c r="Y323" s="164" t="s">
        <v>1014</v>
      </c>
      <c r="Z323" s="164" t="s">
        <v>163</v>
      </c>
      <c r="AA323" s="168" t="s">
        <v>184</v>
      </c>
      <c r="AB323" s="168" t="s">
        <v>192</v>
      </c>
      <c r="AC323" s="168" t="s">
        <v>162</v>
      </c>
      <c r="AD323" s="168" t="s">
        <v>163</v>
      </c>
      <c r="AE323" s="168" t="s">
        <v>182</v>
      </c>
      <c r="AF323" s="168" t="s">
        <v>182</v>
      </c>
      <c r="AG323" s="168" t="s">
        <v>182</v>
      </c>
      <c r="AH323" s="168" t="str">
        <f t="shared" si="25"/>
        <v>Refrigerator-Side-by-Side-Automatic-No-Yes-Yes-Yes</v>
      </c>
      <c r="AI323" s="168" t="s">
        <v>283</v>
      </c>
      <c r="AJ323" s="168">
        <v>10.25</v>
      </c>
      <c r="AK323" s="169">
        <v>502.6</v>
      </c>
      <c r="AL323" s="169">
        <f t="shared" si="26"/>
        <v>826.5</v>
      </c>
      <c r="AM323" s="168">
        <f t="shared" si="27"/>
        <v>827</v>
      </c>
      <c r="AN323" s="168">
        <f t="shared" si="28"/>
        <v>744</v>
      </c>
      <c r="AO323" s="164" t="str">
        <f t="shared" si="29"/>
        <v>Yes</v>
      </c>
      <c r="AP323" s="164">
        <f t="shared" si="30"/>
        <v>83</v>
      </c>
    </row>
    <row r="324" spans="2:42">
      <c r="B324" s="164">
        <v>2217248</v>
      </c>
      <c r="C324" s="164" t="s">
        <v>982</v>
      </c>
      <c r="D324" s="164" t="s">
        <v>1015</v>
      </c>
      <c r="E324" s="164"/>
      <c r="F324" s="164" t="s">
        <v>192</v>
      </c>
      <c r="G324" s="164" t="s">
        <v>162</v>
      </c>
      <c r="H324" s="164" t="s">
        <v>163</v>
      </c>
      <c r="I324" s="164" t="s">
        <v>182</v>
      </c>
      <c r="J324" s="164" t="s">
        <v>182</v>
      </c>
      <c r="K324" s="164" t="s">
        <v>182</v>
      </c>
      <c r="L324" s="164" t="s">
        <v>182</v>
      </c>
      <c r="M324" s="164">
        <v>83</v>
      </c>
      <c r="N324" s="164">
        <v>47.8</v>
      </c>
      <c r="O324" s="165">
        <v>29.5</v>
      </c>
      <c r="P324" s="165">
        <v>37.299999999999997</v>
      </c>
      <c r="Q324" s="164">
        <v>797</v>
      </c>
      <c r="R324" s="164">
        <v>885</v>
      </c>
      <c r="S324" s="166">
        <v>0.1</v>
      </c>
      <c r="T324" s="164" t="s">
        <v>163</v>
      </c>
      <c r="U324" s="164"/>
      <c r="V324" s="167">
        <v>41897</v>
      </c>
      <c r="W324" s="167">
        <v>41863</v>
      </c>
      <c r="X324" s="164" t="s">
        <v>387</v>
      </c>
      <c r="Y324" s="164" t="s">
        <v>1016</v>
      </c>
      <c r="Z324" s="164" t="s">
        <v>163</v>
      </c>
      <c r="AA324" s="168" t="s">
        <v>184</v>
      </c>
      <c r="AB324" s="168" t="s">
        <v>192</v>
      </c>
      <c r="AC324" s="168" t="s">
        <v>162</v>
      </c>
      <c r="AD324" s="168" t="s">
        <v>163</v>
      </c>
      <c r="AE324" s="168" t="s">
        <v>182</v>
      </c>
      <c r="AF324" s="168" t="s">
        <v>182</v>
      </c>
      <c r="AG324" s="168" t="s">
        <v>182</v>
      </c>
      <c r="AH324" s="168" t="str">
        <f t="shared" si="25"/>
        <v>Refrigerator-Side-by-Side-Automatic-No-Yes-Yes-Yes</v>
      </c>
      <c r="AI324" s="168" t="s">
        <v>283</v>
      </c>
      <c r="AJ324" s="168">
        <v>10.25</v>
      </c>
      <c r="AK324" s="169">
        <v>502.6</v>
      </c>
      <c r="AL324" s="169">
        <f t="shared" si="26"/>
        <v>884.92499999999995</v>
      </c>
      <c r="AM324" s="168">
        <f t="shared" si="27"/>
        <v>885</v>
      </c>
      <c r="AN324" s="168">
        <f t="shared" si="28"/>
        <v>797</v>
      </c>
      <c r="AO324" s="164" t="str">
        <f t="shared" si="29"/>
        <v>Yes</v>
      </c>
      <c r="AP324" s="164">
        <f t="shared" si="30"/>
        <v>88</v>
      </c>
    </row>
    <row r="325" spans="2:42">
      <c r="B325" s="164">
        <v>2211074</v>
      </c>
      <c r="C325" s="164" t="s">
        <v>1017</v>
      </c>
      <c r="D325" s="164" t="s">
        <v>1018</v>
      </c>
      <c r="E325" s="164"/>
      <c r="F325" s="164" t="s">
        <v>191</v>
      </c>
      <c r="G325" s="164" t="s">
        <v>162</v>
      </c>
      <c r="H325" s="164" t="s">
        <v>163</v>
      </c>
      <c r="I325" s="164" t="s">
        <v>163</v>
      </c>
      <c r="J325" s="164" t="s">
        <v>163</v>
      </c>
      <c r="K325" s="164" t="s">
        <v>182</v>
      </c>
      <c r="L325" s="164" t="s">
        <v>163</v>
      </c>
      <c r="M325" s="164">
        <v>69.900000000000006</v>
      </c>
      <c r="N325" s="164">
        <v>32.799999999999997</v>
      </c>
      <c r="O325" s="165">
        <v>24.1</v>
      </c>
      <c r="P325" s="165">
        <v>30</v>
      </c>
      <c r="Q325" s="164">
        <v>600</v>
      </c>
      <c r="R325" s="164">
        <v>667</v>
      </c>
      <c r="S325" s="166">
        <v>0.1</v>
      </c>
      <c r="T325" s="164" t="s">
        <v>163</v>
      </c>
      <c r="U325" s="164"/>
      <c r="V325" s="167">
        <v>41775</v>
      </c>
      <c r="W325" s="167">
        <v>41775</v>
      </c>
      <c r="X325" s="164" t="s">
        <v>387</v>
      </c>
      <c r="Y325" s="164" t="s">
        <v>1019</v>
      </c>
      <c r="Z325" s="164" t="s">
        <v>163</v>
      </c>
      <c r="AA325" s="168" t="s">
        <v>184</v>
      </c>
      <c r="AB325" s="168" t="s">
        <v>191</v>
      </c>
      <c r="AC325" s="168" t="s">
        <v>162</v>
      </c>
      <c r="AD325" s="168" t="s">
        <v>163</v>
      </c>
      <c r="AE325" s="168" t="s">
        <v>163</v>
      </c>
      <c r="AF325" s="168" t="s">
        <v>163</v>
      </c>
      <c r="AG325" s="168" t="s">
        <v>182</v>
      </c>
      <c r="AH325" s="168" t="str">
        <f t="shared" si="25"/>
        <v>Refrigerator-Bottom Freezer-Automatic-No-No-No-Yes</v>
      </c>
      <c r="AI325" s="168" t="s">
        <v>261</v>
      </c>
      <c r="AJ325" s="168">
        <v>8.85</v>
      </c>
      <c r="AK325" s="169">
        <v>401</v>
      </c>
      <c r="AL325" s="169">
        <f t="shared" si="26"/>
        <v>666.5</v>
      </c>
      <c r="AM325" s="168">
        <f t="shared" si="27"/>
        <v>667</v>
      </c>
      <c r="AN325" s="168">
        <f t="shared" si="28"/>
        <v>600</v>
      </c>
      <c r="AO325" s="164" t="str">
        <f t="shared" si="29"/>
        <v>Yes</v>
      </c>
      <c r="AP325" s="164">
        <f t="shared" si="30"/>
        <v>67</v>
      </c>
    </row>
    <row r="326" spans="2:42">
      <c r="B326" s="164">
        <v>2211073</v>
      </c>
      <c r="C326" s="164" t="s">
        <v>1017</v>
      </c>
      <c r="D326" s="164" t="s">
        <v>1020</v>
      </c>
      <c r="E326" s="164"/>
      <c r="F326" s="164" t="s">
        <v>191</v>
      </c>
      <c r="G326" s="164" t="s">
        <v>162</v>
      </c>
      <c r="H326" s="164" t="s">
        <v>163</v>
      </c>
      <c r="I326" s="164" t="s">
        <v>163</v>
      </c>
      <c r="J326" s="164" t="s">
        <v>163</v>
      </c>
      <c r="K326" s="164" t="s">
        <v>163</v>
      </c>
      <c r="L326" s="164" t="s">
        <v>163</v>
      </c>
      <c r="M326" s="164">
        <v>68.5</v>
      </c>
      <c r="N326" s="164">
        <v>29.8</v>
      </c>
      <c r="O326" s="165">
        <v>22.1</v>
      </c>
      <c r="P326" s="165">
        <v>27.6</v>
      </c>
      <c r="Q326" s="164">
        <v>505</v>
      </c>
      <c r="R326" s="164">
        <v>561</v>
      </c>
      <c r="S326" s="166">
        <v>0.1</v>
      </c>
      <c r="T326" s="164" t="s">
        <v>163</v>
      </c>
      <c r="U326" s="164"/>
      <c r="V326" s="167">
        <v>41775</v>
      </c>
      <c r="W326" s="167">
        <v>41775</v>
      </c>
      <c r="X326" s="164" t="s">
        <v>387</v>
      </c>
      <c r="Y326" s="164" t="s">
        <v>1021</v>
      </c>
      <c r="Z326" s="164" t="s">
        <v>163</v>
      </c>
      <c r="AA326" s="168" t="s">
        <v>184</v>
      </c>
      <c r="AB326" s="168" t="s">
        <v>191</v>
      </c>
      <c r="AC326" s="168" t="s">
        <v>162</v>
      </c>
      <c r="AD326" s="168" t="s">
        <v>163</v>
      </c>
      <c r="AE326" s="168" t="s">
        <v>163</v>
      </c>
      <c r="AF326" s="168" t="s">
        <v>163</v>
      </c>
      <c r="AG326" s="168" t="s">
        <v>163</v>
      </c>
      <c r="AH326" s="168" t="str">
        <f t="shared" si="25"/>
        <v>Refrigerator-Bottom Freezer-Automatic-No-No-No-No</v>
      </c>
      <c r="AI326" s="168">
        <v>5</v>
      </c>
      <c r="AJ326" s="168">
        <v>8.85</v>
      </c>
      <c r="AK326" s="169">
        <v>317</v>
      </c>
      <c r="AL326" s="169">
        <f t="shared" si="26"/>
        <v>561.26</v>
      </c>
      <c r="AM326" s="168">
        <f t="shared" si="27"/>
        <v>561</v>
      </c>
      <c r="AN326" s="168">
        <f t="shared" si="28"/>
        <v>505</v>
      </c>
      <c r="AO326" s="164" t="str">
        <f t="shared" si="29"/>
        <v>Yes</v>
      </c>
      <c r="AP326" s="164">
        <f t="shared" si="30"/>
        <v>56</v>
      </c>
    </row>
    <row r="327" spans="2:42">
      <c r="B327" s="164">
        <v>2205764</v>
      </c>
      <c r="C327" s="164" t="s">
        <v>1017</v>
      </c>
      <c r="D327" s="164" t="s">
        <v>1022</v>
      </c>
      <c r="E327" s="164"/>
      <c r="F327" s="164" t="s">
        <v>191</v>
      </c>
      <c r="G327" s="164" t="s">
        <v>162</v>
      </c>
      <c r="H327" s="164" t="s">
        <v>163</v>
      </c>
      <c r="I327" s="164" t="s">
        <v>163</v>
      </c>
      <c r="J327" s="164" t="s">
        <v>163</v>
      </c>
      <c r="K327" s="164" t="s">
        <v>182</v>
      </c>
      <c r="L327" s="164" t="s">
        <v>163</v>
      </c>
      <c r="M327" s="164">
        <v>68.5</v>
      </c>
      <c r="N327" s="164">
        <v>29.8</v>
      </c>
      <c r="O327" s="165">
        <v>22.1</v>
      </c>
      <c r="P327" s="165">
        <v>27.6</v>
      </c>
      <c r="Q327" s="164">
        <v>581</v>
      </c>
      <c r="R327" s="164">
        <v>645</v>
      </c>
      <c r="S327" s="166">
        <v>0.1</v>
      </c>
      <c r="T327" s="164" t="s">
        <v>163</v>
      </c>
      <c r="U327" s="164"/>
      <c r="V327" s="167">
        <v>41691</v>
      </c>
      <c r="W327" s="167">
        <v>41703</v>
      </c>
      <c r="X327" s="164" t="s">
        <v>387</v>
      </c>
      <c r="Y327" s="164" t="s">
        <v>1023</v>
      </c>
      <c r="Z327" s="164" t="s">
        <v>163</v>
      </c>
      <c r="AA327" s="168" t="s">
        <v>184</v>
      </c>
      <c r="AB327" s="168" t="s">
        <v>191</v>
      </c>
      <c r="AC327" s="168" t="s">
        <v>162</v>
      </c>
      <c r="AD327" s="168" t="s">
        <v>163</v>
      </c>
      <c r="AE327" s="168" t="s">
        <v>163</v>
      </c>
      <c r="AF327" s="168" t="s">
        <v>163</v>
      </c>
      <c r="AG327" s="168" t="s">
        <v>182</v>
      </c>
      <c r="AH327" s="168" t="str">
        <f t="shared" si="25"/>
        <v>Refrigerator-Bottom Freezer-Automatic-No-No-No-Yes</v>
      </c>
      <c r="AI327" s="168" t="s">
        <v>261</v>
      </c>
      <c r="AJ327" s="168">
        <v>8.85</v>
      </c>
      <c r="AK327" s="169">
        <v>401</v>
      </c>
      <c r="AL327" s="169">
        <f t="shared" si="26"/>
        <v>645.26</v>
      </c>
      <c r="AM327" s="168">
        <f t="shared" si="27"/>
        <v>645</v>
      </c>
      <c r="AN327" s="168">
        <f t="shared" si="28"/>
        <v>581</v>
      </c>
      <c r="AO327" s="164" t="str">
        <f t="shared" si="29"/>
        <v>Yes</v>
      </c>
      <c r="AP327" s="164">
        <f t="shared" si="30"/>
        <v>64</v>
      </c>
    </row>
    <row r="328" spans="2:42">
      <c r="B328" s="164">
        <v>2203487</v>
      </c>
      <c r="C328" s="164" t="s">
        <v>1017</v>
      </c>
      <c r="D328" s="164" t="s">
        <v>1024</v>
      </c>
      <c r="E328" s="164"/>
      <c r="F328" s="164" t="s">
        <v>191</v>
      </c>
      <c r="G328" s="164" t="s">
        <v>162</v>
      </c>
      <c r="H328" s="164" t="s">
        <v>163</v>
      </c>
      <c r="I328" s="164" t="s">
        <v>163</v>
      </c>
      <c r="J328" s="164" t="s">
        <v>163</v>
      </c>
      <c r="K328" s="164" t="s">
        <v>182</v>
      </c>
      <c r="L328" s="164" t="s">
        <v>163</v>
      </c>
      <c r="M328" s="164">
        <v>69.900000000000006</v>
      </c>
      <c r="N328" s="164">
        <v>32.799999999999997</v>
      </c>
      <c r="O328" s="165">
        <v>24.1</v>
      </c>
      <c r="P328" s="165">
        <v>30</v>
      </c>
      <c r="Q328" s="164">
        <v>600</v>
      </c>
      <c r="R328" s="164">
        <v>667</v>
      </c>
      <c r="S328" s="166">
        <v>0.1</v>
      </c>
      <c r="T328" s="164" t="s">
        <v>163</v>
      </c>
      <c r="U328" s="164"/>
      <c r="V328" s="167">
        <v>41667</v>
      </c>
      <c r="W328" s="167">
        <v>41667</v>
      </c>
      <c r="X328" s="164" t="s">
        <v>387</v>
      </c>
      <c r="Y328" s="164" t="s">
        <v>1025</v>
      </c>
      <c r="Z328" s="164" t="s">
        <v>163</v>
      </c>
      <c r="AA328" s="168" t="s">
        <v>184</v>
      </c>
      <c r="AB328" s="168" t="s">
        <v>191</v>
      </c>
      <c r="AC328" s="168" t="s">
        <v>162</v>
      </c>
      <c r="AD328" s="168" t="s">
        <v>163</v>
      </c>
      <c r="AE328" s="168" t="s">
        <v>163</v>
      </c>
      <c r="AF328" s="168" t="s">
        <v>163</v>
      </c>
      <c r="AG328" s="168" t="s">
        <v>182</v>
      </c>
      <c r="AH328" s="168" t="str">
        <f t="shared" si="25"/>
        <v>Refrigerator-Bottom Freezer-Automatic-No-No-No-Yes</v>
      </c>
      <c r="AI328" s="168" t="s">
        <v>261</v>
      </c>
      <c r="AJ328" s="168">
        <v>8.85</v>
      </c>
      <c r="AK328" s="169">
        <v>401</v>
      </c>
      <c r="AL328" s="169">
        <f t="shared" si="26"/>
        <v>666.5</v>
      </c>
      <c r="AM328" s="168">
        <f t="shared" si="27"/>
        <v>667</v>
      </c>
      <c r="AN328" s="168">
        <f t="shared" si="28"/>
        <v>600</v>
      </c>
      <c r="AO328" s="164" t="str">
        <f t="shared" si="29"/>
        <v>Yes</v>
      </c>
      <c r="AP328" s="164">
        <f t="shared" si="30"/>
        <v>67</v>
      </c>
    </row>
    <row r="329" spans="2:42">
      <c r="B329" s="164">
        <v>2206274</v>
      </c>
      <c r="C329" s="164" t="s">
        <v>1017</v>
      </c>
      <c r="D329" s="164" t="s">
        <v>1026</v>
      </c>
      <c r="E329" s="164"/>
      <c r="F329" s="164" t="s">
        <v>191</v>
      </c>
      <c r="G329" s="164" t="s">
        <v>162</v>
      </c>
      <c r="H329" s="164" t="s">
        <v>163</v>
      </c>
      <c r="I329" s="164" t="s">
        <v>163</v>
      </c>
      <c r="J329" s="164" t="s">
        <v>163</v>
      </c>
      <c r="K329" s="164" t="s">
        <v>163</v>
      </c>
      <c r="L329" s="164" t="s">
        <v>163</v>
      </c>
      <c r="M329" s="164">
        <v>68.5</v>
      </c>
      <c r="N329" s="164">
        <v>29.8</v>
      </c>
      <c r="O329" s="165">
        <v>22.1</v>
      </c>
      <c r="P329" s="165">
        <v>27.6</v>
      </c>
      <c r="Q329" s="164">
        <v>505</v>
      </c>
      <c r="R329" s="164">
        <v>561</v>
      </c>
      <c r="S329" s="166">
        <v>0.1</v>
      </c>
      <c r="T329" s="164" t="s">
        <v>163</v>
      </c>
      <c r="U329" s="164"/>
      <c r="V329" s="167">
        <v>41715</v>
      </c>
      <c r="W329" s="167">
        <v>41715</v>
      </c>
      <c r="X329" s="164" t="s">
        <v>387</v>
      </c>
      <c r="Y329" s="164" t="s">
        <v>1027</v>
      </c>
      <c r="Z329" s="164" t="s">
        <v>163</v>
      </c>
      <c r="AA329" s="168" t="s">
        <v>184</v>
      </c>
      <c r="AB329" s="168" t="s">
        <v>191</v>
      </c>
      <c r="AC329" s="168" t="s">
        <v>162</v>
      </c>
      <c r="AD329" s="168" t="s">
        <v>163</v>
      </c>
      <c r="AE329" s="168" t="s">
        <v>163</v>
      </c>
      <c r="AF329" s="168" t="s">
        <v>163</v>
      </c>
      <c r="AG329" s="168" t="s">
        <v>163</v>
      </c>
      <c r="AH329" s="168" t="str">
        <f t="shared" si="25"/>
        <v>Refrigerator-Bottom Freezer-Automatic-No-No-No-No</v>
      </c>
      <c r="AI329" s="168">
        <v>5</v>
      </c>
      <c r="AJ329" s="168">
        <v>8.85</v>
      </c>
      <c r="AK329" s="169">
        <v>317</v>
      </c>
      <c r="AL329" s="169">
        <f t="shared" si="26"/>
        <v>561.26</v>
      </c>
      <c r="AM329" s="168">
        <f t="shared" si="27"/>
        <v>561</v>
      </c>
      <c r="AN329" s="168">
        <f t="shared" si="28"/>
        <v>505</v>
      </c>
      <c r="AO329" s="164" t="str">
        <f t="shared" si="29"/>
        <v>Yes</v>
      </c>
      <c r="AP329" s="164">
        <f t="shared" si="30"/>
        <v>56</v>
      </c>
    </row>
    <row r="330" spans="2:42">
      <c r="B330" s="164">
        <v>2210293</v>
      </c>
      <c r="C330" s="164" t="s">
        <v>1017</v>
      </c>
      <c r="D330" s="164" t="s">
        <v>1028</v>
      </c>
      <c r="E330" s="164"/>
      <c r="F330" s="164" t="s">
        <v>191</v>
      </c>
      <c r="G330" s="164" t="s">
        <v>162</v>
      </c>
      <c r="H330" s="164" t="s">
        <v>163</v>
      </c>
      <c r="I330" s="164" t="s">
        <v>163</v>
      </c>
      <c r="J330" s="164" t="s">
        <v>163</v>
      </c>
      <c r="K330" s="164" t="s">
        <v>182</v>
      </c>
      <c r="L330" s="164" t="s">
        <v>163</v>
      </c>
      <c r="M330" s="164">
        <v>69.8</v>
      </c>
      <c r="N330" s="164">
        <v>35.799999999999997</v>
      </c>
      <c r="O330" s="165">
        <v>20.9</v>
      </c>
      <c r="P330" s="165">
        <v>25.6</v>
      </c>
      <c r="Q330" s="164">
        <v>565</v>
      </c>
      <c r="R330" s="164">
        <v>628</v>
      </c>
      <c r="S330" s="166">
        <v>0.1</v>
      </c>
      <c r="T330" s="164" t="s">
        <v>163</v>
      </c>
      <c r="U330" s="164"/>
      <c r="V330" s="167">
        <v>41749</v>
      </c>
      <c r="W330" s="167">
        <v>41771</v>
      </c>
      <c r="X330" s="164" t="s">
        <v>387</v>
      </c>
      <c r="Y330" s="164" t="s">
        <v>1029</v>
      </c>
      <c r="Z330" s="164" t="s">
        <v>163</v>
      </c>
      <c r="AA330" s="168" t="s">
        <v>184</v>
      </c>
      <c r="AB330" s="168" t="s">
        <v>191</v>
      </c>
      <c r="AC330" s="168" t="s">
        <v>162</v>
      </c>
      <c r="AD330" s="168" t="s">
        <v>163</v>
      </c>
      <c r="AE330" s="168" t="s">
        <v>163</v>
      </c>
      <c r="AF330" s="168" t="s">
        <v>163</v>
      </c>
      <c r="AG330" s="168" t="s">
        <v>182</v>
      </c>
      <c r="AH330" s="168" t="str">
        <f t="shared" si="25"/>
        <v>Refrigerator-Bottom Freezer-Automatic-No-No-No-Yes</v>
      </c>
      <c r="AI330" s="168" t="s">
        <v>261</v>
      </c>
      <c r="AJ330" s="168">
        <v>8.85</v>
      </c>
      <c r="AK330" s="169">
        <v>401</v>
      </c>
      <c r="AL330" s="169">
        <f t="shared" si="26"/>
        <v>627.55999999999995</v>
      </c>
      <c r="AM330" s="168">
        <f t="shared" si="27"/>
        <v>628</v>
      </c>
      <c r="AN330" s="168">
        <f t="shared" si="28"/>
        <v>565</v>
      </c>
      <c r="AO330" s="164" t="str">
        <f t="shared" si="29"/>
        <v>Yes</v>
      </c>
      <c r="AP330" s="164">
        <f t="shared" si="30"/>
        <v>63</v>
      </c>
    </row>
    <row r="331" spans="2:42">
      <c r="B331" s="164">
        <v>2203489</v>
      </c>
      <c r="C331" s="164" t="s">
        <v>1017</v>
      </c>
      <c r="D331" s="164" t="s">
        <v>1030</v>
      </c>
      <c r="E331" s="164"/>
      <c r="F331" s="164" t="s">
        <v>191</v>
      </c>
      <c r="G331" s="164" t="s">
        <v>162</v>
      </c>
      <c r="H331" s="164" t="s">
        <v>163</v>
      </c>
      <c r="I331" s="164" t="s">
        <v>163</v>
      </c>
      <c r="J331" s="164" t="s">
        <v>163</v>
      </c>
      <c r="K331" s="164" t="s">
        <v>182</v>
      </c>
      <c r="L331" s="164" t="s">
        <v>163</v>
      </c>
      <c r="M331" s="164">
        <v>68.5</v>
      </c>
      <c r="N331" s="164">
        <v>29.8</v>
      </c>
      <c r="O331" s="165">
        <v>21.8</v>
      </c>
      <c r="P331" s="165">
        <v>27.3</v>
      </c>
      <c r="Q331" s="164">
        <v>579</v>
      </c>
      <c r="R331" s="164">
        <v>643</v>
      </c>
      <c r="S331" s="166">
        <v>0.1</v>
      </c>
      <c r="T331" s="164" t="s">
        <v>163</v>
      </c>
      <c r="U331" s="164"/>
      <c r="V331" s="167">
        <v>41667</v>
      </c>
      <c r="W331" s="167">
        <v>41667</v>
      </c>
      <c r="X331" s="164" t="s">
        <v>387</v>
      </c>
      <c r="Y331" s="164" t="s">
        <v>1031</v>
      </c>
      <c r="Z331" s="164" t="s">
        <v>163</v>
      </c>
      <c r="AA331" s="168" t="s">
        <v>184</v>
      </c>
      <c r="AB331" s="168" t="s">
        <v>191</v>
      </c>
      <c r="AC331" s="168" t="s">
        <v>162</v>
      </c>
      <c r="AD331" s="168" t="s">
        <v>163</v>
      </c>
      <c r="AE331" s="168" t="s">
        <v>163</v>
      </c>
      <c r="AF331" s="168" t="s">
        <v>163</v>
      </c>
      <c r="AG331" s="168" t="s">
        <v>182</v>
      </c>
      <c r="AH331" s="168" t="str">
        <f t="shared" si="25"/>
        <v>Refrigerator-Bottom Freezer-Automatic-No-No-No-Yes</v>
      </c>
      <c r="AI331" s="168" t="s">
        <v>261</v>
      </c>
      <c r="AJ331" s="168">
        <v>8.85</v>
      </c>
      <c r="AK331" s="169">
        <v>401</v>
      </c>
      <c r="AL331" s="169">
        <f t="shared" si="26"/>
        <v>642.60500000000002</v>
      </c>
      <c r="AM331" s="168">
        <f t="shared" si="27"/>
        <v>643</v>
      </c>
      <c r="AN331" s="168">
        <f t="shared" si="28"/>
        <v>579</v>
      </c>
      <c r="AO331" s="164" t="str">
        <f t="shared" si="29"/>
        <v>Yes</v>
      </c>
      <c r="AP331" s="164">
        <f t="shared" si="30"/>
        <v>64</v>
      </c>
    </row>
    <row r="332" spans="2:42">
      <c r="B332" s="164">
        <v>2203485</v>
      </c>
      <c r="C332" s="164" t="s">
        <v>1017</v>
      </c>
      <c r="D332" s="164" t="s">
        <v>1032</v>
      </c>
      <c r="E332" s="164"/>
      <c r="F332" s="164" t="s">
        <v>191</v>
      </c>
      <c r="G332" s="164" t="s">
        <v>162</v>
      </c>
      <c r="H332" s="164" t="s">
        <v>163</v>
      </c>
      <c r="I332" s="164" t="s">
        <v>163</v>
      </c>
      <c r="J332" s="164" t="s">
        <v>163</v>
      </c>
      <c r="K332" s="164" t="s">
        <v>182</v>
      </c>
      <c r="L332" s="164" t="s">
        <v>163</v>
      </c>
      <c r="M332" s="164">
        <v>69.900000000000006</v>
      </c>
      <c r="N332" s="164">
        <v>32.799999999999997</v>
      </c>
      <c r="O332" s="165">
        <v>23.9</v>
      </c>
      <c r="P332" s="165">
        <v>29.8</v>
      </c>
      <c r="Q332" s="164">
        <v>598</v>
      </c>
      <c r="R332" s="164">
        <v>665</v>
      </c>
      <c r="S332" s="166">
        <v>0.1</v>
      </c>
      <c r="T332" s="164" t="s">
        <v>163</v>
      </c>
      <c r="U332" s="164"/>
      <c r="V332" s="167">
        <v>41667</v>
      </c>
      <c r="W332" s="167">
        <v>41667</v>
      </c>
      <c r="X332" s="164" t="s">
        <v>387</v>
      </c>
      <c r="Y332" s="164" t="s">
        <v>1033</v>
      </c>
      <c r="Z332" s="164" t="s">
        <v>163</v>
      </c>
      <c r="AA332" s="168" t="s">
        <v>184</v>
      </c>
      <c r="AB332" s="168" t="s">
        <v>191</v>
      </c>
      <c r="AC332" s="168" t="s">
        <v>162</v>
      </c>
      <c r="AD332" s="168" t="s">
        <v>163</v>
      </c>
      <c r="AE332" s="168" t="s">
        <v>163</v>
      </c>
      <c r="AF332" s="168" t="s">
        <v>163</v>
      </c>
      <c r="AG332" s="168" t="s">
        <v>182</v>
      </c>
      <c r="AH332" s="168" t="str">
        <f t="shared" si="25"/>
        <v>Refrigerator-Bottom Freezer-Automatic-No-No-No-Yes</v>
      </c>
      <c r="AI332" s="168" t="s">
        <v>261</v>
      </c>
      <c r="AJ332" s="168">
        <v>8.85</v>
      </c>
      <c r="AK332" s="169">
        <v>401</v>
      </c>
      <c r="AL332" s="169">
        <f t="shared" si="26"/>
        <v>664.73</v>
      </c>
      <c r="AM332" s="168">
        <f t="shared" si="27"/>
        <v>665</v>
      </c>
      <c r="AN332" s="168">
        <f t="shared" si="28"/>
        <v>598</v>
      </c>
      <c r="AO332" s="164" t="str">
        <f t="shared" si="29"/>
        <v>Yes</v>
      </c>
      <c r="AP332" s="164">
        <f t="shared" si="30"/>
        <v>67</v>
      </c>
    </row>
    <row r="333" spans="2:42">
      <c r="B333" s="164">
        <v>2203484</v>
      </c>
      <c r="C333" s="164" t="s">
        <v>1017</v>
      </c>
      <c r="D333" s="164" t="s">
        <v>1034</v>
      </c>
      <c r="E333" s="164"/>
      <c r="F333" s="164" t="s">
        <v>191</v>
      </c>
      <c r="G333" s="164" t="s">
        <v>162</v>
      </c>
      <c r="H333" s="164" t="s">
        <v>163</v>
      </c>
      <c r="I333" s="164" t="s">
        <v>163</v>
      </c>
      <c r="J333" s="164" t="s">
        <v>163</v>
      </c>
      <c r="K333" s="164" t="s">
        <v>163</v>
      </c>
      <c r="L333" s="164" t="s">
        <v>163</v>
      </c>
      <c r="M333" s="164">
        <v>69.900000000000006</v>
      </c>
      <c r="N333" s="164">
        <v>32.799999999999997</v>
      </c>
      <c r="O333" s="165">
        <v>23.9</v>
      </c>
      <c r="P333" s="165">
        <v>29.8</v>
      </c>
      <c r="Q333" s="164">
        <v>522</v>
      </c>
      <c r="R333" s="164">
        <v>581</v>
      </c>
      <c r="S333" s="166">
        <v>0.1</v>
      </c>
      <c r="T333" s="164" t="s">
        <v>163</v>
      </c>
      <c r="U333" s="164"/>
      <c r="V333" s="167">
        <v>41667</v>
      </c>
      <c r="W333" s="167">
        <v>41667</v>
      </c>
      <c r="X333" s="164" t="s">
        <v>387</v>
      </c>
      <c r="Y333" s="164" t="s">
        <v>1035</v>
      </c>
      <c r="Z333" s="164" t="s">
        <v>163</v>
      </c>
      <c r="AA333" s="168" t="s">
        <v>184</v>
      </c>
      <c r="AB333" s="168" t="s">
        <v>191</v>
      </c>
      <c r="AC333" s="168" t="s">
        <v>162</v>
      </c>
      <c r="AD333" s="168" t="s">
        <v>163</v>
      </c>
      <c r="AE333" s="168" t="s">
        <v>163</v>
      </c>
      <c r="AF333" s="168" t="s">
        <v>163</v>
      </c>
      <c r="AG333" s="168" t="s">
        <v>163</v>
      </c>
      <c r="AH333" s="168" t="str">
        <f t="shared" ref="AH333:AH396" si="31">CONCATENATE(AA333,"-",AB333,"-",AC333,"-",AD333,"-",AE333,"-",AF333,"-",AG333)</f>
        <v>Refrigerator-Bottom Freezer-Automatic-No-No-No-No</v>
      </c>
      <c r="AI333" s="168">
        <v>5</v>
      </c>
      <c r="AJ333" s="168">
        <v>8.85</v>
      </c>
      <c r="AK333" s="169">
        <v>317</v>
      </c>
      <c r="AL333" s="169">
        <f t="shared" ref="AL333:AL396" si="32">AJ333*P333+AK333</f>
        <v>580.73</v>
      </c>
      <c r="AM333" s="168">
        <f t="shared" ref="AM333:AM396" si="33">R333</f>
        <v>581</v>
      </c>
      <c r="AN333" s="168">
        <f t="shared" ref="AN333:AN396" si="34">Q333</f>
        <v>522</v>
      </c>
      <c r="AO333" s="164" t="str">
        <f t="shared" ref="AO333:AO396" si="35">IF(AN333&lt;AM333,"Yes","No")</f>
        <v>Yes</v>
      </c>
      <c r="AP333" s="164">
        <f t="shared" ref="AP333:AP396" si="36">AM333-AN333</f>
        <v>59</v>
      </c>
    </row>
    <row r="334" spans="2:42">
      <c r="B334" s="164">
        <v>2205761</v>
      </c>
      <c r="C334" s="164" t="s">
        <v>1017</v>
      </c>
      <c r="D334" s="164" t="s">
        <v>1036</v>
      </c>
      <c r="E334" s="164"/>
      <c r="F334" s="164" t="s">
        <v>191</v>
      </c>
      <c r="G334" s="164" t="s">
        <v>162</v>
      </c>
      <c r="H334" s="164" t="s">
        <v>163</v>
      </c>
      <c r="I334" s="164" t="s">
        <v>163</v>
      </c>
      <c r="J334" s="164" t="s">
        <v>163</v>
      </c>
      <c r="K334" s="164" t="s">
        <v>182</v>
      </c>
      <c r="L334" s="164" t="s">
        <v>163</v>
      </c>
      <c r="M334" s="164">
        <v>69.8</v>
      </c>
      <c r="N334" s="164">
        <v>35.799999999999997</v>
      </c>
      <c r="O334" s="165">
        <v>25.4</v>
      </c>
      <c r="P334" s="165">
        <v>31.3</v>
      </c>
      <c r="Q334" s="164">
        <v>610</v>
      </c>
      <c r="R334" s="164">
        <v>678</v>
      </c>
      <c r="S334" s="166">
        <v>0.1</v>
      </c>
      <c r="T334" s="164" t="s">
        <v>163</v>
      </c>
      <c r="U334" s="164"/>
      <c r="V334" s="167">
        <v>41690</v>
      </c>
      <c r="W334" s="167">
        <v>41702</v>
      </c>
      <c r="X334" s="164" t="s">
        <v>387</v>
      </c>
      <c r="Y334" s="164" t="s">
        <v>1037</v>
      </c>
      <c r="Z334" s="164" t="s">
        <v>163</v>
      </c>
      <c r="AA334" s="168" t="s">
        <v>184</v>
      </c>
      <c r="AB334" s="168" t="s">
        <v>191</v>
      </c>
      <c r="AC334" s="168" t="s">
        <v>162</v>
      </c>
      <c r="AD334" s="168" t="s">
        <v>163</v>
      </c>
      <c r="AE334" s="168" t="s">
        <v>163</v>
      </c>
      <c r="AF334" s="168" t="s">
        <v>163</v>
      </c>
      <c r="AG334" s="168" t="s">
        <v>182</v>
      </c>
      <c r="AH334" s="168" t="str">
        <f t="shared" si="31"/>
        <v>Refrigerator-Bottom Freezer-Automatic-No-No-No-Yes</v>
      </c>
      <c r="AI334" s="168" t="s">
        <v>261</v>
      </c>
      <c r="AJ334" s="168">
        <v>8.85</v>
      </c>
      <c r="AK334" s="169">
        <v>401</v>
      </c>
      <c r="AL334" s="169">
        <f t="shared" si="32"/>
        <v>678.005</v>
      </c>
      <c r="AM334" s="168">
        <f t="shared" si="33"/>
        <v>678</v>
      </c>
      <c r="AN334" s="168">
        <f t="shared" si="34"/>
        <v>610</v>
      </c>
      <c r="AO334" s="164" t="str">
        <f t="shared" si="35"/>
        <v>Yes</v>
      </c>
      <c r="AP334" s="164">
        <f t="shared" si="36"/>
        <v>68</v>
      </c>
    </row>
    <row r="335" spans="2:42">
      <c r="B335" s="164">
        <v>2205763</v>
      </c>
      <c r="C335" s="164" t="s">
        <v>1017</v>
      </c>
      <c r="D335" s="164" t="s">
        <v>1038</v>
      </c>
      <c r="E335" s="164"/>
      <c r="F335" s="164" t="s">
        <v>191</v>
      </c>
      <c r="G335" s="164" t="s">
        <v>162</v>
      </c>
      <c r="H335" s="164" t="s">
        <v>163</v>
      </c>
      <c r="I335" s="164" t="s">
        <v>163</v>
      </c>
      <c r="J335" s="164" t="s">
        <v>163</v>
      </c>
      <c r="K335" s="164" t="s">
        <v>182</v>
      </c>
      <c r="L335" s="164" t="s">
        <v>163</v>
      </c>
      <c r="M335" s="164">
        <v>69.8</v>
      </c>
      <c r="N335" s="164">
        <v>35.799999999999997</v>
      </c>
      <c r="O335" s="165">
        <v>27.9</v>
      </c>
      <c r="P335" s="165">
        <v>34.799999999999997</v>
      </c>
      <c r="Q335" s="164">
        <v>638</v>
      </c>
      <c r="R335" s="164">
        <v>709</v>
      </c>
      <c r="S335" s="166">
        <v>0.1</v>
      </c>
      <c r="T335" s="164" t="s">
        <v>163</v>
      </c>
      <c r="U335" s="164"/>
      <c r="V335" s="167">
        <v>41690</v>
      </c>
      <c r="W335" s="167">
        <v>41702</v>
      </c>
      <c r="X335" s="164" t="s">
        <v>387</v>
      </c>
      <c r="Y335" s="164" t="s">
        <v>1039</v>
      </c>
      <c r="Z335" s="164" t="s">
        <v>163</v>
      </c>
      <c r="AA335" s="168" t="s">
        <v>184</v>
      </c>
      <c r="AB335" s="168" t="s">
        <v>191</v>
      </c>
      <c r="AC335" s="168" t="s">
        <v>162</v>
      </c>
      <c r="AD335" s="168" t="s">
        <v>163</v>
      </c>
      <c r="AE335" s="168" t="s">
        <v>163</v>
      </c>
      <c r="AF335" s="168" t="s">
        <v>163</v>
      </c>
      <c r="AG335" s="168" t="s">
        <v>182</v>
      </c>
      <c r="AH335" s="168" t="str">
        <f t="shared" si="31"/>
        <v>Refrigerator-Bottom Freezer-Automatic-No-No-No-Yes</v>
      </c>
      <c r="AI335" s="168" t="s">
        <v>261</v>
      </c>
      <c r="AJ335" s="168">
        <v>8.85</v>
      </c>
      <c r="AK335" s="169">
        <v>401</v>
      </c>
      <c r="AL335" s="169">
        <f t="shared" si="32"/>
        <v>708.98</v>
      </c>
      <c r="AM335" s="168">
        <f t="shared" si="33"/>
        <v>709</v>
      </c>
      <c r="AN335" s="168">
        <f t="shared" si="34"/>
        <v>638</v>
      </c>
      <c r="AO335" s="164" t="str">
        <f t="shared" si="35"/>
        <v>Yes</v>
      </c>
      <c r="AP335" s="164">
        <f t="shared" si="36"/>
        <v>71</v>
      </c>
    </row>
    <row r="336" spans="2:42">
      <c r="B336" s="164">
        <v>2219499</v>
      </c>
      <c r="C336" s="164" t="s">
        <v>1017</v>
      </c>
      <c r="D336" s="164" t="s">
        <v>1040</v>
      </c>
      <c r="E336" s="164"/>
      <c r="F336" s="164" t="s">
        <v>191</v>
      </c>
      <c r="G336" s="164" t="s">
        <v>162</v>
      </c>
      <c r="H336" s="164" t="s">
        <v>163</v>
      </c>
      <c r="I336" s="164" t="s">
        <v>163</v>
      </c>
      <c r="J336" s="164" t="s">
        <v>163</v>
      </c>
      <c r="K336" s="164" t="s">
        <v>182</v>
      </c>
      <c r="L336" s="164" t="s">
        <v>163</v>
      </c>
      <c r="M336" s="164">
        <v>70.3</v>
      </c>
      <c r="N336" s="164">
        <v>35.799999999999997</v>
      </c>
      <c r="O336" s="165">
        <v>30.6</v>
      </c>
      <c r="P336" s="165">
        <v>30.6</v>
      </c>
      <c r="Q336" s="164">
        <v>666</v>
      </c>
      <c r="R336" s="164">
        <v>672</v>
      </c>
      <c r="S336" s="166">
        <v>0.01</v>
      </c>
      <c r="T336" s="164" t="s">
        <v>163</v>
      </c>
      <c r="U336" s="164"/>
      <c r="V336" s="167">
        <v>41883</v>
      </c>
      <c r="W336" s="167">
        <v>41884</v>
      </c>
      <c r="X336" s="164" t="s">
        <v>387</v>
      </c>
      <c r="Y336" s="164" t="s">
        <v>1041</v>
      </c>
      <c r="Z336" s="164" t="s">
        <v>163</v>
      </c>
      <c r="AA336" s="168" t="s">
        <v>184</v>
      </c>
      <c r="AB336" s="168" t="s">
        <v>191</v>
      </c>
      <c r="AC336" s="168" t="s">
        <v>162</v>
      </c>
      <c r="AD336" s="168" t="s">
        <v>163</v>
      </c>
      <c r="AE336" s="168" t="s">
        <v>163</v>
      </c>
      <c r="AF336" s="168" t="s">
        <v>163</v>
      </c>
      <c r="AG336" s="168" t="s">
        <v>182</v>
      </c>
      <c r="AH336" s="168" t="str">
        <f t="shared" si="31"/>
        <v>Refrigerator-Bottom Freezer-Automatic-No-No-No-Yes</v>
      </c>
      <c r="AI336" s="168" t="s">
        <v>261</v>
      </c>
      <c r="AJ336" s="168">
        <v>8.85</v>
      </c>
      <c r="AK336" s="169">
        <v>401</v>
      </c>
      <c r="AL336" s="169">
        <f t="shared" si="32"/>
        <v>671.81</v>
      </c>
      <c r="AM336" s="168">
        <f t="shared" si="33"/>
        <v>672</v>
      </c>
      <c r="AN336" s="168">
        <f t="shared" si="34"/>
        <v>666</v>
      </c>
      <c r="AO336" s="164" t="str">
        <f t="shared" si="35"/>
        <v>Yes</v>
      </c>
      <c r="AP336" s="164">
        <f t="shared" si="36"/>
        <v>6</v>
      </c>
    </row>
    <row r="337" spans="2:42">
      <c r="B337" s="164">
        <v>2203490</v>
      </c>
      <c r="C337" s="164" t="s">
        <v>1017</v>
      </c>
      <c r="D337" s="164" t="s">
        <v>1042</v>
      </c>
      <c r="E337" s="164"/>
      <c r="F337" s="164" t="s">
        <v>191</v>
      </c>
      <c r="G337" s="164" t="s">
        <v>162</v>
      </c>
      <c r="H337" s="164" t="s">
        <v>163</v>
      </c>
      <c r="I337" s="164" t="s">
        <v>163</v>
      </c>
      <c r="J337" s="164" t="s">
        <v>163</v>
      </c>
      <c r="K337" s="164" t="s">
        <v>182</v>
      </c>
      <c r="L337" s="164" t="s">
        <v>163</v>
      </c>
      <c r="M337" s="164">
        <v>68.5</v>
      </c>
      <c r="N337" s="164">
        <v>29.8</v>
      </c>
      <c r="O337" s="165">
        <v>21.8</v>
      </c>
      <c r="P337" s="165">
        <v>27.3</v>
      </c>
      <c r="Q337" s="164">
        <v>579</v>
      </c>
      <c r="R337" s="164">
        <v>643</v>
      </c>
      <c r="S337" s="166">
        <v>0.1</v>
      </c>
      <c r="T337" s="164" t="s">
        <v>163</v>
      </c>
      <c r="U337" s="164"/>
      <c r="V337" s="167">
        <v>41667</v>
      </c>
      <c r="W337" s="167">
        <v>41667</v>
      </c>
      <c r="X337" s="164" t="s">
        <v>387</v>
      </c>
      <c r="Y337" s="164" t="s">
        <v>1043</v>
      </c>
      <c r="Z337" s="164" t="s">
        <v>163</v>
      </c>
      <c r="AA337" s="168" t="s">
        <v>184</v>
      </c>
      <c r="AB337" s="168" t="s">
        <v>191</v>
      </c>
      <c r="AC337" s="168" t="s">
        <v>162</v>
      </c>
      <c r="AD337" s="168" t="s">
        <v>163</v>
      </c>
      <c r="AE337" s="168" t="s">
        <v>163</v>
      </c>
      <c r="AF337" s="168" t="s">
        <v>163</v>
      </c>
      <c r="AG337" s="168" t="s">
        <v>182</v>
      </c>
      <c r="AH337" s="168" t="str">
        <f t="shared" si="31"/>
        <v>Refrigerator-Bottom Freezer-Automatic-No-No-No-Yes</v>
      </c>
      <c r="AI337" s="168" t="s">
        <v>261</v>
      </c>
      <c r="AJ337" s="168">
        <v>8.85</v>
      </c>
      <c r="AK337" s="169">
        <v>401</v>
      </c>
      <c r="AL337" s="169">
        <f t="shared" si="32"/>
        <v>642.60500000000002</v>
      </c>
      <c r="AM337" s="168">
        <f t="shared" si="33"/>
        <v>643</v>
      </c>
      <c r="AN337" s="168">
        <f t="shared" si="34"/>
        <v>579</v>
      </c>
      <c r="AO337" s="164" t="str">
        <f t="shared" si="35"/>
        <v>Yes</v>
      </c>
      <c r="AP337" s="164">
        <f t="shared" si="36"/>
        <v>64</v>
      </c>
    </row>
    <row r="338" spans="2:42">
      <c r="B338" s="164">
        <v>2216152</v>
      </c>
      <c r="C338" s="164" t="s">
        <v>1017</v>
      </c>
      <c r="D338" s="164" t="s">
        <v>1044</v>
      </c>
      <c r="E338" s="164"/>
      <c r="F338" s="164" t="s">
        <v>191</v>
      </c>
      <c r="G338" s="164" t="s">
        <v>162</v>
      </c>
      <c r="H338" s="164" t="s">
        <v>163</v>
      </c>
      <c r="I338" s="164" t="s">
        <v>163</v>
      </c>
      <c r="J338" s="164" t="s">
        <v>182</v>
      </c>
      <c r="K338" s="164" t="s">
        <v>182</v>
      </c>
      <c r="L338" s="164" t="s">
        <v>163</v>
      </c>
      <c r="M338" s="164">
        <v>69.8</v>
      </c>
      <c r="N338" s="164">
        <v>35.799999999999997</v>
      </c>
      <c r="O338" s="165">
        <v>19.8</v>
      </c>
      <c r="P338" s="165">
        <v>24.4</v>
      </c>
      <c r="Q338" s="164">
        <v>631</v>
      </c>
      <c r="R338" s="164">
        <v>701</v>
      </c>
      <c r="S338" s="166">
        <v>0.1</v>
      </c>
      <c r="T338" s="164" t="s">
        <v>163</v>
      </c>
      <c r="U338" s="164"/>
      <c r="V338" s="167">
        <v>41810</v>
      </c>
      <c r="W338" s="167">
        <v>41836</v>
      </c>
      <c r="X338" s="164" t="s">
        <v>387</v>
      </c>
      <c r="Y338" s="164" t="s">
        <v>1045</v>
      </c>
      <c r="Z338" s="164" t="s">
        <v>163</v>
      </c>
      <c r="AA338" s="168" t="s">
        <v>184</v>
      </c>
      <c r="AB338" s="168" t="s">
        <v>191</v>
      </c>
      <c r="AC338" s="168" t="s">
        <v>162</v>
      </c>
      <c r="AD338" s="168" t="s">
        <v>163</v>
      </c>
      <c r="AE338" s="168" t="s">
        <v>163</v>
      </c>
      <c r="AF338" s="168" t="s">
        <v>182</v>
      </c>
      <c r="AG338" s="168" t="s">
        <v>182</v>
      </c>
      <c r="AH338" s="168" t="str">
        <f t="shared" si="31"/>
        <v>Refrigerator-Bottom Freezer-Automatic-No-No-Yes-Yes</v>
      </c>
      <c r="AI338" s="168" t="s">
        <v>269</v>
      </c>
      <c r="AJ338" s="168">
        <v>9.25</v>
      </c>
      <c r="AK338" s="169">
        <v>475.4</v>
      </c>
      <c r="AL338" s="169">
        <f t="shared" si="32"/>
        <v>701.09999999999991</v>
      </c>
      <c r="AM338" s="168">
        <f t="shared" si="33"/>
        <v>701</v>
      </c>
      <c r="AN338" s="168">
        <f t="shared" si="34"/>
        <v>631</v>
      </c>
      <c r="AO338" s="164" t="str">
        <f t="shared" si="35"/>
        <v>Yes</v>
      </c>
      <c r="AP338" s="164">
        <f t="shared" si="36"/>
        <v>70</v>
      </c>
    </row>
    <row r="339" spans="2:42">
      <c r="B339" s="164">
        <v>2205760</v>
      </c>
      <c r="C339" s="164" t="s">
        <v>1017</v>
      </c>
      <c r="D339" s="164" t="s">
        <v>1046</v>
      </c>
      <c r="E339" s="164"/>
      <c r="F339" s="164" t="s">
        <v>191</v>
      </c>
      <c r="G339" s="164" t="s">
        <v>162</v>
      </c>
      <c r="H339" s="164" t="s">
        <v>163</v>
      </c>
      <c r="I339" s="164" t="s">
        <v>163</v>
      </c>
      <c r="J339" s="164" t="s">
        <v>182</v>
      </c>
      <c r="K339" s="164" t="s">
        <v>182</v>
      </c>
      <c r="L339" s="164" t="s">
        <v>163</v>
      </c>
      <c r="M339" s="164">
        <v>69.8</v>
      </c>
      <c r="N339" s="164">
        <v>35.799999999999997</v>
      </c>
      <c r="O339" s="165">
        <v>26.8</v>
      </c>
      <c r="P339" s="165">
        <v>33.5</v>
      </c>
      <c r="Q339" s="164">
        <v>707</v>
      </c>
      <c r="R339" s="164">
        <v>785</v>
      </c>
      <c r="S339" s="166">
        <v>0.1</v>
      </c>
      <c r="T339" s="164" t="s">
        <v>163</v>
      </c>
      <c r="U339" s="164"/>
      <c r="V339" s="167">
        <v>41690</v>
      </c>
      <c r="W339" s="167">
        <v>41702</v>
      </c>
      <c r="X339" s="164" t="s">
        <v>387</v>
      </c>
      <c r="Y339" s="164" t="s">
        <v>1047</v>
      </c>
      <c r="Z339" s="164" t="s">
        <v>163</v>
      </c>
      <c r="AA339" s="168" t="s">
        <v>184</v>
      </c>
      <c r="AB339" s="168" t="s">
        <v>191</v>
      </c>
      <c r="AC339" s="168" t="s">
        <v>162</v>
      </c>
      <c r="AD339" s="168" t="s">
        <v>163</v>
      </c>
      <c r="AE339" s="168" t="s">
        <v>163</v>
      </c>
      <c r="AF339" s="168" t="s">
        <v>182</v>
      </c>
      <c r="AG339" s="168" t="s">
        <v>182</v>
      </c>
      <c r="AH339" s="168" t="str">
        <f t="shared" si="31"/>
        <v>Refrigerator-Bottom Freezer-Automatic-No-No-Yes-Yes</v>
      </c>
      <c r="AI339" s="168" t="s">
        <v>269</v>
      </c>
      <c r="AJ339" s="168">
        <v>9.25</v>
      </c>
      <c r="AK339" s="169">
        <v>475.4</v>
      </c>
      <c r="AL339" s="169">
        <f t="shared" si="32"/>
        <v>785.27499999999998</v>
      </c>
      <c r="AM339" s="168">
        <f t="shared" si="33"/>
        <v>785</v>
      </c>
      <c r="AN339" s="168">
        <f t="shared" si="34"/>
        <v>707</v>
      </c>
      <c r="AO339" s="164" t="str">
        <f t="shared" si="35"/>
        <v>Yes</v>
      </c>
      <c r="AP339" s="164">
        <f t="shared" si="36"/>
        <v>78</v>
      </c>
    </row>
    <row r="340" spans="2:42">
      <c r="B340" s="164">
        <v>2203671</v>
      </c>
      <c r="C340" s="164" t="s">
        <v>1017</v>
      </c>
      <c r="D340" s="164" t="s">
        <v>1048</v>
      </c>
      <c r="E340" s="164"/>
      <c r="F340" s="164" t="s">
        <v>191</v>
      </c>
      <c r="G340" s="164" t="s">
        <v>162</v>
      </c>
      <c r="H340" s="164" t="s">
        <v>163</v>
      </c>
      <c r="I340" s="164" t="s">
        <v>163</v>
      </c>
      <c r="J340" s="164" t="s">
        <v>182</v>
      </c>
      <c r="K340" s="164" t="s">
        <v>182</v>
      </c>
      <c r="L340" s="164" t="s">
        <v>163</v>
      </c>
      <c r="M340" s="164">
        <v>68.5</v>
      </c>
      <c r="N340" s="164">
        <v>29.8</v>
      </c>
      <c r="O340" s="165">
        <v>28.8</v>
      </c>
      <c r="P340" s="165">
        <v>36.299999999999997</v>
      </c>
      <c r="Q340" s="164">
        <v>641</v>
      </c>
      <c r="R340" s="164">
        <v>811</v>
      </c>
      <c r="S340" s="166">
        <v>0.21</v>
      </c>
      <c r="T340" s="164" t="s">
        <v>163</v>
      </c>
      <c r="U340" s="164"/>
      <c r="V340" s="167">
        <v>41690</v>
      </c>
      <c r="W340" s="167">
        <v>41667</v>
      </c>
      <c r="X340" s="164" t="s">
        <v>387</v>
      </c>
      <c r="Y340" s="164" t="s">
        <v>1049</v>
      </c>
      <c r="Z340" s="164" t="s">
        <v>163</v>
      </c>
      <c r="AA340" s="168" t="s">
        <v>184</v>
      </c>
      <c r="AB340" s="168" t="s">
        <v>191</v>
      </c>
      <c r="AC340" s="168" t="s">
        <v>162</v>
      </c>
      <c r="AD340" s="168" t="s">
        <v>163</v>
      </c>
      <c r="AE340" s="168" t="s">
        <v>163</v>
      </c>
      <c r="AF340" s="168" t="s">
        <v>182</v>
      </c>
      <c r="AG340" s="168" t="s">
        <v>182</v>
      </c>
      <c r="AH340" s="168" t="str">
        <f t="shared" si="31"/>
        <v>Refrigerator-Bottom Freezer-Automatic-No-No-Yes-Yes</v>
      </c>
      <c r="AI340" s="168" t="s">
        <v>269</v>
      </c>
      <c r="AJ340" s="168">
        <v>9.25</v>
      </c>
      <c r="AK340" s="169">
        <v>475.4</v>
      </c>
      <c r="AL340" s="169">
        <f t="shared" si="32"/>
        <v>811.17499999999995</v>
      </c>
      <c r="AM340" s="168">
        <f t="shared" si="33"/>
        <v>811</v>
      </c>
      <c r="AN340" s="168">
        <f t="shared" si="34"/>
        <v>641</v>
      </c>
      <c r="AO340" s="164" t="str">
        <f t="shared" si="35"/>
        <v>Yes</v>
      </c>
      <c r="AP340" s="164">
        <f t="shared" si="36"/>
        <v>170</v>
      </c>
    </row>
    <row r="341" spans="2:42">
      <c r="B341" s="164">
        <v>2212307</v>
      </c>
      <c r="C341" s="164" t="s">
        <v>1017</v>
      </c>
      <c r="D341" s="164" t="s">
        <v>1050</v>
      </c>
      <c r="E341" s="164"/>
      <c r="F341" s="164" t="s">
        <v>191</v>
      </c>
      <c r="G341" s="164" t="s">
        <v>162</v>
      </c>
      <c r="H341" s="164" t="s">
        <v>163</v>
      </c>
      <c r="I341" s="164" t="s">
        <v>163</v>
      </c>
      <c r="J341" s="164" t="s">
        <v>182</v>
      </c>
      <c r="K341" s="164" t="s">
        <v>182</v>
      </c>
      <c r="L341" s="164" t="s">
        <v>182</v>
      </c>
      <c r="M341" s="164">
        <v>70.3</v>
      </c>
      <c r="N341" s="164">
        <v>35.799999999999997</v>
      </c>
      <c r="O341" s="165">
        <v>23.7</v>
      </c>
      <c r="P341" s="165">
        <v>29.7</v>
      </c>
      <c r="Q341" s="164">
        <v>675</v>
      </c>
      <c r="R341" s="164">
        <v>750</v>
      </c>
      <c r="S341" s="166">
        <v>0.1</v>
      </c>
      <c r="T341" s="164" t="s">
        <v>163</v>
      </c>
      <c r="U341" s="164"/>
      <c r="V341" s="167">
        <v>41817</v>
      </c>
      <c r="W341" s="167">
        <v>41789</v>
      </c>
      <c r="X341" s="164" t="s">
        <v>387</v>
      </c>
      <c r="Y341" s="164" t="s">
        <v>1051</v>
      </c>
      <c r="Z341" s="164" t="s">
        <v>163</v>
      </c>
      <c r="AA341" s="168" t="s">
        <v>184</v>
      </c>
      <c r="AB341" s="168" t="s">
        <v>191</v>
      </c>
      <c r="AC341" s="168" t="s">
        <v>162</v>
      </c>
      <c r="AD341" s="168" t="s">
        <v>163</v>
      </c>
      <c r="AE341" s="168" t="s">
        <v>163</v>
      </c>
      <c r="AF341" s="168" t="s">
        <v>182</v>
      </c>
      <c r="AG341" s="168" t="s">
        <v>182</v>
      </c>
      <c r="AH341" s="168" t="str">
        <f t="shared" si="31"/>
        <v>Refrigerator-Bottom Freezer-Automatic-No-No-Yes-Yes</v>
      </c>
      <c r="AI341" s="168" t="s">
        <v>269</v>
      </c>
      <c r="AJ341" s="168">
        <v>9.25</v>
      </c>
      <c r="AK341" s="169">
        <v>475.4</v>
      </c>
      <c r="AL341" s="169">
        <f t="shared" si="32"/>
        <v>750.125</v>
      </c>
      <c r="AM341" s="168">
        <f t="shared" si="33"/>
        <v>750</v>
      </c>
      <c r="AN341" s="168">
        <f t="shared" si="34"/>
        <v>675</v>
      </c>
      <c r="AO341" s="164" t="str">
        <f t="shared" si="35"/>
        <v>Yes</v>
      </c>
      <c r="AP341" s="164">
        <f t="shared" si="36"/>
        <v>75</v>
      </c>
    </row>
    <row r="342" spans="2:42">
      <c r="B342" s="164">
        <v>2211706</v>
      </c>
      <c r="C342" s="164" t="s">
        <v>1017</v>
      </c>
      <c r="D342" s="164" t="s">
        <v>1052</v>
      </c>
      <c r="E342" s="164"/>
      <c r="F342" s="164" t="s">
        <v>191</v>
      </c>
      <c r="G342" s="164" t="s">
        <v>162</v>
      </c>
      <c r="H342" s="164" t="s">
        <v>163</v>
      </c>
      <c r="I342" s="164" t="s">
        <v>163</v>
      </c>
      <c r="J342" s="164" t="s">
        <v>182</v>
      </c>
      <c r="K342" s="164" t="s">
        <v>182</v>
      </c>
      <c r="L342" s="164" t="s">
        <v>182</v>
      </c>
      <c r="M342" s="164">
        <v>70.3</v>
      </c>
      <c r="N342" s="164">
        <v>35.799999999999997</v>
      </c>
      <c r="O342" s="165">
        <v>23.5</v>
      </c>
      <c r="P342" s="165">
        <v>29.5</v>
      </c>
      <c r="Q342" s="164">
        <v>708</v>
      </c>
      <c r="R342" s="164">
        <v>748</v>
      </c>
      <c r="S342" s="166">
        <v>0.05</v>
      </c>
      <c r="T342" s="164" t="s">
        <v>182</v>
      </c>
      <c r="U342" s="164" t="s">
        <v>182</v>
      </c>
      <c r="V342" s="167">
        <v>41811</v>
      </c>
      <c r="W342" s="167">
        <v>41782</v>
      </c>
      <c r="X342" s="164" t="s">
        <v>387</v>
      </c>
      <c r="Y342" s="164" t="s">
        <v>1053</v>
      </c>
      <c r="Z342" s="164" t="s">
        <v>163</v>
      </c>
      <c r="AA342" s="168" t="s">
        <v>184</v>
      </c>
      <c r="AB342" s="168" t="s">
        <v>191</v>
      </c>
      <c r="AC342" s="168" t="s">
        <v>162</v>
      </c>
      <c r="AD342" s="168" t="s">
        <v>163</v>
      </c>
      <c r="AE342" s="168" t="s">
        <v>163</v>
      </c>
      <c r="AF342" s="168" t="s">
        <v>182</v>
      </c>
      <c r="AG342" s="168" t="s">
        <v>182</v>
      </c>
      <c r="AH342" s="168" t="str">
        <f t="shared" si="31"/>
        <v>Refrigerator-Bottom Freezer-Automatic-No-No-Yes-Yes</v>
      </c>
      <c r="AI342" s="168" t="s">
        <v>269</v>
      </c>
      <c r="AJ342" s="168">
        <v>9.25</v>
      </c>
      <c r="AK342" s="169">
        <v>475.4</v>
      </c>
      <c r="AL342" s="169">
        <f t="shared" si="32"/>
        <v>748.27499999999998</v>
      </c>
      <c r="AM342" s="168">
        <f t="shared" si="33"/>
        <v>748</v>
      </c>
      <c r="AN342" s="168">
        <f t="shared" si="34"/>
        <v>708</v>
      </c>
      <c r="AO342" s="164" t="str">
        <f t="shared" si="35"/>
        <v>Yes</v>
      </c>
      <c r="AP342" s="164">
        <f t="shared" si="36"/>
        <v>40</v>
      </c>
    </row>
    <row r="343" spans="2:42">
      <c r="B343" s="164">
        <v>2214542</v>
      </c>
      <c r="C343" s="164" t="s">
        <v>1017</v>
      </c>
      <c r="D343" s="164" t="s">
        <v>1054</v>
      </c>
      <c r="E343" s="164"/>
      <c r="F343" s="164" t="s">
        <v>191</v>
      </c>
      <c r="G343" s="164" t="s">
        <v>162</v>
      </c>
      <c r="H343" s="164" t="s">
        <v>163</v>
      </c>
      <c r="I343" s="164" t="s">
        <v>163</v>
      </c>
      <c r="J343" s="164" t="s">
        <v>182</v>
      </c>
      <c r="K343" s="164" t="s">
        <v>182</v>
      </c>
      <c r="L343" s="164" t="s">
        <v>163</v>
      </c>
      <c r="M343" s="164">
        <v>69.8</v>
      </c>
      <c r="N343" s="164">
        <v>32.799999999999997</v>
      </c>
      <c r="O343" s="165">
        <v>24.2</v>
      </c>
      <c r="P343" s="165">
        <v>30.3</v>
      </c>
      <c r="Q343" s="164">
        <v>680</v>
      </c>
      <c r="R343" s="164">
        <v>756</v>
      </c>
      <c r="S343" s="166">
        <v>0.1</v>
      </c>
      <c r="T343" s="164" t="s">
        <v>163</v>
      </c>
      <c r="U343" s="164"/>
      <c r="V343" s="167">
        <v>41821</v>
      </c>
      <c r="W343" s="167">
        <v>41820</v>
      </c>
      <c r="X343" s="164" t="s">
        <v>387</v>
      </c>
      <c r="Y343" s="164" t="s">
        <v>1055</v>
      </c>
      <c r="Z343" s="164" t="s">
        <v>163</v>
      </c>
      <c r="AA343" s="168" t="s">
        <v>184</v>
      </c>
      <c r="AB343" s="168" t="s">
        <v>191</v>
      </c>
      <c r="AC343" s="168" t="s">
        <v>162</v>
      </c>
      <c r="AD343" s="168" t="s">
        <v>163</v>
      </c>
      <c r="AE343" s="168" t="s">
        <v>163</v>
      </c>
      <c r="AF343" s="168" t="s">
        <v>182</v>
      </c>
      <c r="AG343" s="168" t="s">
        <v>182</v>
      </c>
      <c r="AH343" s="168" t="str">
        <f t="shared" si="31"/>
        <v>Refrigerator-Bottom Freezer-Automatic-No-No-Yes-Yes</v>
      </c>
      <c r="AI343" s="168" t="s">
        <v>269</v>
      </c>
      <c r="AJ343" s="168">
        <v>9.25</v>
      </c>
      <c r="AK343" s="169">
        <v>475.4</v>
      </c>
      <c r="AL343" s="169">
        <f t="shared" si="32"/>
        <v>755.67499999999995</v>
      </c>
      <c r="AM343" s="168">
        <f t="shared" si="33"/>
        <v>756</v>
      </c>
      <c r="AN343" s="168">
        <f t="shared" si="34"/>
        <v>680</v>
      </c>
      <c r="AO343" s="164" t="str">
        <f t="shared" si="35"/>
        <v>Yes</v>
      </c>
      <c r="AP343" s="164">
        <f t="shared" si="36"/>
        <v>76</v>
      </c>
    </row>
    <row r="344" spans="2:42">
      <c r="B344" s="164">
        <v>2217511</v>
      </c>
      <c r="C344" s="164" t="s">
        <v>1017</v>
      </c>
      <c r="D344" s="164" t="s">
        <v>1056</v>
      </c>
      <c r="E344" s="164"/>
      <c r="F344" s="164" t="s">
        <v>191</v>
      </c>
      <c r="G344" s="164" t="s">
        <v>162</v>
      </c>
      <c r="H344" s="164" t="s">
        <v>163</v>
      </c>
      <c r="I344" s="164" t="s">
        <v>163</v>
      </c>
      <c r="J344" s="164" t="s">
        <v>182</v>
      </c>
      <c r="K344" s="164" t="s">
        <v>182</v>
      </c>
      <c r="L344" s="164" t="s">
        <v>163</v>
      </c>
      <c r="M344" s="164">
        <v>69.8</v>
      </c>
      <c r="N344" s="164">
        <v>32.799999999999997</v>
      </c>
      <c r="O344" s="165">
        <v>24.4</v>
      </c>
      <c r="P344" s="165">
        <v>30.5</v>
      </c>
      <c r="Q344" s="164">
        <v>682</v>
      </c>
      <c r="R344" s="164">
        <v>758</v>
      </c>
      <c r="S344" s="166">
        <v>0.1</v>
      </c>
      <c r="T344" s="164" t="s">
        <v>163</v>
      </c>
      <c r="U344" s="164"/>
      <c r="V344" s="167">
        <v>41866</v>
      </c>
      <c r="W344" s="167">
        <v>41864</v>
      </c>
      <c r="X344" s="164" t="s">
        <v>387</v>
      </c>
      <c r="Y344" s="164" t="s">
        <v>1057</v>
      </c>
      <c r="Z344" s="164" t="s">
        <v>163</v>
      </c>
      <c r="AA344" s="168" t="s">
        <v>184</v>
      </c>
      <c r="AB344" s="168" t="s">
        <v>191</v>
      </c>
      <c r="AC344" s="168" t="s">
        <v>162</v>
      </c>
      <c r="AD344" s="168" t="s">
        <v>163</v>
      </c>
      <c r="AE344" s="168" t="s">
        <v>163</v>
      </c>
      <c r="AF344" s="168" t="s">
        <v>182</v>
      </c>
      <c r="AG344" s="168" t="s">
        <v>182</v>
      </c>
      <c r="AH344" s="168" t="str">
        <f t="shared" si="31"/>
        <v>Refrigerator-Bottom Freezer-Automatic-No-No-Yes-Yes</v>
      </c>
      <c r="AI344" s="168" t="s">
        <v>269</v>
      </c>
      <c r="AJ344" s="168">
        <v>9.25</v>
      </c>
      <c r="AK344" s="169">
        <v>475.4</v>
      </c>
      <c r="AL344" s="169">
        <f t="shared" si="32"/>
        <v>757.52499999999998</v>
      </c>
      <c r="AM344" s="168">
        <f t="shared" si="33"/>
        <v>758</v>
      </c>
      <c r="AN344" s="168">
        <f t="shared" si="34"/>
        <v>682</v>
      </c>
      <c r="AO344" s="164" t="str">
        <f t="shared" si="35"/>
        <v>Yes</v>
      </c>
      <c r="AP344" s="164">
        <f t="shared" si="36"/>
        <v>76</v>
      </c>
    </row>
    <row r="345" spans="2:42">
      <c r="B345" s="164">
        <v>2216153</v>
      </c>
      <c r="C345" s="164" t="s">
        <v>1017</v>
      </c>
      <c r="D345" s="164" t="s">
        <v>1058</v>
      </c>
      <c r="E345" s="164"/>
      <c r="F345" s="164" t="s">
        <v>191</v>
      </c>
      <c r="G345" s="164" t="s">
        <v>162</v>
      </c>
      <c r="H345" s="164" t="s">
        <v>163</v>
      </c>
      <c r="I345" s="164" t="s">
        <v>163</v>
      </c>
      <c r="J345" s="164" t="s">
        <v>182</v>
      </c>
      <c r="K345" s="164" t="s">
        <v>182</v>
      </c>
      <c r="L345" s="164" t="s">
        <v>163</v>
      </c>
      <c r="M345" s="164">
        <v>69.8</v>
      </c>
      <c r="N345" s="164">
        <v>35.799999999999997</v>
      </c>
      <c r="O345" s="165">
        <v>26.6</v>
      </c>
      <c r="P345" s="165">
        <v>33.4</v>
      </c>
      <c r="Q345" s="164">
        <v>706</v>
      </c>
      <c r="R345" s="164">
        <v>784</v>
      </c>
      <c r="S345" s="166">
        <v>0.1</v>
      </c>
      <c r="T345" s="164" t="s">
        <v>163</v>
      </c>
      <c r="U345" s="164"/>
      <c r="V345" s="167">
        <v>41840</v>
      </c>
      <c r="W345" s="167">
        <v>41836</v>
      </c>
      <c r="X345" s="164" t="s">
        <v>387</v>
      </c>
      <c r="Y345" s="164" t="s">
        <v>1059</v>
      </c>
      <c r="Z345" s="164" t="s">
        <v>163</v>
      </c>
      <c r="AA345" s="168" t="s">
        <v>184</v>
      </c>
      <c r="AB345" s="168" t="s">
        <v>191</v>
      </c>
      <c r="AC345" s="168" t="s">
        <v>162</v>
      </c>
      <c r="AD345" s="168" t="s">
        <v>163</v>
      </c>
      <c r="AE345" s="168" t="s">
        <v>163</v>
      </c>
      <c r="AF345" s="168" t="s">
        <v>182</v>
      </c>
      <c r="AG345" s="168" t="s">
        <v>182</v>
      </c>
      <c r="AH345" s="168" t="str">
        <f t="shared" si="31"/>
        <v>Refrigerator-Bottom Freezer-Automatic-No-No-Yes-Yes</v>
      </c>
      <c r="AI345" s="168" t="s">
        <v>269</v>
      </c>
      <c r="AJ345" s="168">
        <v>9.25</v>
      </c>
      <c r="AK345" s="169">
        <v>475.4</v>
      </c>
      <c r="AL345" s="169">
        <f t="shared" si="32"/>
        <v>784.34999999999991</v>
      </c>
      <c r="AM345" s="168">
        <f t="shared" si="33"/>
        <v>784</v>
      </c>
      <c r="AN345" s="168">
        <f t="shared" si="34"/>
        <v>706</v>
      </c>
      <c r="AO345" s="164" t="str">
        <f t="shared" si="35"/>
        <v>Yes</v>
      </c>
      <c r="AP345" s="164">
        <f t="shared" si="36"/>
        <v>78</v>
      </c>
    </row>
    <row r="346" spans="2:42">
      <c r="B346" s="164">
        <v>2216473</v>
      </c>
      <c r="C346" s="164" t="s">
        <v>1017</v>
      </c>
      <c r="D346" s="164" t="s">
        <v>1060</v>
      </c>
      <c r="E346" s="164"/>
      <c r="F346" s="164" t="s">
        <v>191</v>
      </c>
      <c r="G346" s="164" t="s">
        <v>162</v>
      </c>
      <c r="H346" s="164" t="s">
        <v>163</v>
      </c>
      <c r="I346" s="164" t="s">
        <v>163</v>
      </c>
      <c r="J346" s="164" t="s">
        <v>182</v>
      </c>
      <c r="K346" s="164" t="s">
        <v>182</v>
      </c>
      <c r="L346" s="164" t="s">
        <v>163</v>
      </c>
      <c r="M346" s="164">
        <v>70.3</v>
      </c>
      <c r="N346" s="164">
        <v>35.799999999999997</v>
      </c>
      <c r="O346" s="165">
        <v>28.7</v>
      </c>
      <c r="P346" s="165">
        <v>36.200000000000003</v>
      </c>
      <c r="Q346" s="164">
        <v>730</v>
      </c>
      <c r="R346" s="164">
        <v>810</v>
      </c>
      <c r="S346" s="166">
        <v>0.1</v>
      </c>
      <c r="T346" s="164" t="s">
        <v>163</v>
      </c>
      <c r="U346" s="164"/>
      <c r="V346" s="167">
        <v>41873</v>
      </c>
      <c r="W346" s="167">
        <v>41845</v>
      </c>
      <c r="X346" s="164" t="s">
        <v>387</v>
      </c>
      <c r="Y346" s="164" t="s">
        <v>1061</v>
      </c>
      <c r="Z346" s="164" t="s">
        <v>163</v>
      </c>
      <c r="AA346" s="168" t="s">
        <v>184</v>
      </c>
      <c r="AB346" s="168" t="s">
        <v>191</v>
      </c>
      <c r="AC346" s="168" t="s">
        <v>162</v>
      </c>
      <c r="AD346" s="168" t="s">
        <v>163</v>
      </c>
      <c r="AE346" s="168" t="s">
        <v>163</v>
      </c>
      <c r="AF346" s="168" t="s">
        <v>182</v>
      </c>
      <c r="AG346" s="168" t="s">
        <v>182</v>
      </c>
      <c r="AH346" s="168" t="str">
        <f t="shared" si="31"/>
        <v>Refrigerator-Bottom Freezer-Automatic-No-No-Yes-Yes</v>
      </c>
      <c r="AI346" s="168" t="s">
        <v>269</v>
      </c>
      <c r="AJ346" s="168">
        <v>9.25</v>
      </c>
      <c r="AK346" s="169">
        <v>475.4</v>
      </c>
      <c r="AL346" s="169">
        <f t="shared" si="32"/>
        <v>810.25</v>
      </c>
      <c r="AM346" s="168">
        <f t="shared" si="33"/>
        <v>810</v>
      </c>
      <c r="AN346" s="168">
        <f t="shared" si="34"/>
        <v>730</v>
      </c>
      <c r="AO346" s="164" t="str">
        <f t="shared" si="35"/>
        <v>Yes</v>
      </c>
      <c r="AP346" s="164">
        <f t="shared" si="36"/>
        <v>80</v>
      </c>
    </row>
    <row r="347" spans="2:42">
      <c r="B347" s="164">
        <v>2216472</v>
      </c>
      <c r="C347" s="164" t="s">
        <v>1017</v>
      </c>
      <c r="D347" s="164" t="s">
        <v>1062</v>
      </c>
      <c r="E347" s="164"/>
      <c r="F347" s="164" t="s">
        <v>191</v>
      </c>
      <c r="G347" s="164" t="s">
        <v>162</v>
      </c>
      <c r="H347" s="164" t="s">
        <v>163</v>
      </c>
      <c r="I347" s="164" t="s">
        <v>163</v>
      </c>
      <c r="J347" s="164" t="s">
        <v>182</v>
      </c>
      <c r="K347" s="164" t="s">
        <v>182</v>
      </c>
      <c r="L347" s="164" t="s">
        <v>163</v>
      </c>
      <c r="M347" s="164">
        <v>70.3</v>
      </c>
      <c r="N347" s="164">
        <v>35.799999999999997</v>
      </c>
      <c r="O347" s="165">
        <v>28.5</v>
      </c>
      <c r="P347" s="165">
        <v>36</v>
      </c>
      <c r="Q347" s="164">
        <v>728</v>
      </c>
      <c r="R347" s="164">
        <v>808</v>
      </c>
      <c r="S347" s="166">
        <v>0.1</v>
      </c>
      <c r="T347" s="164" t="s">
        <v>163</v>
      </c>
      <c r="U347" s="164"/>
      <c r="V347" s="167">
        <v>41873</v>
      </c>
      <c r="W347" s="167">
        <v>41845</v>
      </c>
      <c r="X347" s="164" t="s">
        <v>387</v>
      </c>
      <c r="Y347" s="164" t="s">
        <v>1063</v>
      </c>
      <c r="Z347" s="164" t="s">
        <v>163</v>
      </c>
      <c r="AA347" s="168" t="s">
        <v>184</v>
      </c>
      <c r="AB347" s="168" t="s">
        <v>191</v>
      </c>
      <c r="AC347" s="168" t="s">
        <v>162</v>
      </c>
      <c r="AD347" s="168" t="s">
        <v>163</v>
      </c>
      <c r="AE347" s="168" t="s">
        <v>163</v>
      </c>
      <c r="AF347" s="168" t="s">
        <v>182</v>
      </c>
      <c r="AG347" s="168" t="s">
        <v>182</v>
      </c>
      <c r="AH347" s="168" t="str">
        <f t="shared" si="31"/>
        <v>Refrigerator-Bottom Freezer-Automatic-No-No-Yes-Yes</v>
      </c>
      <c r="AI347" s="168" t="s">
        <v>269</v>
      </c>
      <c r="AJ347" s="168">
        <v>9.25</v>
      </c>
      <c r="AK347" s="169">
        <v>475.4</v>
      </c>
      <c r="AL347" s="169">
        <f t="shared" si="32"/>
        <v>808.4</v>
      </c>
      <c r="AM347" s="168">
        <f t="shared" si="33"/>
        <v>808</v>
      </c>
      <c r="AN347" s="168">
        <f t="shared" si="34"/>
        <v>728</v>
      </c>
      <c r="AO347" s="164" t="str">
        <f t="shared" si="35"/>
        <v>Yes</v>
      </c>
      <c r="AP347" s="164">
        <f t="shared" si="36"/>
        <v>80</v>
      </c>
    </row>
    <row r="348" spans="2:42">
      <c r="B348" s="164">
        <v>2212305</v>
      </c>
      <c r="C348" s="164" t="s">
        <v>1017</v>
      </c>
      <c r="D348" s="164" t="s">
        <v>1064</v>
      </c>
      <c r="E348" s="164"/>
      <c r="F348" s="164" t="s">
        <v>191</v>
      </c>
      <c r="G348" s="164" t="s">
        <v>162</v>
      </c>
      <c r="H348" s="164" t="s">
        <v>163</v>
      </c>
      <c r="I348" s="164" t="s">
        <v>163</v>
      </c>
      <c r="J348" s="164" t="s">
        <v>182</v>
      </c>
      <c r="K348" s="164" t="s">
        <v>182</v>
      </c>
      <c r="L348" s="164" t="s">
        <v>163</v>
      </c>
      <c r="M348" s="164">
        <v>70.3</v>
      </c>
      <c r="N348" s="164">
        <v>35.799999999999997</v>
      </c>
      <c r="O348" s="165">
        <v>29.8</v>
      </c>
      <c r="P348" s="165">
        <v>37.5</v>
      </c>
      <c r="Q348" s="164">
        <v>740</v>
      </c>
      <c r="R348" s="164">
        <v>822</v>
      </c>
      <c r="S348" s="166">
        <v>0.1</v>
      </c>
      <c r="T348" s="164" t="s">
        <v>163</v>
      </c>
      <c r="U348" s="164"/>
      <c r="V348" s="167">
        <v>41817</v>
      </c>
      <c r="W348" s="167">
        <v>41789</v>
      </c>
      <c r="X348" s="164" t="s">
        <v>387</v>
      </c>
      <c r="Y348" s="164" t="s">
        <v>1065</v>
      </c>
      <c r="Z348" s="164" t="s">
        <v>163</v>
      </c>
      <c r="AA348" s="168" t="s">
        <v>184</v>
      </c>
      <c r="AB348" s="168" t="s">
        <v>191</v>
      </c>
      <c r="AC348" s="168" t="s">
        <v>162</v>
      </c>
      <c r="AD348" s="168" t="s">
        <v>163</v>
      </c>
      <c r="AE348" s="168" t="s">
        <v>163</v>
      </c>
      <c r="AF348" s="168" t="s">
        <v>182</v>
      </c>
      <c r="AG348" s="168" t="s">
        <v>182</v>
      </c>
      <c r="AH348" s="168" t="str">
        <f t="shared" si="31"/>
        <v>Refrigerator-Bottom Freezer-Automatic-No-No-Yes-Yes</v>
      </c>
      <c r="AI348" s="168" t="s">
        <v>269</v>
      </c>
      <c r="AJ348" s="168">
        <v>9.25</v>
      </c>
      <c r="AK348" s="169">
        <v>475.4</v>
      </c>
      <c r="AL348" s="169">
        <f t="shared" si="32"/>
        <v>822.27499999999998</v>
      </c>
      <c r="AM348" s="168">
        <f t="shared" si="33"/>
        <v>822</v>
      </c>
      <c r="AN348" s="168">
        <f t="shared" si="34"/>
        <v>740</v>
      </c>
      <c r="AO348" s="164" t="str">
        <f t="shared" si="35"/>
        <v>Yes</v>
      </c>
      <c r="AP348" s="164">
        <f t="shared" si="36"/>
        <v>82</v>
      </c>
    </row>
    <row r="349" spans="2:42">
      <c r="B349" s="164">
        <v>2211032</v>
      </c>
      <c r="C349" s="164" t="s">
        <v>1017</v>
      </c>
      <c r="D349" s="164" t="s">
        <v>1066</v>
      </c>
      <c r="E349" s="164"/>
      <c r="F349" s="164" t="s">
        <v>191</v>
      </c>
      <c r="G349" s="164" t="s">
        <v>162</v>
      </c>
      <c r="H349" s="164" t="s">
        <v>163</v>
      </c>
      <c r="I349" s="164" t="s">
        <v>163</v>
      </c>
      <c r="J349" s="164" t="s">
        <v>182</v>
      </c>
      <c r="K349" s="164" t="s">
        <v>182</v>
      </c>
      <c r="L349" s="164" t="s">
        <v>163</v>
      </c>
      <c r="M349" s="164">
        <v>70.3</v>
      </c>
      <c r="N349" s="164">
        <v>35.799999999999997</v>
      </c>
      <c r="O349" s="165">
        <v>29.6</v>
      </c>
      <c r="P349" s="165">
        <v>37.299999999999997</v>
      </c>
      <c r="Q349" s="164">
        <v>776</v>
      </c>
      <c r="R349" s="164">
        <v>820</v>
      </c>
      <c r="S349" s="166">
        <v>0.05</v>
      </c>
      <c r="T349" s="164" t="s">
        <v>182</v>
      </c>
      <c r="U349" s="164" t="s">
        <v>182</v>
      </c>
      <c r="V349" s="167">
        <v>41802</v>
      </c>
      <c r="W349" s="167">
        <v>41779</v>
      </c>
      <c r="X349" s="164" t="s">
        <v>387</v>
      </c>
      <c r="Y349" s="164" t="s">
        <v>1067</v>
      </c>
      <c r="Z349" s="164" t="s">
        <v>163</v>
      </c>
      <c r="AA349" s="168" t="s">
        <v>184</v>
      </c>
      <c r="AB349" s="168" t="s">
        <v>191</v>
      </c>
      <c r="AC349" s="168" t="s">
        <v>162</v>
      </c>
      <c r="AD349" s="168" t="s">
        <v>163</v>
      </c>
      <c r="AE349" s="168" t="s">
        <v>163</v>
      </c>
      <c r="AF349" s="168" t="s">
        <v>182</v>
      </c>
      <c r="AG349" s="168" t="s">
        <v>182</v>
      </c>
      <c r="AH349" s="168" t="str">
        <f t="shared" si="31"/>
        <v>Refrigerator-Bottom Freezer-Automatic-No-No-Yes-Yes</v>
      </c>
      <c r="AI349" s="168" t="s">
        <v>269</v>
      </c>
      <c r="AJ349" s="168">
        <v>9.25</v>
      </c>
      <c r="AK349" s="169">
        <v>475.4</v>
      </c>
      <c r="AL349" s="169">
        <f t="shared" si="32"/>
        <v>820.42499999999995</v>
      </c>
      <c r="AM349" s="168">
        <f t="shared" si="33"/>
        <v>820</v>
      </c>
      <c r="AN349" s="168">
        <f t="shared" si="34"/>
        <v>776</v>
      </c>
      <c r="AO349" s="164" t="str">
        <f t="shared" si="35"/>
        <v>Yes</v>
      </c>
      <c r="AP349" s="164">
        <f t="shared" si="36"/>
        <v>44</v>
      </c>
    </row>
    <row r="350" spans="2:42">
      <c r="B350" s="164">
        <v>2216471</v>
      </c>
      <c r="C350" s="164" t="s">
        <v>1017</v>
      </c>
      <c r="D350" s="164" t="s">
        <v>1068</v>
      </c>
      <c r="E350" s="164"/>
      <c r="F350" s="164" t="s">
        <v>191</v>
      </c>
      <c r="G350" s="164" t="s">
        <v>162</v>
      </c>
      <c r="H350" s="164" t="s">
        <v>163</v>
      </c>
      <c r="I350" s="164" t="s">
        <v>163</v>
      </c>
      <c r="J350" s="164" t="s">
        <v>182</v>
      </c>
      <c r="K350" s="164" t="s">
        <v>182</v>
      </c>
      <c r="L350" s="164" t="s">
        <v>163</v>
      </c>
      <c r="M350" s="164">
        <v>70.3</v>
      </c>
      <c r="N350" s="164">
        <v>35.799999999999997</v>
      </c>
      <c r="O350" s="165">
        <v>31.7</v>
      </c>
      <c r="P350" s="165">
        <v>39.9</v>
      </c>
      <c r="Q350" s="164">
        <v>760</v>
      </c>
      <c r="R350" s="164">
        <v>844</v>
      </c>
      <c r="S350" s="166">
        <v>0.1</v>
      </c>
      <c r="T350" s="164" t="s">
        <v>163</v>
      </c>
      <c r="U350" s="164"/>
      <c r="V350" s="167">
        <v>41873</v>
      </c>
      <c r="W350" s="167">
        <v>41845</v>
      </c>
      <c r="X350" s="164" t="s">
        <v>387</v>
      </c>
      <c r="Y350" s="164" t="s">
        <v>1069</v>
      </c>
      <c r="Z350" s="164" t="s">
        <v>163</v>
      </c>
      <c r="AA350" s="168" t="s">
        <v>184</v>
      </c>
      <c r="AB350" s="168" t="s">
        <v>191</v>
      </c>
      <c r="AC350" s="168" t="s">
        <v>162</v>
      </c>
      <c r="AD350" s="168" t="s">
        <v>163</v>
      </c>
      <c r="AE350" s="168" t="s">
        <v>163</v>
      </c>
      <c r="AF350" s="168" t="s">
        <v>182</v>
      </c>
      <c r="AG350" s="168" t="s">
        <v>182</v>
      </c>
      <c r="AH350" s="168" t="str">
        <f t="shared" si="31"/>
        <v>Refrigerator-Bottom Freezer-Automatic-No-No-Yes-Yes</v>
      </c>
      <c r="AI350" s="168" t="s">
        <v>269</v>
      </c>
      <c r="AJ350" s="168">
        <v>9.25</v>
      </c>
      <c r="AK350" s="169">
        <v>475.4</v>
      </c>
      <c r="AL350" s="169">
        <f t="shared" si="32"/>
        <v>844.47499999999991</v>
      </c>
      <c r="AM350" s="168">
        <f t="shared" si="33"/>
        <v>844</v>
      </c>
      <c r="AN350" s="168">
        <f t="shared" si="34"/>
        <v>760</v>
      </c>
      <c r="AO350" s="164" t="str">
        <f t="shared" si="35"/>
        <v>Yes</v>
      </c>
      <c r="AP350" s="164">
        <f t="shared" si="36"/>
        <v>84</v>
      </c>
    </row>
    <row r="351" spans="2:42">
      <c r="B351" s="164">
        <v>2216470</v>
      </c>
      <c r="C351" s="164" t="s">
        <v>1017</v>
      </c>
      <c r="D351" s="164" t="s">
        <v>1070</v>
      </c>
      <c r="E351" s="164"/>
      <c r="F351" s="164" t="s">
        <v>191</v>
      </c>
      <c r="G351" s="164" t="s">
        <v>162</v>
      </c>
      <c r="H351" s="164" t="s">
        <v>163</v>
      </c>
      <c r="I351" s="164" t="s">
        <v>163</v>
      </c>
      <c r="J351" s="164" t="s">
        <v>182</v>
      </c>
      <c r="K351" s="164" t="s">
        <v>182</v>
      </c>
      <c r="L351" s="164" t="s">
        <v>163</v>
      </c>
      <c r="M351" s="164">
        <v>70.3</v>
      </c>
      <c r="N351" s="164">
        <v>35.799999999999997</v>
      </c>
      <c r="O351" s="165">
        <v>31.5</v>
      </c>
      <c r="P351" s="165">
        <v>39.700000000000003</v>
      </c>
      <c r="Q351" s="164">
        <v>759</v>
      </c>
      <c r="R351" s="164">
        <v>843</v>
      </c>
      <c r="S351" s="166">
        <v>0.1</v>
      </c>
      <c r="T351" s="164" t="s">
        <v>163</v>
      </c>
      <c r="U351" s="164"/>
      <c r="V351" s="167">
        <v>41873</v>
      </c>
      <c r="W351" s="167">
        <v>41845</v>
      </c>
      <c r="X351" s="164" t="s">
        <v>387</v>
      </c>
      <c r="Y351" s="164" t="s">
        <v>1071</v>
      </c>
      <c r="Z351" s="164" t="s">
        <v>163</v>
      </c>
      <c r="AA351" s="168" t="s">
        <v>184</v>
      </c>
      <c r="AB351" s="168" t="s">
        <v>191</v>
      </c>
      <c r="AC351" s="168" t="s">
        <v>162</v>
      </c>
      <c r="AD351" s="168" t="s">
        <v>163</v>
      </c>
      <c r="AE351" s="168" t="s">
        <v>163</v>
      </c>
      <c r="AF351" s="168" t="s">
        <v>182</v>
      </c>
      <c r="AG351" s="168" t="s">
        <v>182</v>
      </c>
      <c r="AH351" s="168" t="str">
        <f t="shared" si="31"/>
        <v>Refrigerator-Bottom Freezer-Automatic-No-No-Yes-Yes</v>
      </c>
      <c r="AI351" s="168" t="s">
        <v>269</v>
      </c>
      <c r="AJ351" s="168">
        <v>9.25</v>
      </c>
      <c r="AK351" s="169">
        <v>475.4</v>
      </c>
      <c r="AL351" s="169">
        <f t="shared" si="32"/>
        <v>842.625</v>
      </c>
      <c r="AM351" s="168">
        <f t="shared" si="33"/>
        <v>843</v>
      </c>
      <c r="AN351" s="168">
        <f t="shared" si="34"/>
        <v>759</v>
      </c>
      <c r="AO351" s="164" t="str">
        <f t="shared" si="35"/>
        <v>Yes</v>
      </c>
      <c r="AP351" s="164">
        <f t="shared" si="36"/>
        <v>84</v>
      </c>
    </row>
    <row r="352" spans="2:42">
      <c r="B352" s="164">
        <v>2219498</v>
      </c>
      <c r="C352" s="164" t="s">
        <v>1017</v>
      </c>
      <c r="D352" s="164" t="s">
        <v>1072</v>
      </c>
      <c r="E352" s="164"/>
      <c r="F352" s="164" t="s">
        <v>191</v>
      </c>
      <c r="G352" s="164" t="s">
        <v>162</v>
      </c>
      <c r="H352" s="164" t="s">
        <v>163</v>
      </c>
      <c r="I352" s="164" t="s">
        <v>163</v>
      </c>
      <c r="J352" s="164" t="s">
        <v>182</v>
      </c>
      <c r="K352" s="164" t="s">
        <v>182</v>
      </c>
      <c r="L352" s="164" t="s">
        <v>163</v>
      </c>
      <c r="M352" s="164">
        <v>70.3</v>
      </c>
      <c r="N352" s="164">
        <v>35.799999999999997</v>
      </c>
      <c r="O352" s="165">
        <v>22.7</v>
      </c>
      <c r="P352" s="165">
        <v>27.6</v>
      </c>
      <c r="Q352" s="164">
        <v>657</v>
      </c>
      <c r="R352" s="164">
        <v>731</v>
      </c>
      <c r="S352" s="166">
        <v>0.1</v>
      </c>
      <c r="T352" s="164" t="s">
        <v>163</v>
      </c>
      <c r="U352" s="164"/>
      <c r="V352" s="167">
        <v>41883</v>
      </c>
      <c r="W352" s="167">
        <v>41884</v>
      </c>
      <c r="X352" s="164" t="s">
        <v>387</v>
      </c>
      <c r="Y352" s="164" t="s">
        <v>1073</v>
      </c>
      <c r="Z352" s="164" t="s">
        <v>163</v>
      </c>
      <c r="AA352" s="168" t="s">
        <v>184</v>
      </c>
      <c r="AB352" s="168" t="s">
        <v>191</v>
      </c>
      <c r="AC352" s="168" t="s">
        <v>162</v>
      </c>
      <c r="AD352" s="168" t="s">
        <v>163</v>
      </c>
      <c r="AE352" s="168" t="s">
        <v>163</v>
      </c>
      <c r="AF352" s="168" t="s">
        <v>182</v>
      </c>
      <c r="AG352" s="168" t="s">
        <v>182</v>
      </c>
      <c r="AH352" s="168" t="str">
        <f t="shared" si="31"/>
        <v>Refrigerator-Bottom Freezer-Automatic-No-No-Yes-Yes</v>
      </c>
      <c r="AI352" s="168" t="s">
        <v>269</v>
      </c>
      <c r="AJ352" s="168">
        <v>9.25</v>
      </c>
      <c r="AK352" s="169">
        <v>475.4</v>
      </c>
      <c r="AL352" s="169">
        <f t="shared" si="32"/>
        <v>730.7</v>
      </c>
      <c r="AM352" s="168">
        <f t="shared" si="33"/>
        <v>731</v>
      </c>
      <c r="AN352" s="168">
        <f t="shared" si="34"/>
        <v>657</v>
      </c>
      <c r="AO352" s="164" t="str">
        <f t="shared" si="35"/>
        <v>Yes</v>
      </c>
      <c r="AP352" s="164">
        <f t="shared" si="36"/>
        <v>74</v>
      </c>
    </row>
    <row r="353" spans="2:42">
      <c r="B353" s="164">
        <v>2217196</v>
      </c>
      <c r="C353" s="164" t="s">
        <v>1017</v>
      </c>
      <c r="D353" s="164" t="s">
        <v>1074</v>
      </c>
      <c r="E353" s="164"/>
      <c r="F353" s="164" t="s">
        <v>191</v>
      </c>
      <c r="G353" s="164" t="s">
        <v>162</v>
      </c>
      <c r="H353" s="164" t="s">
        <v>163</v>
      </c>
      <c r="I353" s="164" t="s">
        <v>163</v>
      </c>
      <c r="J353" s="164" t="s">
        <v>182</v>
      </c>
      <c r="K353" s="164" t="s">
        <v>182</v>
      </c>
      <c r="L353" s="164" t="s">
        <v>163</v>
      </c>
      <c r="M353" s="164">
        <v>69.8</v>
      </c>
      <c r="N353" s="164">
        <v>35.799999999999997</v>
      </c>
      <c r="O353" s="165">
        <v>26.7</v>
      </c>
      <c r="P353" s="165">
        <v>33.4</v>
      </c>
      <c r="Q353" s="164">
        <v>706</v>
      </c>
      <c r="R353" s="164">
        <v>784</v>
      </c>
      <c r="S353" s="166">
        <v>0.1</v>
      </c>
      <c r="T353" s="164" t="s">
        <v>163</v>
      </c>
      <c r="U353" s="164"/>
      <c r="V353" s="167">
        <v>41857</v>
      </c>
      <c r="W353" s="167">
        <v>41862</v>
      </c>
      <c r="X353" s="164" t="s">
        <v>387</v>
      </c>
      <c r="Y353" s="164" t="s">
        <v>1075</v>
      </c>
      <c r="Z353" s="164" t="s">
        <v>163</v>
      </c>
      <c r="AA353" s="168" t="s">
        <v>184</v>
      </c>
      <c r="AB353" s="168" t="s">
        <v>191</v>
      </c>
      <c r="AC353" s="168" t="s">
        <v>162</v>
      </c>
      <c r="AD353" s="168" t="s">
        <v>163</v>
      </c>
      <c r="AE353" s="168" t="s">
        <v>163</v>
      </c>
      <c r="AF353" s="168" t="s">
        <v>182</v>
      </c>
      <c r="AG353" s="168" t="s">
        <v>182</v>
      </c>
      <c r="AH353" s="168" t="str">
        <f t="shared" si="31"/>
        <v>Refrigerator-Bottom Freezer-Automatic-No-No-Yes-Yes</v>
      </c>
      <c r="AI353" s="168" t="s">
        <v>269</v>
      </c>
      <c r="AJ353" s="168">
        <v>9.25</v>
      </c>
      <c r="AK353" s="169">
        <v>475.4</v>
      </c>
      <c r="AL353" s="169">
        <f t="shared" si="32"/>
        <v>784.34999999999991</v>
      </c>
      <c r="AM353" s="168">
        <f t="shared" si="33"/>
        <v>784</v>
      </c>
      <c r="AN353" s="168">
        <f t="shared" si="34"/>
        <v>706</v>
      </c>
      <c r="AO353" s="164" t="str">
        <f t="shared" si="35"/>
        <v>Yes</v>
      </c>
      <c r="AP353" s="164">
        <f t="shared" si="36"/>
        <v>78</v>
      </c>
    </row>
    <row r="354" spans="2:42">
      <c r="B354" s="164">
        <v>2209776</v>
      </c>
      <c r="C354" s="164" t="s">
        <v>1017</v>
      </c>
      <c r="D354" s="164" t="s">
        <v>1076</v>
      </c>
      <c r="E354" s="164"/>
      <c r="F354" s="164" t="s">
        <v>191</v>
      </c>
      <c r="G354" s="164" t="s">
        <v>162</v>
      </c>
      <c r="H354" s="164" t="s">
        <v>163</v>
      </c>
      <c r="I354" s="164" t="s">
        <v>163</v>
      </c>
      <c r="J354" s="164" t="s">
        <v>182</v>
      </c>
      <c r="K354" s="164" t="s">
        <v>182</v>
      </c>
      <c r="L354" s="164" t="s">
        <v>163</v>
      </c>
      <c r="M354" s="164">
        <v>70.3</v>
      </c>
      <c r="N354" s="164">
        <v>35.799999999999997</v>
      </c>
      <c r="O354" s="165">
        <v>29.9</v>
      </c>
      <c r="P354" s="165">
        <v>36.6</v>
      </c>
      <c r="Q354" s="164">
        <v>733</v>
      </c>
      <c r="R354" s="164">
        <v>814</v>
      </c>
      <c r="S354" s="166">
        <v>0.1</v>
      </c>
      <c r="T354" s="164" t="s">
        <v>163</v>
      </c>
      <c r="U354" s="164"/>
      <c r="V354" s="167">
        <v>41788</v>
      </c>
      <c r="W354" s="167">
        <v>41758</v>
      </c>
      <c r="X354" s="164" t="s">
        <v>387</v>
      </c>
      <c r="Y354" s="164" t="s">
        <v>1077</v>
      </c>
      <c r="Z354" s="164" t="s">
        <v>163</v>
      </c>
      <c r="AA354" s="168" t="s">
        <v>184</v>
      </c>
      <c r="AB354" s="168" t="s">
        <v>191</v>
      </c>
      <c r="AC354" s="168" t="s">
        <v>162</v>
      </c>
      <c r="AD354" s="168" t="s">
        <v>163</v>
      </c>
      <c r="AE354" s="168" t="s">
        <v>163</v>
      </c>
      <c r="AF354" s="168" t="s">
        <v>182</v>
      </c>
      <c r="AG354" s="168" t="s">
        <v>182</v>
      </c>
      <c r="AH354" s="168" t="str">
        <f t="shared" si="31"/>
        <v>Refrigerator-Bottom Freezer-Automatic-No-No-Yes-Yes</v>
      </c>
      <c r="AI354" s="168" t="s">
        <v>269</v>
      </c>
      <c r="AJ354" s="168">
        <v>9.25</v>
      </c>
      <c r="AK354" s="169">
        <v>475.4</v>
      </c>
      <c r="AL354" s="169">
        <f t="shared" si="32"/>
        <v>813.95</v>
      </c>
      <c r="AM354" s="168">
        <f t="shared" si="33"/>
        <v>814</v>
      </c>
      <c r="AN354" s="168">
        <f t="shared" si="34"/>
        <v>733</v>
      </c>
      <c r="AO354" s="164" t="str">
        <f t="shared" si="35"/>
        <v>Yes</v>
      </c>
      <c r="AP354" s="164">
        <f t="shared" si="36"/>
        <v>81</v>
      </c>
    </row>
    <row r="355" spans="2:42">
      <c r="B355" s="164">
        <v>2205499</v>
      </c>
      <c r="C355" s="164" t="s">
        <v>1017</v>
      </c>
      <c r="D355" s="164" t="s">
        <v>1078</v>
      </c>
      <c r="E355" s="164"/>
      <c r="F355" s="164" t="s">
        <v>191</v>
      </c>
      <c r="G355" s="164" t="s">
        <v>162</v>
      </c>
      <c r="H355" s="164" t="s">
        <v>163</v>
      </c>
      <c r="I355" s="164" t="s">
        <v>163</v>
      </c>
      <c r="J355" s="164" t="s">
        <v>182</v>
      </c>
      <c r="K355" s="164" t="s">
        <v>182</v>
      </c>
      <c r="L355" s="164" t="s">
        <v>163</v>
      </c>
      <c r="M355" s="164">
        <v>70.3</v>
      </c>
      <c r="N355" s="164">
        <v>35.799999999999997</v>
      </c>
      <c r="O355" s="165">
        <v>29.7</v>
      </c>
      <c r="P355" s="165">
        <v>36.4</v>
      </c>
      <c r="Q355" s="164">
        <v>731</v>
      </c>
      <c r="R355" s="164">
        <v>812</v>
      </c>
      <c r="S355" s="166">
        <v>0.1</v>
      </c>
      <c r="T355" s="164" t="s">
        <v>163</v>
      </c>
      <c r="U355" s="164"/>
      <c r="V355" s="167">
        <v>41708</v>
      </c>
      <c r="W355" s="167">
        <v>41696</v>
      </c>
      <c r="X355" s="164" t="s">
        <v>387</v>
      </c>
      <c r="Y355" s="164" t="s">
        <v>1079</v>
      </c>
      <c r="Z355" s="164" t="s">
        <v>163</v>
      </c>
      <c r="AA355" s="168" t="s">
        <v>184</v>
      </c>
      <c r="AB355" s="168" t="s">
        <v>191</v>
      </c>
      <c r="AC355" s="168" t="s">
        <v>162</v>
      </c>
      <c r="AD355" s="168" t="s">
        <v>163</v>
      </c>
      <c r="AE355" s="168" t="s">
        <v>163</v>
      </c>
      <c r="AF355" s="168" t="s">
        <v>182</v>
      </c>
      <c r="AG355" s="168" t="s">
        <v>182</v>
      </c>
      <c r="AH355" s="168" t="str">
        <f t="shared" si="31"/>
        <v>Refrigerator-Bottom Freezer-Automatic-No-No-Yes-Yes</v>
      </c>
      <c r="AI355" s="168" t="s">
        <v>269</v>
      </c>
      <c r="AJ355" s="168">
        <v>9.25</v>
      </c>
      <c r="AK355" s="169">
        <v>475.4</v>
      </c>
      <c r="AL355" s="169">
        <f t="shared" si="32"/>
        <v>812.09999999999991</v>
      </c>
      <c r="AM355" s="168">
        <f t="shared" si="33"/>
        <v>812</v>
      </c>
      <c r="AN355" s="168">
        <f t="shared" si="34"/>
        <v>731</v>
      </c>
      <c r="AO355" s="164" t="str">
        <f t="shared" si="35"/>
        <v>Yes</v>
      </c>
      <c r="AP355" s="164">
        <f t="shared" si="36"/>
        <v>81</v>
      </c>
    </row>
    <row r="356" spans="2:42">
      <c r="B356" s="164">
        <v>2211707</v>
      </c>
      <c r="C356" s="164" t="s">
        <v>1017</v>
      </c>
      <c r="D356" s="164" t="s">
        <v>1080</v>
      </c>
      <c r="E356" s="164"/>
      <c r="F356" s="164" t="s">
        <v>191</v>
      </c>
      <c r="G356" s="164" t="s">
        <v>162</v>
      </c>
      <c r="H356" s="164" t="s">
        <v>163</v>
      </c>
      <c r="I356" s="164" t="s">
        <v>163</v>
      </c>
      <c r="J356" s="164" t="s">
        <v>182</v>
      </c>
      <c r="K356" s="164" t="s">
        <v>182</v>
      </c>
      <c r="L356" s="164" t="s">
        <v>182</v>
      </c>
      <c r="M356" s="164">
        <v>70.3</v>
      </c>
      <c r="N356" s="164">
        <v>35.799999999999997</v>
      </c>
      <c r="O356" s="165">
        <v>23.5</v>
      </c>
      <c r="P356" s="165">
        <v>29.5</v>
      </c>
      <c r="Q356" s="164">
        <v>708</v>
      </c>
      <c r="R356" s="164">
        <v>748</v>
      </c>
      <c r="S356" s="166">
        <v>0.05</v>
      </c>
      <c r="T356" s="164" t="s">
        <v>182</v>
      </c>
      <c r="U356" s="164" t="s">
        <v>182</v>
      </c>
      <c r="V356" s="167">
        <v>41811</v>
      </c>
      <c r="W356" s="167">
        <v>41782</v>
      </c>
      <c r="X356" s="164" t="s">
        <v>387</v>
      </c>
      <c r="Y356" s="164" t="s">
        <v>1081</v>
      </c>
      <c r="Z356" s="164" t="s">
        <v>163</v>
      </c>
      <c r="AA356" s="168" t="s">
        <v>184</v>
      </c>
      <c r="AB356" s="168" t="s">
        <v>191</v>
      </c>
      <c r="AC356" s="168" t="s">
        <v>162</v>
      </c>
      <c r="AD356" s="168" t="s">
        <v>163</v>
      </c>
      <c r="AE356" s="168" t="s">
        <v>163</v>
      </c>
      <c r="AF356" s="168" t="s">
        <v>182</v>
      </c>
      <c r="AG356" s="168" t="s">
        <v>182</v>
      </c>
      <c r="AH356" s="168" t="str">
        <f t="shared" si="31"/>
        <v>Refrigerator-Bottom Freezer-Automatic-No-No-Yes-Yes</v>
      </c>
      <c r="AI356" s="168" t="s">
        <v>269</v>
      </c>
      <c r="AJ356" s="168">
        <v>9.25</v>
      </c>
      <c r="AK356" s="169">
        <v>475.4</v>
      </c>
      <c r="AL356" s="169">
        <f t="shared" si="32"/>
        <v>748.27499999999998</v>
      </c>
      <c r="AM356" s="168">
        <f t="shared" si="33"/>
        <v>748</v>
      </c>
      <c r="AN356" s="168">
        <f t="shared" si="34"/>
        <v>708</v>
      </c>
      <c r="AO356" s="164" t="str">
        <f t="shared" si="35"/>
        <v>Yes</v>
      </c>
      <c r="AP356" s="164">
        <f t="shared" si="36"/>
        <v>40</v>
      </c>
    </row>
    <row r="357" spans="2:42">
      <c r="B357" s="164">
        <v>2216272</v>
      </c>
      <c r="C357" s="164" t="s">
        <v>1017</v>
      </c>
      <c r="D357" s="164" t="s">
        <v>1082</v>
      </c>
      <c r="E357" s="164"/>
      <c r="F357" s="164" t="s">
        <v>192</v>
      </c>
      <c r="G357" s="164" t="s">
        <v>162</v>
      </c>
      <c r="H357" s="164" t="s">
        <v>163</v>
      </c>
      <c r="I357" s="164" t="s">
        <v>163</v>
      </c>
      <c r="J357" s="164" t="s">
        <v>182</v>
      </c>
      <c r="K357" s="164" t="s">
        <v>182</v>
      </c>
      <c r="L357" s="164" t="s">
        <v>163</v>
      </c>
      <c r="M357" s="164">
        <v>67</v>
      </c>
      <c r="N357" s="164">
        <v>33</v>
      </c>
      <c r="O357" s="165">
        <v>21.9</v>
      </c>
      <c r="P357" s="165">
        <v>27.1</v>
      </c>
      <c r="Q357" s="164">
        <v>598</v>
      </c>
      <c r="R357" s="164">
        <v>664</v>
      </c>
      <c r="S357" s="166">
        <v>0.1</v>
      </c>
      <c r="T357" s="164" t="s">
        <v>163</v>
      </c>
      <c r="U357" s="164"/>
      <c r="V357" s="167">
        <v>41837</v>
      </c>
      <c r="W357" s="167">
        <v>41842</v>
      </c>
      <c r="X357" s="164" t="s">
        <v>387</v>
      </c>
      <c r="Y357" s="164" t="s">
        <v>1083</v>
      </c>
      <c r="Z357" s="164" t="s">
        <v>163</v>
      </c>
      <c r="AA357" s="168" t="s">
        <v>184</v>
      </c>
      <c r="AB357" s="168" t="s">
        <v>192</v>
      </c>
      <c r="AC357" s="168" t="s">
        <v>162</v>
      </c>
      <c r="AD357" s="168" t="s">
        <v>163</v>
      </c>
      <c r="AE357" s="168" t="s">
        <v>163</v>
      </c>
      <c r="AF357" s="168" t="s">
        <v>182</v>
      </c>
      <c r="AG357" s="168" t="s">
        <v>182</v>
      </c>
      <c r="AH357" s="168" t="str">
        <f t="shared" si="31"/>
        <v>Refrigerator-Side-by-Side-Automatic-No-No-Yes-Yes</v>
      </c>
      <c r="AI357" s="168">
        <v>7</v>
      </c>
      <c r="AJ357" s="168">
        <v>8.5399999999999991</v>
      </c>
      <c r="AK357" s="169">
        <v>432.8</v>
      </c>
      <c r="AL357" s="169">
        <f t="shared" si="32"/>
        <v>664.23400000000004</v>
      </c>
      <c r="AM357" s="168">
        <f t="shared" si="33"/>
        <v>664</v>
      </c>
      <c r="AN357" s="168">
        <f t="shared" si="34"/>
        <v>598</v>
      </c>
      <c r="AO357" s="164" t="str">
        <f t="shared" si="35"/>
        <v>Yes</v>
      </c>
      <c r="AP357" s="164">
        <f t="shared" si="36"/>
        <v>66</v>
      </c>
    </row>
    <row r="358" spans="2:42">
      <c r="B358" s="164">
        <v>2217512</v>
      </c>
      <c r="C358" s="164" t="s">
        <v>1017</v>
      </c>
      <c r="D358" s="164" t="s">
        <v>1084</v>
      </c>
      <c r="E358" s="164"/>
      <c r="F358" s="164" t="s">
        <v>193</v>
      </c>
      <c r="G358" s="164" t="s">
        <v>162</v>
      </c>
      <c r="H358" s="164" t="s">
        <v>163</v>
      </c>
      <c r="I358" s="164" t="s">
        <v>163</v>
      </c>
      <c r="J358" s="164" t="s">
        <v>163</v>
      </c>
      <c r="K358" s="164" t="s">
        <v>182</v>
      </c>
      <c r="L358" s="164" t="s">
        <v>163</v>
      </c>
      <c r="M358" s="164">
        <v>66.099999999999994</v>
      </c>
      <c r="N358" s="164">
        <v>29.9</v>
      </c>
      <c r="O358" s="165">
        <v>20.2</v>
      </c>
      <c r="P358" s="165">
        <v>24.4</v>
      </c>
      <c r="Q358" s="164">
        <v>463</v>
      </c>
      <c r="R358" s="164">
        <v>515</v>
      </c>
      <c r="S358" s="166">
        <v>0.1</v>
      </c>
      <c r="T358" s="164" t="s">
        <v>163</v>
      </c>
      <c r="U358" s="164"/>
      <c r="V358" s="167">
        <v>41866</v>
      </c>
      <c r="W358" s="167">
        <v>41864</v>
      </c>
      <c r="X358" s="164" t="s">
        <v>387</v>
      </c>
      <c r="Y358" s="164" t="s">
        <v>1085</v>
      </c>
      <c r="Z358" s="164" t="s">
        <v>163</v>
      </c>
      <c r="AA358" s="168" t="s">
        <v>184</v>
      </c>
      <c r="AB358" s="168" t="s">
        <v>193</v>
      </c>
      <c r="AC358" s="168" t="s">
        <v>162</v>
      </c>
      <c r="AD358" s="168" t="s">
        <v>163</v>
      </c>
      <c r="AE358" s="168" t="s">
        <v>163</v>
      </c>
      <c r="AF358" s="168" t="s">
        <v>163</v>
      </c>
      <c r="AG358" s="168" t="s">
        <v>182</v>
      </c>
      <c r="AH358" s="168" t="str">
        <f t="shared" si="31"/>
        <v>Refrigerator-Top Freezer-Automatic-No-No-No-Yes</v>
      </c>
      <c r="AI358" s="168" t="s">
        <v>223</v>
      </c>
      <c r="AJ358" s="168">
        <v>8.07</v>
      </c>
      <c r="AK358" s="169">
        <v>317.7</v>
      </c>
      <c r="AL358" s="169">
        <f t="shared" si="32"/>
        <v>514.60799999999995</v>
      </c>
      <c r="AM358" s="168">
        <f t="shared" si="33"/>
        <v>515</v>
      </c>
      <c r="AN358" s="168">
        <f t="shared" si="34"/>
        <v>463</v>
      </c>
      <c r="AO358" s="164" t="str">
        <f t="shared" si="35"/>
        <v>Yes</v>
      </c>
      <c r="AP358" s="164">
        <f t="shared" si="36"/>
        <v>52</v>
      </c>
    </row>
    <row r="359" spans="2:42">
      <c r="B359" s="164">
        <v>2214539</v>
      </c>
      <c r="C359" s="164" t="s">
        <v>1017</v>
      </c>
      <c r="D359" s="164" t="s">
        <v>1086</v>
      </c>
      <c r="E359" s="164"/>
      <c r="F359" s="164" t="s">
        <v>193</v>
      </c>
      <c r="G359" s="164" t="s">
        <v>162</v>
      </c>
      <c r="H359" s="164" t="s">
        <v>163</v>
      </c>
      <c r="I359" s="164" t="s">
        <v>163</v>
      </c>
      <c r="J359" s="164" t="s">
        <v>163</v>
      </c>
      <c r="K359" s="164" t="s">
        <v>182</v>
      </c>
      <c r="L359" s="164" t="s">
        <v>163</v>
      </c>
      <c r="M359" s="164">
        <v>69</v>
      </c>
      <c r="N359" s="164">
        <v>33</v>
      </c>
      <c r="O359" s="165">
        <v>23.8</v>
      </c>
      <c r="P359" s="165">
        <v>28.5</v>
      </c>
      <c r="Q359" s="164">
        <v>493</v>
      </c>
      <c r="R359" s="164">
        <v>548</v>
      </c>
      <c r="S359" s="166">
        <v>0.1</v>
      </c>
      <c r="T359" s="164" t="s">
        <v>163</v>
      </c>
      <c r="U359" s="164"/>
      <c r="V359" s="167">
        <v>41821</v>
      </c>
      <c r="W359" s="167">
        <v>41820</v>
      </c>
      <c r="X359" s="164" t="s">
        <v>387</v>
      </c>
      <c r="Y359" s="164" t="s">
        <v>1087</v>
      </c>
      <c r="Z359" s="164" t="s">
        <v>163</v>
      </c>
      <c r="AA359" s="168" t="s">
        <v>184</v>
      </c>
      <c r="AB359" s="168" t="s">
        <v>193</v>
      </c>
      <c r="AC359" s="168" t="s">
        <v>162</v>
      </c>
      <c r="AD359" s="168" t="s">
        <v>163</v>
      </c>
      <c r="AE359" s="168" t="s">
        <v>163</v>
      </c>
      <c r="AF359" s="168" t="s">
        <v>163</v>
      </c>
      <c r="AG359" s="168" t="s">
        <v>182</v>
      </c>
      <c r="AH359" s="168" t="str">
        <f t="shared" si="31"/>
        <v>Refrigerator-Top Freezer-Automatic-No-No-No-Yes</v>
      </c>
      <c r="AI359" s="168" t="s">
        <v>223</v>
      </c>
      <c r="AJ359" s="168">
        <v>8.07</v>
      </c>
      <c r="AK359" s="169">
        <v>317.7</v>
      </c>
      <c r="AL359" s="169">
        <f t="shared" si="32"/>
        <v>547.69499999999994</v>
      </c>
      <c r="AM359" s="168">
        <f t="shared" si="33"/>
        <v>548</v>
      </c>
      <c r="AN359" s="168">
        <f t="shared" si="34"/>
        <v>493</v>
      </c>
      <c r="AO359" s="164" t="str">
        <f t="shared" si="35"/>
        <v>Yes</v>
      </c>
      <c r="AP359" s="164">
        <f t="shared" si="36"/>
        <v>55</v>
      </c>
    </row>
    <row r="360" spans="2:42">
      <c r="B360" s="164">
        <v>2217842</v>
      </c>
      <c r="C360" s="164" t="s">
        <v>1088</v>
      </c>
      <c r="D360" s="164" t="s">
        <v>1089</v>
      </c>
      <c r="E360" s="164"/>
      <c r="F360" s="164" t="s">
        <v>191</v>
      </c>
      <c r="G360" s="164" t="s">
        <v>162</v>
      </c>
      <c r="H360" s="164" t="s">
        <v>163</v>
      </c>
      <c r="I360" s="164" t="s">
        <v>182</v>
      </c>
      <c r="J360" s="164" t="s">
        <v>163</v>
      </c>
      <c r="K360" s="164" t="s">
        <v>182</v>
      </c>
      <c r="L360" s="164" t="s">
        <v>182</v>
      </c>
      <c r="M360" s="164">
        <v>77</v>
      </c>
      <c r="N360" s="164">
        <v>23.6</v>
      </c>
      <c r="O360" s="165">
        <v>10</v>
      </c>
      <c r="P360" s="165">
        <v>13.4</v>
      </c>
      <c r="Q360" s="164">
        <v>487</v>
      </c>
      <c r="R360" s="164">
        <v>547</v>
      </c>
      <c r="S360" s="166">
        <v>0.11</v>
      </c>
      <c r="T360" s="164" t="s">
        <v>163</v>
      </c>
      <c r="U360" s="164" t="s">
        <v>163</v>
      </c>
      <c r="V360" s="167">
        <v>41868</v>
      </c>
      <c r="W360" s="167">
        <v>41852</v>
      </c>
      <c r="X360" s="164" t="s">
        <v>387</v>
      </c>
      <c r="Y360" s="164" t="s">
        <v>1090</v>
      </c>
      <c r="Z360" s="164" t="s">
        <v>163</v>
      </c>
      <c r="AA360" s="168" t="s">
        <v>184</v>
      </c>
      <c r="AB360" s="168" t="s">
        <v>191</v>
      </c>
      <c r="AC360" s="168" t="s">
        <v>162</v>
      </c>
      <c r="AD360" s="168" t="s">
        <v>163</v>
      </c>
      <c r="AE360" s="168" t="s">
        <v>182</v>
      </c>
      <c r="AF360" s="168" t="s">
        <v>163</v>
      </c>
      <c r="AG360" s="168" t="s">
        <v>182</v>
      </c>
      <c r="AH360" s="168" t="str">
        <f t="shared" si="31"/>
        <v>Refrigerator-Bottom Freezer-Automatic-No-Yes-No-Yes</v>
      </c>
      <c r="AI360" s="168" t="s">
        <v>265</v>
      </c>
      <c r="AJ360" s="168">
        <v>9.4</v>
      </c>
      <c r="AK360" s="169">
        <v>420.9</v>
      </c>
      <c r="AL360" s="169">
        <f t="shared" si="32"/>
        <v>546.86</v>
      </c>
      <c r="AM360" s="168">
        <f t="shared" si="33"/>
        <v>547</v>
      </c>
      <c r="AN360" s="168">
        <f t="shared" si="34"/>
        <v>487</v>
      </c>
      <c r="AO360" s="164" t="str">
        <f t="shared" si="35"/>
        <v>Yes</v>
      </c>
      <c r="AP360" s="164">
        <f t="shared" si="36"/>
        <v>60</v>
      </c>
    </row>
    <row r="361" spans="2:42">
      <c r="B361" s="164">
        <v>2217843</v>
      </c>
      <c r="C361" s="164" t="s">
        <v>1088</v>
      </c>
      <c r="D361" s="164" t="s">
        <v>1091</v>
      </c>
      <c r="E361" s="164"/>
      <c r="F361" s="164" t="s">
        <v>191</v>
      </c>
      <c r="G361" s="164" t="s">
        <v>162</v>
      </c>
      <c r="H361" s="164" t="s">
        <v>163</v>
      </c>
      <c r="I361" s="164" t="s">
        <v>163</v>
      </c>
      <c r="J361" s="164" t="s">
        <v>163</v>
      </c>
      <c r="K361" s="164" t="s">
        <v>163</v>
      </c>
      <c r="L361" s="164" t="s">
        <v>182</v>
      </c>
      <c r="M361" s="164">
        <v>71.599999999999994</v>
      </c>
      <c r="N361" s="164">
        <v>23.6</v>
      </c>
      <c r="O361" s="165">
        <v>11.5</v>
      </c>
      <c r="P361" s="165">
        <v>14</v>
      </c>
      <c r="Q361" s="164">
        <v>395</v>
      </c>
      <c r="R361" s="164">
        <v>441</v>
      </c>
      <c r="S361" s="166">
        <v>0.1</v>
      </c>
      <c r="T361" s="164" t="s">
        <v>163</v>
      </c>
      <c r="U361" s="164" t="s">
        <v>163</v>
      </c>
      <c r="V361" s="167">
        <v>41868</v>
      </c>
      <c r="W361" s="167">
        <v>41852</v>
      </c>
      <c r="X361" s="164" t="s">
        <v>387</v>
      </c>
      <c r="Y361" s="164" t="s">
        <v>1092</v>
      </c>
      <c r="Z361" s="164" t="s">
        <v>163</v>
      </c>
      <c r="AA361" s="168" t="s">
        <v>184</v>
      </c>
      <c r="AB361" s="168" t="s">
        <v>191</v>
      </c>
      <c r="AC361" s="168" t="s">
        <v>162</v>
      </c>
      <c r="AD361" s="168" t="s">
        <v>163</v>
      </c>
      <c r="AE361" s="168" t="s">
        <v>163</v>
      </c>
      <c r="AF361" s="168" t="s">
        <v>163</v>
      </c>
      <c r="AG361" s="168" t="s">
        <v>163</v>
      </c>
      <c r="AH361" s="168" t="str">
        <f t="shared" si="31"/>
        <v>Refrigerator-Bottom Freezer-Automatic-No-No-No-No</v>
      </c>
      <c r="AI361" s="168">
        <v>5</v>
      </c>
      <c r="AJ361" s="168">
        <v>8.85</v>
      </c>
      <c r="AK361" s="169">
        <v>317</v>
      </c>
      <c r="AL361" s="169">
        <f t="shared" si="32"/>
        <v>440.9</v>
      </c>
      <c r="AM361" s="168">
        <f t="shared" si="33"/>
        <v>441</v>
      </c>
      <c r="AN361" s="168">
        <f t="shared" si="34"/>
        <v>395</v>
      </c>
      <c r="AO361" s="164" t="str">
        <f t="shared" si="35"/>
        <v>Yes</v>
      </c>
      <c r="AP361" s="164">
        <f t="shared" si="36"/>
        <v>46</v>
      </c>
    </row>
    <row r="362" spans="2:42">
      <c r="B362" s="164">
        <v>2203884</v>
      </c>
      <c r="C362" s="164" t="s">
        <v>1088</v>
      </c>
      <c r="D362" s="164" t="s">
        <v>1093</v>
      </c>
      <c r="E362" s="164"/>
      <c r="F362" s="164" t="s">
        <v>191</v>
      </c>
      <c r="G362" s="164" t="s">
        <v>162</v>
      </c>
      <c r="H362" s="164" t="s">
        <v>163</v>
      </c>
      <c r="I362" s="164" t="s">
        <v>182</v>
      </c>
      <c r="J362" s="164" t="s">
        <v>163</v>
      </c>
      <c r="K362" s="164" t="s">
        <v>163</v>
      </c>
      <c r="L362" s="164" t="s">
        <v>182</v>
      </c>
      <c r="M362" s="164">
        <v>69.7</v>
      </c>
      <c r="N362" s="164">
        <v>22.3</v>
      </c>
      <c r="O362" s="165">
        <v>9.4</v>
      </c>
      <c r="P362" s="165">
        <v>11.3</v>
      </c>
      <c r="Q362" s="164">
        <v>395</v>
      </c>
      <c r="R362" s="164">
        <v>443</v>
      </c>
      <c r="S362" s="166">
        <v>0.11</v>
      </c>
      <c r="T362" s="164" t="s">
        <v>163</v>
      </c>
      <c r="U362" s="164" t="s">
        <v>163</v>
      </c>
      <c r="V362" s="167">
        <v>41682</v>
      </c>
      <c r="W362" s="167">
        <v>41681</v>
      </c>
      <c r="X362" s="164" t="s">
        <v>387</v>
      </c>
      <c r="Y362" s="164" t="s">
        <v>1094</v>
      </c>
      <c r="Z362" s="164" t="s">
        <v>163</v>
      </c>
      <c r="AA362" s="168" t="s">
        <v>184</v>
      </c>
      <c r="AB362" s="168" t="s">
        <v>191</v>
      </c>
      <c r="AC362" s="168" t="s">
        <v>162</v>
      </c>
      <c r="AD362" s="168" t="s">
        <v>163</v>
      </c>
      <c r="AE362" s="168" t="s">
        <v>182</v>
      </c>
      <c r="AF362" s="168" t="s">
        <v>163</v>
      </c>
      <c r="AG362" s="168" t="s">
        <v>163</v>
      </c>
      <c r="AH362" s="168" t="str">
        <f t="shared" si="31"/>
        <v>Refrigerator-Bottom Freezer-Automatic-No-Yes-No-No</v>
      </c>
      <c r="AI362" s="168" t="s">
        <v>257</v>
      </c>
      <c r="AJ362" s="168">
        <v>9.4</v>
      </c>
      <c r="AK362" s="169">
        <v>336.9</v>
      </c>
      <c r="AL362" s="169">
        <f t="shared" si="32"/>
        <v>443.12</v>
      </c>
      <c r="AM362" s="168">
        <f t="shared" si="33"/>
        <v>443</v>
      </c>
      <c r="AN362" s="168">
        <f t="shared" si="34"/>
        <v>395</v>
      </c>
      <c r="AO362" s="164" t="str">
        <f t="shared" si="35"/>
        <v>Yes</v>
      </c>
      <c r="AP362" s="164">
        <f t="shared" si="36"/>
        <v>48</v>
      </c>
    </row>
    <row r="363" spans="2:42">
      <c r="B363" s="164">
        <v>2203885</v>
      </c>
      <c r="C363" s="164" t="s">
        <v>1088</v>
      </c>
      <c r="D363" s="164" t="s">
        <v>1095</v>
      </c>
      <c r="E363" s="164"/>
      <c r="F363" s="164" t="s">
        <v>191</v>
      </c>
      <c r="G363" s="164" t="s">
        <v>162</v>
      </c>
      <c r="H363" s="164" t="s">
        <v>163</v>
      </c>
      <c r="I363" s="164" t="s">
        <v>182</v>
      </c>
      <c r="J363" s="164" t="s">
        <v>163</v>
      </c>
      <c r="K363" s="164" t="s">
        <v>163</v>
      </c>
      <c r="L363" s="164" t="s">
        <v>182</v>
      </c>
      <c r="M363" s="164">
        <v>69.7</v>
      </c>
      <c r="N363" s="164">
        <v>22.3</v>
      </c>
      <c r="O363" s="165">
        <v>9.4</v>
      </c>
      <c r="P363" s="165">
        <v>11.3</v>
      </c>
      <c r="Q363" s="164">
        <v>395</v>
      </c>
      <c r="R363" s="164">
        <v>443</v>
      </c>
      <c r="S363" s="166">
        <v>0.11</v>
      </c>
      <c r="T363" s="164" t="s">
        <v>163</v>
      </c>
      <c r="U363" s="164" t="s">
        <v>163</v>
      </c>
      <c r="V363" s="167">
        <v>41682</v>
      </c>
      <c r="W363" s="167">
        <v>41681</v>
      </c>
      <c r="X363" s="164" t="s">
        <v>387</v>
      </c>
      <c r="Y363" s="164" t="s">
        <v>1096</v>
      </c>
      <c r="Z363" s="164" t="s">
        <v>163</v>
      </c>
      <c r="AA363" s="168" t="s">
        <v>184</v>
      </c>
      <c r="AB363" s="168" t="s">
        <v>191</v>
      </c>
      <c r="AC363" s="168" t="s">
        <v>162</v>
      </c>
      <c r="AD363" s="168" t="s">
        <v>163</v>
      </c>
      <c r="AE363" s="168" t="s">
        <v>182</v>
      </c>
      <c r="AF363" s="168" t="s">
        <v>163</v>
      </c>
      <c r="AG363" s="168" t="s">
        <v>163</v>
      </c>
      <c r="AH363" s="168" t="str">
        <f t="shared" si="31"/>
        <v>Refrigerator-Bottom Freezer-Automatic-No-Yes-No-No</v>
      </c>
      <c r="AI363" s="168" t="s">
        <v>257</v>
      </c>
      <c r="AJ363" s="168">
        <v>9.4</v>
      </c>
      <c r="AK363" s="169">
        <v>336.9</v>
      </c>
      <c r="AL363" s="169">
        <f t="shared" si="32"/>
        <v>443.12</v>
      </c>
      <c r="AM363" s="168">
        <f t="shared" si="33"/>
        <v>443</v>
      </c>
      <c r="AN363" s="168">
        <f t="shared" si="34"/>
        <v>395</v>
      </c>
      <c r="AO363" s="164" t="str">
        <f t="shared" si="35"/>
        <v>Yes</v>
      </c>
      <c r="AP363" s="164">
        <f t="shared" si="36"/>
        <v>48</v>
      </c>
    </row>
    <row r="364" spans="2:42">
      <c r="B364" s="164">
        <v>2207541</v>
      </c>
      <c r="C364" s="164" t="s">
        <v>1088</v>
      </c>
      <c r="D364" s="164" t="s">
        <v>1097</v>
      </c>
      <c r="E364" s="164"/>
      <c r="F364" s="164" t="s">
        <v>191</v>
      </c>
      <c r="G364" s="164" t="s">
        <v>162</v>
      </c>
      <c r="H364" s="164" t="s">
        <v>163</v>
      </c>
      <c r="I364" s="164" t="s">
        <v>182</v>
      </c>
      <c r="J364" s="164" t="s">
        <v>163</v>
      </c>
      <c r="K364" s="164" t="s">
        <v>163</v>
      </c>
      <c r="L364" s="164" t="s">
        <v>163</v>
      </c>
      <c r="M364" s="164">
        <v>69.7</v>
      </c>
      <c r="N364" s="164">
        <v>21.5</v>
      </c>
      <c r="O364" s="165">
        <v>9.4</v>
      </c>
      <c r="P364" s="165">
        <v>11.2</v>
      </c>
      <c r="Q364" s="164">
        <v>395</v>
      </c>
      <c r="R364" s="164">
        <v>442</v>
      </c>
      <c r="S364" s="166">
        <v>0.11</v>
      </c>
      <c r="T364" s="164" t="s">
        <v>163</v>
      </c>
      <c r="U364" s="164"/>
      <c r="V364" s="167">
        <v>41730</v>
      </c>
      <c r="W364" s="167">
        <v>41726</v>
      </c>
      <c r="X364" s="164" t="s">
        <v>387</v>
      </c>
      <c r="Y364" s="164" t="s">
        <v>1098</v>
      </c>
      <c r="Z364" s="164" t="s">
        <v>163</v>
      </c>
      <c r="AA364" s="168" t="s">
        <v>184</v>
      </c>
      <c r="AB364" s="168" t="s">
        <v>191</v>
      </c>
      <c r="AC364" s="168" t="s">
        <v>162</v>
      </c>
      <c r="AD364" s="168" t="s">
        <v>163</v>
      </c>
      <c r="AE364" s="168" t="s">
        <v>182</v>
      </c>
      <c r="AF364" s="168" t="s">
        <v>163</v>
      </c>
      <c r="AG364" s="168" t="s">
        <v>163</v>
      </c>
      <c r="AH364" s="168" t="str">
        <f t="shared" si="31"/>
        <v>Refrigerator-Bottom Freezer-Automatic-No-Yes-No-No</v>
      </c>
      <c r="AI364" s="168" t="s">
        <v>257</v>
      </c>
      <c r="AJ364" s="168">
        <v>9.4</v>
      </c>
      <c r="AK364" s="169">
        <v>336.9</v>
      </c>
      <c r="AL364" s="169">
        <f t="shared" si="32"/>
        <v>442.17999999999995</v>
      </c>
      <c r="AM364" s="168">
        <f t="shared" si="33"/>
        <v>442</v>
      </c>
      <c r="AN364" s="168">
        <f t="shared" si="34"/>
        <v>395</v>
      </c>
      <c r="AO364" s="164" t="str">
        <f t="shared" si="35"/>
        <v>Yes</v>
      </c>
      <c r="AP364" s="164">
        <f t="shared" si="36"/>
        <v>47</v>
      </c>
    </row>
    <row r="365" spans="2:42">
      <c r="B365" s="164">
        <v>2207540</v>
      </c>
      <c r="C365" s="164" t="s">
        <v>1088</v>
      </c>
      <c r="D365" s="164" t="s">
        <v>1099</v>
      </c>
      <c r="E365" s="164"/>
      <c r="F365" s="164" t="s">
        <v>191</v>
      </c>
      <c r="G365" s="164" t="s">
        <v>162</v>
      </c>
      <c r="H365" s="164" t="s">
        <v>163</v>
      </c>
      <c r="I365" s="164" t="s">
        <v>182</v>
      </c>
      <c r="J365" s="164" t="s">
        <v>163</v>
      </c>
      <c r="K365" s="164" t="s">
        <v>182</v>
      </c>
      <c r="L365" s="164" t="s">
        <v>163</v>
      </c>
      <c r="M365" s="164">
        <v>69.7</v>
      </c>
      <c r="N365" s="164">
        <v>21.5</v>
      </c>
      <c r="O365" s="165">
        <v>9.3000000000000007</v>
      </c>
      <c r="P365" s="165">
        <v>11.1</v>
      </c>
      <c r="Q365" s="164">
        <v>467</v>
      </c>
      <c r="R365" s="164">
        <v>525</v>
      </c>
      <c r="S365" s="166">
        <v>0.11</v>
      </c>
      <c r="T365" s="164" t="s">
        <v>163</v>
      </c>
      <c r="U365" s="164"/>
      <c r="V365" s="167">
        <v>41730</v>
      </c>
      <c r="W365" s="167">
        <v>41726</v>
      </c>
      <c r="X365" s="164" t="s">
        <v>387</v>
      </c>
      <c r="Y365" s="164" t="s">
        <v>1100</v>
      </c>
      <c r="Z365" s="164" t="s">
        <v>163</v>
      </c>
      <c r="AA365" s="168" t="s">
        <v>184</v>
      </c>
      <c r="AB365" s="168" t="s">
        <v>191</v>
      </c>
      <c r="AC365" s="168" t="s">
        <v>162</v>
      </c>
      <c r="AD365" s="168" t="s">
        <v>163</v>
      </c>
      <c r="AE365" s="168" t="s">
        <v>182</v>
      </c>
      <c r="AF365" s="168" t="s">
        <v>163</v>
      </c>
      <c r="AG365" s="168" t="s">
        <v>182</v>
      </c>
      <c r="AH365" s="168" t="str">
        <f t="shared" si="31"/>
        <v>Refrigerator-Bottom Freezer-Automatic-No-Yes-No-Yes</v>
      </c>
      <c r="AI365" s="168" t="s">
        <v>265</v>
      </c>
      <c r="AJ365" s="168">
        <v>9.4</v>
      </c>
      <c r="AK365" s="169">
        <v>420.9</v>
      </c>
      <c r="AL365" s="169">
        <f t="shared" si="32"/>
        <v>525.24</v>
      </c>
      <c r="AM365" s="168">
        <f t="shared" si="33"/>
        <v>525</v>
      </c>
      <c r="AN365" s="168">
        <f t="shared" si="34"/>
        <v>467</v>
      </c>
      <c r="AO365" s="164" t="str">
        <f t="shared" si="35"/>
        <v>Yes</v>
      </c>
      <c r="AP365" s="164">
        <f t="shared" si="36"/>
        <v>58</v>
      </c>
    </row>
    <row r="366" spans="2:42">
      <c r="B366" s="164">
        <v>2207542</v>
      </c>
      <c r="C366" s="164" t="s">
        <v>1088</v>
      </c>
      <c r="D366" s="164" t="s">
        <v>1101</v>
      </c>
      <c r="E366" s="164"/>
      <c r="F366" s="164" t="s">
        <v>195</v>
      </c>
      <c r="G366" s="164" t="s">
        <v>162</v>
      </c>
      <c r="H366" s="164" t="s">
        <v>163</v>
      </c>
      <c r="I366" s="164" t="s">
        <v>163</v>
      </c>
      <c r="J366" s="164" t="s">
        <v>163</v>
      </c>
      <c r="K366" s="164" t="s">
        <v>163</v>
      </c>
      <c r="L366" s="164" t="s">
        <v>163</v>
      </c>
      <c r="M366" s="164">
        <v>69.7</v>
      </c>
      <c r="N366" s="164">
        <v>21.5</v>
      </c>
      <c r="O366" s="165">
        <v>10.9</v>
      </c>
      <c r="P366" s="165">
        <v>10.9</v>
      </c>
      <c r="Q366" s="164">
        <v>283</v>
      </c>
      <c r="R366" s="164">
        <v>279</v>
      </c>
      <c r="S366" s="166">
        <v>-0.02</v>
      </c>
      <c r="T366" s="164" t="s">
        <v>163</v>
      </c>
      <c r="U366" s="164"/>
      <c r="V366" s="167">
        <v>41730</v>
      </c>
      <c r="W366" s="167">
        <v>41726</v>
      </c>
      <c r="X366" s="164" t="s">
        <v>387</v>
      </c>
      <c r="Y366" s="164" t="s">
        <v>1102</v>
      </c>
      <c r="Z366" s="164" t="s">
        <v>163</v>
      </c>
      <c r="AA366" s="168" t="s">
        <v>184</v>
      </c>
      <c r="AB366" s="168" t="s">
        <v>195</v>
      </c>
      <c r="AC366" s="168" t="s">
        <v>162</v>
      </c>
      <c r="AD366" s="168" t="s">
        <v>163</v>
      </c>
      <c r="AE366" s="168" t="s">
        <v>163</v>
      </c>
      <c r="AF366" s="168" t="s">
        <v>163</v>
      </c>
      <c r="AG366" s="168" t="s">
        <v>163</v>
      </c>
      <c r="AH366" s="168" t="str">
        <f t="shared" si="31"/>
        <v>Refrigerator-Freezerless and Single Door-Automatic-No-No-No-No</v>
      </c>
      <c r="AI366" s="168"/>
      <c r="AJ366" s="168" t="b">
        <v>0</v>
      </c>
      <c r="AK366" s="169" t="b">
        <v>0</v>
      </c>
      <c r="AL366" s="169">
        <f t="shared" si="32"/>
        <v>0</v>
      </c>
      <c r="AM366" s="168">
        <f t="shared" si="33"/>
        <v>279</v>
      </c>
      <c r="AN366" s="168">
        <f t="shared" si="34"/>
        <v>283</v>
      </c>
      <c r="AO366" s="164" t="str">
        <f t="shared" si="35"/>
        <v>No</v>
      </c>
      <c r="AP366" s="164">
        <f t="shared" si="36"/>
        <v>-4</v>
      </c>
    </row>
    <row r="367" spans="2:42">
      <c r="B367" s="164">
        <v>2217841</v>
      </c>
      <c r="C367" s="164" t="s">
        <v>1088</v>
      </c>
      <c r="D367" s="164" t="s">
        <v>1103</v>
      </c>
      <c r="E367" s="164"/>
      <c r="F367" s="164" t="s">
        <v>195</v>
      </c>
      <c r="G367" s="164" t="s">
        <v>162</v>
      </c>
      <c r="H367" s="164" t="s">
        <v>163</v>
      </c>
      <c r="I367" s="164" t="s">
        <v>182</v>
      </c>
      <c r="J367" s="164" t="s">
        <v>163</v>
      </c>
      <c r="K367" s="164" t="s">
        <v>163</v>
      </c>
      <c r="L367" s="164" t="s">
        <v>182</v>
      </c>
      <c r="M367" s="164">
        <v>77</v>
      </c>
      <c r="N367" s="164">
        <v>23.6</v>
      </c>
      <c r="O367" s="165">
        <v>12.8</v>
      </c>
      <c r="P367" s="165">
        <v>12.8</v>
      </c>
      <c r="Q367" s="164">
        <v>295</v>
      </c>
      <c r="R367" s="164">
        <v>331</v>
      </c>
      <c r="S367" s="166">
        <v>0.11</v>
      </c>
      <c r="T367" s="164" t="s">
        <v>163</v>
      </c>
      <c r="U367" s="164" t="s">
        <v>163</v>
      </c>
      <c r="V367" s="167">
        <v>41868</v>
      </c>
      <c r="W367" s="167">
        <v>41852</v>
      </c>
      <c r="X367" s="164" t="s">
        <v>387</v>
      </c>
      <c r="Y367" s="164" t="s">
        <v>1104</v>
      </c>
      <c r="Z367" s="164" t="s">
        <v>163</v>
      </c>
      <c r="AA367" s="168" t="s">
        <v>184</v>
      </c>
      <c r="AB367" s="168" t="s">
        <v>195</v>
      </c>
      <c r="AC367" s="168" t="s">
        <v>162</v>
      </c>
      <c r="AD367" s="168" t="s">
        <v>163</v>
      </c>
      <c r="AE367" s="168" t="s">
        <v>182</v>
      </c>
      <c r="AF367" s="168" t="s">
        <v>163</v>
      </c>
      <c r="AG367" s="168" t="s">
        <v>163</v>
      </c>
      <c r="AH367" s="168" t="str">
        <f t="shared" si="31"/>
        <v>Refrigerator-Freezerless and Single Door-Automatic-No-Yes-No-No</v>
      </c>
      <c r="AI367" s="168"/>
      <c r="AJ367" s="168" t="b">
        <v>0</v>
      </c>
      <c r="AK367" s="169" t="b">
        <v>0</v>
      </c>
      <c r="AL367" s="169">
        <f t="shared" si="32"/>
        <v>0</v>
      </c>
      <c r="AM367" s="168">
        <f t="shared" si="33"/>
        <v>331</v>
      </c>
      <c r="AN367" s="168">
        <f t="shared" si="34"/>
        <v>295</v>
      </c>
      <c r="AO367" s="164" t="str">
        <f t="shared" si="35"/>
        <v>Yes</v>
      </c>
      <c r="AP367" s="164">
        <f t="shared" si="36"/>
        <v>36</v>
      </c>
    </row>
    <row r="368" spans="2:42">
      <c r="B368" s="164">
        <v>2210391</v>
      </c>
      <c r="C368" s="164" t="s">
        <v>1105</v>
      </c>
      <c r="D368" s="164" t="s">
        <v>1106</v>
      </c>
      <c r="E368" s="164"/>
      <c r="F368" s="164" t="s">
        <v>194</v>
      </c>
      <c r="G368" s="164" t="s">
        <v>188</v>
      </c>
      <c r="H368" s="164" t="s">
        <v>182</v>
      </c>
      <c r="I368" s="164" t="s">
        <v>163</v>
      </c>
      <c r="J368" s="164" t="s">
        <v>163</v>
      </c>
      <c r="K368" s="164" t="s">
        <v>163</v>
      </c>
      <c r="L368" s="164" t="s">
        <v>163</v>
      </c>
      <c r="M368" s="164">
        <v>19.399999999999999</v>
      </c>
      <c r="N368" s="164">
        <v>18.600000000000001</v>
      </c>
      <c r="O368" s="165">
        <v>1.6</v>
      </c>
      <c r="P368" s="165">
        <v>1.6</v>
      </c>
      <c r="Q368" s="164">
        <v>207</v>
      </c>
      <c r="R368" s="164">
        <v>267</v>
      </c>
      <c r="S368" s="166">
        <v>0.22</v>
      </c>
      <c r="T368" s="164" t="s">
        <v>163</v>
      </c>
      <c r="U368" s="164"/>
      <c r="V368" s="167">
        <v>41718</v>
      </c>
      <c r="W368" s="167">
        <v>41713</v>
      </c>
      <c r="X368" s="164" t="s">
        <v>506</v>
      </c>
      <c r="Y368" s="164" t="s">
        <v>1107</v>
      </c>
      <c r="Z368" s="164" t="s">
        <v>163</v>
      </c>
      <c r="AA368" s="168" t="s">
        <v>184</v>
      </c>
      <c r="AB368" s="168" t="s">
        <v>194</v>
      </c>
      <c r="AC368" s="168" t="s">
        <v>188</v>
      </c>
      <c r="AD368" s="168" t="s">
        <v>182</v>
      </c>
      <c r="AE368" s="168" t="s">
        <v>163</v>
      </c>
      <c r="AF368" s="168" t="s">
        <v>163</v>
      </c>
      <c r="AG368" s="168" t="s">
        <v>163</v>
      </c>
      <c r="AH368" s="168" t="str">
        <f t="shared" si="31"/>
        <v>Refrigerator-Compact-Manual-Yes-No-No-No</v>
      </c>
      <c r="AI368" s="168" t="s">
        <v>315</v>
      </c>
      <c r="AJ368" s="168">
        <v>7.84</v>
      </c>
      <c r="AK368" s="169">
        <v>219.1</v>
      </c>
      <c r="AL368" s="169">
        <f t="shared" si="32"/>
        <v>231.64400000000001</v>
      </c>
      <c r="AM368" s="168">
        <f t="shared" si="33"/>
        <v>267</v>
      </c>
      <c r="AN368" s="168">
        <f t="shared" si="34"/>
        <v>207</v>
      </c>
      <c r="AO368" s="164" t="str">
        <f t="shared" si="35"/>
        <v>Yes</v>
      </c>
      <c r="AP368" s="164">
        <f t="shared" si="36"/>
        <v>60</v>
      </c>
    </row>
    <row r="369" spans="2:42">
      <c r="B369" s="164">
        <v>2210392</v>
      </c>
      <c r="C369" s="164" t="s">
        <v>1105</v>
      </c>
      <c r="D369" s="164" t="s">
        <v>1108</v>
      </c>
      <c r="E369" s="164"/>
      <c r="F369" s="164" t="s">
        <v>194</v>
      </c>
      <c r="G369" s="164" t="s">
        <v>188</v>
      </c>
      <c r="H369" s="164" t="s">
        <v>182</v>
      </c>
      <c r="I369" s="164" t="s">
        <v>163</v>
      </c>
      <c r="J369" s="164" t="s">
        <v>163</v>
      </c>
      <c r="K369" s="164" t="s">
        <v>163</v>
      </c>
      <c r="L369" s="164" t="s">
        <v>163</v>
      </c>
      <c r="M369" s="164">
        <v>19.399999999999999</v>
      </c>
      <c r="N369" s="164">
        <v>18.600000000000001</v>
      </c>
      <c r="O369" s="165">
        <v>1.6</v>
      </c>
      <c r="P369" s="165">
        <v>1.6</v>
      </c>
      <c r="Q369" s="164">
        <v>207</v>
      </c>
      <c r="R369" s="164">
        <v>267</v>
      </c>
      <c r="S369" s="166">
        <v>0.22</v>
      </c>
      <c r="T369" s="164" t="s">
        <v>163</v>
      </c>
      <c r="U369" s="164"/>
      <c r="V369" s="167">
        <v>41718</v>
      </c>
      <c r="W369" s="167">
        <v>41703</v>
      </c>
      <c r="X369" s="164" t="s">
        <v>506</v>
      </c>
      <c r="Y369" s="164" t="s">
        <v>1109</v>
      </c>
      <c r="Z369" s="164" t="s">
        <v>163</v>
      </c>
      <c r="AA369" s="168" t="s">
        <v>184</v>
      </c>
      <c r="AB369" s="168" t="s">
        <v>194</v>
      </c>
      <c r="AC369" s="168" t="s">
        <v>188</v>
      </c>
      <c r="AD369" s="168" t="s">
        <v>182</v>
      </c>
      <c r="AE369" s="168" t="s">
        <v>163</v>
      </c>
      <c r="AF369" s="168" t="s">
        <v>163</v>
      </c>
      <c r="AG369" s="168" t="s">
        <v>163</v>
      </c>
      <c r="AH369" s="168" t="str">
        <f t="shared" si="31"/>
        <v>Refrigerator-Compact-Manual-Yes-No-No-No</v>
      </c>
      <c r="AI369" s="168" t="s">
        <v>315</v>
      </c>
      <c r="AJ369" s="168">
        <v>7.84</v>
      </c>
      <c r="AK369" s="169">
        <v>219.1</v>
      </c>
      <c r="AL369" s="169">
        <f t="shared" si="32"/>
        <v>231.64400000000001</v>
      </c>
      <c r="AM369" s="168">
        <f t="shared" si="33"/>
        <v>267</v>
      </c>
      <c r="AN369" s="168">
        <f t="shared" si="34"/>
        <v>207</v>
      </c>
      <c r="AO369" s="164" t="str">
        <f t="shared" si="35"/>
        <v>Yes</v>
      </c>
      <c r="AP369" s="164">
        <f t="shared" si="36"/>
        <v>60</v>
      </c>
    </row>
    <row r="370" spans="2:42">
      <c r="B370" s="164">
        <v>2210393</v>
      </c>
      <c r="C370" s="164" t="s">
        <v>1105</v>
      </c>
      <c r="D370" s="164" t="s">
        <v>1110</v>
      </c>
      <c r="E370" s="164"/>
      <c r="F370" s="164" t="s">
        <v>194</v>
      </c>
      <c r="G370" s="164" t="s">
        <v>188</v>
      </c>
      <c r="H370" s="164" t="s">
        <v>182</v>
      </c>
      <c r="I370" s="164" t="s">
        <v>163</v>
      </c>
      <c r="J370" s="164" t="s">
        <v>163</v>
      </c>
      <c r="K370" s="164" t="s">
        <v>163</v>
      </c>
      <c r="L370" s="164" t="s">
        <v>163</v>
      </c>
      <c r="M370" s="164">
        <v>33.9</v>
      </c>
      <c r="N370" s="164">
        <v>18.600000000000001</v>
      </c>
      <c r="O370" s="165">
        <v>3.3</v>
      </c>
      <c r="P370" s="165">
        <v>3.3</v>
      </c>
      <c r="Q370" s="164">
        <v>220</v>
      </c>
      <c r="R370" s="164">
        <v>282</v>
      </c>
      <c r="S370" s="166">
        <v>0.22</v>
      </c>
      <c r="T370" s="164" t="s">
        <v>163</v>
      </c>
      <c r="U370" s="164"/>
      <c r="V370" s="167">
        <v>41718</v>
      </c>
      <c r="W370" s="167">
        <v>41703</v>
      </c>
      <c r="X370" s="164" t="s">
        <v>506</v>
      </c>
      <c r="Y370" s="164" t="s">
        <v>1111</v>
      </c>
      <c r="Z370" s="164" t="s">
        <v>163</v>
      </c>
      <c r="AA370" s="168" t="s">
        <v>184</v>
      </c>
      <c r="AB370" s="168" t="s">
        <v>194</v>
      </c>
      <c r="AC370" s="168" t="s">
        <v>188</v>
      </c>
      <c r="AD370" s="168" t="s">
        <v>182</v>
      </c>
      <c r="AE370" s="168" t="s">
        <v>163</v>
      </c>
      <c r="AF370" s="168" t="s">
        <v>163</v>
      </c>
      <c r="AG370" s="168" t="s">
        <v>163</v>
      </c>
      <c r="AH370" s="168" t="str">
        <f t="shared" si="31"/>
        <v>Refrigerator-Compact-Manual-Yes-No-No-No</v>
      </c>
      <c r="AI370" s="168" t="s">
        <v>315</v>
      </c>
      <c r="AJ370" s="168">
        <v>7.84</v>
      </c>
      <c r="AK370" s="169">
        <v>219.1</v>
      </c>
      <c r="AL370" s="169">
        <f t="shared" si="32"/>
        <v>244.97199999999998</v>
      </c>
      <c r="AM370" s="168">
        <f t="shared" si="33"/>
        <v>282</v>
      </c>
      <c r="AN370" s="168">
        <f t="shared" si="34"/>
        <v>220</v>
      </c>
      <c r="AO370" s="164" t="str">
        <f t="shared" si="35"/>
        <v>Yes</v>
      </c>
      <c r="AP370" s="164">
        <f t="shared" si="36"/>
        <v>62</v>
      </c>
    </row>
    <row r="371" spans="2:42">
      <c r="B371" s="164">
        <v>2210394</v>
      </c>
      <c r="C371" s="164" t="s">
        <v>1105</v>
      </c>
      <c r="D371" s="164" t="s">
        <v>1112</v>
      </c>
      <c r="E371" s="164"/>
      <c r="F371" s="164" t="s">
        <v>194</v>
      </c>
      <c r="G371" s="164" t="s">
        <v>188</v>
      </c>
      <c r="H371" s="164" t="s">
        <v>182</v>
      </c>
      <c r="I371" s="164" t="s">
        <v>163</v>
      </c>
      <c r="J371" s="164" t="s">
        <v>163</v>
      </c>
      <c r="K371" s="164" t="s">
        <v>163</v>
      </c>
      <c r="L371" s="164" t="s">
        <v>163</v>
      </c>
      <c r="M371" s="164">
        <v>33.9</v>
      </c>
      <c r="N371" s="164">
        <v>18.600000000000001</v>
      </c>
      <c r="O371" s="165">
        <v>3.3</v>
      </c>
      <c r="P371" s="165">
        <v>3.3</v>
      </c>
      <c r="Q371" s="164">
        <v>220</v>
      </c>
      <c r="R371" s="164">
        <v>282</v>
      </c>
      <c r="S371" s="166">
        <v>0.22</v>
      </c>
      <c r="T371" s="164" t="s">
        <v>163</v>
      </c>
      <c r="U371" s="164"/>
      <c r="V371" s="167">
        <v>41718</v>
      </c>
      <c r="W371" s="167">
        <v>41703</v>
      </c>
      <c r="X371" s="164" t="s">
        <v>506</v>
      </c>
      <c r="Y371" s="164" t="s">
        <v>1113</v>
      </c>
      <c r="Z371" s="164" t="s">
        <v>163</v>
      </c>
      <c r="AA371" s="168" t="s">
        <v>184</v>
      </c>
      <c r="AB371" s="168" t="s">
        <v>194</v>
      </c>
      <c r="AC371" s="168" t="s">
        <v>188</v>
      </c>
      <c r="AD371" s="168" t="s">
        <v>182</v>
      </c>
      <c r="AE371" s="168" t="s">
        <v>163</v>
      </c>
      <c r="AF371" s="168" t="s">
        <v>163</v>
      </c>
      <c r="AG371" s="168" t="s">
        <v>163</v>
      </c>
      <c r="AH371" s="168" t="str">
        <f t="shared" si="31"/>
        <v>Refrigerator-Compact-Manual-Yes-No-No-No</v>
      </c>
      <c r="AI371" s="168" t="s">
        <v>315</v>
      </c>
      <c r="AJ371" s="168">
        <v>7.84</v>
      </c>
      <c r="AK371" s="169">
        <v>219.1</v>
      </c>
      <c r="AL371" s="169">
        <f t="shared" si="32"/>
        <v>244.97199999999998</v>
      </c>
      <c r="AM371" s="168">
        <f t="shared" si="33"/>
        <v>282</v>
      </c>
      <c r="AN371" s="168">
        <f t="shared" si="34"/>
        <v>220</v>
      </c>
      <c r="AO371" s="164" t="str">
        <f t="shared" si="35"/>
        <v>Yes</v>
      </c>
      <c r="AP371" s="164">
        <f t="shared" si="36"/>
        <v>62</v>
      </c>
    </row>
    <row r="372" spans="2:42">
      <c r="B372" s="164">
        <v>2213651</v>
      </c>
      <c r="C372" s="164" t="s">
        <v>1114</v>
      </c>
      <c r="D372" s="164" t="s">
        <v>1115</v>
      </c>
      <c r="E372" s="164"/>
      <c r="F372" s="164" t="s">
        <v>194</v>
      </c>
      <c r="G372" s="164" t="s">
        <v>188</v>
      </c>
      <c r="H372" s="164" t="s">
        <v>182</v>
      </c>
      <c r="I372" s="164" t="s">
        <v>163</v>
      </c>
      <c r="J372" s="164" t="s">
        <v>163</v>
      </c>
      <c r="K372" s="164" t="s">
        <v>163</v>
      </c>
      <c r="L372" s="164" t="s">
        <v>163</v>
      </c>
      <c r="M372" s="164">
        <v>25</v>
      </c>
      <c r="N372" s="164">
        <v>17.5</v>
      </c>
      <c r="O372" s="165">
        <v>2.6</v>
      </c>
      <c r="P372" s="165">
        <v>2.6</v>
      </c>
      <c r="Q372" s="164">
        <v>215</v>
      </c>
      <c r="R372" s="164">
        <v>276</v>
      </c>
      <c r="S372" s="166">
        <v>0.22</v>
      </c>
      <c r="T372" s="164" t="s">
        <v>163</v>
      </c>
      <c r="U372" s="164"/>
      <c r="V372" s="167">
        <v>41820</v>
      </c>
      <c r="W372" s="167">
        <v>41813</v>
      </c>
      <c r="X372" s="164" t="s">
        <v>506</v>
      </c>
      <c r="Y372" s="164" t="s">
        <v>1116</v>
      </c>
      <c r="Z372" s="164" t="s">
        <v>163</v>
      </c>
      <c r="AA372" s="168" t="s">
        <v>184</v>
      </c>
      <c r="AB372" s="168" t="s">
        <v>194</v>
      </c>
      <c r="AC372" s="168" t="s">
        <v>188</v>
      </c>
      <c r="AD372" s="168" t="s">
        <v>182</v>
      </c>
      <c r="AE372" s="168" t="s">
        <v>163</v>
      </c>
      <c r="AF372" s="168" t="s">
        <v>163</v>
      </c>
      <c r="AG372" s="168" t="s">
        <v>163</v>
      </c>
      <c r="AH372" s="168" t="str">
        <f t="shared" si="31"/>
        <v>Refrigerator-Compact-Manual-Yes-No-No-No</v>
      </c>
      <c r="AI372" s="168" t="s">
        <v>315</v>
      </c>
      <c r="AJ372" s="168">
        <v>7.84</v>
      </c>
      <c r="AK372" s="169">
        <v>219.1</v>
      </c>
      <c r="AL372" s="169">
        <f t="shared" si="32"/>
        <v>239.48399999999998</v>
      </c>
      <c r="AM372" s="168">
        <f t="shared" si="33"/>
        <v>276</v>
      </c>
      <c r="AN372" s="168">
        <f t="shared" si="34"/>
        <v>215</v>
      </c>
      <c r="AO372" s="164" t="str">
        <f t="shared" si="35"/>
        <v>Yes</v>
      </c>
      <c r="AP372" s="164">
        <f t="shared" si="36"/>
        <v>61</v>
      </c>
    </row>
    <row r="373" spans="2:42">
      <c r="B373" s="164">
        <v>2213650</v>
      </c>
      <c r="C373" s="164" t="s">
        <v>1114</v>
      </c>
      <c r="D373" s="164" t="s">
        <v>1117</v>
      </c>
      <c r="E373" s="164"/>
      <c r="F373" s="164" t="s">
        <v>194</v>
      </c>
      <c r="G373" s="164" t="s">
        <v>188</v>
      </c>
      <c r="H373" s="164" t="s">
        <v>182</v>
      </c>
      <c r="I373" s="164" t="s">
        <v>163</v>
      </c>
      <c r="J373" s="164" t="s">
        <v>163</v>
      </c>
      <c r="K373" s="164" t="s">
        <v>163</v>
      </c>
      <c r="L373" s="164" t="s">
        <v>163</v>
      </c>
      <c r="M373" s="164">
        <v>25</v>
      </c>
      <c r="N373" s="164">
        <v>17.5</v>
      </c>
      <c r="O373" s="165">
        <v>2.6</v>
      </c>
      <c r="P373" s="165">
        <v>2.6</v>
      </c>
      <c r="Q373" s="164">
        <v>215</v>
      </c>
      <c r="R373" s="164">
        <v>276</v>
      </c>
      <c r="S373" s="166">
        <v>0.22</v>
      </c>
      <c r="T373" s="164" t="s">
        <v>163</v>
      </c>
      <c r="U373" s="164"/>
      <c r="V373" s="167">
        <v>41820</v>
      </c>
      <c r="W373" s="167">
        <v>41813</v>
      </c>
      <c r="X373" s="164" t="s">
        <v>506</v>
      </c>
      <c r="Y373" s="164" t="s">
        <v>1118</v>
      </c>
      <c r="Z373" s="164" t="s">
        <v>163</v>
      </c>
      <c r="AA373" s="168" t="s">
        <v>184</v>
      </c>
      <c r="AB373" s="168" t="s">
        <v>194</v>
      </c>
      <c r="AC373" s="168" t="s">
        <v>188</v>
      </c>
      <c r="AD373" s="168" t="s">
        <v>182</v>
      </c>
      <c r="AE373" s="168" t="s">
        <v>163</v>
      </c>
      <c r="AF373" s="168" t="s">
        <v>163</v>
      </c>
      <c r="AG373" s="168" t="s">
        <v>163</v>
      </c>
      <c r="AH373" s="168" t="str">
        <f t="shared" si="31"/>
        <v>Refrigerator-Compact-Manual-Yes-No-No-No</v>
      </c>
      <c r="AI373" s="168" t="s">
        <v>315</v>
      </c>
      <c r="AJ373" s="168">
        <v>7.84</v>
      </c>
      <c r="AK373" s="169">
        <v>219.1</v>
      </c>
      <c r="AL373" s="169">
        <f t="shared" si="32"/>
        <v>239.48399999999998</v>
      </c>
      <c r="AM373" s="168">
        <f t="shared" si="33"/>
        <v>276</v>
      </c>
      <c r="AN373" s="168">
        <f t="shared" si="34"/>
        <v>215</v>
      </c>
      <c r="AO373" s="164" t="str">
        <f t="shared" si="35"/>
        <v>Yes</v>
      </c>
      <c r="AP373" s="164">
        <f t="shared" si="36"/>
        <v>61</v>
      </c>
    </row>
    <row r="374" spans="2:42">
      <c r="B374" s="164">
        <v>2213652</v>
      </c>
      <c r="C374" s="164" t="s">
        <v>1114</v>
      </c>
      <c r="D374" s="164" t="s">
        <v>1119</v>
      </c>
      <c r="E374" s="164"/>
      <c r="F374" s="164" t="s">
        <v>194</v>
      </c>
      <c r="G374" s="164" t="s">
        <v>188</v>
      </c>
      <c r="H374" s="164" t="s">
        <v>182</v>
      </c>
      <c r="I374" s="164" t="s">
        <v>163</v>
      </c>
      <c r="J374" s="164" t="s">
        <v>163</v>
      </c>
      <c r="K374" s="164" t="s">
        <v>163</v>
      </c>
      <c r="L374" s="164" t="s">
        <v>163</v>
      </c>
      <c r="M374" s="164">
        <v>25</v>
      </c>
      <c r="N374" s="164">
        <v>17.5</v>
      </c>
      <c r="O374" s="165">
        <v>2.6</v>
      </c>
      <c r="P374" s="165">
        <v>2.6</v>
      </c>
      <c r="Q374" s="164">
        <v>215</v>
      </c>
      <c r="R374" s="164">
        <v>276</v>
      </c>
      <c r="S374" s="166">
        <v>0.22</v>
      </c>
      <c r="T374" s="164" t="s">
        <v>163</v>
      </c>
      <c r="U374" s="164"/>
      <c r="V374" s="167">
        <v>41820</v>
      </c>
      <c r="W374" s="167">
        <v>41813</v>
      </c>
      <c r="X374" s="164" t="s">
        <v>506</v>
      </c>
      <c r="Y374" s="164" t="s">
        <v>1120</v>
      </c>
      <c r="Z374" s="164" t="s">
        <v>163</v>
      </c>
      <c r="AA374" s="168" t="s">
        <v>184</v>
      </c>
      <c r="AB374" s="168" t="s">
        <v>194</v>
      </c>
      <c r="AC374" s="168" t="s">
        <v>188</v>
      </c>
      <c r="AD374" s="168" t="s">
        <v>182</v>
      </c>
      <c r="AE374" s="168" t="s">
        <v>163</v>
      </c>
      <c r="AF374" s="168" t="s">
        <v>163</v>
      </c>
      <c r="AG374" s="168" t="s">
        <v>163</v>
      </c>
      <c r="AH374" s="168" t="str">
        <f t="shared" si="31"/>
        <v>Refrigerator-Compact-Manual-Yes-No-No-No</v>
      </c>
      <c r="AI374" s="168" t="s">
        <v>315</v>
      </c>
      <c r="AJ374" s="168">
        <v>7.84</v>
      </c>
      <c r="AK374" s="169">
        <v>219.1</v>
      </c>
      <c r="AL374" s="169">
        <f t="shared" si="32"/>
        <v>239.48399999999998</v>
      </c>
      <c r="AM374" s="168">
        <f t="shared" si="33"/>
        <v>276</v>
      </c>
      <c r="AN374" s="168">
        <f t="shared" si="34"/>
        <v>215</v>
      </c>
      <c r="AO374" s="164" t="str">
        <f t="shared" si="35"/>
        <v>Yes</v>
      </c>
      <c r="AP374" s="164">
        <f t="shared" si="36"/>
        <v>61</v>
      </c>
    </row>
    <row r="375" spans="2:42">
      <c r="B375" s="164">
        <v>2214575</v>
      </c>
      <c r="C375" s="164" t="s">
        <v>1114</v>
      </c>
      <c r="D375" s="164" t="s">
        <v>1121</v>
      </c>
      <c r="E375" s="164"/>
      <c r="F375" s="164" t="s">
        <v>194</v>
      </c>
      <c r="G375" s="164" t="s">
        <v>188</v>
      </c>
      <c r="H375" s="164" t="s">
        <v>182</v>
      </c>
      <c r="I375" s="164" t="s">
        <v>163</v>
      </c>
      <c r="J375" s="164" t="s">
        <v>163</v>
      </c>
      <c r="K375" s="164" t="s">
        <v>163</v>
      </c>
      <c r="L375" s="164" t="s">
        <v>163</v>
      </c>
      <c r="M375" s="164">
        <v>32.700000000000003</v>
      </c>
      <c r="N375" s="164">
        <v>18.5</v>
      </c>
      <c r="O375" s="165">
        <v>3.3</v>
      </c>
      <c r="P375" s="165">
        <v>3.3</v>
      </c>
      <c r="Q375" s="164">
        <v>219</v>
      </c>
      <c r="R375" s="164">
        <v>282</v>
      </c>
      <c r="S375" s="166">
        <v>0.22</v>
      </c>
      <c r="T375" s="164" t="s">
        <v>163</v>
      </c>
      <c r="U375" s="164"/>
      <c r="V375" s="167">
        <v>41825</v>
      </c>
      <c r="W375" s="167">
        <v>41788</v>
      </c>
      <c r="X375" s="164" t="s">
        <v>387</v>
      </c>
      <c r="Y375" s="164" t="s">
        <v>1122</v>
      </c>
      <c r="Z375" s="164" t="s">
        <v>163</v>
      </c>
      <c r="AA375" s="168" t="s">
        <v>184</v>
      </c>
      <c r="AB375" s="168" t="s">
        <v>194</v>
      </c>
      <c r="AC375" s="168" t="s">
        <v>188</v>
      </c>
      <c r="AD375" s="168" t="s">
        <v>182</v>
      </c>
      <c r="AE375" s="168" t="s">
        <v>163</v>
      </c>
      <c r="AF375" s="168" t="s">
        <v>163</v>
      </c>
      <c r="AG375" s="168" t="s">
        <v>163</v>
      </c>
      <c r="AH375" s="168" t="str">
        <f t="shared" si="31"/>
        <v>Refrigerator-Compact-Manual-Yes-No-No-No</v>
      </c>
      <c r="AI375" s="168" t="s">
        <v>315</v>
      </c>
      <c r="AJ375" s="168">
        <v>7.84</v>
      </c>
      <c r="AK375" s="169">
        <v>219.1</v>
      </c>
      <c r="AL375" s="169">
        <f t="shared" si="32"/>
        <v>244.97199999999998</v>
      </c>
      <c r="AM375" s="168">
        <f t="shared" si="33"/>
        <v>282</v>
      </c>
      <c r="AN375" s="168">
        <f t="shared" si="34"/>
        <v>219</v>
      </c>
      <c r="AO375" s="164" t="str">
        <f t="shared" si="35"/>
        <v>Yes</v>
      </c>
      <c r="AP375" s="164">
        <f t="shared" si="36"/>
        <v>63</v>
      </c>
    </row>
    <row r="376" spans="2:42">
      <c r="B376" s="164">
        <v>2214568</v>
      </c>
      <c r="C376" s="164" t="s">
        <v>1114</v>
      </c>
      <c r="D376" s="164" t="s">
        <v>1123</v>
      </c>
      <c r="E376" s="164"/>
      <c r="F376" s="164" t="s">
        <v>194</v>
      </c>
      <c r="G376" s="164" t="s">
        <v>188</v>
      </c>
      <c r="H376" s="164" t="s">
        <v>182</v>
      </c>
      <c r="I376" s="164" t="s">
        <v>163</v>
      </c>
      <c r="J376" s="164" t="s">
        <v>163</v>
      </c>
      <c r="K376" s="164" t="s">
        <v>163</v>
      </c>
      <c r="L376" s="164" t="s">
        <v>163</v>
      </c>
      <c r="M376" s="164">
        <v>32.700000000000003</v>
      </c>
      <c r="N376" s="164">
        <v>18.5</v>
      </c>
      <c r="O376" s="165">
        <v>3.5</v>
      </c>
      <c r="P376" s="165">
        <v>3.5</v>
      </c>
      <c r="Q376" s="164">
        <v>221</v>
      </c>
      <c r="R376" s="164">
        <v>284</v>
      </c>
      <c r="S376" s="166">
        <v>0.22</v>
      </c>
      <c r="T376" s="164" t="s">
        <v>163</v>
      </c>
      <c r="U376" s="164"/>
      <c r="V376" s="167">
        <v>41840</v>
      </c>
      <c r="W376" s="167">
        <v>41821</v>
      </c>
      <c r="X376" s="164" t="s">
        <v>387</v>
      </c>
      <c r="Y376" s="164" t="s">
        <v>1124</v>
      </c>
      <c r="Z376" s="164" t="s">
        <v>163</v>
      </c>
      <c r="AA376" s="168" t="s">
        <v>184</v>
      </c>
      <c r="AB376" s="168" t="s">
        <v>194</v>
      </c>
      <c r="AC376" s="168" t="s">
        <v>188</v>
      </c>
      <c r="AD376" s="168" t="s">
        <v>182</v>
      </c>
      <c r="AE376" s="168" t="s">
        <v>163</v>
      </c>
      <c r="AF376" s="168" t="s">
        <v>163</v>
      </c>
      <c r="AG376" s="168" t="s">
        <v>163</v>
      </c>
      <c r="AH376" s="168" t="str">
        <f t="shared" si="31"/>
        <v>Refrigerator-Compact-Manual-Yes-No-No-No</v>
      </c>
      <c r="AI376" s="168" t="s">
        <v>315</v>
      </c>
      <c r="AJ376" s="168">
        <v>7.84</v>
      </c>
      <c r="AK376" s="169">
        <v>219.1</v>
      </c>
      <c r="AL376" s="169">
        <f t="shared" si="32"/>
        <v>246.54</v>
      </c>
      <c r="AM376" s="168">
        <f t="shared" si="33"/>
        <v>284</v>
      </c>
      <c r="AN376" s="168">
        <f t="shared" si="34"/>
        <v>221</v>
      </c>
      <c r="AO376" s="164" t="str">
        <f t="shared" si="35"/>
        <v>Yes</v>
      </c>
      <c r="AP376" s="164">
        <f t="shared" si="36"/>
        <v>63</v>
      </c>
    </row>
    <row r="377" spans="2:42">
      <c r="B377" s="164">
        <v>2217488</v>
      </c>
      <c r="C377" s="164" t="s">
        <v>1114</v>
      </c>
      <c r="D377" s="164" t="s">
        <v>1125</v>
      </c>
      <c r="E377" s="164"/>
      <c r="F377" s="164" t="s">
        <v>194</v>
      </c>
      <c r="G377" s="164" t="s">
        <v>188</v>
      </c>
      <c r="H377" s="164" t="s">
        <v>182</v>
      </c>
      <c r="I377" s="164" t="s">
        <v>163</v>
      </c>
      <c r="J377" s="164" t="s">
        <v>163</v>
      </c>
      <c r="K377" s="164" t="s">
        <v>163</v>
      </c>
      <c r="L377" s="164" t="s">
        <v>163</v>
      </c>
      <c r="M377" s="164">
        <v>32.700000000000003</v>
      </c>
      <c r="N377" s="164">
        <v>19.7</v>
      </c>
      <c r="O377" s="165">
        <v>4.4000000000000004</v>
      </c>
      <c r="P377" s="165">
        <v>4.4000000000000004</v>
      </c>
      <c r="Q377" s="164">
        <v>228</v>
      </c>
      <c r="R377" s="164">
        <v>292</v>
      </c>
      <c r="S377" s="166">
        <v>0.22</v>
      </c>
      <c r="T377" s="164" t="s">
        <v>163</v>
      </c>
      <c r="U377" s="164"/>
      <c r="V377" s="167">
        <v>41865</v>
      </c>
      <c r="W377" s="167">
        <v>41866</v>
      </c>
      <c r="X377" s="164" t="s">
        <v>506</v>
      </c>
      <c r="Y377" s="164" t="s">
        <v>1126</v>
      </c>
      <c r="Z377" s="164" t="s">
        <v>163</v>
      </c>
      <c r="AA377" s="168" t="s">
        <v>184</v>
      </c>
      <c r="AB377" s="168" t="s">
        <v>194</v>
      </c>
      <c r="AC377" s="168" t="s">
        <v>188</v>
      </c>
      <c r="AD377" s="168" t="s">
        <v>182</v>
      </c>
      <c r="AE377" s="168" t="s">
        <v>163</v>
      </c>
      <c r="AF377" s="168" t="s">
        <v>163</v>
      </c>
      <c r="AG377" s="168" t="s">
        <v>163</v>
      </c>
      <c r="AH377" s="168" t="str">
        <f t="shared" si="31"/>
        <v>Refrigerator-Compact-Manual-Yes-No-No-No</v>
      </c>
      <c r="AI377" s="168" t="s">
        <v>315</v>
      </c>
      <c r="AJ377" s="168">
        <v>7.84</v>
      </c>
      <c r="AK377" s="169">
        <v>219.1</v>
      </c>
      <c r="AL377" s="169">
        <f t="shared" si="32"/>
        <v>253.596</v>
      </c>
      <c r="AM377" s="168">
        <f t="shared" si="33"/>
        <v>292</v>
      </c>
      <c r="AN377" s="168">
        <f t="shared" si="34"/>
        <v>228</v>
      </c>
      <c r="AO377" s="164" t="str">
        <f t="shared" si="35"/>
        <v>Yes</v>
      </c>
      <c r="AP377" s="164">
        <f t="shared" si="36"/>
        <v>64</v>
      </c>
    </row>
    <row r="378" spans="2:42">
      <c r="B378" s="164">
        <v>2217489</v>
      </c>
      <c r="C378" s="164" t="s">
        <v>1114</v>
      </c>
      <c r="D378" s="164" t="s">
        <v>1127</v>
      </c>
      <c r="E378" s="164"/>
      <c r="F378" s="164" t="s">
        <v>194</v>
      </c>
      <c r="G378" s="164" t="s">
        <v>162</v>
      </c>
      <c r="H378" s="164" t="s">
        <v>182</v>
      </c>
      <c r="I378" s="164" t="s">
        <v>163</v>
      </c>
      <c r="J378" s="164" t="s">
        <v>163</v>
      </c>
      <c r="K378" s="164" t="s">
        <v>163</v>
      </c>
      <c r="L378" s="164" t="s">
        <v>163</v>
      </c>
      <c r="M378" s="164">
        <v>33.5</v>
      </c>
      <c r="N378" s="164">
        <v>18.899999999999999</v>
      </c>
      <c r="O378" s="165">
        <v>3.1</v>
      </c>
      <c r="P378" s="165">
        <v>3.7</v>
      </c>
      <c r="Q378" s="164">
        <v>320</v>
      </c>
      <c r="R378" s="164">
        <v>358</v>
      </c>
      <c r="S378" s="166">
        <v>0.11</v>
      </c>
      <c r="T378" s="164" t="s">
        <v>163</v>
      </c>
      <c r="U378" s="164"/>
      <c r="V378" s="167">
        <v>41865</v>
      </c>
      <c r="W378" s="167">
        <v>41866</v>
      </c>
      <c r="X378" s="164" t="s">
        <v>506</v>
      </c>
      <c r="Y378" s="164" t="s">
        <v>1128</v>
      </c>
      <c r="Z378" s="164" t="s">
        <v>163</v>
      </c>
      <c r="AA378" s="168" t="s">
        <v>184</v>
      </c>
      <c r="AB378" s="168" t="s">
        <v>194</v>
      </c>
      <c r="AC378" s="168" t="s">
        <v>162</v>
      </c>
      <c r="AD378" s="168" t="s">
        <v>182</v>
      </c>
      <c r="AE378" s="168" t="s">
        <v>163</v>
      </c>
      <c r="AF378" s="168" t="s">
        <v>163</v>
      </c>
      <c r="AG378" s="168" t="s">
        <v>163</v>
      </c>
      <c r="AH378" s="168" t="str">
        <f t="shared" si="31"/>
        <v>Refrigerator-Compact-Automatic-Yes-No-No-No</v>
      </c>
      <c r="AI378" s="168" t="s">
        <v>329</v>
      </c>
      <c r="AJ378" s="168">
        <v>9.17</v>
      </c>
      <c r="AK378" s="169">
        <v>259.3</v>
      </c>
      <c r="AL378" s="169">
        <f t="shared" si="32"/>
        <v>293.22900000000004</v>
      </c>
      <c r="AM378" s="168">
        <f t="shared" si="33"/>
        <v>358</v>
      </c>
      <c r="AN378" s="168">
        <f t="shared" si="34"/>
        <v>320</v>
      </c>
      <c r="AO378" s="164" t="str">
        <f t="shared" si="35"/>
        <v>Yes</v>
      </c>
      <c r="AP378" s="164">
        <f t="shared" si="36"/>
        <v>38</v>
      </c>
    </row>
    <row r="379" spans="2:42">
      <c r="B379" s="164">
        <v>2214574</v>
      </c>
      <c r="C379" s="164" t="s">
        <v>1114</v>
      </c>
      <c r="D379" s="164" t="s">
        <v>1129</v>
      </c>
      <c r="E379" s="164"/>
      <c r="F379" s="164" t="s">
        <v>194</v>
      </c>
      <c r="G379" s="164" t="s">
        <v>188</v>
      </c>
      <c r="H379" s="164" t="s">
        <v>182</v>
      </c>
      <c r="I379" s="164" t="s">
        <v>163</v>
      </c>
      <c r="J379" s="164" t="s">
        <v>163</v>
      </c>
      <c r="K379" s="164" t="s">
        <v>163</v>
      </c>
      <c r="L379" s="164" t="s">
        <v>163</v>
      </c>
      <c r="M379" s="164">
        <v>19.100000000000001</v>
      </c>
      <c r="N379" s="164">
        <v>17.399999999999999</v>
      </c>
      <c r="O379" s="165">
        <v>1.6</v>
      </c>
      <c r="P379" s="165">
        <v>1.6</v>
      </c>
      <c r="Q379" s="164">
        <v>208</v>
      </c>
      <c r="R379" s="164">
        <v>267</v>
      </c>
      <c r="S379" s="166">
        <v>0.22</v>
      </c>
      <c r="T379" s="164" t="s">
        <v>163</v>
      </c>
      <c r="U379" s="164"/>
      <c r="V379" s="167">
        <v>41825</v>
      </c>
      <c r="W379" s="167">
        <v>41788</v>
      </c>
      <c r="X379" s="164" t="s">
        <v>387</v>
      </c>
      <c r="Y379" s="164" t="s">
        <v>1130</v>
      </c>
      <c r="Z379" s="164" t="s">
        <v>163</v>
      </c>
      <c r="AA379" s="168" t="s">
        <v>184</v>
      </c>
      <c r="AB379" s="168" t="s">
        <v>194</v>
      </c>
      <c r="AC379" s="168" t="s">
        <v>188</v>
      </c>
      <c r="AD379" s="168" t="s">
        <v>182</v>
      </c>
      <c r="AE379" s="168" t="s">
        <v>163</v>
      </c>
      <c r="AF379" s="168" t="s">
        <v>163</v>
      </c>
      <c r="AG379" s="168" t="s">
        <v>163</v>
      </c>
      <c r="AH379" s="168" t="str">
        <f t="shared" si="31"/>
        <v>Refrigerator-Compact-Manual-Yes-No-No-No</v>
      </c>
      <c r="AI379" s="168" t="s">
        <v>315</v>
      </c>
      <c r="AJ379" s="168">
        <v>7.84</v>
      </c>
      <c r="AK379" s="169">
        <v>219.1</v>
      </c>
      <c r="AL379" s="169">
        <f t="shared" si="32"/>
        <v>231.64400000000001</v>
      </c>
      <c r="AM379" s="168">
        <f t="shared" si="33"/>
        <v>267</v>
      </c>
      <c r="AN379" s="168">
        <f t="shared" si="34"/>
        <v>208</v>
      </c>
      <c r="AO379" s="164" t="str">
        <f t="shared" si="35"/>
        <v>Yes</v>
      </c>
      <c r="AP379" s="164">
        <f t="shared" si="36"/>
        <v>59</v>
      </c>
    </row>
    <row r="380" spans="2:42">
      <c r="B380" s="164">
        <v>2214576</v>
      </c>
      <c r="C380" s="164" t="s">
        <v>1114</v>
      </c>
      <c r="D380" s="164" t="s">
        <v>1131</v>
      </c>
      <c r="E380" s="164"/>
      <c r="F380" s="164" t="s">
        <v>194</v>
      </c>
      <c r="G380" s="164" t="s">
        <v>188</v>
      </c>
      <c r="H380" s="164" t="s">
        <v>182</v>
      </c>
      <c r="I380" s="164" t="s">
        <v>163</v>
      </c>
      <c r="J380" s="164" t="s">
        <v>163</v>
      </c>
      <c r="K380" s="164" t="s">
        <v>163</v>
      </c>
      <c r="L380" s="164" t="s">
        <v>163</v>
      </c>
      <c r="M380" s="164">
        <v>32.700000000000003</v>
      </c>
      <c r="N380" s="164">
        <v>18.5</v>
      </c>
      <c r="O380" s="165">
        <v>3.3</v>
      </c>
      <c r="P380" s="165">
        <v>3.3</v>
      </c>
      <c r="Q380" s="164">
        <v>219</v>
      </c>
      <c r="R380" s="164">
        <v>282</v>
      </c>
      <c r="S380" s="166">
        <v>0.22</v>
      </c>
      <c r="T380" s="164" t="s">
        <v>163</v>
      </c>
      <c r="U380" s="164"/>
      <c r="V380" s="167">
        <v>41825</v>
      </c>
      <c r="W380" s="167">
        <v>41788</v>
      </c>
      <c r="X380" s="164" t="s">
        <v>387</v>
      </c>
      <c r="Y380" s="164" t="s">
        <v>1132</v>
      </c>
      <c r="Z380" s="164" t="s">
        <v>163</v>
      </c>
      <c r="AA380" s="168" t="s">
        <v>184</v>
      </c>
      <c r="AB380" s="168" t="s">
        <v>194</v>
      </c>
      <c r="AC380" s="168" t="s">
        <v>188</v>
      </c>
      <c r="AD380" s="168" t="s">
        <v>182</v>
      </c>
      <c r="AE380" s="168" t="s">
        <v>163</v>
      </c>
      <c r="AF380" s="168" t="s">
        <v>163</v>
      </c>
      <c r="AG380" s="168" t="s">
        <v>163</v>
      </c>
      <c r="AH380" s="168" t="str">
        <f t="shared" si="31"/>
        <v>Refrigerator-Compact-Manual-Yes-No-No-No</v>
      </c>
      <c r="AI380" s="168" t="s">
        <v>315</v>
      </c>
      <c r="AJ380" s="168">
        <v>7.84</v>
      </c>
      <c r="AK380" s="169">
        <v>219.1</v>
      </c>
      <c r="AL380" s="169">
        <f t="shared" si="32"/>
        <v>244.97199999999998</v>
      </c>
      <c r="AM380" s="168">
        <f t="shared" si="33"/>
        <v>282</v>
      </c>
      <c r="AN380" s="168">
        <f t="shared" si="34"/>
        <v>219</v>
      </c>
      <c r="AO380" s="164" t="str">
        <f t="shared" si="35"/>
        <v>Yes</v>
      </c>
      <c r="AP380" s="164">
        <f t="shared" si="36"/>
        <v>63</v>
      </c>
    </row>
    <row r="381" spans="2:42">
      <c r="B381" s="164">
        <v>2214567</v>
      </c>
      <c r="C381" s="164" t="s">
        <v>1114</v>
      </c>
      <c r="D381" s="164" t="s">
        <v>1133</v>
      </c>
      <c r="E381" s="164"/>
      <c r="F381" s="164" t="s">
        <v>194</v>
      </c>
      <c r="G381" s="164" t="s">
        <v>188</v>
      </c>
      <c r="H381" s="164" t="s">
        <v>182</v>
      </c>
      <c r="I381" s="164" t="s">
        <v>163</v>
      </c>
      <c r="J381" s="164" t="s">
        <v>163</v>
      </c>
      <c r="K381" s="164" t="s">
        <v>163</v>
      </c>
      <c r="L381" s="164" t="s">
        <v>163</v>
      </c>
      <c r="M381" s="164">
        <v>32.700000000000003</v>
      </c>
      <c r="N381" s="164">
        <v>18.5</v>
      </c>
      <c r="O381" s="165">
        <v>3.5</v>
      </c>
      <c r="P381" s="165">
        <v>3.5</v>
      </c>
      <c r="Q381" s="164">
        <v>221</v>
      </c>
      <c r="R381" s="164">
        <v>284</v>
      </c>
      <c r="S381" s="166">
        <v>0.22</v>
      </c>
      <c r="T381" s="164" t="s">
        <v>163</v>
      </c>
      <c r="U381" s="164"/>
      <c r="V381" s="167">
        <v>41840</v>
      </c>
      <c r="W381" s="167">
        <v>41821</v>
      </c>
      <c r="X381" s="164" t="s">
        <v>387</v>
      </c>
      <c r="Y381" s="164" t="s">
        <v>1134</v>
      </c>
      <c r="Z381" s="164" t="s">
        <v>163</v>
      </c>
      <c r="AA381" s="168" t="s">
        <v>184</v>
      </c>
      <c r="AB381" s="168" t="s">
        <v>194</v>
      </c>
      <c r="AC381" s="168" t="s">
        <v>188</v>
      </c>
      <c r="AD381" s="168" t="s">
        <v>182</v>
      </c>
      <c r="AE381" s="168" t="s">
        <v>163</v>
      </c>
      <c r="AF381" s="168" t="s">
        <v>163</v>
      </c>
      <c r="AG381" s="168" t="s">
        <v>163</v>
      </c>
      <c r="AH381" s="168" t="str">
        <f t="shared" si="31"/>
        <v>Refrigerator-Compact-Manual-Yes-No-No-No</v>
      </c>
      <c r="AI381" s="168" t="s">
        <v>315</v>
      </c>
      <c r="AJ381" s="168">
        <v>7.84</v>
      </c>
      <c r="AK381" s="169">
        <v>219.1</v>
      </c>
      <c r="AL381" s="169">
        <f t="shared" si="32"/>
        <v>246.54</v>
      </c>
      <c r="AM381" s="168">
        <f t="shared" si="33"/>
        <v>284</v>
      </c>
      <c r="AN381" s="168">
        <f t="shared" si="34"/>
        <v>221</v>
      </c>
      <c r="AO381" s="164" t="str">
        <f t="shared" si="35"/>
        <v>Yes</v>
      </c>
      <c r="AP381" s="164">
        <f t="shared" si="36"/>
        <v>63</v>
      </c>
    </row>
    <row r="382" spans="2:42">
      <c r="B382" s="164">
        <v>2218246</v>
      </c>
      <c r="C382" s="164" t="s">
        <v>1114</v>
      </c>
      <c r="D382" s="164" t="s">
        <v>1135</v>
      </c>
      <c r="E382" s="164"/>
      <c r="F382" s="164" t="s">
        <v>191</v>
      </c>
      <c r="G382" s="164" t="s">
        <v>162</v>
      </c>
      <c r="H382" s="164" t="s">
        <v>163</v>
      </c>
      <c r="I382" s="164" t="s">
        <v>163</v>
      </c>
      <c r="J382" s="164" t="s">
        <v>163</v>
      </c>
      <c r="K382" s="164" t="s">
        <v>163</v>
      </c>
      <c r="L382" s="164" t="s">
        <v>163</v>
      </c>
      <c r="M382" s="164">
        <v>59.8</v>
      </c>
      <c r="N382" s="164">
        <v>23.8</v>
      </c>
      <c r="O382" s="165">
        <v>9.1999999999999993</v>
      </c>
      <c r="P382" s="165">
        <v>9.1999999999999993</v>
      </c>
      <c r="Q382" s="164">
        <v>374</v>
      </c>
      <c r="R382" s="164">
        <v>398</v>
      </c>
      <c r="S382" s="166">
        <v>0.06</v>
      </c>
      <c r="T382" s="164" t="s">
        <v>163</v>
      </c>
      <c r="U382" s="164"/>
      <c r="V382" s="167">
        <v>41882</v>
      </c>
      <c r="W382" s="167">
        <v>41873</v>
      </c>
      <c r="X382" s="164" t="s">
        <v>387</v>
      </c>
      <c r="Y382" s="164" t="s">
        <v>1136</v>
      </c>
      <c r="Z382" s="164" t="s">
        <v>163</v>
      </c>
      <c r="AA382" s="168" t="s">
        <v>184</v>
      </c>
      <c r="AB382" s="168" t="s">
        <v>191</v>
      </c>
      <c r="AC382" s="168" t="s">
        <v>162</v>
      </c>
      <c r="AD382" s="168" t="s">
        <v>163</v>
      </c>
      <c r="AE382" s="168" t="s">
        <v>163</v>
      </c>
      <c r="AF382" s="168" t="s">
        <v>163</v>
      </c>
      <c r="AG382" s="168" t="s">
        <v>163</v>
      </c>
      <c r="AH382" s="168" t="str">
        <f t="shared" si="31"/>
        <v>Refrigerator-Bottom Freezer-Automatic-No-No-No-No</v>
      </c>
      <c r="AI382" s="168">
        <v>5</v>
      </c>
      <c r="AJ382" s="168">
        <v>8.85</v>
      </c>
      <c r="AK382" s="169">
        <v>317</v>
      </c>
      <c r="AL382" s="169">
        <f t="shared" si="32"/>
        <v>398.41999999999996</v>
      </c>
      <c r="AM382" s="168">
        <f t="shared" si="33"/>
        <v>398</v>
      </c>
      <c r="AN382" s="168">
        <f t="shared" si="34"/>
        <v>374</v>
      </c>
      <c r="AO382" s="164" t="str">
        <f t="shared" si="35"/>
        <v>Yes</v>
      </c>
      <c r="AP382" s="164">
        <f t="shared" si="36"/>
        <v>24</v>
      </c>
    </row>
    <row r="383" spans="2:42">
      <c r="B383" s="164">
        <v>2218247</v>
      </c>
      <c r="C383" s="164" t="s">
        <v>1114</v>
      </c>
      <c r="D383" s="164" t="s">
        <v>1137</v>
      </c>
      <c r="E383" s="164"/>
      <c r="F383" s="164" t="s">
        <v>191</v>
      </c>
      <c r="G383" s="164" t="s">
        <v>162</v>
      </c>
      <c r="H383" s="164" t="s">
        <v>163</v>
      </c>
      <c r="I383" s="164" t="s">
        <v>163</v>
      </c>
      <c r="J383" s="164" t="s">
        <v>163</v>
      </c>
      <c r="K383" s="164" t="s">
        <v>163</v>
      </c>
      <c r="L383" s="164" t="s">
        <v>163</v>
      </c>
      <c r="M383" s="164">
        <v>59.8</v>
      </c>
      <c r="N383" s="164">
        <v>23.8</v>
      </c>
      <c r="O383" s="165">
        <v>9.1999999999999993</v>
      </c>
      <c r="P383" s="165">
        <v>9.1999999999999993</v>
      </c>
      <c r="Q383" s="164">
        <v>374</v>
      </c>
      <c r="R383" s="164">
        <v>398</v>
      </c>
      <c r="S383" s="166">
        <v>0.06</v>
      </c>
      <c r="T383" s="164" t="s">
        <v>163</v>
      </c>
      <c r="U383" s="164"/>
      <c r="V383" s="167">
        <v>41882</v>
      </c>
      <c r="W383" s="167">
        <v>41873</v>
      </c>
      <c r="X383" s="164" t="s">
        <v>387</v>
      </c>
      <c r="Y383" s="164" t="s">
        <v>1138</v>
      </c>
      <c r="Z383" s="164" t="s">
        <v>163</v>
      </c>
      <c r="AA383" s="168" t="s">
        <v>184</v>
      </c>
      <c r="AB383" s="168" t="s">
        <v>191</v>
      </c>
      <c r="AC383" s="168" t="s">
        <v>162</v>
      </c>
      <c r="AD383" s="168" t="s">
        <v>163</v>
      </c>
      <c r="AE383" s="168" t="s">
        <v>163</v>
      </c>
      <c r="AF383" s="168" t="s">
        <v>163</v>
      </c>
      <c r="AG383" s="168" t="s">
        <v>163</v>
      </c>
      <c r="AH383" s="168" t="str">
        <f t="shared" si="31"/>
        <v>Refrigerator-Bottom Freezer-Automatic-No-No-No-No</v>
      </c>
      <c r="AI383" s="168">
        <v>5</v>
      </c>
      <c r="AJ383" s="168">
        <v>8.85</v>
      </c>
      <c r="AK383" s="169">
        <v>317</v>
      </c>
      <c r="AL383" s="169">
        <f t="shared" si="32"/>
        <v>398.41999999999996</v>
      </c>
      <c r="AM383" s="168">
        <f t="shared" si="33"/>
        <v>398</v>
      </c>
      <c r="AN383" s="168">
        <f t="shared" si="34"/>
        <v>374</v>
      </c>
      <c r="AO383" s="164" t="str">
        <f t="shared" si="35"/>
        <v>Yes</v>
      </c>
      <c r="AP383" s="164">
        <f t="shared" si="36"/>
        <v>24</v>
      </c>
    </row>
    <row r="384" spans="2:42">
      <c r="B384" s="164">
        <v>2218242</v>
      </c>
      <c r="C384" s="164" t="s">
        <v>1114</v>
      </c>
      <c r="D384" s="164" t="s">
        <v>1139</v>
      </c>
      <c r="E384" s="164"/>
      <c r="F384" s="164" t="s">
        <v>191</v>
      </c>
      <c r="G384" s="164" t="s">
        <v>162</v>
      </c>
      <c r="H384" s="164" t="s">
        <v>163</v>
      </c>
      <c r="I384" s="164" t="s">
        <v>163</v>
      </c>
      <c r="J384" s="164" t="s">
        <v>163</v>
      </c>
      <c r="K384" s="164" t="s">
        <v>163</v>
      </c>
      <c r="L384" s="164" t="s">
        <v>163</v>
      </c>
      <c r="M384" s="164">
        <v>59.8</v>
      </c>
      <c r="N384" s="164">
        <v>23.8</v>
      </c>
      <c r="O384" s="165">
        <v>9.1999999999999993</v>
      </c>
      <c r="P384" s="165">
        <v>9.1999999999999993</v>
      </c>
      <c r="Q384" s="164">
        <v>374</v>
      </c>
      <c r="R384" s="164">
        <v>398</v>
      </c>
      <c r="S384" s="166">
        <v>0.06</v>
      </c>
      <c r="T384" s="164" t="s">
        <v>163</v>
      </c>
      <c r="U384" s="164"/>
      <c r="V384" s="167">
        <v>41882</v>
      </c>
      <c r="W384" s="167">
        <v>41873</v>
      </c>
      <c r="X384" s="164" t="s">
        <v>387</v>
      </c>
      <c r="Y384" s="164" t="s">
        <v>1140</v>
      </c>
      <c r="Z384" s="164" t="s">
        <v>163</v>
      </c>
      <c r="AA384" s="168" t="s">
        <v>184</v>
      </c>
      <c r="AB384" s="168" t="s">
        <v>191</v>
      </c>
      <c r="AC384" s="168" t="s">
        <v>162</v>
      </c>
      <c r="AD384" s="168" t="s">
        <v>163</v>
      </c>
      <c r="AE384" s="168" t="s">
        <v>163</v>
      </c>
      <c r="AF384" s="168" t="s">
        <v>163</v>
      </c>
      <c r="AG384" s="168" t="s">
        <v>163</v>
      </c>
      <c r="AH384" s="168" t="str">
        <f t="shared" si="31"/>
        <v>Refrigerator-Bottom Freezer-Automatic-No-No-No-No</v>
      </c>
      <c r="AI384" s="168">
        <v>5</v>
      </c>
      <c r="AJ384" s="168">
        <v>8.85</v>
      </c>
      <c r="AK384" s="169">
        <v>317</v>
      </c>
      <c r="AL384" s="169">
        <f t="shared" si="32"/>
        <v>398.41999999999996</v>
      </c>
      <c r="AM384" s="168">
        <f t="shared" si="33"/>
        <v>398</v>
      </c>
      <c r="AN384" s="168">
        <f t="shared" si="34"/>
        <v>374</v>
      </c>
      <c r="AO384" s="164" t="str">
        <f t="shared" si="35"/>
        <v>Yes</v>
      </c>
      <c r="AP384" s="164">
        <f t="shared" si="36"/>
        <v>24</v>
      </c>
    </row>
    <row r="385" spans="2:42">
      <c r="B385" s="164">
        <v>2218243</v>
      </c>
      <c r="C385" s="164" t="s">
        <v>1114</v>
      </c>
      <c r="D385" s="164" t="s">
        <v>1141</v>
      </c>
      <c r="E385" s="164"/>
      <c r="F385" s="164" t="s">
        <v>191</v>
      </c>
      <c r="G385" s="164" t="s">
        <v>162</v>
      </c>
      <c r="H385" s="164" t="s">
        <v>163</v>
      </c>
      <c r="I385" s="164" t="s">
        <v>163</v>
      </c>
      <c r="J385" s="164" t="s">
        <v>163</v>
      </c>
      <c r="K385" s="164" t="s">
        <v>163</v>
      </c>
      <c r="L385" s="164" t="s">
        <v>163</v>
      </c>
      <c r="M385" s="164">
        <v>59.8</v>
      </c>
      <c r="N385" s="164">
        <v>23.8</v>
      </c>
      <c r="O385" s="165">
        <v>9.1999999999999993</v>
      </c>
      <c r="P385" s="165">
        <v>9.1999999999999993</v>
      </c>
      <c r="Q385" s="164">
        <v>374</v>
      </c>
      <c r="R385" s="164">
        <v>398</v>
      </c>
      <c r="S385" s="166">
        <v>0.06</v>
      </c>
      <c r="T385" s="164" t="s">
        <v>163</v>
      </c>
      <c r="U385" s="164"/>
      <c r="V385" s="167">
        <v>41882</v>
      </c>
      <c r="W385" s="167">
        <v>41873</v>
      </c>
      <c r="X385" s="164" t="s">
        <v>387</v>
      </c>
      <c r="Y385" s="164" t="s">
        <v>1142</v>
      </c>
      <c r="Z385" s="164" t="s">
        <v>163</v>
      </c>
      <c r="AA385" s="168" t="s">
        <v>184</v>
      </c>
      <c r="AB385" s="168" t="s">
        <v>191</v>
      </c>
      <c r="AC385" s="168" t="s">
        <v>162</v>
      </c>
      <c r="AD385" s="168" t="s">
        <v>163</v>
      </c>
      <c r="AE385" s="168" t="s">
        <v>163</v>
      </c>
      <c r="AF385" s="168" t="s">
        <v>163</v>
      </c>
      <c r="AG385" s="168" t="s">
        <v>163</v>
      </c>
      <c r="AH385" s="168" t="str">
        <f t="shared" si="31"/>
        <v>Refrigerator-Bottom Freezer-Automatic-No-No-No-No</v>
      </c>
      <c r="AI385" s="168">
        <v>5</v>
      </c>
      <c r="AJ385" s="168">
        <v>8.85</v>
      </c>
      <c r="AK385" s="169">
        <v>317</v>
      </c>
      <c r="AL385" s="169">
        <f t="shared" si="32"/>
        <v>398.41999999999996</v>
      </c>
      <c r="AM385" s="168">
        <f t="shared" si="33"/>
        <v>398</v>
      </c>
      <c r="AN385" s="168">
        <f t="shared" si="34"/>
        <v>374</v>
      </c>
      <c r="AO385" s="164" t="str">
        <f t="shared" si="35"/>
        <v>Yes</v>
      </c>
      <c r="AP385" s="164">
        <f t="shared" si="36"/>
        <v>24</v>
      </c>
    </row>
    <row r="386" spans="2:42">
      <c r="B386" s="164">
        <v>2214569</v>
      </c>
      <c r="C386" s="164" t="s">
        <v>1114</v>
      </c>
      <c r="D386" s="164" t="s">
        <v>1143</v>
      </c>
      <c r="E386" s="164"/>
      <c r="F386" s="164" t="s">
        <v>194</v>
      </c>
      <c r="G386" s="164" t="s">
        <v>188</v>
      </c>
      <c r="H386" s="164" t="s">
        <v>182</v>
      </c>
      <c r="I386" s="164" t="s">
        <v>163</v>
      </c>
      <c r="J386" s="164" t="s">
        <v>163</v>
      </c>
      <c r="K386" s="164" t="s">
        <v>163</v>
      </c>
      <c r="L386" s="164" t="s">
        <v>163</v>
      </c>
      <c r="M386" s="164">
        <v>32.700000000000003</v>
      </c>
      <c r="N386" s="164">
        <v>18.5</v>
      </c>
      <c r="O386" s="165">
        <v>3.5</v>
      </c>
      <c r="P386" s="165">
        <v>3.5</v>
      </c>
      <c r="Q386" s="164">
        <v>221</v>
      </c>
      <c r="R386" s="164">
        <v>284</v>
      </c>
      <c r="S386" s="166">
        <v>0.22</v>
      </c>
      <c r="T386" s="164" t="s">
        <v>163</v>
      </c>
      <c r="U386" s="164"/>
      <c r="V386" s="167">
        <v>41840</v>
      </c>
      <c r="W386" s="167">
        <v>41821</v>
      </c>
      <c r="X386" s="164" t="s">
        <v>387</v>
      </c>
      <c r="Y386" s="164" t="s">
        <v>1144</v>
      </c>
      <c r="Z386" s="164" t="s">
        <v>163</v>
      </c>
      <c r="AA386" s="168" t="s">
        <v>184</v>
      </c>
      <c r="AB386" s="168" t="s">
        <v>194</v>
      </c>
      <c r="AC386" s="168" t="s">
        <v>188</v>
      </c>
      <c r="AD386" s="168" t="s">
        <v>182</v>
      </c>
      <c r="AE386" s="168" t="s">
        <v>163</v>
      </c>
      <c r="AF386" s="168" t="s">
        <v>163</v>
      </c>
      <c r="AG386" s="168" t="s">
        <v>163</v>
      </c>
      <c r="AH386" s="168" t="str">
        <f t="shared" si="31"/>
        <v>Refrigerator-Compact-Manual-Yes-No-No-No</v>
      </c>
      <c r="AI386" s="168" t="s">
        <v>315</v>
      </c>
      <c r="AJ386" s="168">
        <v>7.84</v>
      </c>
      <c r="AK386" s="169">
        <v>219.1</v>
      </c>
      <c r="AL386" s="169">
        <f t="shared" si="32"/>
        <v>246.54</v>
      </c>
      <c r="AM386" s="168">
        <f t="shared" si="33"/>
        <v>284</v>
      </c>
      <c r="AN386" s="168">
        <f t="shared" si="34"/>
        <v>221</v>
      </c>
      <c r="AO386" s="164" t="str">
        <f t="shared" si="35"/>
        <v>Yes</v>
      </c>
      <c r="AP386" s="164">
        <f t="shared" si="36"/>
        <v>63</v>
      </c>
    </row>
    <row r="387" spans="2:42">
      <c r="B387" s="164">
        <v>2214577</v>
      </c>
      <c r="C387" s="164" t="s">
        <v>1114</v>
      </c>
      <c r="D387" s="164" t="s">
        <v>1145</v>
      </c>
      <c r="E387" s="164"/>
      <c r="F387" s="164" t="s">
        <v>194</v>
      </c>
      <c r="G387" s="164" t="s">
        <v>188</v>
      </c>
      <c r="H387" s="164" t="s">
        <v>182</v>
      </c>
      <c r="I387" s="164" t="s">
        <v>163</v>
      </c>
      <c r="J387" s="164" t="s">
        <v>163</v>
      </c>
      <c r="K387" s="164" t="s">
        <v>163</v>
      </c>
      <c r="L387" s="164" t="s">
        <v>163</v>
      </c>
      <c r="M387" s="164">
        <v>32.700000000000003</v>
      </c>
      <c r="N387" s="164">
        <v>18.5</v>
      </c>
      <c r="O387" s="165">
        <v>3.3</v>
      </c>
      <c r="P387" s="165">
        <v>3.3</v>
      </c>
      <c r="Q387" s="164">
        <v>219</v>
      </c>
      <c r="R387" s="164">
        <v>282</v>
      </c>
      <c r="S387" s="166">
        <v>0.22</v>
      </c>
      <c r="T387" s="164" t="s">
        <v>163</v>
      </c>
      <c r="U387" s="164"/>
      <c r="V387" s="167">
        <v>41825</v>
      </c>
      <c r="W387" s="167">
        <v>41788</v>
      </c>
      <c r="X387" s="164" t="s">
        <v>387</v>
      </c>
      <c r="Y387" s="164" t="s">
        <v>1146</v>
      </c>
      <c r="Z387" s="164" t="s">
        <v>163</v>
      </c>
      <c r="AA387" s="168" t="s">
        <v>184</v>
      </c>
      <c r="AB387" s="168" t="s">
        <v>194</v>
      </c>
      <c r="AC387" s="168" t="s">
        <v>188</v>
      </c>
      <c r="AD387" s="168" t="s">
        <v>182</v>
      </c>
      <c r="AE387" s="168" t="s">
        <v>163</v>
      </c>
      <c r="AF387" s="168" t="s">
        <v>163</v>
      </c>
      <c r="AG387" s="168" t="s">
        <v>163</v>
      </c>
      <c r="AH387" s="168" t="str">
        <f t="shared" si="31"/>
        <v>Refrigerator-Compact-Manual-Yes-No-No-No</v>
      </c>
      <c r="AI387" s="168" t="s">
        <v>315</v>
      </c>
      <c r="AJ387" s="168">
        <v>7.84</v>
      </c>
      <c r="AK387" s="169">
        <v>219.1</v>
      </c>
      <c r="AL387" s="169">
        <f t="shared" si="32"/>
        <v>244.97199999999998</v>
      </c>
      <c r="AM387" s="168">
        <f t="shared" si="33"/>
        <v>282</v>
      </c>
      <c r="AN387" s="168">
        <f t="shared" si="34"/>
        <v>219</v>
      </c>
      <c r="AO387" s="164" t="str">
        <f t="shared" si="35"/>
        <v>Yes</v>
      </c>
      <c r="AP387" s="164">
        <f t="shared" si="36"/>
        <v>63</v>
      </c>
    </row>
    <row r="388" spans="2:42">
      <c r="B388" s="164">
        <v>2214570</v>
      </c>
      <c r="C388" s="164" t="s">
        <v>1114</v>
      </c>
      <c r="D388" s="164" t="s">
        <v>1147</v>
      </c>
      <c r="E388" s="164"/>
      <c r="F388" s="164" t="s">
        <v>194</v>
      </c>
      <c r="G388" s="164" t="s">
        <v>188</v>
      </c>
      <c r="H388" s="164" t="s">
        <v>182</v>
      </c>
      <c r="I388" s="164" t="s">
        <v>163</v>
      </c>
      <c r="J388" s="164" t="s">
        <v>163</v>
      </c>
      <c r="K388" s="164" t="s">
        <v>163</v>
      </c>
      <c r="L388" s="164" t="s">
        <v>163</v>
      </c>
      <c r="M388" s="164">
        <v>32.700000000000003</v>
      </c>
      <c r="N388" s="164">
        <v>18.5</v>
      </c>
      <c r="O388" s="165">
        <v>3.5</v>
      </c>
      <c r="P388" s="165">
        <v>3.5</v>
      </c>
      <c r="Q388" s="164">
        <v>221</v>
      </c>
      <c r="R388" s="164">
        <v>284</v>
      </c>
      <c r="S388" s="166">
        <v>0.22</v>
      </c>
      <c r="T388" s="164" t="s">
        <v>163</v>
      </c>
      <c r="U388" s="164"/>
      <c r="V388" s="167">
        <v>41840</v>
      </c>
      <c r="W388" s="167">
        <v>41821</v>
      </c>
      <c r="X388" s="164" t="s">
        <v>387</v>
      </c>
      <c r="Y388" s="164" t="s">
        <v>1148</v>
      </c>
      <c r="Z388" s="164" t="s">
        <v>163</v>
      </c>
      <c r="AA388" s="168" t="s">
        <v>184</v>
      </c>
      <c r="AB388" s="168" t="s">
        <v>194</v>
      </c>
      <c r="AC388" s="168" t="s">
        <v>188</v>
      </c>
      <c r="AD388" s="168" t="s">
        <v>182</v>
      </c>
      <c r="AE388" s="168" t="s">
        <v>163</v>
      </c>
      <c r="AF388" s="168" t="s">
        <v>163</v>
      </c>
      <c r="AG388" s="168" t="s">
        <v>163</v>
      </c>
      <c r="AH388" s="168" t="str">
        <f t="shared" si="31"/>
        <v>Refrigerator-Compact-Manual-Yes-No-No-No</v>
      </c>
      <c r="AI388" s="168" t="s">
        <v>315</v>
      </c>
      <c r="AJ388" s="168">
        <v>7.84</v>
      </c>
      <c r="AK388" s="169">
        <v>219.1</v>
      </c>
      <c r="AL388" s="169">
        <f t="shared" si="32"/>
        <v>246.54</v>
      </c>
      <c r="AM388" s="168">
        <f t="shared" si="33"/>
        <v>284</v>
      </c>
      <c r="AN388" s="168">
        <f t="shared" si="34"/>
        <v>221</v>
      </c>
      <c r="AO388" s="164" t="str">
        <f t="shared" si="35"/>
        <v>Yes</v>
      </c>
      <c r="AP388" s="164">
        <f t="shared" si="36"/>
        <v>63</v>
      </c>
    </row>
    <row r="389" spans="2:42">
      <c r="B389" s="164">
        <v>2214578</v>
      </c>
      <c r="C389" s="164" t="s">
        <v>1114</v>
      </c>
      <c r="D389" s="164" t="s">
        <v>1149</v>
      </c>
      <c r="E389" s="164"/>
      <c r="F389" s="164" t="s">
        <v>194</v>
      </c>
      <c r="G389" s="164" t="s">
        <v>188</v>
      </c>
      <c r="H389" s="164" t="s">
        <v>182</v>
      </c>
      <c r="I389" s="164" t="s">
        <v>163</v>
      </c>
      <c r="J389" s="164" t="s">
        <v>163</v>
      </c>
      <c r="K389" s="164" t="s">
        <v>163</v>
      </c>
      <c r="L389" s="164" t="s">
        <v>163</v>
      </c>
      <c r="M389" s="164">
        <v>33</v>
      </c>
      <c r="N389" s="164">
        <v>18.899999999999999</v>
      </c>
      <c r="O389" s="165">
        <v>4.0999999999999996</v>
      </c>
      <c r="P389" s="165">
        <v>4.0999999999999996</v>
      </c>
      <c r="Q389" s="164">
        <v>225</v>
      </c>
      <c r="R389" s="164">
        <v>289</v>
      </c>
      <c r="S389" s="166">
        <v>0.22</v>
      </c>
      <c r="T389" s="164" t="s">
        <v>163</v>
      </c>
      <c r="U389" s="164"/>
      <c r="V389" s="167">
        <v>41825</v>
      </c>
      <c r="W389" s="167">
        <v>41788</v>
      </c>
      <c r="X389" s="164" t="s">
        <v>387</v>
      </c>
      <c r="Y389" s="164" t="s">
        <v>1150</v>
      </c>
      <c r="Z389" s="164" t="s">
        <v>163</v>
      </c>
      <c r="AA389" s="168" t="s">
        <v>184</v>
      </c>
      <c r="AB389" s="168" t="s">
        <v>194</v>
      </c>
      <c r="AC389" s="168" t="s">
        <v>188</v>
      </c>
      <c r="AD389" s="168" t="s">
        <v>182</v>
      </c>
      <c r="AE389" s="168" t="s">
        <v>163</v>
      </c>
      <c r="AF389" s="168" t="s">
        <v>163</v>
      </c>
      <c r="AG389" s="168" t="s">
        <v>163</v>
      </c>
      <c r="AH389" s="168" t="str">
        <f t="shared" si="31"/>
        <v>Refrigerator-Compact-Manual-Yes-No-No-No</v>
      </c>
      <c r="AI389" s="168" t="s">
        <v>315</v>
      </c>
      <c r="AJ389" s="168">
        <v>7.84</v>
      </c>
      <c r="AK389" s="169">
        <v>219.1</v>
      </c>
      <c r="AL389" s="169">
        <f t="shared" si="32"/>
        <v>251.244</v>
      </c>
      <c r="AM389" s="168">
        <f t="shared" si="33"/>
        <v>289</v>
      </c>
      <c r="AN389" s="168">
        <f t="shared" si="34"/>
        <v>225</v>
      </c>
      <c r="AO389" s="164" t="str">
        <f t="shared" si="35"/>
        <v>Yes</v>
      </c>
      <c r="AP389" s="164">
        <f t="shared" si="36"/>
        <v>64</v>
      </c>
    </row>
    <row r="390" spans="2:42">
      <c r="B390" s="164">
        <v>2218244</v>
      </c>
      <c r="C390" s="164" t="s">
        <v>1114</v>
      </c>
      <c r="D390" s="164" t="s">
        <v>1151</v>
      </c>
      <c r="E390" s="164"/>
      <c r="F390" s="164" t="s">
        <v>191</v>
      </c>
      <c r="G390" s="164" t="s">
        <v>162</v>
      </c>
      <c r="H390" s="164" t="s">
        <v>163</v>
      </c>
      <c r="I390" s="164" t="s">
        <v>163</v>
      </c>
      <c r="J390" s="164" t="s">
        <v>163</v>
      </c>
      <c r="K390" s="164" t="s">
        <v>163</v>
      </c>
      <c r="L390" s="164" t="s">
        <v>163</v>
      </c>
      <c r="M390" s="164">
        <v>59.8</v>
      </c>
      <c r="N390" s="164">
        <v>23.8</v>
      </c>
      <c r="O390" s="165">
        <v>9.1999999999999993</v>
      </c>
      <c r="P390" s="165">
        <v>9.1999999999999993</v>
      </c>
      <c r="Q390" s="164">
        <v>374</v>
      </c>
      <c r="R390" s="164">
        <v>398</v>
      </c>
      <c r="S390" s="166">
        <v>0.06</v>
      </c>
      <c r="T390" s="164" t="s">
        <v>163</v>
      </c>
      <c r="U390" s="164"/>
      <c r="V390" s="167">
        <v>41882</v>
      </c>
      <c r="W390" s="167">
        <v>41873</v>
      </c>
      <c r="X390" s="164" t="s">
        <v>387</v>
      </c>
      <c r="Y390" s="164" t="s">
        <v>1152</v>
      </c>
      <c r="Z390" s="164" t="s">
        <v>163</v>
      </c>
      <c r="AA390" s="168" t="s">
        <v>184</v>
      </c>
      <c r="AB390" s="168" t="s">
        <v>191</v>
      </c>
      <c r="AC390" s="168" t="s">
        <v>162</v>
      </c>
      <c r="AD390" s="168" t="s">
        <v>163</v>
      </c>
      <c r="AE390" s="168" t="s">
        <v>163</v>
      </c>
      <c r="AF390" s="168" t="s">
        <v>163</v>
      </c>
      <c r="AG390" s="168" t="s">
        <v>163</v>
      </c>
      <c r="AH390" s="168" t="str">
        <f t="shared" si="31"/>
        <v>Refrigerator-Bottom Freezer-Automatic-No-No-No-No</v>
      </c>
      <c r="AI390" s="168">
        <v>5</v>
      </c>
      <c r="AJ390" s="168">
        <v>8.85</v>
      </c>
      <c r="AK390" s="169">
        <v>317</v>
      </c>
      <c r="AL390" s="169">
        <f t="shared" si="32"/>
        <v>398.41999999999996</v>
      </c>
      <c r="AM390" s="168">
        <f t="shared" si="33"/>
        <v>398</v>
      </c>
      <c r="AN390" s="168">
        <f t="shared" si="34"/>
        <v>374</v>
      </c>
      <c r="AO390" s="164" t="str">
        <f t="shared" si="35"/>
        <v>Yes</v>
      </c>
      <c r="AP390" s="164">
        <f t="shared" si="36"/>
        <v>24</v>
      </c>
    </row>
    <row r="391" spans="2:42">
      <c r="B391" s="164">
        <v>2218245</v>
      </c>
      <c r="C391" s="164" t="s">
        <v>1114</v>
      </c>
      <c r="D391" s="164" t="s">
        <v>1153</v>
      </c>
      <c r="E391" s="164"/>
      <c r="F391" s="164" t="s">
        <v>191</v>
      </c>
      <c r="G391" s="164" t="s">
        <v>162</v>
      </c>
      <c r="H391" s="164" t="s">
        <v>163</v>
      </c>
      <c r="I391" s="164" t="s">
        <v>163</v>
      </c>
      <c r="J391" s="164" t="s">
        <v>163</v>
      </c>
      <c r="K391" s="164" t="s">
        <v>163</v>
      </c>
      <c r="L391" s="164" t="s">
        <v>163</v>
      </c>
      <c r="M391" s="164">
        <v>59.8</v>
      </c>
      <c r="N391" s="164">
        <v>23.8</v>
      </c>
      <c r="O391" s="165">
        <v>9.1999999999999993</v>
      </c>
      <c r="P391" s="165">
        <v>9.1999999999999993</v>
      </c>
      <c r="Q391" s="164">
        <v>374</v>
      </c>
      <c r="R391" s="164">
        <v>398</v>
      </c>
      <c r="S391" s="166">
        <v>0.06</v>
      </c>
      <c r="T391" s="164" t="s">
        <v>163</v>
      </c>
      <c r="U391" s="164"/>
      <c r="V391" s="167">
        <v>41882</v>
      </c>
      <c r="W391" s="167">
        <v>41873</v>
      </c>
      <c r="X391" s="164" t="s">
        <v>387</v>
      </c>
      <c r="Y391" s="164" t="s">
        <v>1154</v>
      </c>
      <c r="Z391" s="164" t="s">
        <v>163</v>
      </c>
      <c r="AA391" s="168" t="s">
        <v>184</v>
      </c>
      <c r="AB391" s="168" t="s">
        <v>191</v>
      </c>
      <c r="AC391" s="168" t="s">
        <v>162</v>
      </c>
      <c r="AD391" s="168" t="s">
        <v>163</v>
      </c>
      <c r="AE391" s="168" t="s">
        <v>163</v>
      </c>
      <c r="AF391" s="168" t="s">
        <v>163</v>
      </c>
      <c r="AG391" s="168" t="s">
        <v>163</v>
      </c>
      <c r="AH391" s="168" t="str">
        <f t="shared" si="31"/>
        <v>Refrigerator-Bottom Freezer-Automatic-No-No-No-No</v>
      </c>
      <c r="AI391" s="168">
        <v>5</v>
      </c>
      <c r="AJ391" s="168">
        <v>8.85</v>
      </c>
      <c r="AK391" s="169">
        <v>317</v>
      </c>
      <c r="AL391" s="169">
        <f t="shared" si="32"/>
        <v>398.41999999999996</v>
      </c>
      <c r="AM391" s="168">
        <f t="shared" si="33"/>
        <v>398</v>
      </c>
      <c r="AN391" s="168">
        <f t="shared" si="34"/>
        <v>374</v>
      </c>
      <c r="AO391" s="164" t="str">
        <f t="shared" si="35"/>
        <v>Yes</v>
      </c>
      <c r="AP391" s="164">
        <f t="shared" si="36"/>
        <v>24</v>
      </c>
    </row>
    <row r="392" spans="2:42">
      <c r="B392" s="164">
        <v>2214572</v>
      </c>
      <c r="C392" s="164" t="s">
        <v>1114</v>
      </c>
      <c r="D392" s="164" t="s">
        <v>1155</v>
      </c>
      <c r="E392" s="164"/>
      <c r="F392" s="164" t="s">
        <v>194</v>
      </c>
      <c r="G392" s="164" t="s">
        <v>162</v>
      </c>
      <c r="H392" s="164" t="s">
        <v>182</v>
      </c>
      <c r="I392" s="164" t="s">
        <v>163</v>
      </c>
      <c r="J392" s="164" t="s">
        <v>163</v>
      </c>
      <c r="K392" s="164" t="s">
        <v>163</v>
      </c>
      <c r="L392" s="164" t="s">
        <v>163</v>
      </c>
      <c r="M392" s="164">
        <v>44</v>
      </c>
      <c r="N392" s="164">
        <v>20</v>
      </c>
      <c r="O392" s="165">
        <v>4.3</v>
      </c>
      <c r="P392" s="165">
        <v>5.2</v>
      </c>
      <c r="Q392" s="164">
        <v>329</v>
      </c>
      <c r="R392" s="164">
        <v>367</v>
      </c>
      <c r="S392" s="166">
        <v>0.1</v>
      </c>
      <c r="T392" s="164" t="s">
        <v>163</v>
      </c>
      <c r="U392" s="164"/>
      <c r="V392" s="167">
        <v>41840</v>
      </c>
      <c r="W392" s="167">
        <v>41789</v>
      </c>
      <c r="X392" s="164" t="s">
        <v>387</v>
      </c>
      <c r="Y392" s="164" t="s">
        <v>1156</v>
      </c>
      <c r="Z392" s="164" t="s">
        <v>163</v>
      </c>
      <c r="AA392" s="168" t="s">
        <v>184</v>
      </c>
      <c r="AB392" s="168" t="s">
        <v>194</v>
      </c>
      <c r="AC392" s="168" t="s">
        <v>162</v>
      </c>
      <c r="AD392" s="168" t="s">
        <v>182</v>
      </c>
      <c r="AE392" s="168" t="s">
        <v>163</v>
      </c>
      <c r="AF392" s="168" t="s">
        <v>163</v>
      </c>
      <c r="AG392" s="168" t="s">
        <v>163</v>
      </c>
      <c r="AH392" s="168" t="str">
        <f t="shared" si="31"/>
        <v>Refrigerator-Compact-Automatic-Yes-No-No-No</v>
      </c>
      <c r="AI392" s="168" t="s">
        <v>329</v>
      </c>
      <c r="AJ392" s="168">
        <v>9.17</v>
      </c>
      <c r="AK392" s="169">
        <v>259.3</v>
      </c>
      <c r="AL392" s="169">
        <f t="shared" si="32"/>
        <v>306.98400000000004</v>
      </c>
      <c r="AM392" s="168">
        <f t="shared" si="33"/>
        <v>367</v>
      </c>
      <c r="AN392" s="168">
        <f t="shared" si="34"/>
        <v>329</v>
      </c>
      <c r="AO392" s="164" t="str">
        <f t="shared" si="35"/>
        <v>Yes</v>
      </c>
      <c r="AP392" s="164">
        <f t="shared" si="36"/>
        <v>38</v>
      </c>
    </row>
    <row r="393" spans="2:42">
      <c r="B393" s="164">
        <v>2218251</v>
      </c>
      <c r="C393" s="164" t="s">
        <v>1114</v>
      </c>
      <c r="D393" s="164" t="s">
        <v>1157</v>
      </c>
      <c r="E393" s="164"/>
      <c r="F393" s="164" t="s">
        <v>193</v>
      </c>
      <c r="G393" s="164" t="s">
        <v>162</v>
      </c>
      <c r="H393" s="164" t="s">
        <v>163</v>
      </c>
      <c r="I393" s="164" t="s">
        <v>163</v>
      </c>
      <c r="J393" s="164" t="s">
        <v>163</v>
      </c>
      <c r="K393" s="164" t="s">
        <v>163</v>
      </c>
      <c r="L393" s="164" t="s">
        <v>163</v>
      </c>
      <c r="M393" s="164">
        <v>59.8</v>
      </c>
      <c r="N393" s="164">
        <v>23.8</v>
      </c>
      <c r="O393" s="165">
        <v>9.9</v>
      </c>
      <c r="P393" s="165">
        <v>12.1</v>
      </c>
      <c r="Q393" s="164">
        <v>297</v>
      </c>
      <c r="R393" s="164">
        <v>331</v>
      </c>
      <c r="S393" s="166">
        <v>0.1</v>
      </c>
      <c r="T393" s="164" t="s">
        <v>163</v>
      </c>
      <c r="U393" s="164"/>
      <c r="V393" s="167">
        <v>41882</v>
      </c>
      <c r="W393" s="167">
        <v>41873</v>
      </c>
      <c r="X393" s="164" t="s">
        <v>387</v>
      </c>
      <c r="Y393" s="164" t="s">
        <v>1158</v>
      </c>
      <c r="Z393" s="164" t="s">
        <v>163</v>
      </c>
      <c r="AA393" s="168" t="s">
        <v>184</v>
      </c>
      <c r="AB393" s="168" t="s">
        <v>193</v>
      </c>
      <c r="AC393" s="168" t="s">
        <v>162</v>
      </c>
      <c r="AD393" s="168" t="s">
        <v>163</v>
      </c>
      <c r="AE393" s="168" t="s">
        <v>163</v>
      </c>
      <c r="AF393" s="168" t="s">
        <v>163</v>
      </c>
      <c r="AG393" s="168" t="s">
        <v>163</v>
      </c>
      <c r="AH393" s="168" t="str">
        <f t="shared" si="31"/>
        <v>Refrigerator-Top Freezer-Automatic-No-No-No-No</v>
      </c>
      <c r="AI393" s="168">
        <v>3</v>
      </c>
      <c r="AJ393" s="168">
        <v>8.07</v>
      </c>
      <c r="AK393" s="169">
        <v>233.7</v>
      </c>
      <c r="AL393" s="169">
        <f t="shared" si="32"/>
        <v>331.34699999999998</v>
      </c>
      <c r="AM393" s="168">
        <f t="shared" si="33"/>
        <v>331</v>
      </c>
      <c r="AN393" s="168">
        <f t="shared" si="34"/>
        <v>297</v>
      </c>
      <c r="AO393" s="164" t="str">
        <f t="shared" si="35"/>
        <v>Yes</v>
      </c>
      <c r="AP393" s="164">
        <f t="shared" si="36"/>
        <v>34</v>
      </c>
    </row>
    <row r="394" spans="2:42">
      <c r="B394" s="164">
        <v>2214121</v>
      </c>
      <c r="C394" s="164" t="s">
        <v>1159</v>
      </c>
      <c r="D394" s="164" t="s">
        <v>1160</v>
      </c>
      <c r="E394" s="164"/>
      <c r="F394" s="164" t="s">
        <v>194</v>
      </c>
      <c r="G394" s="164" t="s">
        <v>162</v>
      </c>
      <c r="H394" s="164" t="s">
        <v>182</v>
      </c>
      <c r="I394" s="164" t="s">
        <v>163</v>
      </c>
      <c r="J394" s="164" t="s">
        <v>163</v>
      </c>
      <c r="K394" s="164" t="s">
        <v>163</v>
      </c>
      <c r="L394" s="164" t="s">
        <v>182</v>
      </c>
      <c r="M394" s="164">
        <v>33.5</v>
      </c>
      <c r="N394" s="164">
        <v>30.9</v>
      </c>
      <c r="O394" s="165">
        <v>5.6</v>
      </c>
      <c r="P394" s="165">
        <v>7.3</v>
      </c>
      <c r="Q394" s="164">
        <v>338</v>
      </c>
      <c r="R394" s="164">
        <v>379</v>
      </c>
      <c r="S394" s="166">
        <v>0.11</v>
      </c>
      <c r="T394" s="164" t="s">
        <v>163</v>
      </c>
      <c r="U394" s="164"/>
      <c r="V394" s="167">
        <v>41815</v>
      </c>
      <c r="W394" s="167">
        <v>41815</v>
      </c>
      <c r="X394" s="164" t="s">
        <v>387</v>
      </c>
      <c r="Y394" s="164" t="s">
        <v>1161</v>
      </c>
      <c r="Z394" s="164" t="s">
        <v>163</v>
      </c>
      <c r="AA394" s="168" t="s">
        <v>184</v>
      </c>
      <c r="AB394" s="168" t="s">
        <v>194</v>
      </c>
      <c r="AC394" s="168" t="s">
        <v>162</v>
      </c>
      <c r="AD394" s="168" t="s">
        <v>182</v>
      </c>
      <c r="AE394" s="168" t="s">
        <v>163</v>
      </c>
      <c r="AF394" s="168" t="s">
        <v>163</v>
      </c>
      <c r="AG394" s="168" t="s">
        <v>163</v>
      </c>
      <c r="AH394" s="168" t="str">
        <f t="shared" si="31"/>
        <v>Refrigerator-Compact-Automatic-Yes-No-No-No</v>
      </c>
      <c r="AI394" s="168" t="s">
        <v>329</v>
      </c>
      <c r="AJ394" s="168">
        <v>9.17</v>
      </c>
      <c r="AK394" s="169">
        <v>259.3</v>
      </c>
      <c r="AL394" s="169">
        <f t="shared" si="32"/>
        <v>326.24099999999999</v>
      </c>
      <c r="AM394" s="168">
        <f t="shared" si="33"/>
        <v>379</v>
      </c>
      <c r="AN394" s="168">
        <f t="shared" si="34"/>
        <v>338</v>
      </c>
      <c r="AO394" s="164" t="str">
        <f t="shared" si="35"/>
        <v>Yes</v>
      </c>
      <c r="AP394" s="164">
        <f t="shared" si="36"/>
        <v>41</v>
      </c>
    </row>
    <row r="395" spans="2:42">
      <c r="B395" s="164">
        <v>2208195</v>
      </c>
      <c r="C395" s="164" t="s">
        <v>173</v>
      </c>
      <c r="D395" s="164" t="s">
        <v>1162</v>
      </c>
      <c r="E395" s="164"/>
      <c r="F395" s="164" t="s">
        <v>191</v>
      </c>
      <c r="G395" s="164" t="s">
        <v>162</v>
      </c>
      <c r="H395" s="164" t="s">
        <v>163</v>
      </c>
      <c r="I395" s="164" t="s">
        <v>163</v>
      </c>
      <c r="J395" s="164" t="s">
        <v>163</v>
      </c>
      <c r="K395" s="164" t="s">
        <v>163</v>
      </c>
      <c r="L395" s="164" t="s">
        <v>163</v>
      </c>
      <c r="M395" s="164">
        <v>65.5</v>
      </c>
      <c r="N395" s="164">
        <v>29.6</v>
      </c>
      <c r="O395" s="165">
        <v>18.600000000000001</v>
      </c>
      <c r="P395" s="165">
        <v>23</v>
      </c>
      <c r="Q395" s="164">
        <v>469</v>
      </c>
      <c r="R395" s="164">
        <v>521</v>
      </c>
      <c r="S395" s="166">
        <v>0.1</v>
      </c>
      <c r="T395" s="164" t="s">
        <v>163</v>
      </c>
      <c r="U395" s="164"/>
      <c r="V395" s="167">
        <v>41752</v>
      </c>
      <c r="W395" s="167">
        <v>41726</v>
      </c>
      <c r="X395" s="164" t="s">
        <v>387</v>
      </c>
      <c r="Y395" s="164" t="s">
        <v>1163</v>
      </c>
      <c r="Z395" s="164" t="s">
        <v>163</v>
      </c>
      <c r="AA395" s="168" t="s">
        <v>184</v>
      </c>
      <c r="AB395" s="168" t="s">
        <v>191</v>
      </c>
      <c r="AC395" s="168" t="s">
        <v>162</v>
      </c>
      <c r="AD395" s="168" t="s">
        <v>163</v>
      </c>
      <c r="AE395" s="168" t="s">
        <v>163</v>
      </c>
      <c r="AF395" s="168" t="s">
        <v>163</v>
      </c>
      <c r="AG395" s="168" t="s">
        <v>163</v>
      </c>
      <c r="AH395" s="168" t="str">
        <f t="shared" si="31"/>
        <v>Refrigerator-Bottom Freezer-Automatic-No-No-No-No</v>
      </c>
      <c r="AI395" s="168">
        <v>5</v>
      </c>
      <c r="AJ395" s="168">
        <v>8.85</v>
      </c>
      <c r="AK395" s="169">
        <v>317</v>
      </c>
      <c r="AL395" s="169">
        <f t="shared" si="32"/>
        <v>520.54999999999995</v>
      </c>
      <c r="AM395" s="168">
        <f t="shared" si="33"/>
        <v>521</v>
      </c>
      <c r="AN395" s="168">
        <f t="shared" si="34"/>
        <v>469</v>
      </c>
      <c r="AO395" s="164" t="str">
        <f t="shared" si="35"/>
        <v>Yes</v>
      </c>
      <c r="AP395" s="164">
        <f t="shared" si="36"/>
        <v>52</v>
      </c>
    </row>
    <row r="396" spans="2:42">
      <c r="B396" s="164">
        <v>2208194</v>
      </c>
      <c r="C396" s="164" t="s">
        <v>173</v>
      </c>
      <c r="D396" s="164" t="s">
        <v>1164</v>
      </c>
      <c r="E396" s="164"/>
      <c r="F396" s="164" t="s">
        <v>191</v>
      </c>
      <c r="G396" s="164" t="s">
        <v>162</v>
      </c>
      <c r="H396" s="164" t="s">
        <v>163</v>
      </c>
      <c r="I396" s="164" t="s">
        <v>163</v>
      </c>
      <c r="J396" s="164" t="s">
        <v>163</v>
      </c>
      <c r="K396" s="164" t="s">
        <v>163</v>
      </c>
      <c r="L396" s="164" t="s">
        <v>163</v>
      </c>
      <c r="M396" s="164">
        <v>65.5</v>
      </c>
      <c r="N396" s="164">
        <v>29.6</v>
      </c>
      <c r="O396" s="165">
        <v>18.600000000000001</v>
      </c>
      <c r="P396" s="165">
        <v>23</v>
      </c>
      <c r="Q396" s="164">
        <v>469</v>
      </c>
      <c r="R396" s="164">
        <v>521</v>
      </c>
      <c r="S396" s="166">
        <v>0.1</v>
      </c>
      <c r="T396" s="164" t="s">
        <v>163</v>
      </c>
      <c r="U396" s="164"/>
      <c r="V396" s="167">
        <v>41752</v>
      </c>
      <c r="W396" s="167">
        <v>41726</v>
      </c>
      <c r="X396" s="164" t="s">
        <v>387</v>
      </c>
      <c r="Y396" s="164" t="s">
        <v>1165</v>
      </c>
      <c r="Z396" s="164" t="s">
        <v>163</v>
      </c>
      <c r="AA396" s="168" t="s">
        <v>184</v>
      </c>
      <c r="AB396" s="168" t="s">
        <v>191</v>
      </c>
      <c r="AC396" s="168" t="s">
        <v>162</v>
      </c>
      <c r="AD396" s="168" t="s">
        <v>163</v>
      </c>
      <c r="AE396" s="168" t="s">
        <v>163</v>
      </c>
      <c r="AF396" s="168" t="s">
        <v>163</v>
      </c>
      <c r="AG396" s="168" t="s">
        <v>163</v>
      </c>
      <c r="AH396" s="168" t="str">
        <f t="shared" si="31"/>
        <v>Refrigerator-Bottom Freezer-Automatic-No-No-No-No</v>
      </c>
      <c r="AI396" s="168">
        <v>5</v>
      </c>
      <c r="AJ396" s="168">
        <v>8.85</v>
      </c>
      <c r="AK396" s="169">
        <v>317</v>
      </c>
      <c r="AL396" s="169">
        <f t="shared" si="32"/>
        <v>520.54999999999995</v>
      </c>
      <c r="AM396" s="168">
        <f t="shared" si="33"/>
        <v>521</v>
      </c>
      <c r="AN396" s="168">
        <f t="shared" si="34"/>
        <v>469</v>
      </c>
      <c r="AO396" s="164" t="str">
        <f t="shared" si="35"/>
        <v>Yes</v>
      </c>
      <c r="AP396" s="164">
        <f t="shared" si="36"/>
        <v>52</v>
      </c>
    </row>
    <row r="397" spans="2:42">
      <c r="B397" s="164">
        <v>2208193</v>
      </c>
      <c r="C397" s="164" t="s">
        <v>173</v>
      </c>
      <c r="D397" s="164" t="s">
        <v>1166</v>
      </c>
      <c r="E397" s="164"/>
      <c r="F397" s="164" t="s">
        <v>191</v>
      </c>
      <c r="G397" s="164" t="s">
        <v>162</v>
      </c>
      <c r="H397" s="164" t="s">
        <v>163</v>
      </c>
      <c r="I397" s="164" t="s">
        <v>163</v>
      </c>
      <c r="J397" s="164" t="s">
        <v>163</v>
      </c>
      <c r="K397" s="164" t="s">
        <v>163</v>
      </c>
      <c r="L397" s="164" t="s">
        <v>163</v>
      </c>
      <c r="M397" s="164">
        <v>65.5</v>
      </c>
      <c r="N397" s="164">
        <v>29.6</v>
      </c>
      <c r="O397" s="165">
        <v>18.600000000000001</v>
      </c>
      <c r="P397" s="165">
        <v>23</v>
      </c>
      <c r="Q397" s="164">
        <v>469</v>
      </c>
      <c r="R397" s="164">
        <v>521</v>
      </c>
      <c r="S397" s="166">
        <v>0.1</v>
      </c>
      <c r="T397" s="164" t="s">
        <v>163</v>
      </c>
      <c r="U397" s="164"/>
      <c r="V397" s="167">
        <v>41752</v>
      </c>
      <c r="W397" s="167">
        <v>41726</v>
      </c>
      <c r="X397" s="164" t="s">
        <v>387</v>
      </c>
      <c r="Y397" s="164" t="s">
        <v>1167</v>
      </c>
      <c r="Z397" s="164" t="s">
        <v>163</v>
      </c>
      <c r="AA397" s="168" t="s">
        <v>184</v>
      </c>
      <c r="AB397" s="168" t="s">
        <v>191</v>
      </c>
      <c r="AC397" s="168" t="s">
        <v>162</v>
      </c>
      <c r="AD397" s="168" t="s">
        <v>163</v>
      </c>
      <c r="AE397" s="168" t="s">
        <v>163</v>
      </c>
      <c r="AF397" s="168" t="s">
        <v>163</v>
      </c>
      <c r="AG397" s="168" t="s">
        <v>163</v>
      </c>
      <c r="AH397" s="168" t="str">
        <f t="shared" ref="AH397:AH460" si="37">CONCATENATE(AA397,"-",AB397,"-",AC397,"-",AD397,"-",AE397,"-",AF397,"-",AG397)</f>
        <v>Refrigerator-Bottom Freezer-Automatic-No-No-No-No</v>
      </c>
      <c r="AI397" s="168">
        <v>5</v>
      </c>
      <c r="AJ397" s="168">
        <v>8.85</v>
      </c>
      <c r="AK397" s="169">
        <v>317</v>
      </c>
      <c r="AL397" s="169">
        <f t="shared" ref="AL397:AL460" si="38">AJ397*P397+AK397</f>
        <v>520.54999999999995</v>
      </c>
      <c r="AM397" s="168">
        <f t="shared" ref="AM397:AM460" si="39">R397</f>
        <v>521</v>
      </c>
      <c r="AN397" s="168">
        <f t="shared" ref="AN397:AN460" si="40">Q397</f>
        <v>469</v>
      </c>
      <c r="AO397" s="164" t="str">
        <f t="shared" ref="AO397:AO460" si="41">IF(AN397&lt;AM397,"Yes","No")</f>
        <v>Yes</v>
      </c>
      <c r="AP397" s="164">
        <f t="shared" ref="AP397:AP460" si="42">AM397-AN397</f>
        <v>52</v>
      </c>
    </row>
    <row r="398" spans="2:42">
      <c r="B398" s="164">
        <v>2208215</v>
      </c>
      <c r="C398" s="164" t="s">
        <v>173</v>
      </c>
      <c r="D398" s="164" t="s">
        <v>1168</v>
      </c>
      <c r="E398" s="164"/>
      <c r="F398" s="164" t="s">
        <v>191</v>
      </c>
      <c r="G398" s="164" t="s">
        <v>162</v>
      </c>
      <c r="H398" s="164" t="s">
        <v>163</v>
      </c>
      <c r="I398" s="164" t="s">
        <v>163</v>
      </c>
      <c r="J398" s="164" t="s">
        <v>163</v>
      </c>
      <c r="K398" s="164" t="s">
        <v>182</v>
      </c>
      <c r="L398" s="164" t="s">
        <v>163</v>
      </c>
      <c r="M398" s="164">
        <v>68.900000000000006</v>
      </c>
      <c r="N398" s="164">
        <v>32.6</v>
      </c>
      <c r="O398" s="165">
        <v>22.1</v>
      </c>
      <c r="P398" s="165">
        <v>27</v>
      </c>
      <c r="Q398" s="164">
        <v>576</v>
      </c>
      <c r="R398" s="164">
        <v>640</v>
      </c>
      <c r="S398" s="166">
        <v>0.1</v>
      </c>
      <c r="T398" s="164" t="s">
        <v>163</v>
      </c>
      <c r="U398" s="164"/>
      <c r="V398" s="167">
        <v>41729</v>
      </c>
      <c r="W398" s="167">
        <v>41726</v>
      </c>
      <c r="X398" s="164" t="s">
        <v>387</v>
      </c>
      <c r="Y398" s="164" t="s">
        <v>1169</v>
      </c>
      <c r="Z398" s="164" t="s">
        <v>163</v>
      </c>
      <c r="AA398" s="168" t="s">
        <v>184</v>
      </c>
      <c r="AB398" s="168" t="s">
        <v>191</v>
      </c>
      <c r="AC398" s="168" t="s">
        <v>162</v>
      </c>
      <c r="AD398" s="168" t="s">
        <v>163</v>
      </c>
      <c r="AE398" s="168" t="s">
        <v>163</v>
      </c>
      <c r="AF398" s="168" t="s">
        <v>163</v>
      </c>
      <c r="AG398" s="168" t="s">
        <v>182</v>
      </c>
      <c r="AH398" s="168" t="str">
        <f t="shared" si="37"/>
        <v>Refrigerator-Bottom Freezer-Automatic-No-No-No-Yes</v>
      </c>
      <c r="AI398" s="168" t="s">
        <v>261</v>
      </c>
      <c r="AJ398" s="168">
        <v>8.85</v>
      </c>
      <c r="AK398" s="169">
        <v>401</v>
      </c>
      <c r="AL398" s="169">
        <f t="shared" si="38"/>
        <v>639.95000000000005</v>
      </c>
      <c r="AM398" s="168">
        <f t="shared" si="39"/>
        <v>640</v>
      </c>
      <c r="AN398" s="168">
        <f t="shared" si="40"/>
        <v>576</v>
      </c>
      <c r="AO398" s="164" t="str">
        <f t="shared" si="41"/>
        <v>Yes</v>
      </c>
      <c r="AP398" s="164">
        <f t="shared" si="42"/>
        <v>64</v>
      </c>
    </row>
    <row r="399" spans="2:42">
      <c r="B399" s="164">
        <v>2208208</v>
      </c>
      <c r="C399" s="164" t="s">
        <v>173</v>
      </c>
      <c r="D399" s="164" t="s">
        <v>1170</v>
      </c>
      <c r="E399" s="164"/>
      <c r="F399" s="164" t="s">
        <v>191</v>
      </c>
      <c r="G399" s="164" t="s">
        <v>162</v>
      </c>
      <c r="H399" s="164" t="s">
        <v>163</v>
      </c>
      <c r="I399" s="164" t="s">
        <v>163</v>
      </c>
      <c r="J399" s="164" t="s">
        <v>163</v>
      </c>
      <c r="K399" s="164" t="s">
        <v>182</v>
      </c>
      <c r="L399" s="164" t="s">
        <v>182</v>
      </c>
      <c r="M399" s="164">
        <v>68.5</v>
      </c>
      <c r="N399" s="164">
        <v>35.6</v>
      </c>
      <c r="O399" s="165">
        <v>20</v>
      </c>
      <c r="P399" s="165">
        <v>24.3</v>
      </c>
      <c r="Q399" s="164">
        <v>555</v>
      </c>
      <c r="R399" s="164">
        <v>616</v>
      </c>
      <c r="S399" s="166">
        <v>0.1</v>
      </c>
      <c r="T399" s="164" t="s">
        <v>163</v>
      </c>
      <c r="U399" s="164"/>
      <c r="V399" s="167">
        <v>41736</v>
      </c>
      <c r="W399" s="167">
        <v>41726</v>
      </c>
      <c r="X399" s="164" t="s">
        <v>387</v>
      </c>
      <c r="Y399" s="164" t="s">
        <v>1171</v>
      </c>
      <c r="Z399" s="164" t="s">
        <v>163</v>
      </c>
      <c r="AA399" s="168" t="s">
        <v>184</v>
      </c>
      <c r="AB399" s="168" t="s">
        <v>191</v>
      </c>
      <c r="AC399" s="168" t="s">
        <v>162</v>
      </c>
      <c r="AD399" s="168" t="s">
        <v>163</v>
      </c>
      <c r="AE399" s="168" t="s">
        <v>163</v>
      </c>
      <c r="AF399" s="168" t="s">
        <v>163</v>
      </c>
      <c r="AG399" s="168" t="s">
        <v>182</v>
      </c>
      <c r="AH399" s="168" t="str">
        <f t="shared" si="37"/>
        <v>Refrigerator-Bottom Freezer-Automatic-No-No-No-Yes</v>
      </c>
      <c r="AI399" s="168" t="s">
        <v>261</v>
      </c>
      <c r="AJ399" s="168">
        <v>8.85</v>
      </c>
      <c r="AK399" s="169">
        <v>401</v>
      </c>
      <c r="AL399" s="169">
        <f t="shared" si="38"/>
        <v>616.05500000000006</v>
      </c>
      <c r="AM399" s="168">
        <f t="shared" si="39"/>
        <v>616</v>
      </c>
      <c r="AN399" s="168">
        <f t="shared" si="40"/>
        <v>555</v>
      </c>
      <c r="AO399" s="164" t="str">
        <f t="shared" si="41"/>
        <v>Yes</v>
      </c>
      <c r="AP399" s="164">
        <f t="shared" si="42"/>
        <v>61</v>
      </c>
    </row>
    <row r="400" spans="2:42">
      <c r="B400" s="164">
        <v>2208197</v>
      </c>
      <c r="C400" s="164" t="s">
        <v>173</v>
      </c>
      <c r="D400" s="164" t="s">
        <v>1172</v>
      </c>
      <c r="E400" s="164"/>
      <c r="F400" s="164" t="s">
        <v>191</v>
      </c>
      <c r="G400" s="164" t="s">
        <v>162</v>
      </c>
      <c r="H400" s="164" t="s">
        <v>163</v>
      </c>
      <c r="I400" s="164" t="s">
        <v>163</v>
      </c>
      <c r="J400" s="164" t="s">
        <v>163</v>
      </c>
      <c r="K400" s="164" t="s">
        <v>182</v>
      </c>
      <c r="L400" s="164" t="s">
        <v>163</v>
      </c>
      <c r="M400" s="164">
        <v>68.900000000000006</v>
      </c>
      <c r="N400" s="164">
        <v>32.6</v>
      </c>
      <c r="O400" s="165">
        <v>22.2</v>
      </c>
      <c r="P400" s="165">
        <v>27</v>
      </c>
      <c r="Q400" s="164">
        <v>577</v>
      </c>
      <c r="R400" s="164">
        <v>640</v>
      </c>
      <c r="S400" s="166">
        <v>0.1</v>
      </c>
      <c r="T400" s="164" t="s">
        <v>163</v>
      </c>
      <c r="U400" s="164"/>
      <c r="V400" s="167">
        <v>41752</v>
      </c>
      <c r="W400" s="167">
        <v>41726</v>
      </c>
      <c r="X400" s="164" t="s">
        <v>387</v>
      </c>
      <c r="Y400" s="164" t="s">
        <v>1173</v>
      </c>
      <c r="Z400" s="164" t="s">
        <v>163</v>
      </c>
      <c r="AA400" s="168" t="s">
        <v>184</v>
      </c>
      <c r="AB400" s="168" t="s">
        <v>191</v>
      </c>
      <c r="AC400" s="168" t="s">
        <v>162</v>
      </c>
      <c r="AD400" s="168" t="s">
        <v>163</v>
      </c>
      <c r="AE400" s="168" t="s">
        <v>163</v>
      </c>
      <c r="AF400" s="168" t="s">
        <v>163</v>
      </c>
      <c r="AG400" s="168" t="s">
        <v>182</v>
      </c>
      <c r="AH400" s="168" t="str">
        <f t="shared" si="37"/>
        <v>Refrigerator-Bottom Freezer-Automatic-No-No-No-Yes</v>
      </c>
      <c r="AI400" s="168" t="s">
        <v>261</v>
      </c>
      <c r="AJ400" s="168">
        <v>8.85</v>
      </c>
      <c r="AK400" s="169">
        <v>401</v>
      </c>
      <c r="AL400" s="169">
        <f t="shared" si="38"/>
        <v>639.95000000000005</v>
      </c>
      <c r="AM400" s="168">
        <f t="shared" si="39"/>
        <v>640</v>
      </c>
      <c r="AN400" s="168">
        <f t="shared" si="40"/>
        <v>577</v>
      </c>
      <c r="AO400" s="164" t="str">
        <f t="shared" si="41"/>
        <v>Yes</v>
      </c>
      <c r="AP400" s="164">
        <f t="shared" si="42"/>
        <v>63</v>
      </c>
    </row>
    <row r="401" spans="2:42">
      <c r="B401" s="164">
        <v>2208202</v>
      </c>
      <c r="C401" s="164" t="s">
        <v>173</v>
      </c>
      <c r="D401" s="164" t="s">
        <v>1174</v>
      </c>
      <c r="E401" s="164"/>
      <c r="F401" s="164" t="s">
        <v>191</v>
      </c>
      <c r="G401" s="164" t="s">
        <v>162</v>
      </c>
      <c r="H401" s="164" t="s">
        <v>163</v>
      </c>
      <c r="I401" s="164" t="s">
        <v>163</v>
      </c>
      <c r="J401" s="164" t="s">
        <v>163</v>
      </c>
      <c r="K401" s="164" t="s">
        <v>182</v>
      </c>
      <c r="L401" s="164" t="s">
        <v>163</v>
      </c>
      <c r="M401" s="164">
        <v>68.900000000000006</v>
      </c>
      <c r="N401" s="164">
        <v>35.6</v>
      </c>
      <c r="O401" s="165">
        <v>25.2</v>
      </c>
      <c r="P401" s="165">
        <v>30.8</v>
      </c>
      <c r="Q401" s="164">
        <v>607</v>
      </c>
      <c r="R401" s="164">
        <v>674</v>
      </c>
      <c r="S401" s="166">
        <v>0.1</v>
      </c>
      <c r="T401" s="164" t="s">
        <v>163</v>
      </c>
      <c r="U401" s="164"/>
      <c r="V401" s="167">
        <v>41752</v>
      </c>
      <c r="W401" s="167">
        <v>41726</v>
      </c>
      <c r="X401" s="164" t="s">
        <v>387</v>
      </c>
      <c r="Y401" s="164" t="s">
        <v>1175</v>
      </c>
      <c r="Z401" s="164" t="s">
        <v>163</v>
      </c>
      <c r="AA401" s="168" t="s">
        <v>184</v>
      </c>
      <c r="AB401" s="168" t="s">
        <v>191</v>
      </c>
      <c r="AC401" s="168" t="s">
        <v>162</v>
      </c>
      <c r="AD401" s="168" t="s">
        <v>163</v>
      </c>
      <c r="AE401" s="168" t="s">
        <v>163</v>
      </c>
      <c r="AF401" s="168" t="s">
        <v>163</v>
      </c>
      <c r="AG401" s="168" t="s">
        <v>182</v>
      </c>
      <c r="AH401" s="168" t="str">
        <f t="shared" si="37"/>
        <v>Refrigerator-Bottom Freezer-Automatic-No-No-No-Yes</v>
      </c>
      <c r="AI401" s="168" t="s">
        <v>261</v>
      </c>
      <c r="AJ401" s="168">
        <v>8.85</v>
      </c>
      <c r="AK401" s="169">
        <v>401</v>
      </c>
      <c r="AL401" s="169">
        <f t="shared" si="38"/>
        <v>673.57999999999993</v>
      </c>
      <c r="AM401" s="168">
        <f t="shared" si="39"/>
        <v>674</v>
      </c>
      <c r="AN401" s="168">
        <f t="shared" si="40"/>
        <v>607</v>
      </c>
      <c r="AO401" s="164" t="str">
        <f t="shared" si="41"/>
        <v>Yes</v>
      </c>
      <c r="AP401" s="164">
        <f t="shared" si="42"/>
        <v>67</v>
      </c>
    </row>
    <row r="402" spans="2:42">
      <c r="B402" s="164">
        <v>2209858</v>
      </c>
      <c r="C402" s="164" t="s">
        <v>173</v>
      </c>
      <c r="D402" s="164" t="s">
        <v>1176</v>
      </c>
      <c r="E402" s="164"/>
      <c r="F402" s="164" t="s">
        <v>191</v>
      </c>
      <c r="G402" s="164" t="s">
        <v>162</v>
      </c>
      <c r="H402" s="164" t="s">
        <v>163</v>
      </c>
      <c r="I402" s="164" t="s">
        <v>163</v>
      </c>
      <c r="J402" s="164" t="s">
        <v>182</v>
      </c>
      <c r="K402" s="164" t="s">
        <v>182</v>
      </c>
      <c r="L402" s="164" t="s">
        <v>163</v>
      </c>
      <c r="M402" s="164">
        <v>70.099999999999994</v>
      </c>
      <c r="N402" s="164">
        <v>35.700000000000003</v>
      </c>
      <c r="O402" s="165">
        <v>24.7</v>
      </c>
      <c r="P402" s="165">
        <v>29.8</v>
      </c>
      <c r="Q402" s="164">
        <v>677</v>
      </c>
      <c r="R402" s="164">
        <v>751</v>
      </c>
      <c r="S402" s="166">
        <v>0.1</v>
      </c>
      <c r="T402" s="164" t="s">
        <v>163</v>
      </c>
      <c r="U402" s="164"/>
      <c r="V402" s="167">
        <v>41760</v>
      </c>
      <c r="W402" s="167">
        <v>41760</v>
      </c>
      <c r="X402" s="164" t="s">
        <v>387</v>
      </c>
      <c r="Y402" s="164" t="s">
        <v>1177</v>
      </c>
      <c r="Z402" s="164" t="s">
        <v>163</v>
      </c>
      <c r="AA402" s="168" t="s">
        <v>184</v>
      </c>
      <c r="AB402" s="168" t="s">
        <v>191</v>
      </c>
      <c r="AC402" s="168" t="s">
        <v>162</v>
      </c>
      <c r="AD402" s="168" t="s">
        <v>163</v>
      </c>
      <c r="AE402" s="168" t="s">
        <v>163</v>
      </c>
      <c r="AF402" s="168" t="s">
        <v>182</v>
      </c>
      <c r="AG402" s="168" t="s">
        <v>182</v>
      </c>
      <c r="AH402" s="168" t="str">
        <f t="shared" si="37"/>
        <v>Refrigerator-Bottom Freezer-Automatic-No-No-Yes-Yes</v>
      </c>
      <c r="AI402" s="168" t="s">
        <v>269</v>
      </c>
      <c r="AJ402" s="168">
        <v>9.25</v>
      </c>
      <c r="AK402" s="169">
        <v>475.4</v>
      </c>
      <c r="AL402" s="169">
        <f t="shared" si="38"/>
        <v>751.05</v>
      </c>
      <c r="AM402" s="168">
        <f t="shared" si="39"/>
        <v>751</v>
      </c>
      <c r="AN402" s="168">
        <f t="shared" si="40"/>
        <v>677</v>
      </c>
      <c r="AO402" s="164" t="str">
        <f t="shared" si="41"/>
        <v>Yes</v>
      </c>
      <c r="AP402" s="164">
        <f t="shared" si="42"/>
        <v>74</v>
      </c>
    </row>
    <row r="403" spans="2:42">
      <c r="B403" s="164">
        <v>2217247</v>
      </c>
      <c r="C403" s="164" t="s">
        <v>173</v>
      </c>
      <c r="D403" s="164" t="s">
        <v>1178</v>
      </c>
      <c r="E403" s="164"/>
      <c r="F403" s="164" t="s">
        <v>191</v>
      </c>
      <c r="G403" s="164" t="s">
        <v>162</v>
      </c>
      <c r="H403" s="164" t="s">
        <v>163</v>
      </c>
      <c r="I403" s="164" t="s">
        <v>163</v>
      </c>
      <c r="J403" s="164" t="s">
        <v>182</v>
      </c>
      <c r="K403" s="164" t="s">
        <v>182</v>
      </c>
      <c r="L403" s="164" t="s">
        <v>163</v>
      </c>
      <c r="M403" s="164">
        <v>70.099999999999994</v>
      </c>
      <c r="N403" s="164">
        <v>35.700000000000003</v>
      </c>
      <c r="O403" s="165">
        <v>26.8</v>
      </c>
      <c r="P403" s="165">
        <v>32.700000000000003</v>
      </c>
      <c r="Q403" s="164">
        <v>701</v>
      </c>
      <c r="R403" s="164">
        <v>778</v>
      </c>
      <c r="S403" s="166">
        <v>0.1</v>
      </c>
      <c r="T403" s="164" t="s">
        <v>163</v>
      </c>
      <c r="U403" s="164"/>
      <c r="V403" s="167">
        <v>41883</v>
      </c>
      <c r="W403" s="167">
        <v>41863</v>
      </c>
      <c r="X403" s="164" t="s">
        <v>387</v>
      </c>
      <c r="Y403" s="164" t="s">
        <v>1179</v>
      </c>
      <c r="Z403" s="164" t="s">
        <v>163</v>
      </c>
      <c r="AA403" s="168" t="s">
        <v>184</v>
      </c>
      <c r="AB403" s="168" t="s">
        <v>191</v>
      </c>
      <c r="AC403" s="168" t="s">
        <v>162</v>
      </c>
      <c r="AD403" s="168" t="s">
        <v>163</v>
      </c>
      <c r="AE403" s="168" t="s">
        <v>163</v>
      </c>
      <c r="AF403" s="168" t="s">
        <v>182</v>
      </c>
      <c r="AG403" s="168" t="s">
        <v>182</v>
      </c>
      <c r="AH403" s="168" t="str">
        <f t="shared" si="37"/>
        <v>Refrigerator-Bottom Freezer-Automatic-No-No-Yes-Yes</v>
      </c>
      <c r="AI403" s="168" t="s">
        <v>269</v>
      </c>
      <c r="AJ403" s="168">
        <v>9.25</v>
      </c>
      <c r="AK403" s="169">
        <v>475.4</v>
      </c>
      <c r="AL403" s="169">
        <f t="shared" si="38"/>
        <v>777.875</v>
      </c>
      <c r="AM403" s="168">
        <f t="shared" si="39"/>
        <v>778</v>
      </c>
      <c r="AN403" s="168">
        <f t="shared" si="40"/>
        <v>701</v>
      </c>
      <c r="AO403" s="164" t="str">
        <f t="shared" si="41"/>
        <v>Yes</v>
      </c>
      <c r="AP403" s="164">
        <f t="shared" si="42"/>
        <v>77</v>
      </c>
    </row>
    <row r="404" spans="2:42">
      <c r="B404" s="164">
        <v>2218238</v>
      </c>
      <c r="C404" s="164" t="s">
        <v>1180</v>
      </c>
      <c r="D404" s="164" t="s">
        <v>1181</v>
      </c>
      <c r="E404" s="164"/>
      <c r="F404" s="164" t="s">
        <v>191</v>
      </c>
      <c r="G404" s="164" t="s">
        <v>162</v>
      </c>
      <c r="H404" s="164" t="s">
        <v>163</v>
      </c>
      <c r="I404" s="164" t="s">
        <v>163</v>
      </c>
      <c r="J404" s="164" t="s">
        <v>163</v>
      </c>
      <c r="K404" s="164" t="s">
        <v>163</v>
      </c>
      <c r="L404" s="164" t="s">
        <v>163</v>
      </c>
      <c r="M404" s="164">
        <v>59.8</v>
      </c>
      <c r="N404" s="164">
        <v>23.8</v>
      </c>
      <c r="O404" s="165">
        <v>9.1999999999999993</v>
      </c>
      <c r="P404" s="165">
        <v>9.1999999999999993</v>
      </c>
      <c r="Q404" s="164">
        <v>374</v>
      </c>
      <c r="R404" s="164">
        <v>398</v>
      </c>
      <c r="S404" s="166">
        <v>0.06</v>
      </c>
      <c r="T404" s="164" t="s">
        <v>163</v>
      </c>
      <c r="U404" s="164"/>
      <c r="V404" s="167">
        <v>41882</v>
      </c>
      <c r="W404" s="167">
        <v>41873</v>
      </c>
      <c r="X404" s="164" t="s">
        <v>387</v>
      </c>
      <c r="Y404" s="164" t="s">
        <v>1182</v>
      </c>
      <c r="Z404" s="164" t="s">
        <v>163</v>
      </c>
      <c r="AA404" s="168" t="s">
        <v>184</v>
      </c>
      <c r="AB404" s="168" t="s">
        <v>191</v>
      </c>
      <c r="AC404" s="168" t="s">
        <v>162</v>
      </c>
      <c r="AD404" s="168" t="s">
        <v>163</v>
      </c>
      <c r="AE404" s="168" t="s">
        <v>163</v>
      </c>
      <c r="AF404" s="168" t="s">
        <v>163</v>
      </c>
      <c r="AG404" s="168" t="s">
        <v>163</v>
      </c>
      <c r="AH404" s="168" t="str">
        <f t="shared" si="37"/>
        <v>Refrigerator-Bottom Freezer-Automatic-No-No-No-No</v>
      </c>
      <c r="AI404" s="168">
        <v>5</v>
      </c>
      <c r="AJ404" s="168">
        <v>8.85</v>
      </c>
      <c r="AK404" s="169">
        <v>317</v>
      </c>
      <c r="AL404" s="169">
        <f t="shared" si="38"/>
        <v>398.41999999999996</v>
      </c>
      <c r="AM404" s="168">
        <f t="shared" si="39"/>
        <v>398</v>
      </c>
      <c r="AN404" s="168">
        <f t="shared" si="40"/>
        <v>374</v>
      </c>
      <c r="AO404" s="164" t="str">
        <f t="shared" si="41"/>
        <v>Yes</v>
      </c>
      <c r="AP404" s="164">
        <f t="shared" si="42"/>
        <v>24</v>
      </c>
    </row>
    <row r="405" spans="2:42">
      <c r="B405" s="164">
        <v>2218233</v>
      </c>
      <c r="C405" s="164" t="s">
        <v>1180</v>
      </c>
      <c r="D405" s="164" t="s">
        <v>1183</v>
      </c>
      <c r="E405" s="164"/>
      <c r="F405" s="164" t="s">
        <v>194</v>
      </c>
      <c r="G405" s="164" t="s">
        <v>188</v>
      </c>
      <c r="H405" s="164" t="s">
        <v>182</v>
      </c>
      <c r="I405" s="164" t="s">
        <v>163</v>
      </c>
      <c r="J405" s="164" t="s">
        <v>163</v>
      </c>
      <c r="K405" s="164" t="s">
        <v>163</v>
      </c>
      <c r="L405" s="164" t="s">
        <v>182</v>
      </c>
      <c r="M405" s="164">
        <v>19.5</v>
      </c>
      <c r="N405" s="164">
        <v>18.7</v>
      </c>
      <c r="O405" s="165">
        <v>1.6</v>
      </c>
      <c r="P405" s="165">
        <v>1.6</v>
      </c>
      <c r="Q405" s="164">
        <v>207</v>
      </c>
      <c r="R405" s="164">
        <v>267</v>
      </c>
      <c r="S405" s="166">
        <v>0.22</v>
      </c>
      <c r="T405" s="164" t="s">
        <v>163</v>
      </c>
      <c r="U405" s="164"/>
      <c r="V405" s="167">
        <v>41882</v>
      </c>
      <c r="W405" s="167">
        <v>41873</v>
      </c>
      <c r="X405" s="164" t="s">
        <v>387</v>
      </c>
      <c r="Y405" s="164" t="s">
        <v>1184</v>
      </c>
      <c r="Z405" s="164" t="s">
        <v>163</v>
      </c>
      <c r="AA405" s="168" t="s">
        <v>184</v>
      </c>
      <c r="AB405" s="168" t="s">
        <v>194</v>
      </c>
      <c r="AC405" s="168" t="s">
        <v>188</v>
      </c>
      <c r="AD405" s="168" t="s">
        <v>182</v>
      </c>
      <c r="AE405" s="168" t="s">
        <v>163</v>
      </c>
      <c r="AF405" s="168" t="s">
        <v>163</v>
      </c>
      <c r="AG405" s="168" t="s">
        <v>163</v>
      </c>
      <c r="AH405" s="168" t="str">
        <f t="shared" si="37"/>
        <v>Refrigerator-Compact-Manual-Yes-No-No-No</v>
      </c>
      <c r="AI405" s="168" t="s">
        <v>315</v>
      </c>
      <c r="AJ405" s="168">
        <v>7.84</v>
      </c>
      <c r="AK405" s="169">
        <v>219.1</v>
      </c>
      <c r="AL405" s="169">
        <f t="shared" si="38"/>
        <v>231.64400000000001</v>
      </c>
      <c r="AM405" s="168">
        <f t="shared" si="39"/>
        <v>267</v>
      </c>
      <c r="AN405" s="168">
        <f t="shared" si="40"/>
        <v>207</v>
      </c>
      <c r="AO405" s="164" t="str">
        <f t="shared" si="41"/>
        <v>Yes</v>
      </c>
      <c r="AP405" s="164">
        <f t="shared" si="42"/>
        <v>60</v>
      </c>
    </row>
    <row r="406" spans="2:42">
      <c r="B406" s="164">
        <v>2218236</v>
      </c>
      <c r="C406" s="164" t="s">
        <v>1180</v>
      </c>
      <c r="D406" s="164" t="s">
        <v>1185</v>
      </c>
      <c r="E406" s="164"/>
      <c r="F406" s="164" t="s">
        <v>194</v>
      </c>
      <c r="G406" s="164" t="s">
        <v>188</v>
      </c>
      <c r="H406" s="164" t="s">
        <v>182</v>
      </c>
      <c r="I406" s="164" t="s">
        <v>163</v>
      </c>
      <c r="J406" s="164" t="s">
        <v>163</v>
      </c>
      <c r="K406" s="164" t="s">
        <v>163</v>
      </c>
      <c r="L406" s="164" t="s">
        <v>182</v>
      </c>
      <c r="M406" s="164">
        <v>25</v>
      </c>
      <c r="N406" s="164">
        <v>18.7</v>
      </c>
      <c r="O406" s="165">
        <v>2.2999999999999998</v>
      </c>
      <c r="P406" s="165">
        <v>2.2999999999999998</v>
      </c>
      <c r="Q406" s="164">
        <v>213</v>
      </c>
      <c r="R406" s="164">
        <v>273</v>
      </c>
      <c r="S406" s="166">
        <v>0.22</v>
      </c>
      <c r="T406" s="164" t="s">
        <v>163</v>
      </c>
      <c r="U406" s="164"/>
      <c r="V406" s="167">
        <v>41882</v>
      </c>
      <c r="W406" s="167">
        <v>41873</v>
      </c>
      <c r="X406" s="164" t="s">
        <v>387</v>
      </c>
      <c r="Y406" s="164" t="s">
        <v>1186</v>
      </c>
      <c r="Z406" s="164" t="s">
        <v>163</v>
      </c>
      <c r="AA406" s="168" t="s">
        <v>184</v>
      </c>
      <c r="AB406" s="168" t="s">
        <v>194</v>
      </c>
      <c r="AC406" s="168" t="s">
        <v>188</v>
      </c>
      <c r="AD406" s="168" t="s">
        <v>182</v>
      </c>
      <c r="AE406" s="168" t="s">
        <v>163</v>
      </c>
      <c r="AF406" s="168" t="s">
        <v>163</v>
      </c>
      <c r="AG406" s="168" t="s">
        <v>163</v>
      </c>
      <c r="AH406" s="168" t="str">
        <f t="shared" si="37"/>
        <v>Refrigerator-Compact-Manual-Yes-No-No-No</v>
      </c>
      <c r="AI406" s="168" t="s">
        <v>315</v>
      </c>
      <c r="AJ406" s="168">
        <v>7.84</v>
      </c>
      <c r="AK406" s="169">
        <v>219.1</v>
      </c>
      <c r="AL406" s="169">
        <f t="shared" si="38"/>
        <v>237.13200000000001</v>
      </c>
      <c r="AM406" s="168">
        <f t="shared" si="39"/>
        <v>273</v>
      </c>
      <c r="AN406" s="168">
        <f t="shared" si="40"/>
        <v>213</v>
      </c>
      <c r="AO406" s="164" t="str">
        <f t="shared" si="41"/>
        <v>Yes</v>
      </c>
      <c r="AP406" s="164">
        <f t="shared" si="42"/>
        <v>60</v>
      </c>
    </row>
    <row r="407" spans="2:42">
      <c r="B407" s="164">
        <v>2218239</v>
      </c>
      <c r="C407" s="164" t="s">
        <v>1180</v>
      </c>
      <c r="D407" s="164" t="s">
        <v>1187</v>
      </c>
      <c r="E407" s="164"/>
      <c r="F407" s="164" t="s">
        <v>191</v>
      </c>
      <c r="G407" s="164" t="s">
        <v>162</v>
      </c>
      <c r="H407" s="164" t="s">
        <v>163</v>
      </c>
      <c r="I407" s="164" t="s">
        <v>163</v>
      </c>
      <c r="J407" s="164" t="s">
        <v>163</v>
      </c>
      <c r="K407" s="164" t="s">
        <v>163</v>
      </c>
      <c r="L407" s="164" t="s">
        <v>163</v>
      </c>
      <c r="M407" s="164">
        <v>59.8</v>
      </c>
      <c r="N407" s="164">
        <v>23.8</v>
      </c>
      <c r="O407" s="165">
        <v>9.1999999999999993</v>
      </c>
      <c r="P407" s="165">
        <v>9.1999999999999993</v>
      </c>
      <c r="Q407" s="164">
        <v>374</v>
      </c>
      <c r="R407" s="164">
        <v>398</v>
      </c>
      <c r="S407" s="166">
        <v>0.06</v>
      </c>
      <c r="T407" s="164" t="s">
        <v>163</v>
      </c>
      <c r="U407" s="164"/>
      <c r="V407" s="167">
        <v>41882</v>
      </c>
      <c r="W407" s="167">
        <v>41873</v>
      </c>
      <c r="X407" s="164" t="s">
        <v>387</v>
      </c>
      <c r="Y407" s="164" t="s">
        <v>1188</v>
      </c>
      <c r="Z407" s="164" t="s">
        <v>163</v>
      </c>
      <c r="AA407" s="168" t="s">
        <v>184</v>
      </c>
      <c r="AB407" s="168" t="s">
        <v>191</v>
      </c>
      <c r="AC407" s="168" t="s">
        <v>162</v>
      </c>
      <c r="AD407" s="168" t="s">
        <v>163</v>
      </c>
      <c r="AE407" s="168" t="s">
        <v>163</v>
      </c>
      <c r="AF407" s="168" t="s">
        <v>163</v>
      </c>
      <c r="AG407" s="168" t="s">
        <v>163</v>
      </c>
      <c r="AH407" s="168" t="str">
        <f t="shared" si="37"/>
        <v>Refrigerator-Bottom Freezer-Automatic-No-No-No-No</v>
      </c>
      <c r="AI407" s="168">
        <v>5</v>
      </c>
      <c r="AJ407" s="168">
        <v>8.85</v>
      </c>
      <c r="AK407" s="169">
        <v>317</v>
      </c>
      <c r="AL407" s="169">
        <f t="shared" si="38"/>
        <v>398.41999999999996</v>
      </c>
      <c r="AM407" s="168">
        <f t="shared" si="39"/>
        <v>398</v>
      </c>
      <c r="AN407" s="168">
        <f t="shared" si="40"/>
        <v>374</v>
      </c>
      <c r="AO407" s="164" t="str">
        <f t="shared" si="41"/>
        <v>Yes</v>
      </c>
      <c r="AP407" s="164">
        <f t="shared" si="42"/>
        <v>24</v>
      </c>
    </row>
    <row r="408" spans="2:42">
      <c r="B408" s="164">
        <v>2218248</v>
      </c>
      <c r="C408" s="164" t="s">
        <v>1180</v>
      </c>
      <c r="D408" s="164" t="s">
        <v>1189</v>
      </c>
      <c r="E408" s="164"/>
      <c r="F408" s="164" t="s">
        <v>193</v>
      </c>
      <c r="G408" s="164" t="s">
        <v>162</v>
      </c>
      <c r="H408" s="164" t="s">
        <v>163</v>
      </c>
      <c r="I408" s="164" t="s">
        <v>163</v>
      </c>
      <c r="J408" s="164" t="s">
        <v>163</v>
      </c>
      <c r="K408" s="164" t="s">
        <v>163</v>
      </c>
      <c r="L408" s="164" t="s">
        <v>163</v>
      </c>
      <c r="M408" s="164">
        <v>59.8</v>
      </c>
      <c r="N408" s="164">
        <v>23.8</v>
      </c>
      <c r="O408" s="165">
        <v>9.9</v>
      </c>
      <c r="P408" s="165">
        <v>12.1</v>
      </c>
      <c r="Q408" s="164">
        <v>297</v>
      </c>
      <c r="R408" s="164">
        <v>331</v>
      </c>
      <c r="S408" s="166">
        <v>0.1</v>
      </c>
      <c r="T408" s="164" t="s">
        <v>163</v>
      </c>
      <c r="U408" s="164"/>
      <c r="V408" s="167">
        <v>41882</v>
      </c>
      <c r="W408" s="167">
        <v>41873</v>
      </c>
      <c r="X408" s="164" t="s">
        <v>387</v>
      </c>
      <c r="Y408" s="164" t="s">
        <v>1190</v>
      </c>
      <c r="Z408" s="164" t="s">
        <v>163</v>
      </c>
      <c r="AA408" s="168" t="s">
        <v>184</v>
      </c>
      <c r="AB408" s="168" t="s">
        <v>193</v>
      </c>
      <c r="AC408" s="168" t="s">
        <v>162</v>
      </c>
      <c r="AD408" s="168" t="s">
        <v>163</v>
      </c>
      <c r="AE408" s="168" t="s">
        <v>163</v>
      </c>
      <c r="AF408" s="168" t="s">
        <v>163</v>
      </c>
      <c r="AG408" s="168" t="s">
        <v>163</v>
      </c>
      <c r="AH408" s="168" t="str">
        <f t="shared" si="37"/>
        <v>Refrigerator-Top Freezer-Automatic-No-No-No-No</v>
      </c>
      <c r="AI408" s="168">
        <v>3</v>
      </c>
      <c r="AJ408" s="168">
        <v>8.07</v>
      </c>
      <c r="AK408" s="169">
        <v>233.7</v>
      </c>
      <c r="AL408" s="169">
        <f t="shared" si="38"/>
        <v>331.34699999999998</v>
      </c>
      <c r="AM408" s="168">
        <f t="shared" si="39"/>
        <v>331</v>
      </c>
      <c r="AN408" s="168">
        <f t="shared" si="40"/>
        <v>297</v>
      </c>
      <c r="AO408" s="164" t="str">
        <f t="shared" si="41"/>
        <v>Yes</v>
      </c>
      <c r="AP408" s="164">
        <f t="shared" si="42"/>
        <v>34</v>
      </c>
    </row>
    <row r="409" spans="2:42">
      <c r="B409" s="164">
        <v>2217128</v>
      </c>
      <c r="C409" s="164" t="s">
        <v>1191</v>
      </c>
      <c r="D409" s="164" t="s">
        <v>1192</v>
      </c>
      <c r="E409" s="164" t="s">
        <v>1193</v>
      </c>
      <c r="F409" s="164" t="s">
        <v>194</v>
      </c>
      <c r="G409" s="164" t="s">
        <v>162</v>
      </c>
      <c r="H409" s="164" t="s">
        <v>182</v>
      </c>
      <c r="I409" s="164" t="s">
        <v>163</v>
      </c>
      <c r="J409" s="164" t="s">
        <v>163</v>
      </c>
      <c r="K409" s="164" t="s">
        <v>163</v>
      </c>
      <c r="L409" s="164" t="s">
        <v>163</v>
      </c>
      <c r="M409" s="164">
        <v>33</v>
      </c>
      <c r="N409" s="164">
        <v>18.5</v>
      </c>
      <c r="O409" s="165">
        <v>3.1</v>
      </c>
      <c r="P409" s="165">
        <v>3.8</v>
      </c>
      <c r="Q409" s="164">
        <v>240</v>
      </c>
      <c r="R409" s="164">
        <v>358</v>
      </c>
      <c r="S409" s="166">
        <v>0.33</v>
      </c>
      <c r="T409" s="164" t="s">
        <v>163</v>
      </c>
      <c r="U409" s="164"/>
      <c r="V409" s="167">
        <v>41866</v>
      </c>
      <c r="W409" s="167">
        <v>41857</v>
      </c>
      <c r="X409" s="164" t="s">
        <v>387</v>
      </c>
      <c r="Y409" s="164" t="s">
        <v>1194</v>
      </c>
      <c r="Z409" s="164" t="s">
        <v>163</v>
      </c>
      <c r="AA409" s="168" t="s">
        <v>184</v>
      </c>
      <c r="AB409" s="168" t="s">
        <v>194</v>
      </c>
      <c r="AC409" s="168" t="s">
        <v>162</v>
      </c>
      <c r="AD409" s="168" t="s">
        <v>182</v>
      </c>
      <c r="AE409" s="168" t="s">
        <v>163</v>
      </c>
      <c r="AF409" s="168" t="s">
        <v>163</v>
      </c>
      <c r="AG409" s="168" t="s">
        <v>163</v>
      </c>
      <c r="AH409" s="168" t="str">
        <f t="shared" si="37"/>
        <v>Refrigerator-Compact-Automatic-Yes-No-No-No</v>
      </c>
      <c r="AI409" s="168" t="s">
        <v>329</v>
      </c>
      <c r="AJ409" s="168">
        <v>9.17</v>
      </c>
      <c r="AK409" s="169">
        <v>259.3</v>
      </c>
      <c r="AL409" s="169">
        <f t="shared" si="38"/>
        <v>294.14600000000002</v>
      </c>
      <c r="AM409" s="168">
        <f t="shared" si="39"/>
        <v>358</v>
      </c>
      <c r="AN409" s="168">
        <f t="shared" si="40"/>
        <v>240</v>
      </c>
      <c r="AO409" s="164" t="str">
        <f t="shared" si="41"/>
        <v>Yes</v>
      </c>
      <c r="AP409" s="164">
        <f t="shared" si="42"/>
        <v>118</v>
      </c>
    </row>
    <row r="410" spans="2:42">
      <c r="B410" s="164">
        <v>2218002</v>
      </c>
      <c r="C410" s="164" t="s">
        <v>827</v>
      </c>
      <c r="D410" s="164" t="s">
        <v>1195</v>
      </c>
      <c r="E410" s="164"/>
      <c r="F410" s="164" t="s">
        <v>194</v>
      </c>
      <c r="G410" s="164" t="s">
        <v>162</v>
      </c>
      <c r="H410" s="164" t="s">
        <v>182</v>
      </c>
      <c r="I410" s="164" t="s">
        <v>163</v>
      </c>
      <c r="J410" s="164" t="s">
        <v>163</v>
      </c>
      <c r="K410" s="164" t="s">
        <v>163</v>
      </c>
      <c r="L410" s="164" t="s">
        <v>163</v>
      </c>
      <c r="M410" s="164">
        <v>25</v>
      </c>
      <c r="N410" s="164">
        <v>18.600000000000001</v>
      </c>
      <c r="O410" s="165">
        <v>2.2999999999999998</v>
      </c>
      <c r="P410" s="165">
        <v>2.2999999999999998</v>
      </c>
      <c r="Q410" s="164">
        <v>223</v>
      </c>
      <c r="R410" s="164">
        <v>280</v>
      </c>
      <c r="S410" s="166">
        <v>0.2</v>
      </c>
      <c r="T410" s="164" t="s">
        <v>163</v>
      </c>
      <c r="U410" s="164" t="s">
        <v>163</v>
      </c>
      <c r="V410" s="167">
        <v>41876</v>
      </c>
      <c r="W410" s="167">
        <v>41878</v>
      </c>
      <c r="X410" s="164" t="s">
        <v>387</v>
      </c>
      <c r="Y410" s="164" t="s">
        <v>1196</v>
      </c>
      <c r="Z410" s="164" t="s">
        <v>163</v>
      </c>
      <c r="AA410" s="168" t="s">
        <v>184</v>
      </c>
      <c r="AB410" s="168" t="s">
        <v>194</v>
      </c>
      <c r="AC410" s="168" t="s">
        <v>162</v>
      </c>
      <c r="AD410" s="168" t="s">
        <v>182</v>
      </c>
      <c r="AE410" s="168" t="s">
        <v>163</v>
      </c>
      <c r="AF410" s="168" t="s">
        <v>163</v>
      </c>
      <c r="AG410" s="168" t="s">
        <v>163</v>
      </c>
      <c r="AH410" s="168" t="str">
        <f t="shared" si="37"/>
        <v>Refrigerator-Compact-Automatic-Yes-No-No-No</v>
      </c>
      <c r="AI410" s="168" t="s">
        <v>329</v>
      </c>
      <c r="AJ410" s="168">
        <v>9.17</v>
      </c>
      <c r="AK410" s="169">
        <v>259.3</v>
      </c>
      <c r="AL410" s="169">
        <f t="shared" si="38"/>
        <v>280.39100000000002</v>
      </c>
      <c r="AM410" s="168">
        <f t="shared" si="39"/>
        <v>280</v>
      </c>
      <c r="AN410" s="168">
        <f t="shared" si="40"/>
        <v>223</v>
      </c>
      <c r="AO410" s="164" t="str">
        <f t="shared" si="41"/>
        <v>Yes</v>
      </c>
      <c r="AP410" s="164">
        <f t="shared" si="42"/>
        <v>57</v>
      </c>
    </row>
    <row r="411" spans="2:42">
      <c r="B411" s="164">
        <v>2218003</v>
      </c>
      <c r="C411" s="164" t="s">
        <v>827</v>
      </c>
      <c r="D411" s="164" t="s">
        <v>1197</v>
      </c>
      <c r="E411" s="164"/>
      <c r="F411" s="164" t="s">
        <v>194</v>
      </c>
      <c r="G411" s="164" t="s">
        <v>162</v>
      </c>
      <c r="H411" s="164" t="s">
        <v>182</v>
      </c>
      <c r="I411" s="164" t="s">
        <v>163</v>
      </c>
      <c r="J411" s="164" t="s">
        <v>163</v>
      </c>
      <c r="K411" s="164" t="s">
        <v>163</v>
      </c>
      <c r="L411" s="164" t="s">
        <v>163</v>
      </c>
      <c r="M411" s="164">
        <v>25</v>
      </c>
      <c r="N411" s="164">
        <v>18.600000000000001</v>
      </c>
      <c r="O411" s="165">
        <v>2.2999999999999998</v>
      </c>
      <c r="P411" s="165">
        <v>2.2999999999999998</v>
      </c>
      <c r="Q411" s="164">
        <v>223</v>
      </c>
      <c r="R411" s="164">
        <v>280</v>
      </c>
      <c r="S411" s="166">
        <v>0.2</v>
      </c>
      <c r="T411" s="164" t="s">
        <v>163</v>
      </c>
      <c r="U411" s="164" t="s">
        <v>163</v>
      </c>
      <c r="V411" s="167">
        <v>41876</v>
      </c>
      <c r="W411" s="167">
        <v>41878</v>
      </c>
      <c r="X411" s="164" t="s">
        <v>387</v>
      </c>
      <c r="Y411" s="164" t="s">
        <v>1198</v>
      </c>
      <c r="Z411" s="164" t="s">
        <v>163</v>
      </c>
      <c r="AA411" s="168" t="s">
        <v>184</v>
      </c>
      <c r="AB411" s="168" t="s">
        <v>194</v>
      </c>
      <c r="AC411" s="168" t="s">
        <v>162</v>
      </c>
      <c r="AD411" s="168" t="s">
        <v>182</v>
      </c>
      <c r="AE411" s="168" t="s">
        <v>163</v>
      </c>
      <c r="AF411" s="168" t="s">
        <v>163</v>
      </c>
      <c r="AG411" s="168" t="s">
        <v>163</v>
      </c>
      <c r="AH411" s="168" t="str">
        <f t="shared" si="37"/>
        <v>Refrigerator-Compact-Automatic-Yes-No-No-No</v>
      </c>
      <c r="AI411" s="168" t="s">
        <v>329</v>
      </c>
      <c r="AJ411" s="168">
        <v>9.17</v>
      </c>
      <c r="AK411" s="169">
        <v>259.3</v>
      </c>
      <c r="AL411" s="169">
        <f t="shared" si="38"/>
        <v>280.39100000000002</v>
      </c>
      <c r="AM411" s="168">
        <f t="shared" si="39"/>
        <v>280</v>
      </c>
      <c r="AN411" s="168">
        <f t="shared" si="40"/>
        <v>223</v>
      </c>
      <c r="AO411" s="164" t="str">
        <f t="shared" si="41"/>
        <v>Yes</v>
      </c>
      <c r="AP411" s="164">
        <f t="shared" si="42"/>
        <v>57</v>
      </c>
    </row>
    <row r="412" spans="2:42">
      <c r="B412" s="164">
        <v>2218004</v>
      </c>
      <c r="C412" s="164" t="s">
        <v>827</v>
      </c>
      <c r="D412" s="164" t="s">
        <v>1199</v>
      </c>
      <c r="E412" s="164"/>
      <c r="F412" s="164" t="s">
        <v>194</v>
      </c>
      <c r="G412" s="164" t="s">
        <v>162</v>
      </c>
      <c r="H412" s="164" t="s">
        <v>182</v>
      </c>
      <c r="I412" s="164" t="s">
        <v>163</v>
      </c>
      <c r="J412" s="164" t="s">
        <v>163</v>
      </c>
      <c r="K412" s="164" t="s">
        <v>163</v>
      </c>
      <c r="L412" s="164" t="s">
        <v>163</v>
      </c>
      <c r="M412" s="164">
        <v>25</v>
      </c>
      <c r="N412" s="164">
        <v>18.600000000000001</v>
      </c>
      <c r="O412" s="165">
        <v>2.2999999999999998</v>
      </c>
      <c r="P412" s="165">
        <v>2.2999999999999998</v>
      </c>
      <c r="Q412" s="164">
        <v>223</v>
      </c>
      <c r="R412" s="164">
        <v>280</v>
      </c>
      <c r="S412" s="166">
        <v>0.2</v>
      </c>
      <c r="T412" s="164" t="s">
        <v>163</v>
      </c>
      <c r="U412" s="164" t="s">
        <v>163</v>
      </c>
      <c r="V412" s="167">
        <v>41852</v>
      </c>
      <c r="W412" s="167">
        <v>41878</v>
      </c>
      <c r="X412" s="164" t="s">
        <v>387</v>
      </c>
      <c r="Y412" s="164" t="s">
        <v>1200</v>
      </c>
      <c r="Z412" s="164" t="s">
        <v>163</v>
      </c>
      <c r="AA412" s="168" t="s">
        <v>184</v>
      </c>
      <c r="AB412" s="168" t="s">
        <v>194</v>
      </c>
      <c r="AC412" s="168" t="s">
        <v>162</v>
      </c>
      <c r="AD412" s="168" t="s">
        <v>182</v>
      </c>
      <c r="AE412" s="168" t="s">
        <v>163</v>
      </c>
      <c r="AF412" s="168" t="s">
        <v>163</v>
      </c>
      <c r="AG412" s="168" t="s">
        <v>163</v>
      </c>
      <c r="AH412" s="168" t="str">
        <f t="shared" si="37"/>
        <v>Refrigerator-Compact-Automatic-Yes-No-No-No</v>
      </c>
      <c r="AI412" s="168" t="s">
        <v>329</v>
      </c>
      <c r="AJ412" s="168">
        <v>9.17</v>
      </c>
      <c r="AK412" s="169">
        <v>259.3</v>
      </c>
      <c r="AL412" s="169">
        <f t="shared" si="38"/>
        <v>280.39100000000002</v>
      </c>
      <c r="AM412" s="168">
        <f t="shared" si="39"/>
        <v>280</v>
      </c>
      <c r="AN412" s="168">
        <f t="shared" si="40"/>
        <v>223</v>
      </c>
      <c r="AO412" s="164" t="str">
        <f t="shared" si="41"/>
        <v>Yes</v>
      </c>
      <c r="AP412" s="164">
        <f t="shared" si="42"/>
        <v>57</v>
      </c>
    </row>
    <row r="413" spans="2:42">
      <c r="B413" s="164">
        <v>2218009</v>
      </c>
      <c r="C413" s="164" t="s">
        <v>827</v>
      </c>
      <c r="D413" s="164" t="s">
        <v>1201</v>
      </c>
      <c r="E413" s="164"/>
      <c r="F413" s="164" t="s">
        <v>194</v>
      </c>
      <c r="G413" s="164" t="s">
        <v>162</v>
      </c>
      <c r="H413" s="164" t="s">
        <v>182</v>
      </c>
      <c r="I413" s="164" t="s">
        <v>163</v>
      </c>
      <c r="J413" s="164" t="s">
        <v>163</v>
      </c>
      <c r="K413" s="164" t="s">
        <v>163</v>
      </c>
      <c r="L413" s="164" t="s">
        <v>163</v>
      </c>
      <c r="M413" s="164">
        <v>33.299999999999997</v>
      </c>
      <c r="N413" s="164">
        <v>18.600000000000001</v>
      </c>
      <c r="O413" s="165">
        <v>3</v>
      </c>
      <c r="P413" s="165">
        <v>3.6</v>
      </c>
      <c r="Q413" s="164">
        <v>319</v>
      </c>
      <c r="R413" s="164">
        <v>357</v>
      </c>
      <c r="S413" s="166">
        <v>0.11</v>
      </c>
      <c r="T413" s="164" t="s">
        <v>163</v>
      </c>
      <c r="U413" s="164" t="s">
        <v>163</v>
      </c>
      <c r="V413" s="167">
        <v>41852</v>
      </c>
      <c r="W413" s="167">
        <v>41878</v>
      </c>
      <c r="X413" s="164" t="s">
        <v>387</v>
      </c>
      <c r="Y413" s="164" t="s">
        <v>1202</v>
      </c>
      <c r="Z413" s="164" t="s">
        <v>163</v>
      </c>
      <c r="AA413" s="168" t="s">
        <v>184</v>
      </c>
      <c r="AB413" s="168" t="s">
        <v>194</v>
      </c>
      <c r="AC413" s="168" t="s">
        <v>162</v>
      </c>
      <c r="AD413" s="168" t="s">
        <v>182</v>
      </c>
      <c r="AE413" s="168" t="s">
        <v>163</v>
      </c>
      <c r="AF413" s="168" t="s">
        <v>163</v>
      </c>
      <c r="AG413" s="168" t="s">
        <v>163</v>
      </c>
      <c r="AH413" s="168" t="str">
        <f t="shared" si="37"/>
        <v>Refrigerator-Compact-Automatic-Yes-No-No-No</v>
      </c>
      <c r="AI413" s="168" t="s">
        <v>329</v>
      </c>
      <c r="AJ413" s="168">
        <v>9.17</v>
      </c>
      <c r="AK413" s="169">
        <v>259.3</v>
      </c>
      <c r="AL413" s="169">
        <f t="shared" si="38"/>
        <v>292.31200000000001</v>
      </c>
      <c r="AM413" s="168">
        <f t="shared" si="39"/>
        <v>357</v>
      </c>
      <c r="AN413" s="168">
        <f t="shared" si="40"/>
        <v>319</v>
      </c>
      <c r="AO413" s="164" t="str">
        <f t="shared" si="41"/>
        <v>Yes</v>
      </c>
      <c r="AP413" s="164">
        <f t="shared" si="42"/>
        <v>38</v>
      </c>
    </row>
    <row r="414" spans="2:42">
      <c r="B414" s="164">
        <v>2216584</v>
      </c>
      <c r="C414" s="164" t="s">
        <v>169</v>
      </c>
      <c r="D414" s="164" t="s">
        <v>1203</v>
      </c>
      <c r="E414" s="164"/>
      <c r="F414" s="164" t="s">
        <v>191</v>
      </c>
      <c r="G414" s="164" t="s">
        <v>162</v>
      </c>
      <c r="H414" s="164" t="s">
        <v>163</v>
      </c>
      <c r="I414" s="164" t="s">
        <v>163</v>
      </c>
      <c r="J414" s="164" t="s">
        <v>182</v>
      </c>
      <c r="K414" s="164" t="s">
        <v>182</v>
      </c>
      <c r="L414" s="164" t="s">
        <v>163</v>
      </c>
      <c r="M414" s="164">
        <v>69.900000000000006</v>
      </c>
      <c r="N414" s="164">
        <v>35.6</v>
      </c>
      <c r="O414" s="165">
        <v>27.2</v>
      </c>
      <c r="P414" s="165">
        <v>33.799999999999997</v>
      </c>
      <c r="Q414" s="164">
        <v>709</v>
      </c>
      <c r="R414" s="164">
        <v>788</v>
      </c>
      <c r="S414" s="166">
        <v>0.1</v>
      </c>
      <c r="T414" s="164" t="s">
        <v>163</v>
      </c>
      <c r="U414" s="164"/>
      <c r="V414" s="167">
        <v>41838</v>
      </c>
      <c r="W414" s="167">
        <v>41837</v>
      </c>
      <c r="X414" s="164" t="s">
        <v>387</v>
      </c>
      <c r="Y414" s="164" t="s">
        <v>1204</v>
      </c>
      <c r="Z414" s="164" t="s">
        <v>163</v>
      </c>
      <c r="AA414" s="168" t="s">
        <v>184</v>
      </c>
      <c r="AB414" s="168" t="s">
        <v>191</v>
      </c>
      <c r="AC414" s="168" t="s">
        <v>162</v>
      </c>
      <c r="AD414" s="168" t="s">
        <v>163</v>
      </c>
      <c r="AE414" s="168" t="s">
        <v>163</v>
      </c>
      <c r="AF414" s="168" t="s">
        <v>182</v>
      </c>
      <c r="AG414" s="168" t="s">
        <v>182</v>
      </c>
      <c r="AH414" s="168" t="str">
        <f t="shared" si="37"/>
        <v>Refrigerator-Bottom Freezer-Automatic-No-No-Yes-Yes</v>
      </c>
      <c r="AI414" s="168" t="s">
        <v>269</v>
      </c>
      <c r="AJ414" s="168">
        <v>9.25</v>
      </c>
      <c r="AK414" s="169">
        <v>475.4</v>
      </c>
      <c r="AL414" s="169">
        <f t="shared" si="38"/>
        <v>788.05</v>
      </c>
      <c r="AM414" s="168">
        <f t="shared" si="39"/>
        <v>788</v>
      </c>
      <c r="AN414" s="168">
        <f t="shared" si="40"/>
        <v>709</v>
      </c>
      <c r="AO414" s="164" t="str">
        <f t="shared" si="41"/>
        <v>Yes</v>
      </c>
      <c r="AP414" s="164">
        <f t="shared" si="42"/>
        <v>79</v>
      </c>
    </row>
    <row r="415" spans="2:42">
      <c r="B415" s="164">
        <v>2219150</v>
      </c>
      <c r="C415" s="164" t="s">
        <v>169</v>
      </c>
      <c r="D415" s="164" t="s">
        <v>1205</v>
      </c>
      <c r="E415" s="164"/>
      <c r="F415" s="164" t="s">
        <v>193</v>
      </c>
      <c r="G415" s="164" t="s">
        <v>162</v>
      </c>
      <c r="H415" s="164" t="s">
        <v>163</v>
      </c>
      <c r="I415" s="164" t="s">
        <v>163</v>
      </c>
      <c r="J415" s="164" t="s">
        <v>163</v>
      </c>
      <c r="K415" s="164" t="s">
        <v>163</v>
      </c>
      <c r="L415" s="164" t="s">
        <v>163</v>
      </c>
      <c r="M415" s="164">
        <v>66.099999999999994</v>
      </c>
      <c r="N415" s="164">
        <v>29.6</v>
      </c>
      <c r="O415" s="165">
        <v>18.100000000000001</v>
      </c>
      <c r="P415" s="165">
        <v>21.1</v>
      </c>
      <c r="Q415" s="164">
        <v>363</v>
      </c>
      <c r="R415" s="164">
        <v>404</v>
      </c>
      <c r="S415" s="166">
        <v>0.1</v>
      </c>
      <c r="T415" s="164" t="s">
        <v>163</v>
      </c>
      <c r="U415" s="164"/>
      <c r="V415" s="167">
        <v>41857</v>
      </c>
      <c r="W415" s="167">
        <v>41889</v>
      </c>
      <c r="X415" s="164" t="s">
        <v>387</v>
      </c>
      <c r="Y415" s="164" t="s">
        <v>1206</v>
      </c>
      <c r="Z415" s="164" t="s">
        <v>163</v>
      </c>
      <c r="AA415" s="168" t="s">
        <v>184</v>
      </c>
      <c r="AB415" s="168" t="s">
        <v>193</v>
      </c>
      <c r="AC415" s="168" t="s">
        <v>162</v>
      </c>
      <c r="AD415" s="168" t="s">
        <v>163</v>
      </c>
      <c r="AE415" s="168" t="s">
        <v>163</v>
      </c>
      <c r="AF415" s="168" t="s">
        <v>163</v>
      </c>
      <c r="AG415" s="168" t="s">
        <v>163</v>
      </c>
      <c r="AH415" s="168" t="str">
        <f t="shared" si="37"/>
        <v>Refrigerator-Top Freezer-Automatic-No-No-No-No</v>
      </c>
      <c r="AI415" s="168">
        <v>3</v>
      </c>
      <c r="AJ415" s="168">
        <v>8.07</v>
      </c>
      <c r="AK415" s="169">
        <v>233.7</v>
      </c>
      <c r="AL415" s="169">
        <f t="shared" si="38"/>
        <v>403.97699999999998</v>
      </c>
      <c r="AM415" s="168">
        <f t="shared" si="39"/>
        <v>404</v>
      </c>
      <c r="AN415" s="168">
        <f t="shared" si="40"/>
        <v>363</v>
      </c>
      <c r="AO415" s="164" t="str">
        <f t="shared" si="41"/>
        <v>Yes</v>
      </c>
      <c r="AP415" s="164">
        <f t="shared" si="42"/>
        <v>41</v>
      </c>
    </row>
    <row r="416" spans="2:42">
      <c r="B416" s="164">
        <v>2219165</v>
      </c>
      <c r="C416" s="164" t="s">
        <v>169</v>
      </c>
      <c r="D416" s="164" t="s">
        <v>1205</v>
      </c>
      <c r="E416" s="164"/>
      <c r="F416" s="164" t="s">
        <v>193</v>
      </c>
      <c r="G416" s="164" t="s">
        <v>162</v>
      </c>
      <c r="H416" s="164" t="s">
        <v>163</v>
      </c>
      <c r="I416" s="164" t="s">
        <v>163</v>
      </c>
      <c r="J416" s="164" t="s">
        <v>163</v>
      </c>
      <c r="K416" s="164" t="s">
        <v>182</v>
      </c>
      <c r="L416" s="164" t="s">
        <v>163</v>
      </c>
      <c r="M416" s="164">
        <v>66.099999999999994</v>
      </c>
      <c r="N416" s="164">
        <v>29.6</v>
      </c>
      <c r="O416" s="165">
        <v>18.100000000000001</v>
      </c>
      <c r="P416" s="165">
        <v>21.1</v>
      </c>
      <c r="Q416" s="164">
        <v>439</v>
      </c>
      <c r="R416" s="164">
        <v>488</v>
      </c>
      <c r="S416" s="166">
        <v>0.1</v>
      </c>
      <c r="T416" s="164" t="s">
        <v>163</v>
      </c>
      <c r="U416" s="164"/>
      <c r="V416" s="167">
        <v>41857</v>
      </c>
      <c r="W416" s="167">
        <v>41889</v>
      </c>
      <c r="X416" s="164" t="s">
        <v>387</v>
      </c>
      <c r="Y416" s="164" t="s">
        <v>1207</v>
      </c>
      <c r="Z416" s="164" t="s">
        <v>163</v>
      </c>
      <c r="AA416" s="168" t="s">
        <v>184</v>
      </c>
      <c r="AB416" s="168" t="s">
        <v>193</v>
      </c>
      <c r="AC416" s="168" t="s">
        <v>162</v>
      </c>
      <c r="AD416" s="168" t="s">
        <v>163</v>
      </c>
      <c r="AE416" s="168" t="s">
        <v>163</v>
      </c>
      <c r="AF416" s="168" t="s">
        <v>163</v>
      </c>
      <c r="AG416" s="168" t="s">
        <v>182</v>
      </c>
      <c r="AH416" s="168" t="str">
        <f t="shared" si="37"/>
        <v>Refrigerator-Top Freezer-Automatic-No-No-No-Yes</v>
      </c>
      <c r="AI416" s="168" t="s">
        <v>223</v>
      </c>
      <c r="AJ416" s="168">
        <v>8.07</v>
      </c>
      <c r="AK416" s="169">
        <v>317.7</v>
      </c>
      <c r="AL416" s="169">
        <f t="shared" si="38"/>
        <v>487.97699999999998</v>
      </c>
      <c r="AM416" s="168">
        <f t="shared" si="39"/>
        <v>488</v>
      </c>
      <c r="AN416" s="168">
        <f t="shared" si="40"/>
        <v>439</v>
      </c>
      <c r="AO416" s="164" t="str">
        <f t="shared" si="41"/>
        <v>Yes</v>
      </c>
      <c r="AP416" s="164">
        <f t="shared" si="42"/>
        <v>49</v>
      </c>
    </row>
    <row r="417" spans="2:42">
      <c r="B417" s="164">
        <v>2219525</v>
      </c>
      <c r="C417" s="164" t="s">
        <v>169</v>
      </c>
      <c r="D417" s="164" t="s">
        <v>1208</v>
      </c>
      <c r="E417" s="164"/>
      <c r="F417" s="164" t="s">
        <v>193</v>
      </c>
      <c r="G417" s="164" t="s">
        <v>162</v>
      </c>
      <c r="H417" s="164" t="s">
        <v>163</v>
      </c>
      <c r="I417" s="164" t="s">
        <v>163</v>
      </c>
      <c r="J417" s="164" t="s">
        <v>163</v>
      </c>
      <c r="K417" s="164" t="s">
        <v>163</v>
      </c>
      <c r="L417" s="164" t="s">
        <v>163</v>
      </c>
      <c r="M417" s="164">
        <v>69</v>
      </c>
      <c r="N417" s="164">
        <v>29.6</v>
      </c>
      <c r="O417" s="165">
        <v>20.399999999999999</v>
      </c>
      <c r="P417" s="165">
        <v>24.3</v>
      </c>
      <c r="Q417" s="164">
        <v>386</v>
      </c>
      <c r="R417" s="164">
        <v>430</v>
      </c>
      <c r="S417" s="166">
        <v>0.1</v>
      </c>
      <c r="T417" s="164" t="s">
        <v>163</v>
      </c>
      <c r="U417" s="164"/>
      <c r="V417" s="167">
        <v>41897</v>
      </c>
      <c r="W417" s="167">
        <v>41897</v>
      </c>
      <c r="X417" s="164" t="s">
        <v>387</v>
      </c>
      <c r="Y417" s="164" t="s">
        <v>1209</v>
      </c>
      <c r="Z417" s="164" t="s">
        <v>163</v>
      </c>
      <c r="AA417" s="168" t="s">
        <v>184</v>
      </c>
      <c r="AB417" s="168" t="s">
        <v>193</v>
      </c>
      <c r="AC417" s="168" t="s">
        <v>162</v>
      </c>
      <c r="AD417" s="168" t="s">
        <v>163</v>
      </c>
      <c r="AE417" s="168" t="s">
        <v>163</v>
      </c>
      <c r="AF417" s="168" t="s">
        <v>163</v>
      </c>
      <c r="AG417" s="168" t="s">
        <v>163</v>
      </c>
      <c r="AH417" s="168" t="str">
        <f t="shared" si="37"/>
        <v>Refrigerator-Top Freezer-Automatic-No-No-No-No</v>
      </c>
      <c r="AI417" s="168">
        <v>3</v>
      </c>
      <c r="AJ417" s="168">
        <v>8.07</v>
      </c>
      <c r="AK417" s="169">
        <v>233.7</v>
      </c>
      <c r="AL417" s="169">
        <f t="shared" si="38"/>
        <v>429.80099999999999</v>
      </c>
      <c r="AM417" s="168">
        <f t="shared" si="39"/>
        <v>430</v>
      </c>
      <c r="AN417" s="168">
        <f t="shared" si="40"/>
        <v>386</v>
      </c>
      <c r="AO417" s="164" t="str">
        <f t="shared" si="41"/>
        <v>Yes</v>
      </c>
      <c r="AP417" s="164">
        <f t="shared" si="42"/>
        <v>44</v>
      </c>
    </row>
    <row r="418" spans="2:42">
      <c r="B418" s="164">
        <v>2219526</v>
      </c>
      <c r="C418" s="164" t="s">
        <v>169</v>
      </c>
      <c r="D418" s="164" t="s">
        <v>1208</v>
      </c>
      <c r="E418" s="164"/>
      <c r="F418" s="164" t="s">
        <v>193</v>
      </c>
      <c r="G418" s="164" t="s">
        <v>162</v>
      </c>
      <c r="H418" s="164" t="s">
        <v>163</v>
      </c>
      <c r="I418" s="164" t="s">
        <v>163</v>
      </c>
      <c r="J418" s="164" t="s">
        <v>163</v>
      </c>
      <c r="K418" s="164" t="s">
        <v>182</v>
      </c>
      <c r="L418" s="164" t="s">
        <v>163</v>
      </c>
      <c r="M418" s="164">
        <v>69</v>
      </c>
      <c r="N418" s="164">
        <v>29.6</v>
      </c>
      <c r="O418" s="165">
        <v>20.399999999999999</v>
      </c>
      <c r="P418" s="165">
        <v>24.3</v>
      </c>
      <c r="Q418" s="164">
        <v>462</v>
      </c>
      <c r="R418" s="164">
        <v>514</v>
      </c>
      <c r="S418" s="166">
        <v>0.1</v>
      </c>
      <c r="T418" s="164" t="s">
        <v>163</v>
      </c>
      <c r="U418" s="164"/>
      <c r="V418" s="167">
        <v>41897</v>
      </c>
      <c r="W418" s="167">
        <v>41897</v>
      </c>
      <c r="X418" s="164" t="s">
        <v>387</v>
      </c>
      <c r="Y418" s="164" t="s">
        <v>1210</v>
      </c>
      <c r="Z418" s="164" t="s">
        <v>163</v>
      </c>
      <c r="AA418" s="168" t="s">
        <v>184</v>
      </c>
      <c r="AB418" s="168" t="s">
        <v>193</v>
      </c>
      <c r="AC418" s="168" t="s">
        <v>162</v>
      </c>
      <c r="AD418" s="168" t="s">
        <v>163</v>
      </c>
      <c r="AE418" s="168" t="s">
        <v>163</v>
      </c>
      <c r="AF418" s="168" t="s">
        <v>163</v>
      </c>
      <c r="AG418" s="168" t="s">
        <v>182</v>
      </c>
      <c r="AH418" s="168" t="str">
        <f t="shared" si="37"/>
        <v>Refrigerator-Top Freezer-Automatic-No-No-No-Yes</v>
      </c>
      <c r="AI418" s="168" t="s">
        <v>223</v>
      </c>
      <c r="AJ418" s="168">
        <v>8.07</v>
      </c>
      <c r="AK418" s="169">
        <v>317.7</v>
      </c>
      <c r="AL418" s="169">
        <f t="shared" si="38"/>
        <v>513.80099999999993</v>
      </c>
      <c r="AM418" s="168">
        <f t="shared" si="39"/>
        <v>514</v>
      </c>
      <c r="AN418" s="168">
        <f t="shared" si="40"/>
        <v>462</v>
      </c>
      <c r="AO418" s="164" t="str">
        <f t="shared" si="41"/>
        <v>Yes</v>
      </c>
      <c r="AP418" s="164">
        <f t="shared" si="42"/>
        <v>52</v>
      </c>
    </row>
    <row r="419" spans="2:42">
      <c r="B419" s="164">
        <v>2211360</v>
      </c>
      <c r="C419" s="164" t="s">
        <v>169</v>
      </c>
      <c r="D419" s="164" t="s">
        <v>1211</v>
      </c>
      <c r="E419" s="164"/>
      <c r="F419" s="164" t="s">
        <v>191</v>
      </c>
      <c r="G419" s="164" t="s">
        <v>162</v>
      </c>
      <c r="H419" s="164" t="s">
        <v>163</v>
      </c>
      <c r="I419" s="164" t="s">
        <v>163</v>
      </c>
      <c r="J419" s="164" t="s">
        <v>182</v>
      </c>
      <c r="K419" s="164" t="s">
        <v>182</v>
      </c>
      <c r="L419" s="164" t="s">
        <v>163</v>
      </c>
      <c r="M419" s="164">
        <v>69.900000000000006</v>
      </c>
      <c r="N419" s="164">
        <v>35.6</v>
      </c>
      <c r="O419" s="165">
        <v>27.2</v>
      </c>
      <c r="P419" s="165">
        <v>33.799999999999997</v>
      </c>
      <c r="Q419" s="164">
        <v>709</v>
      </c>
      <c r="R419" s="164">
        <v>788</v>
      </c>
      <c r="S419" s="166">
        <v>0.1</v>
      </c>
      <c r="T419" s="164" t="s">
        <v>163</v>
      </c>
      <c r="U419" s="164"/>
      <c r="V419" s="167">
        <v>41778</v>
      </c>
      <c r="W419" s="167">
        <v>41781</v>
      </c>
      <c r="X419" s="164" t="s">
        <v>387</v>
      </c>
      <c r="Y419" s="164" t="s">
        <v>1212</v>
      </c>
      <c r="Z419" s="164" t="s">
        <v>163</v>
      </c>
      <c r="AA419" s="168" t="s">
        <v>184</v>
      </c>
      <c r="AB419" s="168" t="s">
        <v>191</v>
      </c>
      <c r="AC419" s="168" t="s">
        <v>162</v>
      </c>
      <c r="AD419" s="168" t="s">
        <v>163</v>
      </c>
      <c r="AE419" s="168" t="s">
        <v>163</v>
      </c>
      <c r="AF419" s="168" t="s">
        <v>182</v>
      </c>
      <c r="AG419" s="168" t="s">
        <v>182</v>
      </c>
      <c r="AH419" s="168" t="str">
        <f t="shared" si="37"/>
        <v>Refrigerator-Bottom Freezer-Automatic-No-No-Yes-Yes</v>
      </c>
      <c r="AI419" s="168" t="s">
        <v>269</v>
      </c>
      <c r="AJ419" s="168">
        <v>9.25</v>
      </c>
      <c r="AK419" s="169">
        <v>475.4</v>
      </c>
      <c r="AL419" s="169">
        <f t="shared" si="38"/>
        <v>788.05</v>
      </c>
      <c r="AM419" s="168">
        <f t="shared" si="39"/>
        <v>788</v>
      </c>
      <c r="AN419" s="168">
        <f t="shared" si="40"/>
        <v>709</v>
      </c>
      <c r="AO419" s="164" t="str">
        <f t="shared" si="41"/>
        <v>Yes</v>
      </c>
      <c r="AP419" s="164">
        <f t="shared" si="42"/>
        <v>79</v>
      </c>
    </row>
    <row r="420" spans="2:42">
      <c r="B420" s="164">
        <v>2216588</v>
      </c>
      <c r="C420" s="164" t="s">
        <v>169</v>
      </c>
      <c r="D420" s="164" t="s">
        <v>1213</v>
      </c>
      <c r="E420" s="164"/>
      <c r="F420" s="164" t="s">
        <v>191</v>
      </c>
      <c r="G420" s="164" t="s">
        <v>162</v>
      </c>
      <c r="H420" s="164" t="s">
        <v>163</v>
      </c>
      <c r="I420" s="164" t="s">
        <v>163</v>
      </c>
      <c r="J420" s="164" t="s">
        <v>182</v>
      </c>
      <c r="K420" s="164" t="s">
        <v>182</v>
      </c>
      <c r="L420" s="164" t="s">
        <v>163</v>
      </c>
      <c r="M420" s="164">
        <v>69.900000000000006</v>
      </c>
      <c r="N420" s="164">
        <v>35.6</v>
      </c>
      <c r="O420" s="165">
        <v>27.2</v>
      </c>
      <c r="P420" s="165">
        <v>33.799999999999997</v>
      </c>
      <c r="Q420" s="164">
        <v>709</v>
      </c>
      <c r="R420" s="164">
        <v>788</v>
      </c>
      <c r="S420" s="166">
        <v>0.1</v>
      </c>
      <c r="T420" s="164" t="s">
        <v>163</v>
      </c>
      <c r="U420" s="164"/>
      <c r="V420" s="167">
        <v>41838</v>
      </c>
      <c r="W420" s="167">
        <v>41837</v>
      </c>
      <c r="X420" s="164" t="s">
        <v>387</v>
      </c>
      <c r="Y420" s="164" t="s">
        <v>1214</v>
      </c>
      <c r="Z420" s="164" t="s">
        <v>163</v>
      </c>
      <c r="AA420" s="168" t="s">
        <v>184</v>
      </c>
      <c r="AB420" s="168" t="s">
        <v>191</v>
      </c>
      <c r="AC420" s="168" t="s">
        <v>162</v>
      </c>
      <c r="AD420" s="168" t="s">
        <v>163</v>
      </c>
      <c r="AE420" s="168" t="s">
        <v>163</v>
      </c>
      <c r="AF420" s="168" t="s">
        <v>182</v>
      </c>
      <c r="AG420" s="168" t="s">
        <v>182</v>
      </c>
      <c r="AH420" s="168" t="str">
        <f t="shared" si="37"/>
        <v>Refrigerator-Bottom Freezer-Automatic-No-No-Yes-Yes</v>
      </c>
      <c r="AI420" s="168" t="s">
        <v>269</v>
      </c>
      <c r="AJ420" s="168">
        <v>9.25</v>
      </c>
      <c r="AK420" s="169">
        <v>475.4</v>
      </c>
      <c r="AL420" s="169">
        <f t="shared" si="38"/>
        <v>788.05</v>
      </c>
      <c r="AM420" s="168">
        <f t="shared" si="39"/>
        <v>788</v>
      </c>
      <c r="AN420" s="168">
        <f t="shared" si="40"/>
        <v>709</v>
      </c>
      <c r="AO420" s="164" t="str">
        <f t="shared" si="41"/>
        <v>Yes</v>
      </c>
      <c r="AP420" s="164">
        <f t="shared" si="42"/>
        <v>79</v>
      </c>
    </row>
    <row r="421" spans="2:42">
      <c r="B421" s="164">
        <v>2216161</v>
      </c>
      <c r="C421" s="164" t="s">
        <v>1215</v>
      </c>
      <c r="D421" s="164" t="s">
        <v>418</v>
      </c>
      <c r="E421" s="164"/>
      <c r="F421" s="164" t="s">
        <v>193</v>
      </c>
      <c r="G421" s="164" t="s">
        <v>162</v>
      </c>
      <c r="H421" s="164" t="s">
        <v>163</v>
      </c>
      <c r="I421" s="164" t="s">
        <v>163</v>
      </c>
      <c r="J421" s="164" t="s">
        <v>163</v>
      </c>
      <c r="K421" s="164" t="s">
        <v>182</v>
      </c>
      <c r="L421" s="164" t="s">
        <v>163</v>
      </c>
      <c r="M421" s="164">
        <v>60.1</v>
      </c>
      <c r="N421" s="164">
        <v>28</v>
      </c>
      <c r="O421" s="165">
        <v>14.6</v>
      </c>
      <c r="P421" s="165">
        <v>17.3</v>
      </c>
      <c r="Q421" s="164">
        <v>412</v>
      </c>
      <c r="R421" s="164">
        <v>457</v>
      </c>
      <c r="S421" s="166">
        <v>0.1</v>
      </c>
      <c r="T421" s="164" t="s">
        <v>163</v>
      </c>
      <c r="U421" s="164"/>
      <c r="V421" s="167">
        <v>41832</v>
      </c>
      <c r="W421" s="167">
        <v>41837</v>
      </c>
      <c r="X421" s="164" t="s">
        <v>387</v>
      </c>
      <c r="Y421" s="164" t="s">
        <v>1216</v>
      </c>
      <c r="Z421" s="164" t="s">
        <v>163</v>
      </c>
      <c r="AA421" s="168" t="s">
        <v>184</v>
      </c>
      <c r="AB421" s="168" t="s">
        <v>193</v>
      </c>
      <c r="AC421" s="168" t="s">
        <v>162</v>
      </c>
      <c r="AD421" s="168" t="s">
        <v>163</v>
      </c>
      <c r="AE421" s="168" t="s">
        <v>163</v>
      </c>
      <c r="AF421" s="168" t="s">
        <v>163</v>
      </c>
      <c r="AG421" s="168" t="s">
        <v>182</v>
      </c>
      <c r="AH421" s="168" t="str">
        <f t="shared" si="37"/>
        <v>Refrigerator-Top Freezer-Automatic-No-No-No-Yes</v>
      </c>
      <c r="AI421" s="168" t="s">
        <v>223</v>
      </c>
      <c r="AJ421" s="168">
        <v>8.07</v>
      </c>
      <c r="AK421" s="169">
        <v>317.7</v>
      </c>
      <c r="AL421" s="169">
        <f t="shared" si="38"/>
        <v>457.31100000000004</v>
      </c>
      <c r="AM421" s="168">
        <f t="shared" si="39"/>
        <v>457</v>
      </c>
      <c r="AN421" s="168">
        <f t="shared" si="40"/>
        <v>412</v>
      </c>
      <c r="AO421" s="164" t="str">
        <f t="shared" si="41"/>
        <v>Yes</v>
      </c>
      <c r="AP421" s="164">
        <f t="shared" si="42"/>
        <v>45</v>
      </c>
    </row>
    <row r="422" spans="2:42">
      <c r="B422" s="164">
        <v>2206031</v>
      </c>
      <c r="C422" s="164" t="s">
        <v>1217</v>
      </c>
      <c r="D422" s="164" t="s">
        <v>1218</v>
      </c>
      <c r="E422" s="164"/>
      <c r="F422" s="164" t="s">
        <v>194</v>
      </c>
      <c r="G422" s="164" t="s">
        <v>188</v>
      </c>
      <c r="H422" s="164" t="s">
        <v>182</v>
      </c>
      <c r="I422" s="164" t="s">
        <v>163</v>
      </c>
      <c r="J422" s="164" t="s">
        <v>163</v>
      </c>
      <c r="K422" s="164" t="s">
        <v>163</v>
      </c>
      <c r="L422" s="164" t="s">
        <v>163</v>
      </c>
      <c r="M422" s="164">
        <v>33.1</v>
      </c>
      <c r="N422" s="164">
        <v>19.899999999999999</v>
      </c>
      <c r="O422" s="165">
        <v>4.2</v>
      </c>
      <c r="P422" s="165">
        <v>4.2</v>
      </c>
      <c r="Q422" s="164">
        <v>228</v>
      </c>
      <c r="R422" s="164">
        <v>290</v>
      </c>
      <c r="S422" s="166">
        <v>0.21</v>
      </c>
      <c r="T422" s="164" t="s">
        <v>163</v>
      </c>
      <c r="U422" s="164"/>
      <c r="V422" s="167">
        <v>41711</v>
      </c>
      <c r="W422" s="167">
        <v>41705</v>
      </c>
      <c r="X422" s="164" t="s">
        <v>387</v>
      </c>
      <c r="Y422" s="164" t="s">
        <v>1219</v>
      </c>
      <c r="Z422" s="164" t="s">
        <v>163</v>
      </c>
      <c r="AA422" s="168" t="s">
        <v>184</v>
      </c>
      <c r="AB422" s="168" t="s">
        <v>194</v>
      </c>
      <c r="AC422" s="168" t="s">
        <v>188</v>
      </c>
      <c r="AD422" s="168" t="s">
        <v>182</v>
      </c>
      <c r="AE422" s="168" t="s">
        <v>163</v>
      </c>
      <c r="AF422" s="168" t="s">
        <v>163</v>
      </c>
      <c r="AG422" s="168" t="s">
        <v>163</v>
      </c>
      <c r="AH422" s="168" t="str">
        <f t="shared" si="37"/>
        <v>Refrigerator-Compact-Manual-Yes-No-No-No</v>
      </c>
      <c r="AI422" s="168" t="s">
        <v>315</v>
      </c>
      <c r="AJ422" s="168">
        <v>7.84</v>
      </c>
      <c r="AK422" s="169">
        <v>219.1</v>
      </c>
      <c r="AL422" s="169">
        <f t="shared" si="38"/>
        <v>252.02799999999999</v>
      </c>
      <c r="AM422" s="168">
        <f t="shared" si="39"/>
        <v>290</v>
      </c>
      <c r="AN422" s="168">
        <f t="shared" si="40"/>
        <v>228</v>
      </c>
      <c r="AO422" s="164" t="str">
        <f t="shared" si="41"/>
        <v>Yes</v>
      </c>
      <c r="AP422" s="164">
        <f t="shared" si="42"/>
        <v>62</v>
      </c>
    </row>
    <row r="423" spans="2:42">
      <c r="B423" s="164">
        <v>2206032</v>
      </c>
      <c r="C423" s="164" t="s">
        <v>1217</v>
      </c>
      <c r="D423" s="164" t="s">
        <v>1220</v>
      </c>
      <c r="E423" s="164"/>
      <c r="F423" s="164" t="s">
        <v>194</v>
      </c>
      <c r="G423" s="164" t="s">
        <v>188</v>
      </c>
      <c r="H423" s="164" t="s">
        <v>182</v>
      </c>
      <c r="I423" s="164" t="s">
        <v>163</v>
      </c>
      <c r="J423" s="164" t="s">
        <v>163</v>
      </c>
      <c r="K423" s="164" t="s">
        <v>163</v>
      </c>
      <c r="L423" s="164" t="s">
        <v>163</v>
      </c>
      <c r="M423" s="164">
        <v>33.1</v>
      </c>
      <c r="N423" s="164">
        <v>19.899999999999999</v>
      </c>
      <c r="O423" s="165">
        <v>4.2</v>
      </c>
      <c r="P423" s="165">
        <v>4.2</v>
      </c>
      <c r="Q423" s="164">
        <v>228</v>
      </c>
      <c r="R423" s="164">
        <v>290</v>
      </c>
      <c r="S423" s="166">
        <v>0.21</v>
      </c>
      <c r="T423" s="164" t="s">
        <v>163</v>
      </c>
      <c r="U423" s="164"/>
      <c r="V423" s="167">
        <v>41711</v>
      </c>
      <c r="W423" s="167">
        <v>41705</v>
      </c>
      <c r="X423" s="164" t="s">
        <v>387</v>
      </c>
      <c r="Y423" s="164" t="s">
        <v>1221</v>
      </c>
      <c r="Z423" s="164" t="s">
        <v>163</v>
      </c>
      <c r="AA423" s="168" t="s">
        <v>184</v>
      </c>
      <c r="AB423" s="168" t="s">
        <v>194</v>
      </c>
      <c r="AC423" s="168" t="s">
        <v>188</v>
      </c>
      <c r="AD423" s="168" t="s">
        <v>182</v>
      </c>
      <c r="AE423" s="168" t="s">
        <v>163</v>
      </c>
      <c r="AF423" s="168" t="s">
        <v>163</v>
      </c>
      <c r="AG423" s="168" t="s">
        <v>163</v>
      </c>
      <c r="AH423" s="168" t="str">
        <f t="shared" si="37"/>
        <v>Refrigerator-Compact-Manual-Yes-No-No-No</v>
      </c>
      <c r="AI423" s="168" t="s">
        <v>315</v>
      </c>
      <c r="AJ423" s="168">
        <v>7.84</v>
      </c>
      <c r="AK423" s="169">
        <v>219.1</v>
      </c>
      <c r="AL423" s="169">
        <f t="shared" si="38"/>
        <v>252.02799999999999</v>
      </c>
      <c r="AM423" s="168">
        <f t="shared" si="39"/>
        <v>290</v>
      </c>
      <c r="AN423" s="168">
        <f t="shared" si="40"/>
        <v>228</v>
      </c>
      <c r="AO423" s="164" t="str">
        <f t="shared" si="41"/>
        <v>Yes</v>
      </c>
      <c r="AP423" s="164">
        <f t="shared" si="42"/>
        <v>62</v>
      </c>
    </row>
    <row r="424" spans="2:42">
      <c r="B424" s="164">
        <v>2218119</v>
      </c>
      <c r="C424" s="164" t="s">
        <v>179</v>
      </c>
      <c r="D424" s="164" t="s">
        <v>1222</v>
      </c>
      <c r="E424" s="164"/>
      <c r="F424" s="164" t="s">
        <v>192</v>
      </c>
      <c r="G424" s="164" t="s">
        <v>162</v>
      </c>
      <c r="H424" s="164" t="s">
        <v>163</v>
      </c>
      <c r="I424" s="164" t="s">
        <v>163</v>
      </c>
      <c r="J424" s="164" t="s">
        <v>182</v>
      </c>
      <c r="K424" s="164" t="s">
        <v>182</v>
      </c>
      <c r="L424" s="164" t="s">
        <v>163</v>
      </c>
      <c r="M424" s="164">
        <v>69.8</v>
      </c>
      <c r="N424" s="164">
        <v>35.799999999999997</v>
      </c>
      <c r="O424" s="165">
        <v>25.2</v>
      </c>
      <c r="P424" s="165">
        <v>32.1</v>
      </c>
      <c r="Q424" s="164">
        <v>635</v>
      </c>
      <c r="R424" s="164">
        <v>707</v>
      </c>
      <c r="S424" s="166">
        <v>0.1</v>
      </c>
      <c r="T424" s="164" t="s">
        <v>163</v>
      </c>
      <c r="U424" s="164"/>
      <c r="V424" s="167">
        <v>41883</v>
      </c>
      <c r="W424" s="167">
        <v>41878</v>
      </c>
      <c r="X424" s="164" t="s">
        <v>387</v>
      </c>
      <c r="Y424" s="164" t="s">
        <v>1223</v>
      </c>
      <c r="Z424" s="164" t="s">
        <v>163</v>
      </c>
      <c r="AA424" s="168" t="s">
        <v>184</v>
      </c>
      <c r="AB424" s="168" t="s">
        <v>192</v>
      </c>
      <c r="AC424" s="168" t="s">
        <v>162</v>
      </c>
      <c r="AD424" s="168" t="s">
        <v>163</v>
      </c>
      <c r="AE424" s="168" t="s">
        <v>163</v>
      </c>
      <c r="AF424" s="168" t="s">
        <v>182</v>
      </c>
      <c r="AG424" s="168" t="s">
        <v>182</v>
      </c>
      <c r="AH424" s="168" t="str">
        <f t="shared" si="37"/>
        <v>Refrigerator-Side-by-Side-Automatic-No-No-Yes-Yes</v>
      </c>
      <c r="AI424" s="168">
        <v>7</v>
      </c>
      <c r="AJ424" s="168">
        <v>8.5399999999999991</v>
      </c>
      <c r="AK424" s="169">
        <v>432.8</v>
      </c>
      <c r="AL424" s="169">
        <f t="shared" si="38"/>
        <v>706.93399999999997</v>
      </c>
      <c r="AM424" s="168">
        <f t="shared" si="39"/>
        <v>707</v>
      </c>
      <c r="AN424" s="168">
        <f t="shared" si="40"/>
        <v>635</v>
      </c>
      <c r="AO424" s="164" t="str">
        <f t="shared" si="41"/>
        <v>Yes</v>
      </c>
      <c r="AP424" s="164">
        <f t="shared" si="42"/>
        <v>72</v>
      </c>
    </row>
    <row r="425" spans="2:42">
      <c r="B425" s="164">
        <v>2218120</v>
      </c>
      <c r="C425" s="164" t="s">
        <v>179</v>
      </c>
      <c r="D425" s="164" t="s">
        <v>1224</v>
      </c>
      <c r="E425" s="164"/>
      <c r="F425" s="164" t="s">
        <v>192</v>
      </c>
      <c r="G425" s="164" t="s">
        <v>162</v>
      </c>
      <c r="H425" s="164" t="s">
        <v>163</v>
      </c>
      <c r="I425" s="164" t="s">
        <v>163</v>
      </c>
      <c r="J425" s="164" t="s">
        <v>182</v>
      </c>
      <c r="K425" s="164" t="s">
        <v>182</v>
      </c>
      <c r="L425" s="164" t="s">
        <v>163</v>
      </c>
      <c r="M425" s="164">
        <v>69.8</v>
      </c>
      <c r="N425" s="164">
        <v>35.799999999999997</v>
      </c>
      <c r="O425" s="165">
        <v>25.2</v>
      </c>
      <c r="P425" s="165">
        <v>32.1</v>
      </c>
      <c r="Q425" s="164">
        <v>635</v>
      </c>
      <c r="R425" s="164">
        <v>707</v>
      </c>
      <c r="S425" s="166">
        <v>0.1</v>
      </c>
      <c r="T425" s="164" t="s">
        <v>163</v>
      </c>
      <c r="U425" s="164"/>
      <c r="V425" s="167">
        <v>41883</v>
      </c>
      <c r="W425" s="167">
        <v>41878</v>
      </c>
      <c r="X425" s="164" t="s">
        <v>387</v>
      </c>
      <c r="Y425" s="164" t="s">
        <v>1225</v>
      </c>
      <c r="Z425" s="164" t="s">
        <v>163</v>
      </c>
      <c r="AA425" s="168" t="s">
        <v>184</v>
      </c>
      <c r="AB425" s="168" t="s">
        <v>192</v>
      </c>
      <c r="AC425" s="168" t="s">
        <v>162</v>
      </c>
      <c r="AD425" s="168" t="s">
        <v>163</v>
      </c>
      <c r="AE425" s="168" t="s">
        <v>163</v>
      </c>
      <c r="AF425" s="168" t="s">
        <v>182</v>
      </c>
      <c r="AG425" s="168" t="s">
        <v>182</v>
      </c>
      <c r="AH425" s="168" t="str">
        <f t="shared" si="37"/>
        <v>Refrigerator-Side-by-Side-Automatic-No-No-Yes-Yes</v>
      </c>
      <c r="AI425" s="168">
        <v>7</v>
      </c>
      <c r="AJ425" s="168">
        <v>8.5399999999999991</v>
      </c>
      <c r="AK425" s="169">
        <v>432.8</v>
      </c>
      <c r="AL425" s="169">
        <f t="shared" si="38"/>
        <v>706.93399999999997</v>
      </c>
      <c r="AM425" s="168">
        <f t="shared" si="39"/>
        <v>707</v>
      </c>
      <c r="AN425" s="168">
        <f t="shared" si="40"/>
        <v>635</v>
      </c>
      <c r="AO425" s="164" t="str">
        <f t="shared" si="41"/>
        <v>Yes</v>
      </c>
      <c r="AP425" s="164">
        <f t="shared" si="42"/>
        <v>72</v>
      </c>
    </row>
    <row r="426" spans="2:42">
      <c r="B426" s="164">
        <v>2218121</v>
      </c>
      <c r="C426" s="164" t="s">
        <v>179</v>
      </c>
      <c r="D426" s="164" t="s">
        <v>1226</v>
      </c>
      <c r="E426" s="164"/>
      <c r="F426" s="164" t="s">
        <v>192</v>
      </c>
      <c r="G426" s="164" t="s">
        <v>162</v>
      </c>
      <c r="H426" s="164" t="s">
        <v>163</v>
      </c>
      <c r="I426" s="164" t="s">
        <v>163</v>
      </c>
      <c r="J426" s="164" t="s">
        <v>182</v>
      </c>
      <c r="K426" s="164" t="s">
        <v>182</v>
      </c>
      <c r="L426" s="164" t="s">
        <v>163</v>
      </c>
      <c r="M426" s="164">
        <v>69.8</v>
      </c>
      <c r="N426" s="164">
        <v>35.799999999999997</v>
      </c>
      <c r="O426" s="165">
        <v>25.2</v>
      </c>
      <c r="P426" s="165">
        <v>32.1</v>
      </c>
      <c r="Q426" s="164">
        <v>635</v>
      </c>
      <c r="R426" s="164">
        <v>707</v>
      </c>
      <c r="S426" s="166">
        <v>0.1</v>
      </c>
      <c r="T426" s="164" t="s">
        <v>163</v>
      </c>
      <c r="U426" s="164"/>
      <c r="V426" s="167">
        <v>41883</v>
      </c>
      <c r="W426" s="167">
        <v>41878</v>
      </c>
      <c r="X426" s="164" t="s">
        <v>387</v>
      </c>
      <c r="Y426" s="164" t="s">
        <v>1227</v>
      </c>
      <c r="Z426" s="164" t="s">
        <v>163</v>
      </c>
      <c r="AA426" s="168" t="s">
        <v>184</v>
      </c>
      <c r="AB426" s="168" t="s">
        <v>192</v>
      </c>
      <c r="AC426" s="168" t="s">
        <v>162</v>
      </c>
      <c r="AD426" s="168" t="s">
        <v>163</v>
      </c>
      <c r="AE426" s="168" t="s">
        <v>163</v>
      </c>
      <c r="AF426" s="168" t="s">
        <v>182</v>
      </c>
      <c r="AG426" s="168" t="s">
        <v>182</v>
      </c>
      <c r="AH426" s="168" t="str">
        <f t="shared" si="37"/>
        <v>Refrigerator-Side-by-Side-Automatic-No-No-Yes-Yes</v>
      </c>
      <c r="AI426" s="168">
        <v>7</v>
      </c>
      <c r="AJ426" s="168">
        <v>8.5399999999999991</v>
      </c>
      <c r="AK426" s="169">
        <v>432.8</v>
      </c>
      <c r="AL426" s="169">
        <f t="shared" si="38"/>
        <v>706.93399999999997</v>
      </c>
      <c r="AM426" s="168">
        <f t="shared" si="39"/>
        <v>707</v>
      </c>
      <c r="AN426" s="168">
        <f t="shared" si="40"/>
        <v>635</v>
      </c>
      <c r="AO426" s="164" t="str">
        <f t="shared" si="41"/>
        <v>Yes</v>
      </c>
      <c r="AP426" s="164">
        <f t="shared" si="42"/>
        <v>72</v>
      </c>
    </row>
    <row r="427" spans="2:42">
      <c r="B427" s="164">
        <v>2215217</v>
      </c>
      <c r="C427" s="164" t="s">
        <v>179</v>
      </c>
      <c r="D427" s="164" t="s">
        <v>1228</v>
      </c>
      <c r="E427" s="164"/>
      <c r="F427" s="164" t="s">
        <v>194</v>
      </c>
      <c r="G427" s="164" t="s">
        <v>188</v>
      </c>
      <c r="H427" s="164" t="s">
        <v>182</v>
      </c>
      <c r="I427" s="164" t="s">
        <v>163</v>
      </c>
      <c r="J427" s="164" t="s">
        <v>163</v>
      </c>
      <c r="K427" s="164" t="s">
        <v>163</v>
      </c>
      <c r="L427" s="164" t="s">
        <v>163</v>
      </c>
      <c r="M427" s="164">
        <v>33.6</v>
      </c>
      <c r="N427" s="164">
        <v>23.6</v>
      </c>
      <c r="O427" s="165">
        <v>5.6</v>
      </c>
      <c r="P427" s="165">
        <v>5.6</v>
      </c>
      <c r="Q427" s="164">
        <v>308</v>
      </c>
      <c r="R427" s="164">
        <v>303</v>
      </c>
      <c r="S427" s="166">
        <v>-0.02</v>
      </c>
      <c r="T427" s="164" t="s">
        <v>163</v>
      </c>
      <c r="U427" s="164"/>
      <c r="V427" s="167">
        <v>41862</v>
      </c>
      <c r="W427" s="167">
        <v>41813</v>
      </c>
      <c r="X427" s="164" t="s">
        <v>387</v>
      </c>
      <c r="Y427" s="164" t="s">
        <v>1229</v>
      </c>
      <c r="Z427" s="164" t="s">
        <v>163</v>
      </c>
      <c r="AA427" s="168" t="s">
        <v>184</v>
      </c>
      <c r="AB427" s="168" t="s">
        <v>194</v>
      </c>
      <c r="AC427" s="168" t="s">
        <v>188</v>
      </c>
      <c r="AD427" s="168" t="s">
        <v>182</v>
      </c>
      <c r="AE427" s="168" t="s">
        <v>163</v>
      </c>
      <c r="AF427" s="168" t="s">
        <v>163</v>
      </c>
      <c r="AG427" s="168" t="s">
        <v>163</v>
      </c>
      <c r="AH427" s="168" t="str">
        <f t="shared" si="37"/>
        <v>Refrigerator-Compact-Manual-Yes-No-No-No</v>
      </c>
      <c r="AI427" s="168" t="s">
        <v>315</v>
      </c>
      <c r="AJ427" s="168">
        <v>7.84</v>
      </c>
      <c r="AK427" s="169">
        <v>219.1</v>
      </c>
      <c r="AL427" s="169">
        <f t="shared" si="38"/>
        <v>263.00400000000002</v>
      </c>
      <c r="AM427" s="168">
        <f t="shared" si="39"/>
        <v>303</v>
      </c>
      <c r="AN427" s="168">
        <f t="shared" si="40"/>
        <v>308</v>
      </c>
      <c r="AO427" s="164" t="str">
        <f t="shared" si="41"/>
        <v>No</v>
      </c>
      <c r="AP427" s="164">
        <f t="shared" si="42"/>
        <v>-5</v>
      </c>
    </row>
    <row r="428" spans="2:42">
      <c r="B428" s="164">
        <v>2215218</v>
      </c>
      <c r="C428" s="164" t="s">
        <v>179</v>
      </c>
      <c r="D428" s="164" t="s">
        <v>1230</v>
      </c>
      <c r="E428" s="164"/>
      <c r="F428" s="164" t="s">
        <v>194</v>
      </c>
      <c r="G428" s="164" t="s">
        <v>188</v>
      </c>
      <c r="H428" s="164" t="s">
        <v>182</v>
      </c>
      <c r="I428" s="164" t="s">
        <v>163</v>
      </c>
      <c r="J428" s="164" t="s">
        <v>163</v>
      </c>
      <c r="K428" s="164" t="s">
        <v>163</v>
      </c>
      <c r="L428" s="164" t="s">
        <v>163</v>
      </c>
      <c r="M428" s="164">
        <v>33.6</v>
      </c>
      <c r="N428" s="164">
        <v>23.6</v>
      </c>
      <c r="O428" s="165">
        <v>5.6</v>
      </c>
      <c r="P428" s="165">
        <v>5.6</v>
      </c>
      <c r="Q428" s="164">
        <v>308</v>
      </c>
      <c r="R428" s="164">
        <v>303</v>
      </c>
      <c r="S428" s="166">
        <v>-0.02</v>
      </c>
      <c r="T428" s="164" t="s">
        <v>163</v>
      </c>
      <c r="U428" s="164"/>
      <c r="V428" s="167">
        <v>41862</v>
      </c>
      <c r="W428" s="167">
        <v>41813</v>
      </c>
      <c r="X428" s="164" t="s">
        <v>387</v>
      </c>
      <c r="Y428" s="164" t="s">
        <v>1231</v>
      </c>
      <c r="Z428" s="164" t="s">
        <v>163</v>
      </c>
      <c r="AA428" s="168" t="s">
        <v>184</v>
      </c>
      <c r="AB428" s="168" t="s">
        <v>194</v>
      </c>
      <c r="AC428" s="168" t="s">
        <v>188</v>
      </c>
      <c r="AD428" s="168" t="s">
        <v>182</v>
      </c>
      <c r="AE428" s="168" t="s">
        <v>163</v>
      </c>
      <c r="AF428" s="168" t="s">
        <v>163</v>
      </c>
      <c r="AG428" s="168" t="s">
        <v>163</v>
      </c>
      <c r="AH428" s="168" t="str">
        <f t="shared" si="37"/>
        <v>Refrigerator-Compact-Manual-Yes-No-No-No</v>
      </c>
      <c r="AI428" s="168" t="s">
        <v>315</v>
      </c>
      <c r="AJ428" s="168">
        <v>7.84</v>
      </c>
      <c r="AK428" s="169">
        <v>219.1</v>
      </c>
      <c r="AL428" s="169">
        <f t="shared" si="38"/>
        <v>263.00400000000002</v>
      </c>
      <c r="AM428" s="168">
        <f t="shared" si="39"/>
        <v>303</v>
      </c>
      <c r="AN428" s="168">
        <f t="shared" si="40"/>
        <v>308</v>
      </c>
      <c r="AO428" s="164" t="str">
        <f t="shared" si="41"/>
        <v>No</v>
      </c>
      <c r="AP428" s="164">
        <f t="shared" si="42"/>
        <v>-5</v>
      </c>
    </row>
    <row r="429" spans="2:42">
      <c r="B429" s="164">
        <v>2207319</v>
      </c>
      <c r="C429" s="164" t="s">
        <v>179</v>
      </c>
      <c r="D429" s="164" t="s">
        <v>1232</v>
      </c>
      <c r="E429" s="164"/>
      <c r="F429" s="164" t="s">
        <v>194</v>
      </c>
      <c r="G429" s="164" t="s">
        <v>162</v>
      </c>
      <c r="H429" s="164" t="s">
        <v>182</v>
      </c>
      <c r="I429" s="164" t="s">
        <v>163</v>
      </c>
      <c r="J429" s="164" t="s">
        <v>163</v>
      </c>
      <c r="K429" s="164" t="s">
        <v>163</v>
      </c>
      <c r="L429" s="164" t="s">
        <v>163</v>
      </c>
      <c r="M429" s="164">
        <v>32.1</v>
      </c>
      <c r="N429" s="164">
        <v>18.7</v>
      </c>
      <c r="O429" s="165">
        <v>3</v>
      </c>
      <c r="P429" s="165">
        <v>3.8</v>
      </c>
      <c r="Q429" s="164">
        <v>321</v>
      </c>
      <c r="R429" s="164">
        <v>358</v>
      </c>
      <c r="S429" s="166">
        <v>0.1</v>
      </c>
      <c r="T429" s="164" t="s">
        <v>163</v>
      </c>
      <c r="U429" s="164"/>
      <c r="V429" s="167">
        <v>41835</v>
      </c>
      <c r="W429" s="167">
        <v>41725</v>
      </c>
      <c r="X429" s="164" t="s">
        <v>506</v>
      </c>
      <c r="Y429" s="164" t="s">
        <v>1233</v>
      </c>
      <c r="Z429" s="164" t="s">
        <v>163</v>
      </c>
      <c r="AA429" s="168" t="s">
        <v>184</v>
      </c>
      <c r="AB429" s="168" t="s">
        <v>194</v>
      </c>
      <c r="AC429" s="168" t="s">
        <v>162</v>
      </c>
      <c r="AD429" s="168" t="s">
        <v>182</v>
      </c>
      <c r="AE429" s="168" t="s">
        <v>163</v>
      </c>
      <c r="AF429" s="168" t="s">
        <v>163</v>
      </c>
      <c r="AG429" s="168" t="s">
        <v>163</v>
      </c>
      <c r="AH429" s="168" t="str">
        <f t="shared" si="37"/>
        <v>Refrigerator-Compact-Automatic-Yes-No-No-No</v>
      </c>
      <c r="AI429" s="168" t="s">
        <v>329</v>
      </c>
      <c r="AJ429" s="168">
        <v>9.17</v>
      </c>
      <c r="AK429" s="169">
        <v>259.3</v>
      </c>
      <c r="AL429" s="169">
        <f t="shared" si="38"/>
        <v>294.14600000000002</v>
      </c>
      <c r="AM429" s="168">
        <f t="shared" si="39"/>
        <v>358</v>
      </c>
      <c r="AN429" s="168">
        <f t="shared" si="40"/>
        <v>321</v>
      </c>
      <c r="AO429" s="164" t="str">
        <f t="shared" si="41"/>
        <v>Yes</v>
      </c>
      <c r="AP429" s="164">
        <f t="shared" si="42"/>
        <v>37</v>
      </c>
    </row>
    <row r="430" spans="2:42">
      <c r="B430" s="164">
        <v>2207320</v>
      </c>
      <c r="C430" s="164" t="s">
        <v>179</v>
      </c>
      <c r="D430" s="164" t="s">
        <v>1234</v>
      </c>
      <c r="E430" s="164"/>
      <c r="F430" s="164" t="s">
        <v>194</v>
      </c>
      <c r="G430" s="164" t="s">
        <v>162</v>
      </c>
      <c r="H430" s="164" t="s">
        <v>182</v>
      </c>
      <c r="I430" s="164" t="s">
        <v>163</v>
      </c>
      <c r="J430" s="164" t="s">
        <v>163</v>
      </c>
      <c r="K430" s="164" t="s">
        <v>163</v>
      </c>
      <c r="L430" s="164" t="s">
        <v>163</v>
      </c>
      <c r="M430" s="164">
        <v>32.1</v>
      </c>
      <c r="N430" s="164">
        <v>18.7</v>
      </c>
      <c r="O430" s="165">
        <v>3</v>
      </c>
      <c r="P430" s="165">
        <v>3.8</v>
      </c>
      <c r="Q430" s="164">
        <v>321</v>
      </c>
      <c r="R430" s="164">
        <v>358</v>
      </c>
      <c r="S430" s="166">
        <v>0.1</v>
      </c>
      <c r="T430" s="164" t="s">
        <v>163</v>
      </c>
      <c r="U430" s="164"/>
      <c r="V430" s="167">
        <v>41835</v>
      </c>
      <c r="W430" s="167">
        <v>41725</v>
      </c>
      <c r="X430" s="164" t="s">
        <v>506</v>
      </c>
      <c r="Y430" s="164" t="s">
        <v>1235</v>
      </c>
      <c r="Z430" s="164" t="s">
        <v>163</v>
      </c>
      <c r="AA430" s="168" t="s">
        <v>184</v>
      </c>
      <c r="AB430" s="168" t="s">
        <v>194</v>
      </c>
      <c r="AC430" s="168" t="s">
        <v>162</v>
      </c>
      <c r="AD430" s="168" t="s">
        <v>182</v>
      </c>
      <c r="AE430" s="168" t="s">
        <v>163</v>
      </c>
      <c r="AF430" s="168" t="s">
        <v>163</v>
      </c>
      <c r="AG430" s="168" t="s">
        <v>163</v>
      </c>
      <c r="AH430" s="168" t="str">
        <f t="shared" si="37"/>
        <v>Refrigerator-Compact-Automatic-Yes-No-No-No</v>
      </c>
      <c r="AI430" s="168" t="s">
        <v>329</v>
      </c>
      <c r="AJ430" s="168">
        <v>9.17</v>
      </c>
      <c r="AK430" s="169">
        <v>259.3</v>
      </c>
      <c r="AL430" s="169">
        <f t="shared" si="38"/>
        <v>294.14600000000002</v>
      </c>
      <c r="AM430" s="168">
        <f t="shared" si="39"/>
        <v>358</v>
      </c>
      <c r="AN430" s="168">
        <f t="shared" si="40"/>
        <v>321</v>
      </c>
      <c r="AO430" s="164" t="str">
        <f t="shared" si="41"/>
        <v>Yes</v>
      </c>
      <c r="AP430" s="164">
        <f t="shared" si="42"/>
        <v>37</v>
      </c>
    </row>
    <row r="431" spans="2:42">
      <c r="B431" s="164">
        <v>2218122</v>
      </c>
      <c r="C431" s="164" t="s">
        <v>179</v>
      </c>
      <c r="D431" s="164" t="s">
        <v>1236</v>
      </c>
      <c r="E431" s="164"/>
      <c r="F431" s="164" t="s">
        <v>191</v>
      </c>
      <c r="G431" s="164" t="s">
        <v>162</v>
      </c>
      <c r="H431" s="164" t="s">
        <v>163</v>
      </c>
      <c r="I431" s="164" t="s">
        <v>163</v>
      </c>
      <c r="J431" s="164" t="s">
        <v>163</v>
      </c>
      <c r="K431" s="164" t="s">
        <v>182</v>
      </c>
      <c r="L431" s="164" t="s">
        <v>163</v>
      </c>
      <c r="M431" s="164">
        <v>66.5</v>
      </c>
      <c r="N431" s="164">
        <v>32.5</v>
      </c>
      <c r="O431" s="165">
        <v>20.399999999999999</v>
      </c>
      <c r="P431" s="165">
        <v>25.2</v>
      </c>
      <c r="Q431" s="164">
        <v>561</v>
      </c>
      <c r="R431" s="164">
        <v>624</v>
      </c>
      <c r="S431" s="166">
        <v>0.1</v>
      </c>
      <c r="T431" s="164" t="s">
        <v>163</v>
      </c>
      <c r="U431" s="164"/>
      <c r="V431" s="167">
        <v>41897</v>
      </c>
      <c r="W431" s="167">
        <v>41878</v>
      </c>
      <c r="X431" s="164" t="s">
        <v>387</v>
      </c>
      <c r="Y431" s="164" t="s">
        <v>1237</v>
      </c>
      <c r="Z431" s="164" t="s">
        <v>163</v>
      </c>
      <c r="AA431" s="168" t="s">
        <v>184</v>
      </c>
      <c r="AB431" s="168" t="s">
        <v>191</v>
      </c>
      <c r="AC431" s="168" t="s">
        <v>162</v>
      </c>
      <c r="AD431" s="168" t="s">
        <v>163</v>
      </c>
      <c r="AE431" s="168" t="s">
        <v>163</v>
      </c>
      <c r="AF431" s="168" t="s">
        <v>163</v>
      </c>
      <c r="AG431" s="168" t="s">
        <v>182</v>
      </c>
      <c r="AH431" s="168" t="str">
        <f t="shared" si="37"/>
        <v>Refrigerator-Bottom Freezer-Automatic-No-No-No-Yes</v>
      </c>
      <c r="AI431" s="168" t="s">
        <v>261</v>
      </c>
      <c r="AJ431" s="168">
        <v>8.85</v>
      </c>
      <c r="AK431" s="169">
        <v>401</v>
      </c>
      <c r="AL431" s="169">
        <f t="shared" si="38"/>
        <v>624.02</v>
      </c>
      <c r="AM431" s="168">
        <f t="shared" si="39"/>
        <v>624</v>
      </c>
      <c r="AN431" s="168">
        <f t="shared" si="40"/>
        <v>561</v>
      </c>
      <c r="AO431" s="164" t="str">
        <f t="shared" si="41"/>
        <v>Yes</v>
      </c>
      <c r="AP431" s="164">
        <f t="shared" si="42"/>
        <v>63</v>
      </c>
    </row>
    <row r="432" spans="2:42">
      <c r="B432" s="164">
        <v>2218125</v>
      </c>
      <c r="C432" s="164" t="s">
        <v>179</v>
      </c>
      <c r="D432" s="164" t="s">
        <v>1238</v>
      </c>
      <c r="E432" s="164"/>
      <c r="F432" s="164" t="s">
        <v>191</v>
      </c>
      <c r="G432" s="164" t="s">
        <v>162</v>
      </c>
      <c r="H432" s="164" t="s">
        <v>163</v>
      </c>
      <c r="I432" s="164" t="s">
        <v>163</v>
      </c>
      <c r="J432" s="164" t="s">
        <v>163</v>
      </c>
      <c r="K432" s="164" t="s">
        <v>182</v>
      </c>
      <c r="L432" s="164" t="s">
        <v>163</v>
      </c>
      <c r="M432" s="164">
        <v>68.2</v>
      </c>
      <c r="N432" s="164">
        <v>32.5</v>
      </c>
      <c r="O432" s="165">
        <v>23.2</v>
      </c>
      <c r="P432" s="165">
        <v>28.4</v>
      </c>
      <c r="Q432" s="164">
        <v>586</v>
      </c>
      <c r="R432" s="164">
        <v>652</v>
      </c>
      <c r="S432" s="166">
        <v>0.1</v>
      </c>
      <c r="T432" s="164" t="s">
        <v>163</v>
      </c>
      <c r="U432" s="164"/>
      <c r="V432" s="167">
        <v>41897</v>
      </c>
      <c r="W432" s="167">
        <v>41878</v>
      </c>
      <c r="X432" s="164" t="s">
        <v>387</v>
      </c>
      <c r="Y432" s="164" t="s">
        <v>1239</v>
      </c>
      <c r="Z432" s="164" t="s">
        <v>163</v>
      </c>
      <c r="AA432" s="168" t="s">
        <v>184</v>
      </c>
      <c r="AB432" s="168" t="s">
        <v>191</v>
      </c>
      <c r="AC432" s="168" t="s">
        <v>162</v>
      </c>
      <c r="AD432" s="168" t="s">
        <v>163</v>
      </c>
      <c r="AE432" s="168" t="s">
        <v>163</v>
      </c>
      <c r="AF432" s="168" t="s">
        <v>163</v>
      </c>
      <c r="AG432" s="168" t="s">
        <v>182</v>
      </c>
      <c r="AH432" s="168" t="str">
        <f t="shared" si="37"/>
        <v>Refrigerator-Bottom Freezer-Automatic-No-No-No-Yes</v>
      </c>
      <c r="AI432" s="168" t="s">
        <v>261</v>
      </c>
      <c r="AJ432" s="168">
        <v>8.85</v>
      </c>
      <c r="AK432" s="169">
        <v>401</v>
      </c>
      <c r="AL432" s="169">
        <f t="shared" si="38"/>
        <v>652.33999999999992</v>
      </c>
      <c r="AM432" s="168">
        <f t="shared" si="39"/>
        <v>652</v>
      </c>
      <c r="AN432" s="168">
        <f t="shared" si="40"/>
        <v>586</v>
      </c>
      <c r="AO432" s="164" t="str">
        <f t="shared" si="41"/>
        <v>Yes</v>
      </c>
      <c r="AP432" s="164">
        <f t="shared" si="42"/>
        <v>66</v>
      </c>
    </row>
    <row r="433" spans="2:42">
      <c r="B433" s="164">
        <v>2218126</v>
      </c>
      <c r="C433" s="164" t="s">
        <v>179</v>
      </c>
      <c r="D433" s="164" t="s">
        <v>1240</v>
      </c>
      <c r="E433" s="164"/>
      <c r="F433" s="164" t="s">
        <v>191</v>
      </c>
      <c r="G433" s="164" t="s">
        <v>162</v>
      </c>
      <c r="H433" s="164" t="s">
        <v>163</v>
      </c>
      <c r="I433" s="164" t="s">
        <v>163</v>
      </c>
      <c r="J433" s="164" t="s">
        <v>163</v>
      </c>
      <c r="K433" s="164" t="s">
        <v>182</v>
      </c>
      <c r="L433" s="164" t="s">
        <v>163</v>
      </c>
      <c r="M433" s="164">
        <v>68.2</v>
      </c>
      <c r="N433" s="164">
        <v>32.5</v>
      </c>
      <c r="O433" s="165">
        <v>23.2</v>
      </c>
      <c r="P433" s="165">
        <v>28.4</v>
      </c>
      <c r="Q433" s="164">
        <v>586</v>
      </c>
      <c r="R433" s="164">
        <v>652</v>
      </c>
      <c r="S433" s="166">
        <v>0.1</v>
      </c>
      <c r="T433" s="164" t="s">
        <v>163</v>
      </c>
      <c r="U433" s="164"/>
      <c r="V433" s="167">
        <v>41897</v>
      </c>
      <c r="W433" s="167">
        <v>41878</v>
      </c>
      <c r="X433" s="164" t="s">
        <v>387</v>
      </c>
      <c r="Y433" s="164" t="s">
        <v>1241</v>
      </c>
      <c r="Z433" s="164" t="s">
        <v>163</v>
      </c>
      <c r="AA433" s="168" t="s">
        <v>184</v>
      </c>
      <c r="AB433" s="168" t="s">
        <v>191</v>
      </c>
      <c r="AC433" s="168" t="s">
        <v>162</v>
      </c>
      <c r="AD433" s="168" t="s">
        <v>163</v>
      </c>
      <c r="AE433" s="168" t="s">
        <v>163</v>
      </c>
      <c r="AF433" s="168" t="s">
        <v>163</v>
      </c>
      <c r="AG433" s="168" t="s">
        <v>182</v>
      </c>
      <c r="AH433" s="168" t="str">
        <f t="shared" si="37"/>
        <v>Refrigerator-Bottom Freezer-Automatic-No-No-No-Yes</v>
      </c>
      <c r="AI433" s="168" t="s">
        <v>261</v>
      </c>
      <c r="AJ433" s="168">
        <v>8.85</v>
      </c>
      <c r="AK433" s="169">
        <v>401</v>
      </c>
      <c r="AL433" s="169">
        <f t="shared" si="38"/>
        <v>652.33999999999992</v>
      </c>
      <c r="AM433" s="168">
        <f t="shared" si="39"/>
        <v>652</v>
      </c>
      <c r="AN433" s="168">
        <f t="shared" si="40"/>
        <v>586</v>
      </c>
      <c r="AO433" s="164" t="str">
        <f t="shared" si="41"/>
        <v>Yes</v>
      </c>
      <c r="AP433" s="164">
        <f t="shared" si="42"/>
        <v>66</v>
      </c>
    </row>
    <row r="434" spans="2:42">
      <c r="B434" s="164">
        <v>2212946</v>
      </c>
      <c r="C434" s="164" t="s">
        <v>179</v>
      </c>
      <c r="D434" s="164" t="s">
        <v>1242</v>
      </c>
      <c r="E434" s="164"/>
      <c r="F434" s="164" t="s">
        <v>193</v>
      </c>
      <c r="G434" s="164" t="s">
        <v>162</v>
      </c>
      <c r="H434" s="164" t="s">
        <v>163</v>
      </c>
      <c r="I434" s="164" t="s">
        <v>163</v>
      </c>
      <c r="J434" s="164" t="s">
        <v>163</v>
      </c>
      <c r="K434" s="164" t="s">
        <v>182</v>
      </c>
      <c r="L434" s="164" t="s">
        <v>163</v>
      </c>
      <c r="M434" s="164">
        <v>64.099999999999994</v>
      </c>
      <c r="N434" s="164">
        <v>28</v>
      </c>
      <c r="O434" s="165">
        <v>15.6</v>
      </c>
      <c r="P434" s="165">
        <v>18.600000000000001</v>
      </c>
      <c r="Q434" s="164">
        <v>420</v>
      </c>
      <c r="R434" s="164">
        <v>468</v>
      </c>
      <c r="S434" s="166">
        <v>0.1</v>
      </c>
      <c r="T434" s="164" t="s">
        <v>163</v>
      </c>
      <c r="U434" s="164"/>
      <c r="V434" s="167">
        <v>41803</v>
      </c>
      <c r="W434" s="167">
        <v>41795</v>
      </c>
      <c r="X434" s="164" t="s">
        <v>387</v>
      </c>
      <c r="Y434" s="164" t="s">
        <v>1243</v>
      </c>
      <c r="Z434" s="164" t="s">
        <v>163</v>
      </c>
      <c r="AA434" s="168" t="s">
        <v>184</v>
      </c>
      <c r="AB434" s="168" t="s">
        <v>193</v>
      </c>
      <c r="AC434" s="168" t="s">
        <v>162</v>
      </c>
      <c r="AD434" s="168" t="s">
        <v>163</v>
      </c>
      <c r="AE434" s="168" t="s">
        <v>163</v>
      </c>
      <c r="AF434" s="168" t="s">
        <v>163</v>
      </c>
      <c r="AG434" s="168" t="s">
        <v>182</v>
      </c>
      <c r="AH434" s="168" t="str">
        <f t="shared" si="37"/>
        <v>Refrigerator-Top Freezer-Automatic-No-No-No-Yes</v>
      </c>
      <c r="AI434" s="168" t="s">
        <v>223</v>
      </c>
      <c r="AJ434" s="168">
        <v>8.07</v>
      </c>
      <c r="AK434" s="169">
        <v>317.7</v>
      </c>
      <c r="AL434" s="169">
        <f t="shared" si="38"/>
        <v>467.80200000000002</v>
      </c>
      <c r="AM434" s="168">
        <f t="shared" si="39"/>
        <v>468</v>
      </c>
      <c r="AN434" s="168">
        <f t="shared" si="40"/>
        <v>420</v>
      </c>
      <c r="AO434" s="164" t="str">
        <f t="shared" si="41"/>
        <v>Yes</v>
      </c>
      <c r="AP434" s="164">
        <f t="shared" si="42"/>
        <v>48</v>
      </c>
    </row>
    <row r="435" spans="2:42">
      <c r="B435" s="164">
        <v>2212204</v>
      </c>
      <c r="C435" s="164" t="s">
        <v>179</v>
      </c>
      <c r="D435" s="164" t="s">
        <v>1244</v>
      </c>
      <c r="E435" s="164"/>
      <c r="F435" s="164" t="s">
        <v>193</v>
      </c>
      <c r="G435" s="164" t="s">
        <v>162</v>
      </c>
      <c r="H435" s="164" t="s">
        <v>163</v>
      </c>
      <c r="I435" s="164" t="s">
        <v>163</v>
      </c>
      <c r="J435" s="164" t="s">
        <v>163</v>
      </c>
      <c r="K435" s="164" t="s">
        <v>182</v>
      </c>
      <c r="L435" s="164" t="s">
        <v>163</v>
      </c>
      <c r="M435" s="164">
        <v>64.099999999999994</v>
      </c>
      <c r="N435" s="164">
        <v>28</v>
      </c>
      <c r="O435" s="165">
        <v>15.6</v>
      </c>
      <c r="P435" s="165">
        <v>18.600000000000001</v>
      </c>
      <c r="Q435" s="164">
        <v>420</v>
      </c>
      <c r="R435" s="164">
        <v>468</v>
      </c>
      <c r="S435" s="166">
        <v>0.1</v>
      </c>
      <c r="T435" s="164" t="s">
        <v>163</v>
      </c>
      <c r="U435" s="164"/>
      <c r="V435" s="167">
        <v>41744</v>
      </c>
      <c r="W435" s="167">
        <v>41730</v>
      </c>
      <c r="X435" s="164" t="s">
        <v>387</v>
      </c>
      <c r="Y435" s="164" t="s">
        <v>1245</v>
      </c>
      <c r="Z435" s="164" t="s">
        <v>163</v>
      </c>
      <c r="AA435" s="168" t="s">
        <v>184</v>
      </c>
      <c r="AB435" s="168" t="s">
        <v>193</v>
      </c>
      <c r="AC435" s="168" t="s">
        <v>162</v>
      </c>
      <c r="AD435" s="168" t="s">
        <v>163</v>
      </c>
      <c r="AE435" s="168" t="s">
        <v>163</v>
      </c>
      <c r="AF435" s="168" t="s">
        <v>163</v>
      </c>
      <c r="AG435" s="168" t="s">
        <v>182</v>
      </c>
      <c r="AH435" s="168" t="str">
        <f t="shared" si="37"/>
        <v>Refrigerator-Top Freezer-Automatic-No-No-No-Yes</v>
      </c>
      <c r="AI435" s="168" t="s">
        <v>223</v>
      </c>
      <c r="AJ435" s="168">
        <v>8.07</v>
      </c>
      <c r="AK435" s="169">
        <v>317.7</v>
      </c>
      <c r="AL435" s="169">
        <f t="shared" si="38"/>
        <v>467.80200000000002</v>
      </c>
      <c r="AM435" s="168">
        <f t="shared" si="39"/>
        <v>468</v>
      </c>
      <c r="AN435" s="168">
        <f t="shared" si="40"/>
        <v>420</v>
      </c>
      <c r="AO435" s="164" t="str">
        <f t="shared" si="41"/>
        <v>Yes</v>
      </c>
      <c r="AP435" s="164">
        <f t="shared" si="42"/>
        <v>48</v>
      </c>
    </row>
    <row r="436" spans="2:42">
      <c r="B436" s="164">
        <v>2207322</v>
      </c>
      <c r="C436" s="164" t="s">
        <v>179</v>
      </c>
      <c r="D436" s="164" t="s">
        <v>1246</v>
      </c>
      <c r="E436" s="164"/>
      <c r="F436" s="164" t="s">
        <v>194</v>
      </c>
      <c r="G436" s="164" t="s">
        <v>188</v>
      </c>
      <c r="H436" s="164" t="s">
        <v>182</v>
      </c>
      <c r="I436" s="164" t="s">
        <v>163</v>
      </c>
      <c r="J436" s="164" t="s">
        <v>163</v>
      </c>
      <c r="K436" s="164" t="s">
        <v>163</v>
      </c>
      <c r="L436" s="164" t="s">
        <v>163</v>
      </c>
      <c r="M436" s="164">
        <v>32.700000000000003</v>
      </c>
      <c r="N436" s="164">
        <v>19.7</v>
      </c>
      <c r="O436" s="165">
        <v>4.4000000000000004</v>
      </c>
      <c r="P436" s="165">
        <v>4.4000000000000004</v>
      </c>
      <c r="Q436" s="164">
        <v>227</v>
      </c>
      <c r="R436" s="164">
        <v>292</v>
      </c>
      <c r="S436" s="166">
        <v>0.22</v>
      </c>
      <c r="T436" s="164" t="s">
        <v>163</v>
      </c>
      <c r="U436" s="164"/>
      <c r="V436" s="167">
        <v>41835</v>
      </c>
      <c r="W436" s="167">
        <v>41725</v>
      </c>
      <c r="X436" s="164" t="s">
        <v>506</v>
      </c>
      <c r="Y436" s="164" t="s">
        <v>1247</v>
      </c>
      <c r="Z436" s="164" t="s">
        <v>163</v>
      </c>
      <c r="AA436" s="168" t="s">
        <v>184</v>
      </c>
      <c r="AB436" s="168" t="s">
        <v>194</v>
      </c>
      <c r="AC436" s="168" t="s">
        <v>188</v>
      </c>
      <c r="AD436" s="168" t="s">
        <v>182</v>
      </c>
      <c r="AE436" s="168" t="s">
        <v>163</v>
      </c>
      <c r="AF436" s="168" t="s">
        <v>163</v>
      </c>
      <c r="AG436" s="168" t="s">
        <v>163</v>
      </c>
      <c r="AH436" s="168" t="str">
        <f t="shared" si="37"/>
        <v>Refrigerator-Compact-Manual-Yes-No-No-No</v>
      </c>
      <c r="AI436" s="168" t="s">
        <v>315</v>
      </c>
      <c r="AJ436" s="168">
        <v>7.84</v>
      </c>
      <c r="AK436" s="169">
        <v>219.1</v>
      </c>
      <c r="AL436" s="169">
        <f t="shared" si="38"/>
        <v>253.596</v>
      </c>
      <c r="AM436" s="168">
        <f t="shared" si="39"/>
        <v>292</v>
      </c>
      <c r="AN436" s="168">
        <f t="shared" si="40"/>
        <v>227</v>
      </c>
      <c r="AO436" s="164" t="str">
        <f t="shared" si="41"/>
        <v>Yes</v>
      </c>
      <c r="AP436" s="164">
        <f t="shared" si="42"/>
        <v>65</v>
      </c>
    </row>
    <row r="437" spans="2:42">
      <c r="B437" s="164">
        <v>2207321</v>
      </c>
      <c r="C437" s="164" t="s">
        <v>179</v>
      </c>
      <c r="D437" s="164" t="s">
        <v>1248</v>
      </c>
      <c r="E437" s="164"/>
      <c r="F437" s="164" t="s">
        <v>194</v>
      </c>
      <c r="G437" s="164" t="s">
        <v>188</v>
      </c>
      <c r="H437" s="164" t="s">
        <v>182</v>
      </c>
      <c r="I437" s="164" t="s">
        <v>163</v>
      </c>
      <c r="J437" s="164" t="s">
        <v>163</v>
      </c>
      <c r="K437" s="164" t="s">
        <v>163</v>
      </c>
      <c r="L437" s="164" t="s">
        <v>163</v>
      </c>
      <c r="M437" s="164">
        <v>32.700000000000003</v>
      </c>
      <c r="N437" s="164">
        <v>19.7</v>
      </c>
      <c r="O437" s="165">
        <v>4.4000000000000004</v>
      </c>
      <c r="P437" s="165">
        <v>4.4000000000000004</v>
      </c>
      <c r="Q437" s="164">
        <v>227</v>
      </c>
      <c r="R437" s="164">
        <v>292</v>
      </c>
      <c r="S437" s="166">
        <v>0.22</v>
      </c>
      <c r="T437" s="164" t="s">
        <v>163</v>
      </c>
      <c r="U437" s="164"/>
      <c r="V437" s="167">
        <v>41835</v>
      </c>
      <c r="W437" s="167">
        <v>41725</v>
      </c>
      <c r="X437" s="164" t="s">
        <v>506</v>
      </c>
      <c r="Y437" s="164" t="s">
        <v>1249</v>
      </c>
      <c r="Z437" s="164" t="s">
        <v>163</v>
      </c>
      <c r="AA437" s="168" t="s">
        <v>184</v>
      </c>
      <c r="AB437" s="168" t="s">
        <v>194</v>
      </c>
      <c r="AC437" s="168" t="s">
        <v>188</v>
      </c>
      <c r="AD437" s="168" t="s">
        <v>182</v>
      </c>
      <c r="AE437" s="168" t="s">
        <v>163</v>
      </c>
      <c r="AF437" s="168" t="s">
        <v>163</v>
      </c>
      <c r="AG437" s="168" t="s">
        <v>163</v>
      </c>
      <c r="AH437" s="168" t="str">
        <f t="shared" si="37"/>
        <v>Refrigerator-Compact-Manual-Yes-No-No-No</v>
      </c>
      <c r="AI437" s="168" t="s">
        <v>315</v>
      </c>
      <c r="AJ437" s="168">
        <v>7.84</v>
      </c>
      <c r="AK437" s="169">
        <v>219.1</v>
      </c>
      <c r="AL437" s="169">
        <f t="shared" si="38"/>
        <v>253.596</v>
      </c>
      <c r="AM437" s="168">
        <f t="shared" si="39"/>
        <v>292</v>
      </c>
      <c r="AN437" s="168">
        <f t="shared" si="40"/>
        <v>227</v>
      </c>
      <c r="AO437" s="164" t="str">
        <f t="shared" si="41"/>
        <v>Yes</v>
      </c>
      <c r="AP437" s="164">
        <f t="shared" si="42"/>
        <v>65</v>
      </c>
    </row>
    <row r="438" spans="2:42">
      <c r="B438" s="164">
        <v>2218990</v>
      </c>
      <c r="C438" s="164" t="s">
        <v>179</v>
      </c>
      <c r="D438" s="164" t="s">
        <v>1250</v>
      </c>
      <c r="E438" s="164"/>
      <c r="F438" s="164" t="s">
        <v>191</v>
      </c>
      <c r="G438" s="164" t="s">
        <v>162</v>
      </c>
      <c r="H438" s="164" t="s">
        <v>163</v>
      </c>
      <c r="I438" s="164" t="s">
        <v>163</v>
      </c>
      <c r="J438" s="164" t="s">
        <v>163</v>
      </c>
      <c r="K438" s="164" t="s">
        <v>182</v>
      </c>
      <c r="L438" s="164" t="s">
        <v>163</v>
      </c>
      <c r="M438" s="164">
        <v>69.900000000000006</v>
      </c>
      <c r="N438" s="164">
        <v>35.9</v>
      </c>
      <c r="O438" s="165">
        <v>28.7</v>
      </c>
      <c r="P438" s="165">
        <v>35.700000000000003</v>
      </c>
      <c r="Q438" s="164">
        <v>644</v>
      </c>
      <c r="R438" s="164">
        <v>717</v>
      </c>
      <c r="S438" s="166">
        <v>0.1</v>
      </c>
      <c r="T438" s="164" t="s">
        <v>163</v>
      </c>
      <c r="U438" s="164"/>
      <c r="V438" s="167">
        <v>41897</v>
      </c>
      <c r="W438" s="167">
        <v>41738</v>
      </c>
      <c r="X438" s="164" t="s">
        <v>387</v>
      </c>
      <c r="Y438" s="164" t="s">
        <v>1251</v>
      </c>
      <c r="Z438" s="164" t="s">
        <v>163</v>
      </c>
      <c r="AA438" s="168" t="s">
        <v>184</v>
      </c>
      <c r="AB438" s="168" t="s">
        <v>191</v>
      </c>
      <c r="AC438" s="168" t="s">
        <v>162</v>
      </c>
      <c r="AD438" s="168" t="s">
        <v>163</v>
      </c>
      <c r="AE438" s="168" t="s">
        <v>163</v>
      </c>
      <c r="AF438" s="168" t="s">
        <v>163</v>
      </c>
      <c r="AG438" s="168" t="s">
        <v>182</v>
      </c>
      <c r="AH438" s="168" t="str">
        <f t="shared" si="37"/>
        <v>Refrigerator-Bottom Freezer-Automatic-No-No-No-Yes</v>
      </c>
      <c r="AI438" s="168" t="s">
        <v>261</v>
      </c>
      <c r="AJ438" s="168">
        <v>8.85</v>
      </c>
      <c r="AK438" s="169">
        <v>401</v>
      </c>
      <c r="AL438" s="169">
        <f t="shared" si="38"/>
        <v>716.94499999999994</v>
      </c>
      <c r="AM438" s="168">
        <f t="shared" si="39"/>
        <v>717</v>
      </c>
      <c r="AN438" s="168">
        <f t="shared" si="40"/>
        <v>644</v>
      </c>
      <c r="AO438" s="164" t="str">
        <f t="shared" si="41"/>
        <v>Yes</v>
      </c>
      <c r="AP438" s="164">
        <f t="shared" si="42"/>
        <v>73</v>
      </c>
    </row>
    <row r="439" spans="2:42">
      <c r="B439" s="164">
        <v>2218991</v>
      </c>
      <c r="C439" s="164" t="s">
        <v>179</v>
      </c>
      <c r="D439" s="164" t="s">
        <v>1252</v>
      </c>
      <c r="E439" s="164"/>
      <c r="F439" s="164" t="s">
        <v>191</v>
      </c>
      <c r="G439" s="164" t="s">
        <v>162</v>
      </c>
      <c r="H439" s="164" t="s">
        <v>163</v>
      </c>
      <c r="I439" s="164" t="s">
        <v>163</v>
      </c>
      <c r="J439" s="164" t="s">
        <v>163</v>
      </c>
      <c r="K439" s="164" t="s">
        <v>182</v>
      </c>
      <c r="L439" s="164" t="s">
        <v>163</v>
      </c>
      <c r="M439" s="164">
        <v>69.900000000000006</v>
      </c>
      <c r="N439" s="164">
        <v>35.9</v>
      </c>
      <c r="O439" s="165">
        <v>28.7</v>
      </c>
      <c r="P439" s="165">
        <v>35.700000000000003</v>
      </c>
      <c r="Q439" s="164">
        <v>644</v>
      </c>
      <c r="R439" s="164">
        <v>717</v>
      </c>
      <c r="S439" s="166">
        <v>0.1</v>
      </c>
      <c r="T439" s="164" t="s">
        <v>163</v>
      </c>
      <c r="U439" s="164"/>
      <c r="V439" s="167">
        <v>41897</v>
      </c>
      <c r="W439" s="167">
        <v>41738</v>
      </c>
      <c r="X439" s="164" t="s">
        <v>387</v>
      </c>
      <c r="Y439" s="164" t="s">
        <v>1253</v>
      </c>
      <c r="Z439" s="164" t="s">
        <v>163</v>
      </c>
      <c r="AA439" s="168" t="s">
        <v>184</v>
      </c>
      <c r="AB439" s="168" t="s">
        <v>191</v>
      </c>
      <c r="AC439" s="168" t="s">
        <v>162</v>
      </c>
      <c r="AD439" s="168" t="s">
        <v>163</v>
      </c>
      <c r="AE439" s="168" t="s">
        <v>163</v>
      </c>
      <c r="AF439" s="168" t="s">
        <v>163</v>
      </c>
      <c r="AG439" s="168" t="s">
        <v>182</v>
      </c>
      <c r="AH439" s="168" t="str">
        <f t="shared" si="37"/>
        <v>Refrigerator-Bottom Freezer-Automatic-No-No-No-Yes</v>
      </c>
      <c r="AI439" s="168" t="s">
        <v>261</v>
      </c>
      <c r="AJ439" s="168">
        <v>8.85</v>
      </c>
      <c r="AK439" s="169">
        <v>401</v>
      </c>
      <c r="AL439" s="169">
        <f t="shared" si="38"/>
        <v>716.94499999999994</v>
      </c>
      <c r="AM439" s="168">
        <f t="shared" si="39"/>
        <v>717</v>
      </c>
      <c r="AN439" s="168">
        <f t="shared" si="40"/>
        <v>644</v>
      </c>
      <c r="AO439" s="164" t="str">
        <f t="shared" si="41"/>
        <v>Yes</v>
      </c>
      <c r="AP439" s="164">
        <f t="shared" si="42"/>
        <v>73</v>
      </c>
    </row>
    <row r="440" spans="2:42">
      <c r="B440" s="164">
        <v>2218992</v>
      </c>
      <c r="C440" s="164" t="s">
        <v>179</v>
      </c>
      <c r="D440" s="164" t="s">
        <v>1254</v>
      </c>
      <c r="E440" s="164"/>
      <c r="F440" s="164" t="s">
        <v>191</v>
      </c>
      <c r="G440" s="164" t="s">
        <v>162</v>
      </c>
      <c r="H440" s="164" t="s">
        <v>163</v>
      </c>
      <c r="I440" s="164" t="s">
        <v>163</v>
      </c>
      <c r="J440" s="164" t="s">
        <v>163</v>
      </c>
      <c r="K440" s="164" t="s">
        <v>182</v>
      </c>
      <c r="L440" s="164" t="s">
        <v>163</v>
      </c>
      <c r="M440" s="164">
        <v>69.900000000000006</v>
      </c>
      <c r="N440" s="164">
        <v>35.9</v>
      </c>
      <c r="O440" s="165">
        <v>28.7</v>
      </c>
      <c r="P440" s="165">
        <v>35.700000000000003</v>
      </c>
      <c r="Q440" s="164">
        <v>644</v>
      </c>
      <c r="R440" s="164">
        <v>717</v>
      </c>
      <c r="S440" s="166">
        <v>0.1</v>
      </c>
      <c r="T440" s="164" t="s">
        <v>163</v>
      </c>
      <c r="U440" s="164"/>
      <c r="V440" s="167">
        <v>41897</v>
      </c>
      <c r="W440" s="167">
        <v>41738</v>
      </c>
      <c r="X440" s="164" t="s">
        <v>387</v>
      </c>
      <c r="Y440" s="164" t="s">
        <v>1255</v>
      </c>
      <c r="Z440" s="164" t="s">
        <v>163</v>
      </c>
      <c r="AA440" s="168" t="s">
        <v>184</v>
      </c>
      <c r="AB440" s="168" t="s">
        <v>191</v>
      </c>
      <c r="AC440" s="168" t="s">
        <v>162</v>
      </c>
      <c r="AD440" s="168" t="s">
        <v>163</v>
      </c>
      <c r="AE440" s="168" t="s">
        <v>163</v>
      </c>
      <c r="AF440" s="168" t="s">
        <v>163</v>
      </c>
      <c r="AG440" s="168" t="s">
        <v>182</v>
      </c>
      <c r="AH440" s="168" t="str">
        <f t="shared" si="37"/>
        <v>Refrigerator-Bottom Freezer-Automatic-No-No-No-Yes</v>
      </c>
      <c r="AI440" s="168" t="s">
        <v>261</v>
      </c>
      <c r="AJ440" s="168">
        <v>8.85</v>
      </c>
      <c r="AK440" s="169">
        <v>401</v>
      </c>
      <c r="AL440" s="169">
        <f t="shared" si="38"/>
        <v>716.94499999999994</v>
      </c>
      <c r="AM440" s="168">
        <f t="shared" si="39"/>
        <v>717</v>
      </c>
      <c r="AN440" s="168">
        <f t="shared" si="40"/>
        <v>644</v>
      </c>
      <c r="AO440" s="164" t="str">
        <f t="shared" si="41"/>
        <v>Yes</v>
      </c>
      <c r="AP440" s="164">
        <f t="shared" si="42"/>
        <v>73</v>
      </c>
    </row>
    <row r="441" spans="2:42">
      <c r="B441" s="164">
        <v>2208219</v>
      </c>
      <c r="C441" s="164" t="s">
        <v>179</v>
      </c>
      <c r="D441" s="164" t="s">
        <v>1256</v>
      </c>
      <c r="E441" s="164"/>
      <c r="F441" s="164" t="s">
        <v>193</v>
      </c>
      <c r="G441" s="164" t="s">
        <v>162</v>
      </c>
      <c r="H441" s="164" t="s">
        <v>163</v>
      </c>
      <c r="I441" s="164" t="s">
        <v>163</v>
      </c>
      <c r="J441" s="164" t="s">
        <v>163</v>
      </c>
      <c r="K441" s="164" t="s">
        <v>163</v>
      </c>
      <c r="L441" s="164" t="s">
        <v>163</v>
      </c>
      <c r="M441" s="164">
        <v>64.099999999999994</v>
      </c>
      <c r="N441" s="164">
        <v>28</v>
      </c>
      <c r="O441" s="165">
        <v>15.6</v>
      </c>
      <c r="P441" s="165">
        <v>18.600000000000001</v>
      </c>
      <c r="Q441" s="164">
        <v>344</v>
      </c>
      <c r="R441" s="164">
        <v>384</v>
      </c>
      <c r="S441" s="166">
        <v>0.1</v>
      </c>
      <c r="T441" s="164" t="s">
        <v>163</v>
      </c>
      <c r="U441" s="164"/>
      <c r="V441" s="167">
        <v>41744</v>
      </c>
      <c r="W441" s="167">
        <v>41730</v>
      </c>
      <c r="X441" s="164" t="s">
        <v>387</v>
      </c>
      <c r="Y441" s="164" t="s">
        <v>1257</v>
      </c>
      <c r="Z441" s="164" t="s">
        <v>163</v>
      </c>
      <c r="AA441" s="168" t="s">
        <v>184</v>
      </c>
      <c r="AB441" s="168" t="s">
        <v>193</v>
      </c>
      <c r="AC441" s="168" t="s">
        <v>162</v>
      </c>
      <c r="AD441" s="168" t="s">
        <v>163</v>
      </c>
      <c r="AE441" s="168" t="s">
        <v>163</v>
      </c>
      <c r="AF441" s="168" t="s">
        <v>163</v>
      </c>
      <c r="AG441" s="168" t="s">
        <v>163</v>
      </c>
      <c r="AH441" s="168" t="str">
        <f t="shared" si="37"/>
        <v>Refrigerator-Top Freezer-Automatic-No-No-No-No</v>
      </c>
      <c r="AI441" s="168">
        <v>3</v>
      </c>
      <c r="AJ441" s="168">
        <v>8.07</v>
      </c>
      <c r="AK441" s="169">
        <v>233.7</v>
      </c>
      <c r="AL441" s="169">
        <f t="shared" si="38"/>
        <v>383.80200000000002</v>
      </c>
      <c r="AM441" s="168">
        <f t="shared" si="39"/>
        <v>384</v>
      </c>
      <c r="AN441" s="168">
        <f t="shared" si="40"/>
        <v>344</v>
      </c>
      <c r="AO441" s="164" t="str">
        <f t="shared" si="41"/>
        <v>Yes</v>
      </c>
      <c r="AP441" s="164">
        <f t="shared" si="42"/>
        <v>40</v>
      </c>
    </row>
    <row r="442" spans="2:42">
      <c r="B442" s="164">
        <v>2212942</v>
      </c>
      <c r="C442" s="164" t="s">
        <v>179</v>
      </c>
      <c r="D442" s="164" t="s">
        <v>1256</v>
      </c>
      <c r="E442" s="164"/>
      <c r="F442" s="164" t="s">
        <v>193</v>
      </c>
      <c r="G442" s="164" t="s">
        <v>162</v>
      </c>
      <c r="H442" s="164" t="s">
        <v>163</v>
      </c>
      <c r="I442" s="164" t="s">
        <v>163</v>
      </c>
      <c r="J442" s="164" t="s">
        <v>163</v>
      </c>
      <c r="K442" s="164" t="s">
        <v>182</v>
      </c>
      <c r="L442" s="164" t="s">
        <v>163</v>
      </c>
      <c r="M442" s="164">
        <v>64.099999999999994</v>
      </c>
      <c r="N442" s="164">
        <v>28</v>
      </c>
      <c r="O442" s="165">
        <v>15.6</v>
      </c>
      <c r="P442" s="165">
        <v>18.600000000000001</v>
      </c>
      <c r="Q442" s="164">
        <v>420</v>
      </c>
      <c r="R442" s="164">
        <v>468</v>
      </c>
      <c r="S442" s="166">
        <v>0.1</v>
      </c>
      <c r="T442" s="164" t="s">
        <v>163</v>
      </c>
      <c r="U442" s="164"/>
      <c r="V442" s="167">
        <v>41744</v>
      </c>
      <c r="W442" s="167">
        <v>41795</v>
      </c>
      <c r="X442" s="164" t="s">
        <v>387</v>
      </c>
      <c r="Y442" s="164" t="s">
        <v>1258</v>
      </c>
      <c r="Z442" s="164" t="s">
        <v>163</v>
      </c>
      <c r="AA442" s="168" t="s">
        <v>184</v>
      </c>
      <c r="AB442" s="168" t="s">
        <v>193</v>
      </c>
      <c r="AC442" s="168" t="s">
        <v>162</v>
      </c>
      <c r="AD442" s="168" t="s">
        <v>163</v>
      </c>
      <c r="AE442" s="168" t="s">
        <v>163</v>
      </c>
      <c r="AF442" s="168" t="s">
        <v>163</v>
      </c>
      <c r="AG442" s="168" t="s">
        <v>182</v>
      </c>
      <c r="AH442" s="168" t="str">
        <f t="shared" si="37"/>
        <v>Refrigerator-Top Freezer-Automatic-No-No-No-Yes</v>
      </c>
      <c r="AI442" s="168" t="s">
        <v>223</v>
      </c>
      <c r="AJ442" s="168">
        <v>8.07</v>
      </c>
      <c r="AK442" s="169">
        <v>317.7</v>
      </c>
      <c r="AL442" s="169">
        <f t="shared" si="38"/>
        <v>467.80200000000002</v>
      </c>
      <c r="AM442" s="168">
        <f t="shared" si="39"/>
        <v>468</v>
      </c>
      <c r="AN442" s="168">
        <f t="shared" si="40"/>
        <v>420</v>
      </c>
      <c r="AO442" s="164" t="str">
        <f t="shared" si="41"/>
        <v>Yes</v>
      </c>
      <c r="AP442" s="164">
        <f t="shared" si="42"/>
        <v>48</v>
      </c>
    </row>
    <row r="443" spans="2:42">
      <c r="B443" s="164">
        <v>2218176</v>
      </c>
      <c r="C443" s="164" t="s">
        <v>179</v>
      </c>
      <c r="D443" s="164" t="s">
        <v>1259</v>
      </c>
      <c r="E443" s="164"/>
      <c r="F443" s="164" t="s">
        <v>192</v>
      </c>
      <c r="G443" s="164" t="s">
        <v>162</v>
      </c>
      <c r="H443" s="164" t="s">
        <v>163</v>
      </c>
      <c r="I443" s="164" t="s">
        <v>163</v>
      </c>
      <c r="J443" s="164" t="s">
        <v>182</v>
      </c>
      <c r="K443" s="164" t="s">
        <v>182</v>
      </c>
      <c r="L443" s="164" t="s">
        <v>163</v>
      </c>
      <c r="M443" s="164">
        <v>67.5</v>
      </c>
      <c r="N443" s="164">
        <v>33.5</v>
      </c>
      <c r="O443" s="165">
        <v>21.9</v>
      </c>
      <c r="P443" s="165">
        <v>27</v>
      </c>
      <c r="Q443" s="164">
        <v>596</v>
      </c>
      <c r="R443" s="164">
        <v>663</v>
      </c>
      <c r="S443" s="166">
        <v>0.1</v>
      </c>
      <c r="T443" s="164" t="s">
        <v>163</v>
      </c>
      <c r="U443" s="164"/>
      <c r="V443" s="167">
        <v>41883</v>
      </c>
      <c r="W443" s="167">
        <v>41878</v>
      </c>
      <c r="X443" s="164" t="s">
        <v>387</v>
      </c>
      <c r="Y443" s="164" t="s">
        <v>1260</v>
      </c>
      <c r="Z443" s="164" t="s">
        <v>163</v>
      </c>
      <c r="AA443" s="168" t="s">
        <v>184</v>
      </c>
      <c r="AB443" s="168" t="s">
        <v>192</v>
      </c>
      <c r="AC443" s="168" t="s">
        <v>162</v>
      </c>
      <c r="AD443" s="168" t="s">
        <v>163</v>
      </c>
      <c r="AE443" s="168" t="s">
        <v>163</v>
      </c>
      <c r="AF443" s="168" t="s">
        <v>182</v>
      </c>
      <c r="AG443" s="168" t="s">
        <v>182</v>
      </c>
      <c r="AH443" s="168" t="str">
        <f t="shared" si="37"/>
        <v>Refrigerator-Side-by-Side-Automatic-No-No-Yes-Yes</v>
      </c>
      <c r="AI443" s="168">
        <v>7</v>
      </c>
      <c r="AJ443" s="168">
        <v>8.5399999999999991</v>
      </c>
      <c r="AK443" s="169">
        <v>432.8</v>
      </c>
      <c r="AL443" s="169">
        <f t="shared" si="38"/>
        <v>663.38</v>
      </c>
      <c r="AM443" s="168">
        <f t="shared" si="39"/>
        <v>663</v>
      </c>
      <c r="AN443" s="168">
        <f t="shared" si="40"/>
        <v>596</v>
      </c>
      <c r="AO443" s="164" t="str">
        <f t="shared" si="41"/>
        <v>Yes</v>
      </c>
      <c r="AP443" s="164">
        <f t="shared" si="42"/>
        <v>67</v>
      </c>
    </row>
    <row r="444" spans="2:42">
      <c r="B444" s="164">
        <v>2218178</v>
      </c>
      <c r="C444" s="164" t="s">
        <v>179</v>
      </c>
      <c r="D444" s="164" t="s">
        <v>1261</v>
      </c>
      <c r="E444" s="164"/>
      <c r="F444" s="164" t="s">
        <v>192</v>
      </c>
      <c r="G444" s="164" t="s">
        <v>162</v>
      </c>
      <c r="H444" s="164" t="s">
        <v>163</v>
      </c>
      <c r="I444" s="164" t="s">
        <v>163</v>
      </c>
      <c r="J444" s="164" t="s">
        <v>182</v>
      </c>
      <c r="K444" s="164" t="s">
        <v>182</v>
      </c>
      <c r="L444" s="164" t="s">
        <v>163</v>
      </c>
      <c r="M444" s="164">
        <v>69.8</v>
      </c>
      <c r="N444" s="164">
        <v>35.799999999999997</v>
      </c>
      <c r="O444" s="165">
        <v>24.7</v>
      </c>
      <c r="P444" s="165">
        <v>31.7</v>
      </c>
      <c r="Q444" s="164">
        <v>632</v>
      </c>
      <c r="R444" s="164">
        <v>704</v>
      </c>
      <c r="S444" s="166">
        <v>0.1</v>
      </c>
      <c r="T444" s="164" t="s">
        <v>163</v>
      </c>
      <c r="U444" s="164"/>
      <c r="V444" s="167">
        <v>41883</v>
      </c>
      <c r="W444" s="167">
        <v>41878</v>
      </c>
      <c r="X444" s="164" t="s">
        <v>387</v>
      </c>
      <c r="Y444" s="164" t="s">
        <v>1262</v>
      </c>
      <c r="Z444" s="164" t="s">
        <v>163</v>
      </c>
      <c r="AA444" s="168" t="s">
        <v>184</v>
      </c>
      <c r="AB444" s="168" t="s">
        <v>192</v>
      </c>
      <c r="AC444" s="168" t="s">
        <v>162</v>
      </c>
      <c r="AD444" s="168" t="s">
        <v>163</v>
      </c>
      <c r="AE444" s="168" t="s">
        <v>163</v>
      </c>
      <c r="AF444" s="168" t="s">
        <v>182</v>
      </c>
      <c r="AG444" s="168" t="s">
        <v>182</v>
      </c>
      <c r="AH444" s="168" t="str">
        <f t="shared" si="37"/>
        <v>Refrigerator-Side-by-Side-Automatic-No-No-Yes-Yes</v>
      </c>
      <c r="AI444" s="168">
        <v>7</v>
      </c>
      <c r="AJ444" s="168">
        <v>8.5399999999999991</v>
      </c>
      <c r="AK444" s="169">
        <v>432.8</v>
      </c>
      <c r="AL444" s="169">
        <f t="shared" si="38"/>
        <v>703.51800000000003</v>
      </c>
      <c r="AM444" s="168">
        <f t="shared" si="39"/>
        <v>704</v>
      </c>
      <c r="AN444" s="168">
        <f t="shared" si="40"/>
        <v>632</v>
      </c>
      <c r="AO444" s="164" t="str">
        <f t="shared" si="41"/>
        <v>Yes</v>
      </c>
      <c r="AP444" s="164">
        <f t="shared" si="42"/>
        <v>72</v>
      </c>
    </row>
    <row r="445" spans="2:42">
      <c r="B445" s="164">
        <v>2218127</v>
      </c>
      <c r="C445" s="164" t="s">
        <v>179</v>
      </c>
      <c r="D445" s="164" t="s">
        <v>1263</v>
      </c>
      <c r="E445" s="164"/>
      <c r="F445" s="164" t="s">
        <v>192</v>
      </c>
      <c r="G445" s="164" t="s">
        <v>162</v>
      </c>
      <c r="H445" s="164" t="s">
        <v>163</v>
      </c>
      <c r="I445" s="164" t="s">
        <v>163</v>
      </c>
      <c r="J445" s="164" t="s">
        <v>182</v>
      </c>
      <c r="K445" s="164" t="s">
        <v>182</v>
      </c>
      <c r="L445" s="164" t="s">
        <v>163</v>
      </c>
      <c r="M445" s="164">
        <v>69.8</v>
      </c>
      <c r="N445" s="164">
        <v>31.3</v>
      </c>
      <c r="O445" s="165">
        <v>25.4</v>
      </c>
      <c r="P445" s="165">
        <v>32.4</v>
      </c>
      <c r="Q445" s="164">
        <v>637</v>
      </c>
      <c r="R445" s="164">
        <v>709</v>
      </c>
      <c r="S445" s="166">
        <v>0.1</v>
      </c>
      <c r="T445" s="164" t="s">
        <v>163</v>
      </c>
      <c r="U445" s="164"/>
      <c r="V445" s="167">
        <v>41883</v>
      </c>
      <c r="W445" s="167">
        <v>41878</v>
      </c>
      <c r="X445" s="164" t="s">
        <v>387</v>
      </c>
      <c r="Y445" s="164" t="s">
        <v>1264</v>
      </c>
      <c r="Z445" s="164" t="s">
        <v>163</v>
      </c>
      <c r="AA445" s="168" t="s">
        <v>184</v>
      </c>
      <c r="AB445" s="168" t="s">
        <v>192</v>
      </c>
      <c r="AC445" s="168" t="s">
        <v>162</v>
      </c>
      <c r="AD445" s="168" t="s">
        <v>163</v>
      </c>
      <c r="AE445" s="168" t="s">
        <v>163</v>
      </c>
      <c r="AF445" s="168" t="s">
        <v>182</v>
      </c>
      <c r="AG445" s="168" t="s">
        <v>182</v>
      </c>
      <c r="AH445" s="168" t="str">
        <f t="shared" si="37"/>
        <v>Refrigerator-Side-by-Side-Automatic-No-No-Yes-Yes</v>
      </c>
      <c r="AI445" s="168">
        <v>7</v>
      </c>
      <c r="AJ445" s="168">
        <v>8.5399999999999991</v>
      </c>
      <c r="AK445" s="169">
        <v>432.8</v>
      </c>
      <c r="AL445" s="169">
        <f t="shared" si="38"/>
        <v>709.49599999999998</v>
      </c>
      <c r="AM445" s="168">
        <f t="shared" si="39"/>
        <v>709</v>
      </c>
      <c r="AN445" s="168">
        <f t="shared" si="40"/>
        <v>637</v>
      </c>
      <c r="AO445" s="164" t="str">
        <f t="shared" si="41"/>
        <v>Yes</v>
      </c>
      <c r="AP445" s="164">
        <f t="shared" si="42"/>
        <v>72</v>
      </c>
    </row>
    <row r="446" spans="2:42">
      <c r="B446" s="164">
        <v>2218128</v>
      </c>
      <c r="C446" s="164" t="s">
        <v>179</v>
      </c>
      <c r="D446" s="164" t="s">
        <v>1265</v>
      </c>
      <c r="E446" s="164"/>
      <c r="F446" s="164" t="s">
        <v>192</v>
      </c>
      <c r="G446" s="164" t="s">
        <v>162</v>
      </c>
      <c r="H446" s="164" t="s">
        <v>163</v>
      </c>
      <c r="I446" s="164" t="s">
        <v>163</v>
      </c>
      <c r="J446" s="164" t="s">
        <v>182</v>
      </c>
      <c r="K446" s="164" t="s">
        <v>182</v>
      </c>
      <c r="L446" s="164" t="s">
        <v>163</v>
      </c>
      <c r="M446" s="164">
        <v>69.8</v>
      </c>
      <c r="N446" s="164">
        <v>31.3</v>
      </c>
      <c r="O446" s="165">
        <v>25.4</v>
      </c>
      <c r="P446" s="165">
        <v>32.4</v>
      </c>
      <c r="Q446" s="164">
        <v>637</v>
      </c>
      <c r="R446" s="164">
        <v>709</v>
      </c>
      <c r="S446" s="166">
        <v>0.1</v>
      </c>
      <c r="T446" s="164" t="s">
        <v>163</v>
      </c>
      <c r="U446" s="164"/>
      <c r="V446" s="167">
        <v>41883</v>
      </c>
      <c r="W446" s="167">
        <v>41878</v>
      </c>
      <c r="X446" s="164" t="s">
        <v>387</v>
      </c>
      <c r="Y446" s="164" t="s">
        <v>1266</v>
      </c>
      <c r="Z446" s="164" t="s">
        <v>163</v>
      </c>
      <c r="AA446" s="168" t="s">
        <v>184</v>
      </c>
      <c r="AB446" s="168" t="s">
        <v>192</v>
      </c>
      <c r="AC446" s="168" t="s">
        <v>162</v>
      </c>
      <c r="AD446" s="168" t="s">
        <v>163</v>
      </c>
      <c r="AE446" s="168" t="s">
        <v>163</v>
      </c>
      <c r="AF446" s="168" t="s">
        <v>182</v>
      </c>
      <c r="AG446" s="168" t="s">
        <v>182</v>
      </c>
      <c r="AH446" s="168" t="str">
        <f t="shared" si="37"/>
        <v>Refrigerator-Side-by-Side-Automatic-No-No-Yes-Yes</v>
      </c>
      <c r="AI446" s="168">
        <v>7</v>
      </c>
      <c r="AJ446" s="168">
        <v>8.5399999999999991</v>
      </c>
      <c r="AK446" s="169">
        <v>432.8</v>
      </c>
      <c r="AL446" s="169">
        <f t="shared" si="38"/>
        <v>709.49599999999998</v>
      </c>
      <c r="AM446" s="168">
        <f t="shared" si="39"/>
        <v>709</v>
      </c>
      <c r="AN446" s="168">
        <f t="shared" si="40"/>
        <v>637</v>
      </c>
      <c r="AO446" s="164" t="str">
        <f t="shared" si="41"/>
        <v>Yes</v>
      </c>
      <c r="AP446" s="164">
        <f t="shared" si="42"/>
        <v>72</v>
      </c>
    </row>
    <row r="447" spans="2:42">
      <c r="B447" s="164">
        <v>2218129</v>
      </c>
      <c r="C447" s="164" t="s">
        <v>179</v>
      </c>
      <c r="D447" s="164" t="s">
        <v>1267</v>
      </c>
      <c r="E447" s="164"/>
      <c r="F447" s="164" t="s">
        <v>192</v>
      </c>
      <c r="G447" s="164" t="s">
        <v>162</v>
      </c>
      <c r="H447" s="164" t="s">
        <v>163</v>
      </c>
      <c r="I447" s="164" t="s">
        <v>163</v>
      </c>
      <c r="J447" s="164" t="s">
        <v>182</v>
      </c>
      <c r="K447" s="164" t="s">
        <v>182</v>
      </c>
      <c r="L447" s="164" t="s">
        <v>163</v>
      </c>
      <c r="M447" s="164">
        <v>69.8</v>
      </c>
      <c r="N447" s="164">
        <v>31.3</v>
      </c>
      <c r="O447" s="165">
        <v>25.2</v>
      </c>
      <c r="P447" s="165">
        <v>32.1</v>
      </c>
      <c r="Q447" s="164">
        <v>635</v>
      </c>
      <c r="R447" s="164">
        <v>707</v>
      </c>
      <c r="S447" s="166">
        <v>0.1</v>
      </c>
      <c r="T447" s="164" t="s">
        <v>163</v>
      </c>
      <c r="U447" s="164"/>
      <c r="V447" s="167">
        <v>41883</v>
      </c>
      <c r="W447" s="167">
        <v>41878</v>
      </c>
      <c r="X447" s="164" t="s">
        <v>387</v>
      </c>
      <c r="Y447" s="164" t="s">
        <v>1268</v>
      </c>
      <c r="Z447" s="164" t="s">
        <v>163</v>
      </c>
      <c r="AA447" s="168" t="s">
        <v>184</v>
      </c>
      <c r="AB447" s="168" t="s">
        <v>192</v>
      </c>
      <c r="AC447" s="168" t="s">
        <v>162</v>
      </c>
      <c r="AD447" s="168" t="s">
        <v>163</v>
      </c>
      <c r="AE447" s="168" t="s">
        <v>163</v>
      </c>
      <c r="AF447" s="168" t="s">
        <v>182</v>
      </c>
      <c r="AG447" s="168" t="s">
        <v>182</v>
      </c>
      <c r="AH447" s="168" t="str">
        <f t="shared" si="37"/>
        <v>Refrigerator-Side-by-Side-Automatic-No-No-Yes-Yes</v>
      </c>
      <c r="AI447" s="168">
        <v>7</v>
      </c>
      <c r="AJ447" s="168">
        <v>8.5399999999999991</v>
      </c>
      <c r="AK447" s="169">
        <v>432.8</v>
      </c>
      <c r="AL447" s="169">
        <f t="shared" si="38"/>
        <v>706.93399999999997</v>
      </c>
      <c r="AM447" s="168">
        <f t="shared" si="39"/>
        <v>707</v>
      </c>
      <c r="AN447" s="168">
        <f t="shared" si="40"/>
        <v>635</v>
      </c>
      <c r="AO447" s="164" t="str">
        <f t="shared" si="41"/>
        <v>Yes</v>
      </c>
      <c r="AP447" s="164">
        <f t="shared" si="42"/>
        <v>72</v>
      </c>
    </row>
    <row r="448" spans="2:42">
      <c r="B448" s="164">
        <v>2218130</v>
      </c>
      <c r="C448" s="164" t="s">
        <v>179</v>
      </c>
      <c r="D448" s="164" t="s">
        <v>1269</v>
      </c>
      <c r="E448" s="164"/>
      <c r="F448" s="164" t="s">
        <v>192</v>
      </c>
      <c r="G448" s="164" t="s">
        <v>162</v>
      </c>
      <c r="H448" s="164" t="s">
        <v>163</v>
      </c>
      <c r="I448" s="164" t="s">
        <v>163</v>
      </c>
      <c r="J448" s="164" t="s">
        <v>182</v>
      </c>
      <c r="K448" s="164" t="s">
        <v>182</v>
      </c>
      <c r="L448" s="164" t="s">
        <v>163</v>
      </c>
      <c r="M448" s="164">
        <v>69.8</v>
      </c>
      <c r="N448" s="164">
        <v>31.3</v>
      </c>
      <c r="O448" s="165">
        <v>25.2</v>
      </c>
      <c r="P448" s="165">
        <v>32.1</v>
      </c>
      <c r="Q448" s="164">
        <v>635</v>
      </c>
      <c r="R448" s="164">
        <v>707</v>
      </c>
      <c r="S448" s="166">
        <v>0.1</v>
      </c>
      <c r="T448" s="164" t="s">
        <v>163</v>
      </c>
      <c r="U448" s="164"/>
      <c r="V448" s="167">
        <v>41883</v>
      </c>
      <c r="W448" s="167">
        <v>41878</v>
      </c>
      <c r="X448" s="164" t="s">
        <v>387</v>
      </c>
      <c r="Y448" s="164" t="s">
        <v>1270</v>
      </c>
      <c r="Z448" s="164" t="s">
        <v>163</v>
      </c>
      <c r="AA448" s="168" t="s">
        <v>184</v>
      </c>
      <c r="AB448" s="168" t="s">
        <v>192</v>
      </c>
      <c r="AC448" s="168" t="s">
        <v>162</v>
      </c>
      <c r="AD448" s="168" t="s">
        <v>163</v>
      </c>
      <c r="AE448" s="168" t="s">
        <v>163</v>
      </c>
      <c r="AF448" s="168" t="s">
        <v>182</v>
      </c>
      <c r="AG448" s="168" t="s">
        <v>182</v>
      </c>
      <c r="AH448" s="168" t="str">
        <f t="shared" si="37"/>
        <v>Refrigerator-Side-by-Side-Automatic-No-No-Yes-Yes</v>
      </c>
      <c r="AI448" s="168">
        <v>7</v>
      </c>
      <c r="AJ448" s="168">
        <v>8.5399999999999991</v>
      </c>
      <c r="AK448" s="169">
        <v>432.8</v>
      </c>
      <c r="AL448" s="169">
        <f t="shared" si="38"/>
        <v>706.93399999999997</v>
      </c>
      <c r="AM448" s="168">
        <f t="shared" si="39"/>
        <v>707</v>
      </c>
      <c r="AN448" s="168">
        <f t="shared" si="40"/>
        <v>635</v>
      </c>
      <c r="AO448" s="164" t="str">
        <f t="shared" si="41"/>
        <v>Yes</v>
      </c>
      <c r="AP448" s="164">
        <f t="shared" si="42"/>
        <v>72</v>
      </c>
    </row>
    <row r="449" spans="2:42">
      <c r="B449" s="164">
        <v>2218131</v>
      </c>
      <c r="C449" s="164" t="s">
        <v>179</v>
      </c>
      <c r="D449" s="164" t="s">
        <v>1271</v>
      </c>
      <c r="E449" s="164"/>
      <c r="F449" s="164" t="s">
        <v>192</v>
      </c>
      <c r="G449" s="164" t="s">
        <v>162</v>
      </c>
      <c r="H449" s="164" t="s">
        <v>163</v>
      </c>
      <c r="I449" s="164" t="s">
        <v>163</v>
      </c>
      <c r="J449" s="164" t="s">
        <v>182</v>
      </c>
      <c r="K449" s="164" t="s">
        <v>182</v>
      </c>
      <c r="L449" s="164" t="s">
        <v>163</v>
      </c>
      <c r="M449" s="164">
        <v>69.8</v>
      </c>
      <c r="N449" s="164">
        <v>31.3</v>
      </c>
      <c r="O449" s="165">
        <v>25.2</v>
      </c>
      <c r="P449" s="165">
        <v>32.1</v>
      </c>
      <c r="Q449" s="164">
        <v>635</v>
      </c>
      <c r="R449" s="164">
        <v>707</v>
      </c>
      <c r="S449" s="166">
        <v>0.1</v>
      </c>
      <c r="T449" s="164" t="s">
        <v>163</v>
      </c>
      <c r="U449" s="164"/>
      <c r="V449" s="167">
        <v>41883</v>
      </c>
      <c r="W449" s="167">
        <v>41878</v>
      </c>
      <c r="X449" s="164" t="s">
        <v>387</v>
      </c>
      <c r="Y449" s="164" t="s">
        <v>1272</v>
      </c>
      <c r="Z449" s="164" t="s">
        <v>163</v>
      </c>
      <c r="AA449" s="168" t="s">
        <v>184</v>
      </c>
      <c r="AB449" s="168" t="s">
        <v>192</v>
      </c>
      <c r="AC449" s="168" t="s">
        <v>162</v>
      </c>
      <c r="AD449" s="168" t="s">
        <v>163</v>
      </c>
      <c r="AE449" s="168" t="s">
        <v>163</v>
      </c>
      <c r="AF449" s="168" t="s">
        <v>182</v>
      </c>
      <c r="AG449" s="168" t="s">
        <v>182</v>
      </c>
      <c r="AH449" s="168" t="str">
        <f t="shared" si="37"/>
        <v>Refrigerator-Side-by-Side-Automatic-No-No-Yes-Yes</v>
      </c>
      <c r="AI449" s="168">
        <v>7</v>
      </c>
      <c r="AJ449" s="168">
        <v>8.5399999999999991</v>
      </c>
      <c r="AK449" s="169">
        <v>432.8</v>
      </c>
      <c r="AL449" s="169">
        <f t="shared" si="38"/>
        <v>706.93399999999997</v>
      </c>
      <c r="AM449" s="168">
        <f t="shared" si="39"/>
        <v>707</v>
      </c>
      <c r="AN449" s="168">
        <f t="shared" si="40"/>
        <v>635</v>
      </c>
      <c r="AO449" s="164" t="str">
        <f t="shared" si="41"/>
        <v>Yes</v>
      </c>
      <c r="AP449" s="164">
        <f t="shared" si="42"/>
        <v>72</v>
      </c>
    </row>
    <row r="450" spans="2:42">
      <c r="B450" s="164">
        <v>2208217</v>
      </c>
      <c r="C450" s="164" t="s">
        <v>179</v>
      </c>
      <c r="D450" s="164" t="s">
        <v>1273</v>
      </c>
      <c r="E450" s="164"/>
      <c r="F450" s="164" t="s">
        <v>193</v>
      </c>
      <c r="G450" s="164" t="s">
        <v>162</v>
      </c>
      <c r="H450" s="164" t="s">
        <v>163</v>
      </c>
      <c r="I450" s="164" t="s">
        <v>163</v>
      </c>
      <c r="J450" s="164" t="s">
        <v>163</v>
      </c>
      <c r="K450" s="164" t="s">
        <v>163</v>
      </c>
      <c r="L450" s="164" t="s">
        <v>163</v>
      </c>
      <c r="M450" s="164">
        <v>61.1</v>
      </c>
      <c r="N450" s="164">
        <v>28</v>
      </c>
      <c r="O450" s="165">
        <v>14.6</v>
      </c>
      <c r="P450" s="165">
        <v>17.600000000000001</v>
      </c>
      <c r="Q450" s="164">
        <v>337</v>
      </c>
      <c r="R450" s="164">
        <v>376</v>
      </c>
      <c r="S450" s="166">
        <v>0.1</v>
      </c>
      <c r="T450" s="164" t="s">
        <v>163</v>
      </c>
      <c r="U450" s="164"/>
      <c r="V450" s="167">
        <v>41744</v>
      </c>
      <c r="W450" s="167">
        <v>41730</v>
      </c>
      <c r="X450" s="164" t="s">
        <v>387</v>
      </c>
      <c r="Y450" s="164" t="s">
        <v>1274</v>
      </c>
      <c r="Z450" s="164" t="s">
        <v>163</v>
      </c>
      <c r="AA450" s="168" t="s">
        <v>184</v>
      </c>
      <c r="AB450" s="168" t="s">
        <v>193</v>
      </c>
      <c r="AC450" s="168" t="s">
        <v>162</v>
      </c>
      <c r="AD450" s="168" t="s">
        <v>163</v>
      </c>
      <c r="AE450" s="168" t="s">
        <v>163</v>
      </c>
      <c r="AF450" s="168" t="s">
        <v>163</v>
      </c>
      <c r="AG450" s="168" t="s">
        <v>163</v>
      </c>
      <c r="AH450" s="168" t="str">
        <f t="shared" si="37"/>
        <v>Refrigerator-Top Freezer-Automatic-No-No-No-No</v>
      </c>
      <c r="AI450" s="168">
        <v>3</v>
      </c>
      <c r="AJ450" s="168">
        <v>8.07</v>
      </c>
      <c r="AK450" s="169">
        <v>233.7</v>
      </c>
      <c r="AL450" s="169">
        <f t="shared" si="38"/>
        <v>375.73199999999997</v>
      </c>
      <c r="AM450" s="168">
        <f t="shared" si="39"/>
        <v>376</v>
      </c>
      <c r="AN450" s="168">
        <f t="shared" si="40"/>
        <v>337</v>
      </c>
      <c r="AO450" s="164" t="str">
        <f t="shared" si="41"/>
        <v>Yes</v>
      </c>
      <c r="AP450" s="164">
        <f t="shared" si="42"/>
        <v>39</v>
      </c>
    </row>
    <row r="451" spans="2:42">
      <c r="B451" s="164">
        <v>2212940</v>
      </c>
      <c r="C451" s="164" t="s">
        <v>179</v>
      </c>
      <c r="D451" s="164" t="s">
        <v>1273</v>
      </c>
      <c r="E451" s="164"/>
      <c r="F451" s="164" t="s">
        <v>193</v>
      </c>
      <c r="G451" s="164" t="s">
        <v>162</v>
      </c>
      <c r="H451" s="164" t="s">
        <v>163</v>
      </c>
      <c r="I451" s="164" t="s">
        <v>163</v>
      </c>
      <c r="J451" s="164" t="s">
        <v>163</v>
      </c>
      <c r="K451" s="164" t="s">
        <v>182</v>
      </c>
      <c r="L451" s="164" t="s">
        <v>163</v>
      </c>
      <c r="M451" s="164">
        <v>61.1</v>
      </c>
      <c r="N451" s="164">
        <v>28</v>
      </c>
      <c r="O451" s="165">
        <v>14.6</v>
      </c>
      <c r="P451" s="165">
        <v>17.600000000000001</v>
      </c>
      <c r="Q451" s="164">
        <v>413</v>
      </c>
      <c r="R451" s="164">
        <v>460</v>
      </c>
      <c r="S451" s="166">
        <v>0.1</v>
      </c>
      <c r="T451" s="164" t="s">
        <v>163</v>
      </c>
      <c r="U451" s="164"/>
      <c r="V451" s="167">
        <v>41744</v>
      </c>
      <c r="W451" s="167">
        <v>41795</v>
      </c>
      <c r="X451" s="164" t="s">
        <v>387</v>
      </c>
      <c r="Y451" s="164" t="s">
        <v>1275</v>
      </c>
      <c r="Z451" s="164" t="s">
        <v>163</v>
      </c>
      <c r="AA451" s="168" t="s">
        <v>184</v>
      </c>
      <c r="AB451" s="168" t="s">
        <v>193</v>
      </c>
      <c r="AC451" s="168" t="s">
        <v>162</v>
      </c>
      <c r="AD451" s="168" t="s">
        <v>163</v>
      </c>
      <c r="AE451" s="168" t="s">
        <v>163</v>
      </c>
      <c r="AF451" s="168" t="s">
        <v>163</v>
      </c>
      <c r="AG451" s="168" t="s">
        <v>182</v>
      </c>
      <c r="AH451" s="168" t="str">
        <f t="shared" si="37"/>
        <v>Refrigerator-Top Freezer-Automatic-No-No-No-Yes</v>
      </c>
      <c r="AI451" s="168" t="s">
        <v>223</v>
      </c>
      <c r="AJ451" s="168">
        <v>8.07</v>
      </c>
      <c r="AK451" s="169">
        <v>317.7</v>
      </c>
      <c r="AL451" s="169">
        <f t="shared" si="38"/>
        <v>459.73199999999997</v>
      </c>
      <c r="AM451" s="168">
        <f t="shared" si="39"/>
        <v>460</v>
      </c>
      <c r="AN451" s="168">
        <f t="shared" si="40"/>
        <v>413</v>
      </c>
      <c r="AO451" s="164" t="str">
        <f t="shared" si="41"/>
        <v>Yes</v>
      </c>
      <c r="AP451" s="164">
        <f t="shared" si="42"/>
        <v>47</v>
      </c>
    </row>
    <row r="452" spans="2:42">
      <c r="B452" s="164">
        <v>2208220</v>
      </c>
      <c r="C452" s="164" t="s">
        <v>179</v>
      </c>
      <c r="D452" s="164" t="s">
        <v>1276</v>
      </c>
      <c r="E452" s="164"/>
      <c r="F452" s="164" t="s">
        <v>193</v>
      </c>
      <c r="G452" s="164" t="s">
        <v>162</v>
      </c>
      <c r="H452" s="164" t="s">
        <v>163</v>
      </c>
      <c r="I452" s="164" t="s">
        <v>163</v>
      </c>
      <c r="J452" s="164" t="s">
        <v>163</v>
      </c>
      <c r="K452" s="164" t="s">
        <v>163</v>
      </c>
      <c r="L452" s="164" t="s">
        <v>163</v>
      </c>
      <c r="M452" s="164">
        <v>64.099999999999994</v>
      </c>
      <c r="N452" s="164">
        <v>28</v>
      </c>
      <c r="O452" s="165">
        <v>15.6</v>
      </c>
      <c r="P452" s="165">
        <v>18.600000000000001</v>
      </c>
      <c r="Q452" s="164">
        <v>344</v>
      </c>
      <c r="R452" s="164">
        <v>384</v>
      </c>
      <c r="S452" s="166">
        <v>0.1</v>
      </c>
      <c r="T452" s="164" t="s">
        <v>163</v>
      </c>
      <c r="U452" s="164"/>
      <c r="V452" s="167">
        <v>41744</v>
      </c>
      <c r="W452" s="167">
        <v>41730</v>
      </c>
      <c r="X452" s="164" t="s">
        <v>387</v>
      </c>
      <c r="Y452" s="164" t="s">
        <v>1277</v>
      </c>
      <c r="Z452" s="164" t="s">
        <v>163</v>
      </c>
      <c r="AA452" s="168" t="s">
        <v>184</v>
      </c>
      <c r="AB452" s="168" t="s">
        <v>193</v>
      </c>
      <c r="AC452" s="168" t="s">
        <v>162</v>
      </c>
      <c r="AD452" s="168" t="s">
        <v>163</v>
      </c>
      <c r="AE452" s="168" t="s">
        <v>163</v>
      </c>
      <c r="AF452" s="168" t="s">
        <v>163</v>
      </c>
      <c r="AG452" s="168" t="s">
        <v>163</v>
      </c>
      <c r="AH452" s="168" t="str">
        <f t="shared" si="37"/>
        <v>Refrigerator-Top Freezer-Automatic-No-No-No-No</v>
      </c>
      <c r="AI452" s="168">
        <v>3</v>
      </c>
      <c r="AJ452" s="168">
        <v>8.07</v>
      </c>
      <c r="AK452" s="169">
        <v>233.7</v>
      </c>
      <c r="AL452" s="169">
        <f t="shared" si="38"/>
        <v>383.80200000000002</v>
      </c>
      <c r="AM452" s="168">
        <f t="shared" si="39"/>
        <v>384</v>
      </c>
      <c r="AN452" s="168">
        <f t="shared" si="40"/>
        <v>344</v>
      </c>
      <c r="AO452" s="164" t="str">
        <f t="shared" si="41"/>
        <v>Yes</v>
      </c>
      <c r="AP452" s="164">
        <f t="shared" si="42"/>
        <v>40</v>
      </c>
    </row>
    <row r="453" spans="2:42">
      <c r="B453" s="164">
        <v>2212943</v>
      </c>
      <c r="C453" s="164" t="s">
        <v>179</v>
      </c>
      <c r="D453" s="164" t="s">
        <v>1276</v>
      </c>
      <c r="E453" s="164"/>
      <c r="F453" s="164" t="s">
        <v>193</v>
      </c>
      <c r="G453" s="164" t="s">
        <v>162</v>
      </c>
      <c r="H453" s="164" t="s">
        <v>163</v>
      </c>
      <c r="I453" s="164" t="s">
        <v>163</v>
      </c>
      <c r="J453" s="164" t="s">
        <v>163</v>
      </c>
      <c r="K453" s="164" t="s">
        <v>182</v>
      </c>
      <c r="L453" s="164" t="s">
        <v>163</v>
      </c>
      <c r="M453" s="164">
        <v>64.099999999999994</v>
      </c>
      <c r="N453" s="164">
        <v>28</v>
      </c>
      <c r="O453" s="165">
        <v>15.6</v>
      </c>
      <c r="P453" s="165">
        <v>18.600000000000001</v>
      </c>
      <c r="Q453" s="164">
        <v>420</v>
      </c>
      <c r="R453" s="164">
        <v>468</v>
      </c>
      <c r="S453" s="166">
        <v>0.1</v>
      </c>
      <c r="T453" s="164" t="s">
        <v>163</v>
      </c>
      <c r="U453" s="164"/>
      <c r="V453" s="167">
        <v>41744</v>
      </c>
      <c r="W453" s="167">
        <v>41795</v>
      </c>
      <c r="X453" s="164" t="s">
        <v>387</v>
      </c>
      <c r="Y453" s="164" t="s">
        <v>1278</v>
      </c>
      <c r="Z453" s="164" t="s">
        <v>163</v>
      </c>
      <c r="AA453" s="168" t="s">
        <v>184</v>
      </c>
      <c r="AB453" s="168" t="s">
        <v>193</v>
      </c>
      <c r="AC453" s="168" t="s">
        <v>162</v>
      </c>
      <c r="AD453" s="168" t="s">
        <v>163</v>
      </c>
      <c r="AE453" s="168" t="s">
        <v>163</v>
      </c>
      <c r="AF453" s="168" t="s">
        <v>163</v>
      </c>
      <c r="AG453" s="168" t="s">
        <v>182</v>
      </c>
      <c r="AH453" s="168" t="str">
        <f t="shared" si="37"/>
        <v>Refrigerator-Top Freezer-Automatic-No-No-No-Yes</v>
      </c>
      <c r="AI453" s="168" t="s">
        <v>223</v>
      </c>
      <c r="AJ453" s="168">
        <v>8.07</v>
      </c>
      <c r="AK453" s="169">
        <v>317.7</v>
      </c>
      <c r="AL453" s="169">
        <f t="shared" si="38"/>
        <v>467.80200000000002</v>
      </c>
      <c r="AM453" s="168">
        <f t="shared" si="39"/>
        <v>468</v>
      </c>
      <c r="AN453" s="168">
        <f t="shared" si="40"/>
        <v>420</v>
      </c>
      <c r="AO453" s="164" t="str">
        <f t="shared" si="41"/>
        <v>Yes</v>
      </c>
      <c r="AP453" s="164">
        <f t="shared" si="42"/>
        <v>48</v>
      </c>
    </row>
    <row r="454" spans="2:42">
      <c r="B454" s="164">
        <v>2208222</v>
      </c>
      <c r="C454" s="164" t="s">
        <v>179</v>
      </c>
      <c r="D454" s="164" t="s">
        <v>1279</v>
      </c>
      <c r="E454" s="164"/>
      <c r="F454" s="164" t="s">
        <v>193</v>
      </c>
      <c r="G454" s="164" t="s">
        <v>162</v>
      </c>
      <c r="H454" s="164" t="s">
        <v>163</v>
      </c>
      <c r="I454" s="164" t="s">
        <v>163</v>
      </c>
      <c r="J454" s="164" t="s">
        <v>163</v>
      </c>
      <c r="K454" s="164" t="s">
        <v>163</v>
      </c>
      <c r="L454" s="164" t="s">
        <v>163</v>
      </c>
      <c r="M454" s="164">
        <v>64.099999999999994</v>
      </c>
      <c r="N454" s="164">
        <v>28</v>
      </c>
      <c r="O454" s="165">
        <v>15.6</v>
      </c>
      <c r="P454" s="165">
        <v>18.600000000000001</v>
      </c>
      <c r="Q454" s="164">
        <v>344</v>
      </c>
      <c r="R454" s="164">
        <v>384</v>
      </c>
      <c r="S454" s="166">
        <v>0.1</v>
      </c>
      <c r="T454" s="164" t="s">
        <v>163</v>
      </c>
      <c r="U454" s="164"/>
      <c r="V454" s="167">
        <v>41744</v>
      </c>
      <c r="W454" s="167">
        <v>41730</v>
      </c>
      <c r="X454" s="164" t="s">
        <v>387</v>
      </c>
      <c r="Y454" s="164" t="s">
        <v>1280</v>
      </c>
      <c r="Z454" s="164" t="s">
        <v>163</v>
      </c>
      <c r="AA454" s="168" t="s">
        <v>184</v>
      </c>
      <c r="AB454" s="168" t="s">
        <v>193</v>
      </c>
      <c r="AC454" s="168" t="s">
        <v>162</v>
      </c>
      <c r="AD454" s="168" t="s">
        <v>163</v>
      </c>
      <c r="AE454" s="168" t="s">
        <v>163</v>
      </c>
      <c r="AF454" s="168" t="s">
        <v>163</v>
      </c>
      <c r="AG454" s="168" t="s">
        <v>163</v>
      </c>
      <c r="AH454" s="168" t="str">
        <f t="shared" si="37"/>
        <v>Refrigerator-Top Freezer-Automatic-No-No-No-No</v>
      </c>
      <c r="AI454" s="168">
        <v>3</v>
      </c>
      <c r="AJ454" s="168">
        <v>8.07</v>
      </c>
      <c r="AK454" s="169">
        <v>233.7</v>
      </c>
      <c r="AL454" s="169">
        <f t="shared" si="38"/>
        <v>383.80200000000002</v>
      </c>
      <c r="AM454" s="168">
        <f t="shared" si="39"/>
        <v>384</v>
      </c>
      <c r="AN454" s="168">
        <f t="shared" si="40"/>
        <v>344</v>
      </c>
      <c r="AO454" s="164" t="str">
        <f t="shared" si="41"/>
        <v>Yes</v>
      </c>
      <c r="AP454" s="164">
        <f t="shared" si="42"/>
        <v>40</v>
      </c>
    </row>
    <row r="455" spans="2:42">
      <c r="B455" s="164">
        <v>2212945</v>
      </c>
      <c r="C455" s="164" t="s">
        <v>179</v>
      </c>
      <c r="D455" s="164" t="s">
        <v>1279</v>
      </c>
      <c r="E455" s="164"/>
      <c r="F455" s="164" t="s">
        <v>193</v>
      </c>
      <c r="G455" s="164" t="s">
        <v>162</v>
      </c>
      <c r="H455" s="164" t="s">
        <v>163</v>
      </c>
      <c r="I455" s="164" t="s">
        <v>163</v>
      </c>
      <c r="J455" s="164" t="s">
        <v>163</v>
      </c>
      <c r="K455" s="164" t="s">
        <v>182</v>
      </c>
      <c r="L455" s="164" t="s">
        <v>163</v>
      </c>
      <c r="M455" s="164">
        <v>64.099999999999994</v>
      </c>
      <c r="N455" s="164">
        <v>28</v>
      </c>
      <c r="O455" s="165">
        <v>15.6</v>
      </c>
      <c r="P455" s="165">
        <v>18.600000000000001</v>
      </c>
      <c r="Q455" s="164">
        <v>420</v>
      </c>
      <c r="R455" s="164">
        <v>468</v>
      </c>
      <c r="S455" s="166">
        <v>0.1</v>
      </c>
      <c r="T455" s="164" t="s">
        <v>163</v>
      </c>
      <c r="U455" s="164"/>
      <c r="V455" s="167">
        <v>41744</v>
      </c>
      <c r="W455" s="167">
        <v>41795</v>
      </c>
      <c r="X455" s="164" t="s">
        <v>387</v>
      </c>
      <c r="Y455" s="164" t="s">
        <v>1281</v>
      </c>
      <c r="Z455" s="164" t="s">
        <v>163</v>
      </c>
      <c r="AA455" s="168" t="s">
        <v>184</v>
      </c>
      <c r="AB455" s="168" t="s">
        <v>193</v>
      </c>
      <c r="AC455" s="168" t="s">
        <v>162</v>
      </c>
      <c r="AD455" s="168" t="s">
        <v>163</v>
      </c>
      <c r="AE455" s="168" t="s">
        <v>163</v>
      </c>
      <c r="AF455" s="168" t="s">
        <v>163</v>
      </c>
      <c r="AG455" s="168" t="s">
        <v>182</v>
      </c>
      <c r="AH455" s="168" t="str">
        <f t="shared" si="37"/>
        <v>Refrigerator-Top Freezer-Automatic-No-No-No-Yes</v>
      </c>
      <c r="AI455" s="168" t="s">
        <v>223</v>
      </c>
      <c r="AJ455" s="168">
        <v>8.07</v>
      </c>
      <c r="AK455" s="169">
        <v>317.7</v>
      </c>
      <c r="AL455" s="169">
        <f t="shared" si="38"/>
        <v>467.80200000000002</v>
      </c>
      <c r="AM455" s="168">
        <f t="shared" si="39"/>
        <v>468</v>
      </c>
      <c r="AN455" s="168">
        <f t="shared" si="40"/>
        <v>420</v>
      </c>
      <c r="AO455" s="164" t="str">
        <f t="shared" si="41"/>
        <v>Yes</v>
      </c>
      <c r="AP455" s="164">
        <f t="shared" si="42"/>
        <v>48</v>
      </c>
    </row>
    <row r="456" spans="2:42">
      <c r="B456" s="164">
        <v>2208221</v>
      </c>
      <c r="C456" s="164" t="s">
        <v>179</v>
      </c>
      <c r="D456" s="164" t="s">
        <v>1282</v>
      </c>
      <c r="E456" s="164"/>
      <c r="F456" s="164" t="s">
        <v>193</v>
      </c>
      <c r="G456" s="164" t="s">
        <v>162</v>
      </c>
      <c r="H456" s="164" t="s">
        <v>163</v>
      </c>
      <c r="I456" s="164" t="s">
        <v>163</v>
      </c>
      <c r="J456" s="164" t="s">
        <v>163</v>
      </c>
      <c r="K456" s="164" t="s">
        <v>163</v>
      </c>
      <c r="L456" s="164" t="s">
        <v>163</v>
      </c>
      <c r="M456" s="164">
        <v>64.099999999999994</v>
      </c>
      <c r="N456" s="164">
        <v>28</v>
      </c>
      <c r="O456" s="165">
        <v>15.6</v>
      </c>
      <c r="P456" s="165">
        <v>18.600000000000001</v>
      </c>
      <c r="Q456" s="164">
        <v>344</v>
      </c>
      <c r="R456" s="164">
        <v>384</v>
      </c>
      <c r="S456" s="166">
        <v>0.1</v>
      </c>
      <c r="T456" s="164" t="s">
        <v>163</v>
      </c>
      <c r="U456" s="164"/>
      <c r="V456" s="167">
        <v>41744</v>
      </c>
      <c r="W456" s="167">
        <v>41730</v>
      </c>
      <c r="X456" s="164" t="s">
        <v>387</v>
      </c>
      <c r="Y456" s="164" t="s">
        <v>1283</v>
      </c>
      <c r="Z456" s="164" t="s">
        <v>163</v>
      </c>
      <c r="AA456" s="168" t="s">
        <v>184</v>
      </c>
      <c r="AB456" s="168" t="s">
        <v>193</v>
      </c>
      <c r="AC456" s="168" t="s">
        <v>162</v>
      </c>
      <c r="AD456" s="168" t="s">
        <v>163</v>
      </c>
      <c r="AE456" s="168" t="s">
        <v>163</v>
      </c>
      <c r="AF456" s="168" t="s">
        <v>163</v>
      </c>
      <c r="AG456" s="168" t="s">
        <v>163</v>
      </c>
      <c r="AH456" s="168" t="str">
        <f t="shared" si="37"/>
        <v>Refrigerator-Top Freezer-Automatic-No-No-No-No</v>
      </c>
      <c r="AI456" s="168">
        <v>3</v>
      </c>
      <c r="AJ456" s="168">
        <v>8.07</v>
      </c>
      <c r="AK456" s="169">
        <v>233.7</v>
      </c>
      <c r="AL456" s="169">
        <f t="shared" si="38"/>
        <v>383.80200000000002</v>
      </c>
      <c r="AM456" s="168">
        <f t="shared" si="39"/>
        <v>384</v>
      </c>
      <c r="AN456" s="168">
        <f t="shared" si="40"/>
        <v>344</v>
      </c>
      <c r="AO456" s="164" t="str">
        <f t="shared" si="41"/>
        <v>Yes</v>
      </c>
      <c r="AP456" s="164">
        <f t="shared" si="42"/>
        <v>40</v>
      </c>
    </row>
    <row r="457" spans="2:42">
      <c r="B457" s="164">
        <v>2212944</v>
      </c>
      <c r="C457" s="164" t="s">
        <v>179</v>
      </c>
      <c r="D457" s="164" t="s">
        <v>1282</v>
      </c>
      <c r="E457" s="164"/>
      <c r="F457" s="164" t="s">
        <v>193</v>
      </c>
      <c r="G457" s="164" t="s">
        <v>162</v>
      </c>
      <c r="H457" s="164" t="s">
        <v>163</v>
      </c>
      <c r="I457" s="164" t="s">
        <v>163</v>
      </c>
      <c r="J457" s="164" t="s">
        <v>163</v>
      </c>
      <c r="K457" s="164" t="s">
        <v>182</v>
      </c>
      <c r="L457" s="164" t="s">
        <v>163</v>
      </c>
      <c r="M457" s="164">
        <v>64.099999999999994</v>
      </c>
      <c r="N457" s="164">
        <v>28</v>
      </c>
      <c r="O457" s="165">
        <v>15.6</v>
      </c>
      <c r="P457" s="165">
        <v>18.600000000000001</v>
      </c>
      <c r="Q457" s="164">
        <v>420</v>
      </c>
      <c r="R457" s="164">
        <v>468</v>
      </c>
      <c r="S457" s="166">
        <v>0.1</v>
      </c>
      <c r="T457" s="164" t="s">
        <v>163</v>
      </c>
      <c r="U457" s="164"/>
      <c r="V457" s="167">
        <v>41744</v>
      </c>
      <c r="W457" s="167">
        <v>41795</v>
      </c>
      <c r="X457" s="164" t="s">
        <v>387</v>
      </c>
      <c r="Y457" s="164" t="s">
        <v>1284</v>
      </c>
      <c r="Z457" s="164" t="s">
        <v>163</v>
      </c>
      <c r="AA457" s="168" t="s">
        <v>184</v>
      </c>
      <c r="AB457" s="168" t="s">
        <v>193</v>
      </c>
      <c r="AC457" s="168" t="s">
        <v>162</v>
      </c>
      <c r="AD457" s="168" t="s">
        <v>163</v>
      </c>
      <c r="AE457" s="168" t="s">
        <v>163</v>
      </c>
      <c r="AF457" s="168" t="s">
        <v>163</v>
      </c>
      <c r="AG457" s="168" t="s">
        <v>182</v>
      </c>
      <c r="AH457" s="168" t="str">
        <f t="shared" si="37"/>
        <v>Refrigerator-Top Freezer-Automatic-No-No-No-Yes</v>
      </c>
      <c r="AI457" s="168" t="s">
        <v>223</v>
      </c>
      <c r="AJ457" s="168">
        <v>8.07</v>
      </c>
      <c r="AK457" s="169">
        <v>317.7</v>
      </c>
      <c r="AL457" s="169">
        <f t="shared" si="38"/>
        <v>467.80200000000002</v>
      </c>
      <c r="AM457" s="168">
        <f t="shared" si="39"/>
        <v>468</v>
      </c>
      <c r="AN457" s="168">
        <f t="shared" si="40"/>
        <v>420</v>
      </c>
      <c r="AO457" s="164" t="str">
        <f t="shared" si="41"/>
        <v>Yes</v>
      </c>
      <c r="AP457" s="164">
        <f t="shared" si="42"/>
        <v>48</v>
      </c>
    </row>
    <row r="458" spans="2:42">
      <c r="B458" s="164">
        <v>2215225</v>
      </c>
      <c r="C458" s="164" t="s">
        <v>1285</v>
      </c>
      <c r="D458" s="164" t="s">
        <v>1286</v>
      </c>
      <c r="E458" s="164"/>
      <c r="F458" s="164" t="s">
        <v>191</v>
      </c>
      <c r="G458" s="164" t="s">
        <v>162</v>
      </c>
      <c r="H458" s="164" t="s">
        <v>163</v>
      </c>
      <c r="I458" s="164" t="s">
        <v>163</v>
      </c>
      <c r="J458" s="164" t="s">
        <v>182</v>
      </c>
      <c r="K458" s="164" t="s">
        <v>182</v>
      </c>
      <c r="L458" s="164" t="s">
        <v>163</v>
      </c>
      <c r="M458" s="164">
        <v>69.900000000000006</v>
      </c>
      <c r="N458" s="164">
        <v>35.799999999999997</v>
      </c>
      <c r="O458" s="165">
        <v>27.8</v>
      </c>
      <c r="P458" s="165">
        <v>34.799999999999997</v>
      </c>
      <c r="Q458" s="164">
        <v>717</v>
      </c>
      <c r="R458" s="164">
        <v>797</v>
      </c>
      <c r="S458" s="166">
        <v>0.1</v>
      </c>
      <c r="T458" s="164" t="s">
        <v>163</v>
      </c>
      <c r="U458" s="164"/>
      <c r="V458" s="167">
        <v>41883</v>
      </c>
      <c r="W458" s="167">
        <v>41831</v>
      </c>
      <c r="X458" s="164" t="s">
        <v>387</v>
      </c>
      <c r="Y458" s="164" t="s">
        <v>1287</v>
      </c>
      <c r="Z458" s="164" t="s">
        <v>163</v>
      </c>
      <c r="AA458" s="168" t="s">
        <v>184</v>
      </c>
      <c r="AB458" s="168" t="s">
        <v>191</v>
      </c>
      <c r="AC458" s="168" t="s">
        <v>162</v>
      </c>
      <c r="AD458" s="168" t="s">
        <v>163</v>
      </c>
      <c r="AE458" s="168" t="s">
        <v>163</v>
      </c>
      <c r="AF458" s="168" t="s">
        <v>182</v>
      </c>
      <c r="AG458" s="168" t="s">
        <v>182</v>
      </c>
      <c r="AH458" s="168" t="str">
        <f t="shared" si="37"/>
        <v>Refrigerator-Bottom Freezer-Automatic-No-No-Yes-Yes</v>
      </c>
      <c r="AI458" s="168" t="s">
        <v>269</v>
      </c>
      <c r="AJ458" s="168">
        <v>9.25</v>
      </c>
      <c r="AK458" s="169">
        <v>475.4</v>
      </c>
      <c r="AL458" s="169">
        <f t="shared" si="38"/>
        <v>797.3</v>
      </c>
      <c r="AM458" s="168">
        <f t="shared" si="39"/>
        <v>797</v>
      </c>
      <c r="AN458" s="168">
        <f t="shared" si="40"/>
        <v>717</v>
      </c>
      <c r="AO458" s="164" t="str">
        <f t="shared" si="41"/>
        <v>Yes</v>
      </c>
      <c r="AP458" s="164">
        <f t="shared" si="42"/>
        <v>80</v>
      </c>
    </row>
    <row r="459" spans="2:42">
      <c r="B459" s="164">
        <v>2215226</v>
      </c>
      <c r="C459" s="164" t="s">
        <v>1285</v>
      </c>
      <c r="D459" s="164" t="s">
        <v>1288</v>
      </c>
      <c r="E459" s="164"/>
      <c r="F459" s="164" t="s">
        <v>191</v>
      </c>
      <c r="G459" s="164" t="s">
        <v>162</v>
      </c>
      <c r="H459" s="164" t="s">
        <v>163</v>
      </c>
      <c r="I459" s="164" t="s">
        <v>163</v>
      </c>
      <c r="J459" s="164" t="s">
        <v>182</v>
      </c>
      <c r="K459" s="164" t="s">
        <v>182</v>
      </c>
      <c r="L459" s="164" t="s">
        <v>182</v>
      </c>
      <c r="M459" s="164">
        <v>69.900000000000006</v>
      </c>
      <c r="N459" s="164">
        <v>35.799999999999997</v>
      </c>
      <c r="O459" s="165">
        <v>22.2</v>
      </c>
      <c r="P459" s="165">
        <v>27.6</v>
      </c>
      <c r="Q459" s="164">
        <v>657</v>
      </c>
      <c r="R459" s="164">
        <v>731</v>
      </c>
      <c r="S459" s="166">
        <v>0.1</v>
      </c>
      <c r="T459" s="164" t="s">
        <v>163</v>
      </c>
      <c r="U459" s="164"/>
      <c r="V459" s="167">
        <v>41883</v>
      </c>
      <c r="W459" s="167">
        <v>41831</v>
      </c>
      <c r="X459" s="164" t="s">
        <v>387</v>
      </c>
      <c r="Y459" s="164" t="s">
        <v>1289</v>
      </c>
      <c r="Z459" s="164" t="s">
        <v>163</v>
      </c>
      <c r="AA459" s="168" t="s">
        <v>184</v>
      </c>
      <c r="AB459" s="168" t="s">
        <v>191</v>
      </c>
      <c r="AC459" s="168" t="s">
        <v>162</v>
      </c>
      <c r="AD459" s="168" t="s">
        <v>163</v>
      </c>
      <c r="AE459" s="168" t="s">
        <v>163</v>
      </c>
      <c r="AF459" s="168" t="s">
        <v>182</v>
      </c>
      <c r="AG459" s="168" t="s">
        <v>182</v>
      </c>
      <c r="AH459" s="168" t="str">
        <f t="shared" si="37"/>
        <v>Refrigerator-Bottom Freezer-Automatic-No-No-Yes-Yes</v>
      </c>
      <c r="AI459" s="168" t="s">
        <v>269</v>
      </c>
      <c r="AJ459" s="168">
        <v>9.25</v>
      </c>
      <c r="AK459" s="169">
        <v>475.4</v>
      </c>
      <c r="AL459" s="169">
        <f t="shared" si="38"/>
        <v>730.7</v>
      </c>
      <c r="AM459" s="168">
        <f t="shared" si="39"/>
        <v>731</v>
      </c>
      <c r="AN459" s="168">
        <f t="shared" si="40"/>
        <v>657</v>
      </c>
      <c r="AO459" s="164" t="str">
        <f t="shared" si="41"/>
        <v>Yes</v>
      </c>
      <c r="AP459" s="164">
        <f t="shared" si="42"/>
        <v>74</v>
      </c>
    </row>
    <row r="460" spans="2:42">
      <c r="B460" s="164">
        <v>2218153</v>
      </c>
      <c r="C460" s="164" t="s">
        <v>1290</v>
      </c>
      <c r="D460" s="164" t="s">
        <v>1291</v>
      </c>
      <c r="E460" s="164"/>
      <c r="F460" s="164" t="s">
        <v>195</v>
      </c>
      <c r="G460" s="164" t="s">
        <v>162</v>
      </c>
      <c r="H460" s="164" t="s">
        <v>163</v>
      </c>
      <c r="I460" s="164" t="s">
        <v>182</v>
      </c>
      <c r="J460" s="164" t="s">
        <v>163</v>
      </c>
      <c r="K460" s="164" t="s">
        <v>163</v>
      </c>
      <c r="L460" s="164" t="s">
        <v>163</v>
      </c>
      <c r="M460" s="164">
        <v>84</v>
      </c>
      <c r="N460" s="164">
        <v>36</v>
      </c>
      <c r="O460" s="165">
        <v>22</v>
      </c>
      <c r="P460" s="165">
        <v>22</v>
      </c>
      <c r="Q460" s="164">
        <v>363</v>
      </c>
      <c r="R460" s="164">
        <v>405</v>
      </c>
      <c r="S460" s="166">
        <v>0.1</v>
      </c>
      <c r="T460" s="164" t="s">
        <v>163</v>
      </c>
      <c r="U460" s="164"/>
      <c r="V460" s="167">
        <v>41883</v>
      </c>
      <c r="W460" s="167">
        <v>41878</v>
      </c>
      <c r="X460" s="164" t="s">
        <v>387</v>
      </c>
      <c r="Y460" s="164" t="s">
        <v>1292</v>
      </c>
      <c r="Z460" s="164" t="s">
        <v>163</v>
      </c>
      <c r="AA460" s="168" t="s">
        <v>184</v>
      </c>
      <c r="AB460" s="168" t="s">
        <v>195</v>
      </c>
      <c r="AC460" s="168" t="s">
        <v>162</v>
      </c>
      <c r="AD460" s="168" t="s">
        <v>163</v>
      </c>
      <c r="AE460" s="168" t="s">
        <v>182</v>
      </c>
      <c r="AF460" s="168" t="s">
        <v>163</v>
      </c>
      <c r="AG460" s="168" t="s">
        <v>163</v>
      </c>
      <c r="AH460" s="168" t="str">
        <f t="shared" si="37"/>
        <v>Refrigerator-Freezerless and Single Door-Automatic-No-Yes-No-No</v>
      </c>
      <c r="AI460" s="168"/>
      <c r="AJ460" s="168" t="b">
        <v>0</v>
      </c>
      <c r="AK460" s="169" t="b">
        <v>0</v>
      </c>
      <c r="AL460" s="169">
        <f t="shared" si="38"/>
        <v>0</v>
      </c>
      <c r="AM460" s="168">
        <f t="shared" si="39"/>
        <v>405</v>
      </c>
      <c r="AN460" s="168">
        <f t="shared" si="40"/>
        <v>363</v>
      </c>
      <c r="AO460" s="164" t="str">
        <f t="shared" si="41"/>
        <v>Yes</v>
      </c>
      <c r="AP460" s="164">
        <f t="shared" si="42"/>
        <v>42</v>
      </c>
    </row>
    <row r="461" spans="2:42">
      <c r="B461" s="164">
        <v>2218154</v>
      </c>
      <c r="C461" s="164" t="s">
        <v>1290</v>
      </c>
      <c r="D461" s="164" t="s">
        <v>1293</v>
      </c>
      <c r="E461" s="164"/>
      <c r="F461" s="164" t="s">
        <v>195</v>
      </c>
      <c r="G461" s="164" t="s">
        <v>162</v>
      </c>
      <c r="H461" s="164" t="s">
        <v>163</v>
      </c>
      <c r="I461" s="164" t="s">
        <v>182</v>
      </c>
      <c r="J461" s="164" t="s">
        <v>163</v>
      </c>
      <c r="K461" s="164" t="s">
        <v>163</v>
      </c>
      <c r="L461" s="164" t="s">
        <v>163</v>
      </c>
      <c r="M461" s="164">
        <v>84</v>
      </c>
      <c r="N461" s="164">
        <v>36</v>
      </c>
      <c r="O461" s="165">
        <v>22</v>
      </c>
      <c r="P461" s="165">
        <v>22</v>
      </c>
      <c r="Q461" s="164">
        <v>363</v>
      </c>
      <c r="R461" s="164">
        <v>405</v>
      </c>
      <c r="S461" s="166">
        <v>0.1</v>
      </c>
      <c r="T461" s="164" t="s">
        <v>163</v>
      </c>
      <c r="U461" s="164"/>
      <c r="V461" s="167">
        <v>41883</v>
      </c>
      <c r="W461" s="167">
        <v>41878</v>
      </c>
      <c r="X461" s="164" t="s">
        <v>387</v>
      </c>
      <c r="Y461" s="164" t="s">
        <v>1294</v>
      </c>
      <c r="Z461" s="164" t="s">
        <v>163</v>
      </c>
      <c r="AA461" s="168" t="s">
        <v>184</v>
      </c>
      <c r="AB461" s="168" t="s">
        <v>195</v>
      </c>
      <c r="AC461" s="168" t="s">
        <v>162</v>
      </c>
      <c r="AD461" s="168" t="s">
        <v>163</v>
      </c>
      <c r="AE461" s="168" t="s">
        <v>182</v>
      </c>
      <c r="AF461" s="168" t="s">
        <v>163</v>
      </c>
      <c r="AG461" s="168" t="s">
        <v>163</v>
      </c>
      <c r="AH461" s="168" t="str">
        <f t="shared" ref="AH461:AH524" si="43">CONCATENATE(AA461,"-",AB461,"-",AC461,"-",AD461,"-",AE461,"-",AF461,"-",AG461)</f>
        <v>Refrigerator-Freezerless and Single Door-Automatic-No-Yes-No-No</v>
      </c>
      <c r="AI461" s="168"/>
      <c r="AJ461" s="168" t="b">
        <v>0</v>
      </c>
      <c r="AK461" s="169" t="b">
        <v>0</v>
      </c>
      <c r="AL461" s="169">
        <f t="shared" ref="AL461:AL524" si="44">AJ461*P461+AK461</f>
        <v>0</v>
      </c>
      <c r="AM461" s="168">
        <f t="shared" ref="AM461:AM524" si="45">R461</f>
        <v>405</v>
      </c>
      <c r="AN461" s="168">
        <f t="shared" ref="AN461:AN524" si="46">Q461</f>
        <v>363</v>
      </c>
      <c r="AO461" s="164" t="str">
        <f t="shared" ref="AO461:AO524" si="47">IF(AN461&lt;AM461,"Yes","No")</f>
        <v>Yes</v>
      </c>
      <c r="AP461" s="164">
        <f t="shared" ref="AP461:AP524" si="48">AM461-AN461</f>
        <v>42</v>
      </c>
    </row>
    <row r="462" spans="2:42">
      <c r="B462" s="164">
        <v>2218155</v>
      </c>
      <c r="C462" s="164" t="s">
        <v>1290</v>
      </c>
      <c r="D462" s="164" t="s">
        <v>1295</v>
      </c>
      <c r="E462" s="164"/>
      <c r="F462" s="164" t="s">
        <v>195</v>
      </c>
      <c r="G462" s="164" t="s">
        <v>162</v>
      </c>
      <c r="H462" s="164" t="s">
        <v>163</v>
      </c>
      <c r="I462" s="164" t="s">
        <v>182</v>
      </c>
      <c r="J462" s="164" t="s">
        <v>163</v>
      </c>
      <c r="K462" s="164" t="s">
        <v>163</v>
      </c>
      <c r="L462" s="164" t="s">
        <v>163</v>
      </c>
      <c r="M462" s="164">
        <v>84</v>
      </c>
      <c r="N462" s="164">
        <v>36</v>
      </c>
      <c r="O462" s="165">
        <v>22</v>
      </c>
      <c r="P462" s="165">
        <v>22</v>
      </c>
      <c r="Q462" s="164">
        <v>363</v>
      </c>
      <c r="R462" s="164">
        <v>405</v>
      </c>
      <c r="S462" s="166">
        <v>0.1</v>
      </c>
      <c r="T462" s="164" t="s">
        <v>163</v>
      </c>
      <c r="U462" s="164"/>
      <c r="V462" s="167">
        <v>41883</v>
      </c>
      <c r="W462" s="167">
        <v>41878</v>
      </c>
      <c r="X462" s="164" t="s">
        <v>387</v>
      </c>
      <c r="Y462" s="164" t="s">
        <v>1296</v>
      </c>
      <c r="Z462" s="164" t="s">
        <v>163</v>
      </c>
      <c r="AA462" s="168" t="s">
        <v>184</v>
      </c>
      <c r="AB462" s="168" t="s">
        <v>195</v>
      </c>
      <c r="AC462" s="168" t="s">
        <v>162</v>
      </c>
      <c r="AD462" s="168" t="s">
        <v>163</v>
      </c>
      <c r="AE462" s="168" t="s">
        <v>182</v>
      </c>
      <c r="AF462" s="168" t="s">
        <v>163</v>
      </c>
      <c r="AG462" s="168" t="s">
        <v>163</v>
      </c>
      <c r="AH462" s="168" t="str">
        <f t="shared" si="43"/>
        <v>Refrigerator-Freezerless and Single Door-Automatic-No-Yes-No-No</v>
      </c>
      <c r="AI462" s="168"/>
      <c r="AJ462" s="168" t="b">
        <v>0</v>
      </c>
      <c r="AK462" s="169" t="b">
        <v>0</v>
      </c>
      <c r="AL462" s="169">
        <f t="shared" si="44"/>
        <v>0</v>
      </c>
      <c r="AM462" s="168">
        <f t="shared" si="45"/>
        <v>405</v>
      </c>
      <c r="AN462" s="168">
        <f t="shared" si="46"/>
        <v>363</v>
      </c>
      <c r="AO462" s="164" t="str">
        <f t="shared" si="47"/>
        <v>Yes</v>
      </c>
      <c r="AP462" s="164">
        <f t="shared" si="48"/>
        <v>42</v>
      </c>
    </row>
    <row r="463" spans="2:42">
      <c r="B463" s="164">
        <v>2216274</v>
      </c>
      <c r="C463" s="164" t="s">
        <v>180</v>
      </c>
      <c r="D463" s="164" t="s">
        <v>1297</v>
      </c>
      <c r="E463" s="164"/>
      <c r="F463" s="164" t="s">
        <v>191</v>
      </c>
      <c r="G463" s="164" t="s">
        <v>162</v>
      </c>
      <c r="H463" s="164" t="s">
        <v>163</v>
      </c>
      <c r="I463" s="164" t="s">
        <v>163</v>
      </c>
      <c r="J463" s="164" t="s">
        <v>182</v>
      </c>
      <c r="K463" s="164" t="s">
        <v>182</v>
      </c>
      <c r="L463" s="164" t="s">
        <v>163</v>
      </c>
      <c r="M463" s="164">
        <v>69.900000000000006</v>
      </c>
      <c r="N463" s="164">
        <v>35.9</v>
      </c>
      <c r="O463" s="165">
        <v>27.7</v>
      </c>
      <c r="P463" s="165">
        <v>34.700000000000003</v>
      </c>
      <c r="Q463" s="164">
        <v>716</v>
      </c>
      <c r="R463" s="164">
        <v>796</v>
      </c>
      <c r="S463" s="166">
        <v>0.1</v>
      </c>
      <c r="T463" s="164" t="s">
        <v>163</v>
      </c>
      <c r="U463" s="164"/>
      <c r="V463" s="167">
        <v>41883</v>
      </c>
      <c r="W463" s="167">
        <v>41842</v>
      </c>
      <c r="X463" s="164" t="s">
        <v>387</v>
      </c>
      <c r="Y463" s="164" t="s">
        <v>1298</v>
      </c>
      <c r="Z463" s="164" t="s">
        <v>163</v>
      </c>
      <c r="AA463" s="168" t="s">
        <v>184</v>
      </c>
      <c r="AB463" s="168" t="s">
        <v>191</v>
      </c>
      <c r="AC463" s="168" t="s">
        <v>162</v>
      </c>
      <c r="AD463" s="168" t="s">
        <v>163</v>
      </c>
      <c r="AE463" s="168" t="s">
        <v>163</v>
      </c>
      <c r="AF463" s="168" t="s">
        <v>182</v>
      </c>
      <c r="AG463" s="168" t="s">
        <v>182</v>
      </c>
      <c r="AH463" s="168" t="str">
        <f t="shared" si="43"/>
        <v>Refrigerator-Bottom Freezer-Automatic-No-No-Yes-Yes</v>
      </c>
      <c r="AI463" s="168" t="s">
        <v>269</v>
      </c>
      <c r="AJ463" s="168">
        <v>9.25</v>
      </c>
      <c r="AK463" s="169">
        <v>475.4</v>
      </c>
      <c r="AL463" s="169">
        <f t="shared" si="44"/>
        <v>796.375</v>
      </c>
      <c r="AM463" s="168">
        <f t="shared" si="45"/>
        <v>796</v>
      </c>
      <c r="AN463" s="168">
        <f t="shared" si="46"/>
        <v>716</v>
      </c>
      <c r="AO463" s="164" t="str">
        <f t="shared" si="47"/>
        <v>Yes</v>
      </c>
      <c r="AP463" s="164">
        <f t="shared" si="48"/>
        <v>80</v>
      </c>
    </row>
    <row r="464" spans="2:42">
      <c r="B464" s="164">
        <v>2218132</v>
      </c>
      <c r="C464" s="164" t="s">
        <v>180</v>
      </c>
      <c r="D464" s="164" t="s">
        <v>1299</v>
      </c>
      <c r="E464" s="164"/>
      <c r="F464" s="164" t="s">
        <v>192</v>
      </c>
      <c r="G464" s="164" t="s">
        <v>162</v>
      </c>
      <c r="H464" s="164" t="s">
        <v>163</v>
      </c>
      <c r="I464" s="164" t="s">
        <v>163</v>
      </c>
      <c r="J464" s="164" t="s">
        <v>182</v>
      </c>
      <c r="K464" s="164" t="s">
        <v>182</v>
      </c>
      <c r="L464" s="164" t="s">
        <v>163</v>
      </c>
      <c r="M464" s="164">
        <v>69.8</v>
      </c>
      <c r="N464" s="164">
        <v>31.3</v>
      </c>
      <c r="O464" s="165">
        <v>25.2</v>
      </c>
      <c r="P464" s="165">
        <v>32.1</v>
      </c>
      <c r="Q464" s="164">
        <v>635</v>
      </c>
      <c r="R464" s="164">
        <v>707</v>
      </c>
      <c r="S464" s="166">
        <v>0.1</v>
      </c>
      <c r="T464" s="164" t="s">
        <v>163</v>
      </c>
      <c r="U464" s="164"/>
      <c r="V464" s="167">
        <v>41883</v>
      </c>
      <c r="W464" s="167">
        <v>41878</v>
      </c>
      <c r="X464" s="164" t="s">
        <v>387</v>
      </c>
      <c r="Y464" s="164" t="s">
        <v>1300</v>
      </c>
      <c r="Z464" s="164" t="s">
        <v>163</v>
      </c>
      <c r="AA464" s="168" t="s">
        <v>184</v>
      </c>
      <c r="AB464" s="168" t="s">
        <v>192</v>
      </c>
      <c r="AC464" s="168" t="s">
        <v>162</v>
      </c>
      <c r="AD464" s="168" t="s">
        <v>163</v>
      </c>
      <c r="AE464" s="168" t="s">
        <v>163</v>
      </c>
      <c r="AF464" s="168" t="s">
        <v>182</v>
      </c>
      <c r="AG464" s="168" t="s">
        <v>182</v>
      </c>
      <c r="AH464" s="168" t="str">
        <f t="shared" si="43"/>
        <v>Refrigerator-Side-by-Side-Automatic-No-No-Yes-Yes</v>
      </c>
      <c r="AI464" s="168">
        <v>7</v>
      </c>
      <c r="AJ464" s="168">
        <v>8.5399999999999991</v>
      </c>
      <c r="AK464" s="169">
        <v>432.8</v>
      </c>
      <c r="AL464" s="169">
        <f t="shared" si="44"/>
        <v>706.93399999999997</v>
      </c>
      <c r="AM464" s="168">
        <f t="shared" si="45"/>
        <v>707</v>
      </c>
      <c r="AN464" s="168">
        <f t="shared" si="46"/>
        <v>635</v>
      </c>
      <c r="AO464" s="164" t="str">
        <f t="shared" si="47"/>
        <v>Yes</v>
      </c>
      <c r="AP464" s="164">
        <f t="shared" si="48"/>
        <v>72</v>
      </c>
    </row>
    <row r="465" spans="2:42">
      <c r="B465" s="164">
        <v>2218133</v>
      </c>
      <c r="C465" s="164" t="s">
        <v>180</v>
      </c>
      <c r="D465" s="164" t="s">
        <v>1301</v>
      </c>
      <c r="E465" s="164"/>
      <c r="F465" s="164" t="s">
        <v>192</v>
      </c>
      <c r="G465" s="164" t="s">
        <v>162</v>
      </c>
      <c r="H465" s="164" t="s">
        <v>163</v>
      </c>
      <c r="I465" s="164" t="s">
        <v>163</v>
      </c>
      <c r="J465" s="164" t="s">
        <v>182</v>
      </c>
      <c r="K465" s="164" t="s">
        <v>182</v>
      </c>
      <c r="L465" s="164" t="s">
        <v>163</v>
      </c>
      <c r="M465" s="164">
        <v>69.8</v>
      </c>
      <c r="N465" s="164">
        <v>31.3</v>
      </c>
      <c r="O465" s="165">
        <v>25.2</v>
      </c>
      <c r="P465" s="165">
        <v>32.1</v>
      </c>
      <c r="Q465" s="164">
        <v>635</v>
      </c>
      <c r="R465" s="164">
        <v>707</v>
      </c>
      <c r="S465" s="166">
        <v>0.1</v>
      </c>
      <c r="T465" s="164" t="s">
        <v>163</v>
      </c>
      <c r="U465" s="164"/>
      <c r="V465" s="167">
        <v>41883</v>
      </c>
      <c r="W465" s="167">
        <v>41878</v>
      </c>
      <c r="X465" s="164" t="s">
        <v>387</v>
      </c>
      <c r="Y465" s="164" t="s">
        <v>1302</v>
      </c>
      <c r="Z465" s="164" t="s">
        <v>163</v>
      </c>
      <c r="AA465" s="168" t="s">
        <v>184</v>
      </c>
      <c r="AB465" s="168" t="s">
        <v>192</v>
      </c>
      <c r="AC465" s="168" t="s">
        <v>162</v>
      </c>
      <c r="AD465" s="168" t="s">
        <v>163</v>
      </c>
      <c r="AE465" s="168" t="s">
        <v>163</v>
      </c>
      <c r="AF465" s="168" t="s">
        <v>182</v>
      </c>
      <c r="AG465" s="168" t="s">
        <v>182</v>
      </c>
      <c r="AH465" s="168" t="str">
        <f t="shared" si="43"/>
        <v>Refrigerator-Side-by-Side-Automatic-No-No-Yes-Yes</v>
      </c>
      <c r="AI465" s="168">
        <v>7</v>
      </c>
      <c r="AJ465" s="168">
        <v>8.5399999999999991</v>
      </c>
      <c r="AK465" s="169">
        <v>432.8</v>
      </c>
      <c r="AL465" s="169">
        <f t="shared" si="44"/>
        <v>706.93399999999997</v>
      </c>
      <c r="AM465" s="168">
        <f t="shared" si="45"/>
        <v>707</v>
      </c>
      <c r="AN465" s="168">
        <f t="shared" si="46"/>
        <v>635</v>
      </c>
      <c r="AO465" s="164" t="str">
        <f t="shared" si="47"/>
        <v>Yes</v>
      </c>
      <c r="AP465" s="164">
        <f t="shared" si="48"/>
        <v>72</v>
      </c>
    </row>
    <row r="466" spans="2:42">
      <c r="B466" s="164">
        <v>2203850</v>
      </c>
      <c r="C466" s="164" t="s">
        <v>180</v>
      </c>
      <c r="D466" s="164" t="s">
        <v>1303</v>
      </c>
      <c r="E466" s="164"/>
      <c r="F466" s="164" t="s">
        <v>191</v>
      </c>
      <c r="G466" s="164" t="s">
        <v>162</v>
      </c>
      <c r="H466" s="164" t="s">
        <v>163</v>
      </c>
      <c r="I466" s="164" t="s">
        <v>163</v>
      </c>
      <c r="J466" s="164" t="s">
        <v>163</v>
      </c>
      <c r="K466" s="164" t="s">
        <v>182</v>
      </c>
      <c r="L466" s="164" t="s">
        <v>163</v>
      </c>
      <c r="M466" s="164">
        <v>69</v>
      </c>
      <c r="N466" s="164">
        <v>35.9</v>
      </c>
      <c r="O466" s="165">
        <v>23.1</v>
      </c>
      <c r="P466" s="165">
        <v>28.5</v>
      </c>
      <c r="Q466" s="164">
        <v>588</v>
      </c>
      <c r="R466" s="164">
        <v>653</v>
      </c>
      <c r="S466" s="166">
        <v>0.1</v>
      </c>
      <c r="T466" s="164" t="s">
        <v>163</v>
      </c>
      <c r="U466" s="164"/>
      <c r="V466" s="167">
        <v>41730</v>
      </c>
      <c r="W466" s="167">
        <v>41681</v>
      </c>
      <c r="X466" s="164" t="s">
        <v>387</v>
      </c>
      <c r="Y466" s="164" t="s">
        <v>1304</v>
      </c>
      <c r="Z466" s="164" t="s">
        <v>163</v>
      </c>
      <c r="AA466" s="168" t="s">
        <v>184</v>
      </c>
      <c r="AB466" s="168" t="s">
        <v>191</v>
      </c>
      <c r="AC466" s="168" t="s">
        <v>162</v>
      </c>
      <c r="AD466" s="168" t="s">
        <v>163</v>
      </c>
      <c r="AE466" s="168" t="s">
        <v>163</v>
      </c>
      <c r="AF466" s="168" t="s">
        <v>163</v>
      </c>
      <c r="AG466" s="168" t="s">
        <v>182</v>
      </c>
      <c r="AH466" s="168" t="str">
        <f t="shared" si="43"/>
        <v>Refrigerator-Bottom Freezer-Automatic-No-No-No-Yes</v>
      </c>
      <c r="AI466" s="168" t="s">
        <v>261</v>
      </c>
      <c r="AJ466" s="168">
        <v>8.85</v>
      </c>
      <c r="AK466" s="169">
        <v>401</v>
      </c>
      <c r="AL466" s="169">
        <f t="shared" si="44"/>
        <v>653.22500000000002</v>
      </c>
      <c r="AM466" s="168">
        <f t="shared" si="45"/>
        <v>653</v>
      </c>
      <c r="AN466" s="168">
        <f t="shared" si="46"/>
        <v>588</v>
      </c>
      <c r="AO466" s="164" t="str">
        <f t="shared" si="47"/>
        <v>Yes</v>
      </c>
      <c r="AP466" s="164">
        <f t="shared" si="48"/>
        <v>65</v>
      </c>
    </row>
    <row r="467" spans="2:42">
      <c r="B467" s="164">
        <v>2203852</v>
      </c>
      <c r="C467" s="164" t="s">
        <v>180</v>
      </c>
      <c r="D467" s="164" t="s">
        <v>1305</v>
      </c>
      <c r="E467" s="164"/>
      <c r="F467" s="164" t="s">
        <v>191</v>
      </c>
      <c r="G467" s="164" t="s">
        <v>162</v>
      </c>
      <c r="H467" s="164" t="s">
        <v>163</v>
      </c>
      <c r="I467" s="164" t="s">
        <v>163</v>
      </c>
      <c r="J467" s="164" t="s">
        <v>163</v>
      </c>
      <c r="K467" s="164" t="s">
        <v>182</v>
      </c>
      <c r="L467" s="164" t="s">
        <v>163</v>
      </c>
      <c r="M467" s="164">
        <v>69</v>
      </c>
      <c r="N467" s="164">
        <v>35.9</v>
      </c>
      <c r="O467" s="165">
        <v>23.1</v>
      </c>
      <c r="P467" s="165">
        <v>28.5</v>
      </c>
      <c r="Q467" s="164">
        <v>588</v>
      </c>
      <c r="R467" s="164">
        <v>653</v>
      </c>
      <c r="S467" s="166">
        <v>0.1</v>
      </c>
      <c r="T467" s="164" t="s">
        <v>163</v>
      </c>
      <c r="U467" s="164"/>
      <c r="V467" s="167">
        <v>41730</v>
      </c>
      <c r="W467" s="167">
        <v>41681</v>
      </c>
      <c r="X467" s="164" t="s">
        <v>387</v>
      </c>
      <c r="Y467" s="164" t="s">
        <v>1306</v>
      </c>
      <c r="Z467" s="164" t="s">
        <v>163</v>
      </c>
      <c r="AA467" s="168" t="s">
        <v>184</v>
      </c>
      <c r="AB467" s="168" t="s">
        <v>191</v>
      </c>
      <c r="AC467" s="168" t="s">
        <v>162</v>
      </c>
      <c r="AD467" s="168" t="s">
        <v>163</v>
      </c>
      <c r="AE467" s="168" t="s">
        <v>163</v>
      </c>
      <c r="AF467" s="168" t="s">
        <v>163</v>
      </c>
      <c r="AG467" s="168" t="s">
        <v>182</v>
      </c>
      <c r="AH467" s="168" t="str">
        <f t="shared" si="43"/>
        <v>Refrigerator-Bottom Freezer-Automatic-No-No-No-Yes</v>
      </c>
      <c r="AI467" s="168" t="s">
        <v>261</v>
      </c>
      <c r="AJ467" s="168">
        <v>8.85</v>
      </c>
      <c r="AK467" s="169">
        <v>401</v>
      </c>
      <c r="AL467" s="169">
        <f t="shared" si="44"/>
        <v>653.22500000000002</v>
      </c>
      <c r="AM467" s="168">
        <f t="shared" si="45"/>
        <v>653</v>
      </c>
      <c r="AN467" s="168">
        <f t="shared" si="46"/>
        <v>588</v>
      </c>
      <c r="AO467" s="164" t="str">
        <f t="shared" si="47"/>
        <v>Yes</v>
      </c>
      <c r="AP467" s="164">
        <f t="shared" si="48"/>
        <v>65</v>
      </c>
    </row>
    <row r="468" spans="2:42">
      <c r="B468" s="164">
        <v>2203851</v>
      </c>
      <c r="C468" s="164" t="s">
        <v>180</v>
      </c>
      <c r="D468" s="164" t="s">
        <v>1307</v>
      </c>
      <c r="E468" s="164"/>
      <c r="F468" s="164" t="s">
        <v>191</v>
      </c>
      <c r="G468" s="164" t="s">
        <v>162</v>
      </c>
      <c r="H468" s="164" t="s">
        <v>163</v>
      </c>
      <c r="I468" s="164" t="s">
        <v>163</v>
      </c>
      <c r="J468" s="164" t="s">
        <v>163</v>
      </c>
      <c r="K468" s="164" t="s">
        <v>182</v>
      </c>
      <c r="L468" s="164" t="s">
        <v>163</v>
      </c>
      <c r="M468" s="164">
        <v>69</v>
      </c>
      <c r="N468" s="164">
        <v>35.9</v>
      </c>
      <c r="O468" s="165">
        <v>23.1</v>
      </c>
      <c r="P468" s="165">
        <v>28.5</v>
      </c>
      <c r="Q468" s="164">
        <v>588</v>
      </c>
      <c r="R468" s="164">
        <v>653</v>
      </c>
      <c r="S468" s="166">
        <v>0.1</v>
      </c>
      <c r="T468" s="164" t="s">
        <v>163</v>
      </c>
      <c r="U468" s="164"/>
      <c r="V468" s="167">
        <v>41730</v>
      </c>
      <c r="W468" s="167">
        <v>41681</v>
      </c>
      <c r="X468" s="164" t="s">
        <v>387</v>
      </c>
      <c r="Y468" s="164" t="s">
        <v>1308</v>
      </c>
      <c r="Z468" s="164" t="s">
        <v>163</v>
      </c>
      <c r="AA468" s="168" t="s">
        <v>184</v>
      </c>
      <c r="AB468" s="168" t="s">
        <v>191</v>
      </c>
      <c r="AC468" s="168" t="s">
        <v>162</v>
      </c>
      <c r="AD468" s="168" t="s">
        <v>163</v>
      </c>
      <c r="AE468" s="168" t="s">
        <v>163</v>
      </c>
      <c r="AF468" s="168" t="s">
        <v>163</v>
      </c>
      <c r="AG468" s="168" t="s">
        <v>182</v>
      </c>
      <c r="AH468" s="168" t="str">
        <f t="shared" si="43"/>
        <v>Refrigerator-Bottom Freezer-Automatic-No-No-No-Yes</v>
      </c>
      <c r="AI468" s="168" t="s">
        <v>261</v>
      </c>
      <c r="AJ468" s="168">
        <v>8.85</v>
      </c>
      <c r="AK468" s="169">
        <v>401</v>
      </c>
      <c r="AL468" s="169">
        <f t="shared" si="44"/>
        <v>653.22500000000002</v>
      </c>
      <c r="AM468" s="168">
        <f t="shared" si="45"/>
        <v>653</v>
      </c>
      <c r="AN468" s="168">
        <f t="shared" si="46"/>
        <v>588</v>
      </c>
      <c r="AO468" s="164" t="str">
        <f t="shared" si="47"/>
        <v>Yes</v>
      </c>
      <c r="AP468" s="164">
        <f t="shared" si="48"/>
        <v>65</v>
      </c>
    </row>
    <row r="469" spans="2:42">
      <c r="B469" s="164">
        <v>2216273</v>
      </c>
      <c r="C469" s="164" t="s">
        <v>180</v>
      </c>
      <c r="D469" s="164" t="s">
        <v>1309</v>
      </c>
      <c r="E469" s="164"/>
      <c r="F469" s="164" t="s">
        <v>191</v>
      </c>
      <c r="G469" s="164" t="s">
        <v>162</v>
      </c>
      <c r="H469" s="164" t="s">
        <v>163</v>
      </c>
      <c r="I469" s="164" t="s">
        <v>163</v>
      </c>
      <c r="J469" s="164" t="s">
        <v>182</v>
      </c>
      <c r="K469" s="164" t="s">
        <v>182</v>
      </c>
      <c r="L469" s="164" t="s">
        <v>163</v>
      </c>
      <c r="M469" s="164">
        <v>69.900000000000006</v>
      </c>
      <c r="N469" s="164">
        <v>35.9</v>
      </c>
      <c r="O469" s="165">
        <v>22.1</v>
      </c>
      <c r="P469" s="165">
        <v>27.5</v>
      </c>
      <c r="Q469" s="164">
        <v>656</v>
      </c>
      <c r="R469" s="164">
        <v>730</v>
      </c>
      <c r="S469" s="166">
        <v>0.1</v>
      </c>
      <c r="T469" s="164" t="s">
        <v>163</v>
      </c>
      <c r="U469" s="164"/>
      <c r="V469" s="167">
        <v>41883</v>
      </c>
      <c r="W469" s="167">
        <v>41842</v>
      </c>
      <c r="X469" s="164" t="s">
        <v>387</v>
      </c>
      <c r="Y469" s="164" t="s">
        <v>1310</v>
      </c>
      <c r="Z469" s="164" t="s">
        <v>163</v>
      </c>
      <c r="AA469" s="168" t="s">
        <v>184</v>
      </c>
      <c r="AB469" s="168" t="s">
        <v>191</v>
      </c>
      <c r="AC469" s="168" t="s">
        <v>162</v>
      </c>
      <c r="AD469" s="168" t="s">
        <v>163</v>
      </c>
      <c r="AE469" s="168" t="s">
        <v>163</v>
      </c>
      <c r="AF469" s="168" t="s">
        <v>182</v>
      </c>
      <c r="AG469" s="168" t="s">
        <v>182</v>
      </c>
      <c r="AH469" s="168" t="str">
        <f t="shared" si="43"/>
        <v>Refrigerator-Bottom Freezer-Automatic-No-No-Yes-Yes</v>
      </c>
      <c r="AI469" s="168" t="s">
        <v>269</v>
      </c>
      <c r="AJ469" s="168">
        <v>9.25</v>
      </c>
      <c r="AK469" s="169">
        <v>475.4</v>
      </c>
      <c r="AL469" s="169">
        <f t="shared" si="44"/>
        <v>729.77499999999998</v>
      </c>
      <c r="AM469" s="168">
        <f t="shared" si="45"/>
        <v>730</v>
      </c>
      <c r="AN469" s="168">
        <f t="shared" si="46"/>
        <v>656</v>
      </c>
      <c r="AO469" s="164" t="str">
        <f t="shared" si="47"/>
        <v>Yes</v>
      </c>
      <c r="AP469" s="164">
        <f t="shared" si="48"/>
        <v>74</v>
      </c>
    </row>
    <row r="470" spans="2:42">
      <c r="B470" s="164">
        <v>2199404</v>
      </c>
      <c r="C470" s="164" t="s">
        <v>181</v>
      </c>
      <c r="D470" s="164" t="s">
        <v>1311</v>
      </c>
      <c r="E470" s="164"/>
      <c r="F470" s="164" t="s">
        <v>194</v>
      </c>
      <c r="G470" s="164" t="s">
        <v>188</v>
      </c>
      <c r="H470" s="164" t="s">
        <v>182</v>
      </c>
      <c r="I470" s="164" t="s">
        <v>163</v>
      </c>
      <c r="J470" s="164" t="s">
        <v>163</v>
      </c>
      <c r="K470" s="164" t="s">
        <v>163</v>
      </c>
      <c r="L470" s="164" t="s">
        <v>182</v>
      </c>
      <c r="M470" s="164">
        <v>19.399999999999999</v>
      </c>
      <c r="N470" s="164">
        <v>18.8</v>
      </c>
      <c r="O470" s="165">
        <v>1.7</v>
      </c>
      <c r="P470" s="165">
        <v>1.7</v>
      </c>
      <c r="Q470" s="164">
        <v>200</v>
      </c>
      <c r="R470" s="164">
        <v>268</v>
      </c>
      <c r="S470" s="166">
        <v>0.25</v>
      </c>
      <c r="T470" s="164" t="s">
        <v>163</v>
      </c>
      <c r="U470" s="164"/>
      <c r="V470" s="167">
        <v>41640</v>
      </c>
      <c r="W470" s="167">
        <v>41635</v>
      </c>
      <c r="X470" s="164" t="s">
        <v>387</v>
      </c>
      <c r="Y470" s="164" t="s">
        <v>1312</v>
      </c>
      <c r="Z470" s="164" t="s">
        <v>163</v>
      </c>
      <c r="AA470" s="168" t="s">
        <v>184</v>
      </c>
      <c r="AB470" s="168" t="s">
        <v>194</v>
      </c>
      <c r="AC470" s="168" t="s">
        <v>188</v>
      </c>
      <c r="AD470" s="168" t="s">
        <v>182</v>
      </c>
      <c r="AE470" s="168" t="s">
        <v>163</v>
      </c>
      <c r="AF470" s="168" t="s">
        <v>163</v>
      </c>
      <c r="AG470" s="168" t="s">
        <v>163</v>
      </c>
      <c r="AH470" s="168" t="str">
        <f t="shared" si="43"/>
        <v>Refrigerator-Compact-Manual-Yes-No-No-No</v>
      </c>
      <c r="AI470" s="168" t="s">
        <v>315</v>
      </c>
      <c r="AJ470" s="168">
        <v>7.84</v>
      </c>
      <c r="AK470" s="169">
        <v>219.1</v>
      </c>
      <c r="AL470" s="169">
        <f t="shared" si="44"/>
        <v>232.428</v>
      </c>
      <c r="AM470" s="168">
        <f t="shared" si="45"/>
        <v>268</v>
      </c>
      <c r="AN470" s="168">
        <f t="shared" si="46"/>
        <v>200</v>
      </c>
      <c r="AO470" s="164" t="str">
        <f t="shared" si="47"/>
        <v>Yes</v>
      </c>
      <c r="AP470" s="164">
        <f t="shared" si="48"/>
        <v>68</v>
      </c>
    </row>
    <row r="471" spans="2:42">
      <c r="B471" s="164">
        <v>2199403</v>
      </c>
      <c r="C471" s="164" t="s">
        <v>181</v>
      </c>
      <c r="D471" s="164" t="s">
        <v>1313</v>
      </c>
      <c r="E471" s="164"/>
      <c r="F471" s="164" t="s">
        <v>194</v>
      </c>
      <c r="G471" s="164" t="s">
        <v>188</v>
      </c>
      <c r="H471" s="164" t="s">
        <v>182</v>
      </c>
      <c r="I471" s="164" t="s">
        <v>163</v>
      </c>
      <c r="J471" s="164" t="s">
        <v>163</v>
      </c>
      <c r="K471" s="164" t="s">
        <v>163</v>
      </c>
      <c r="L471" s="164" t="s">
        <v>182</v>
      </c>
      <c r="M471" s="164">
        <v>19.399999999999999</v>
      </c>
      <c r="N471" s="164">
        <v>18.8</v>
      </c>
      <c r="O471" s="165">
        <v>1.7</v>
      </c>
      <c r="P471" s="165">
        <v>1.7</v>
      </c>
      <c r="Q471" s="164">
        <v>200</v>
      </c>
      <c r="R471" s="164">
        <v>268</v>
      </c>
      <c r="S471" s="166">
        <v>0.25</v>
      </c>
      <c r="T471" s="164" t="s">
        <v>163</v>
      </c>
      <c r="U471" s="164"/>
      <c r="V471" s="167">
        <v>41640</v>
      </c>
      <c r="W471" s="167">
        <v>41635</v>
      </c>
      <c r="X471" s="164" t="s">
        <v>387</v>
      </c>
      <c r="Y471" s="164" t="s">
        <v>1314</v>
      </c>
      <c r="Z471" s="164" t="s">
        <v>163</v>
      </c>
      <c r="AA471" s="168" t="s">
        <v>184</v>
      </c>
      <c r="AB471" s="168" t="s">
        <v>194</v>
      </c>
      <c r="AC471" s="168" t="s">
        <v>188</v>
      </c>
      <c r="AD471" s="168" t="s">
        <v>182</v>
      </c>
      <c r="AE471" s="168" t="s">
        <v>163</v>
      </c>
      <c r="AF471" s="168" t="s">
        <v>163</v>
      </c>
      <c r="AG471" s="168" t="s">
        <v>163</v>
      </c>
      <c r="AH471" s="168" t="str">
        <f t="shared" si="43"/>
        <v>Refrigerator-Compact-Manual-Yes-No-No-No</v>
      </c>
      <c r="AI471" s="168" t="s">
        <v>315</v>
      </c>
      <c r="AJ471" s="168">
        <v>7.84</v>
      </c>
      <c r="AK471" s="169">
        <v>219.1</v>
      </c>
      <c r="AL471" s="169">
        <f t="shared" si="44"/>
        <v>232.428</v>
      </c>
      <c r="AM471" s="168">
        <f t="shared" si="45"/>
        <v>268</v>
      </c>
      <c r="AN471" s="168">
        <f t="shared" si="46"/>
        <v>200</v>
      </c>
      <c r="AO471" s="164" t="str">
        <f t="shared" si="47"/>
        <v>Yes</v>
      </c>
      <c r="AP471" s="164">
        <f t="shared" si="48"/>
        <v>68</v>
      </c>
    </row>
    <row r="472" spans="2:42">
      <c r="B472" s="164">
        <v>2198503</v>
      </c>
      <c r="C472" s="164" t="s">
        <v>181</v>
      </c>
      <c r="D472" s="164" t="s">
        <v>1315</v>
      </c>
      <c r="E472" s="164"/>
      <c r="F472" s="164" t="s">
        <v>194</v>
      </c>
      <c r="G472" s="164" t="s">
        <v>188</v>
      </c>
      <c r="H472" s="164" t="s">
        <v>182</v>
      </c>
      <c r="I472" s="164" t="s">
        <v>163</v>
      </c>
      <c r="J472" s="164" t="s">
        <v>163</v>
      </c>
      <c r="K472" s="164" t="s">
        <v>163</v>
      </c>
      <c r="L472" s="164" t="s">
        <v>182</v>
      </c>
      <c r="M472" s="164">
        <v>19.399999999999999</v>
      </c>
      <c r="N472" s="164">
        <v>18.8</v>
      </c>
      <c r="O472" s="165">
        <v>1.7</v>
      </c>
      <c r="P472" s="165">
        <v>1.7</v>
      </c>
      <c r="Q472" s="164">
        <v>200</v>
      </c>
      <c r="R472" s="164">
        <v>268</v>
      </c>
      <c r="S472" s="166">
        <v>0.25</v>
      </c>
      <c r="T472" s="164" t="s">
        <v>163</v>
      </c>
      <c r="U472" s="164"/>
      <c r="V472" s="167">
        <v>41640</v>
      </c>
      <c r="W472" s="167">
        <v>41591</v>
      </c>
      <c r="X472" s="164" t="s">
        <v>387</v>
      </c>
      <c r="Y472" s="164" t="s">
        <v>1316</v>
      </c>
      <c r="Z472" s="164" t="s">
        <v>163</v>
      </c>
      <c r="AA472" s="168" t="s">
        <v>184</v>
      </c>
      <c r="AB472" s="168" t="s">
        <v>194</v>
      </c>
      <c r="AC472" s="168" t="s">
        <v>188</v>
      </c>
      <c r="AD472" s="168" t="s">
        <v>182</v>
      </c>
      <c r="AE472" s="168" t="s">
        <v>163</v>
      </c>
      <c r="AF472" s="168" t="s">
        <v>163</v>
      </c>
      <c r="AG472" s="168" t="s">
        <v>163</v>
      </c>
      <c r="AH472" s="168" t="str">
        <f t="shared" si="43"/>
        <v>Refrigerator-Compact-Manual-Yes-No-No-No</v>
      </c>
      <c r="AI472" s="168" t="s">
        <v>315</v>
      </c>
      <c r="AJ472" s="168">
        <v>7.84</v>
      </c>
      <c r="AK472" s="169">
        <v>219.1</v>
      </c>
      <c r="AL472" s="169">
        <f t="shared" si="44"/>
        <v>232.428</v>
      </c>
      <c r="AM472" s="168">
        <f t="shared" si="45"/>
        <v>268</v>
      </c>
      <c r="AN472" s="168">
        <f t="shared" si="46"/>
        <v>200</v>
      </c>
      <c r="AO472" s="164" t="str">
        <f t="shared" si="47"/>
        <v>Yes</v>
      </c>
      <c r="AP472" s="164">
        <f t="shared" si="48"/>
        <v>68</v>
      </c>
    </row>
    <row r="473" spans="2:42">
      <c r="B473" s="164">
        <v>2199405</v>
      </c>
      <c r="C473" s="164" t="s">
        <v>181</v>
      </c>
      <c r="D473" s="164" t="s">
        <v>1315</v>
      </c>
      <c r="E473" s="164"/>
      <c r="F473" s="164" t="s">
        <v>194</v>
      </c>
      <c r="G473" s="164" t="s">
        <v>188</v>
      </c>
      <c r="H473" s="164" t="s">
        <v>182</v>
      </c>
      <c r="I473" s="164" t="s">
        <v>163</v>
      </c>
      <c r="J473" s="164" t="s">
        <v>163</v>
      </c>
      <c r="K473" s="164" t="s">
        <v>163</v>
      </c>
      <c r="L473" s="164" t="s">
        <v>182</v>
      </c>
      <c r="M473" s="164">
        <v>19.399999999999999</v>
      </c>
      <c r="N473" s="164">
        <v>18.8</v>
      </c>
      <c r="O473" s="165">
        <v>1.7</v>
      </c>
      <c r="P473" s="165">
        <v>1.7</v>
      </c>
      <c r="Q473" s="164">
        <v>200</v>
      </c>
      <c r="R473" s="164">
        <v>268</v>
      </c>
      <c r="S473" s="166">
        <v>0.25</v>
      </c>
      <c r="T473" s="164" t="s">
        <v>163</v>
      </c>
      <c r="U473" s="164"/>
      <c r="V473" s="167">
        <v>41640</v>
      </c>
      <c r="W473" s="167">
        <v>41635</v>
      </c>
      <c r="X473" s="164" t="s">
        <v>387</v>
      </c>
      <c r="Y473" s="164" t="s">
        <v>1317</v>
      </c>
      <c r="Z473" s="164" t="s">
        <v>163</v>
      </c>
      <c r="AA473" s="168" t="s">
        <v>184</v>
      </c>
      <c r="AB473" s="168" t="s">
        <v>194</v>
      </c>
      <c r="AC473" s="168" t="s">
        <v>188</v>
      </c>
      <c r="AD473" s="168" t="s">
        <v>182</v>
      </c>
      <c r="AE473" s="168" t="s">
        <v>163</v>
      </c>
      <c r="AF473" s="168" t="s">
        <v>163</v>
      </c>
      <c r="AG473" s="168" t="s">
        <v>163</v>
      </c>
      <c r="AH473" s="168" t="str">
        <f t="shared" si="43"/>
        <v>Refrigerator-Compact-Manual-Yes-No-No-No</v>
      </c>
      <c r="AI473" s="168" t="s">
        <v>315</v>
      </c>
      <c r="AJ473" s="168">
        <v>7.84</v>
      </c>
      <c r="AK473" s="169">
        <v>219.1</v>
      </c>
      <c r="AL473" s="169">
        <f t="shared" si="44"/>
        <v>232.428</v>
      </c>
      <c r="AM473" s="168">
        <f t="shared" si="45"/>
        <v>268</v>
      </c>
      <c r="AN473" s="168">
        <f t="shared" si="46"/>
        <v>200</v>
      </c>
      <c r="AO473" s="164" t="str">
        <f t="shared" si="47"/>
        <v>Yes</v>
      </c>
      <c r="AP473" s="164">
        <f t="shared" si="48"/>
        <v>68</v>
      </c>
    </row>
    <row r="474" spans="2:42">
      <c r="B474" s="164">
        <v>2198502</v>
      </c>
      <c r="C474" s="164" t="s">
        <v>181</v>
      </c>
      <c r="D474" s="164" t="s">
        <v>1318</v>
      </c>
      <c r="E474" s="164"/>
      <c r="F474" s="164" t="s">
        <v>194</v>
      </c>
      <c r="G474" s="164" t="s">
        <v>188</v>
      </c>
      <c r="H474" s="164" t="s">
        <v>182</v>
      </c>
      <c r="I474" s="164" t="s">
        <v>163</v>
      </c>
      <c r="J474" s="164" t="s">
        <v>163</v>
      </c>
      <c r="K474" s="164" t="s">
        <v>163</v>
      </c>
      <c r="L474" s="164" t="s">
        <v>182</v>
      </c>
      <c r="M474" s="164">
        <v>19.399999999999999</v>
      </c>
      <c r="N474" s="164">
        <v>18.8</v>
      </c>
      <c r="O474" s="165">
        <v>1.7</v>
      </c>
      <c r="P474" s="165">
        <v>1.7</v>
      </c>
      <c r="Q474" s="164">
        <v>200</v>
      </c>
      <c r="R474" s="164">
        <v>268</v>
      </c>
      <c r="S474" s="166">
        <v>0.25</v>
      </c>
      <c r="T474" s="164" t="s">
        <v>163</v>
      </c>
      <c r="U474" s="164"/>
      <c r="V474" s="167">
        <v>41640</v>
      </c>
      <c r="W474" s="167">
        <v>41591</v>
      </c>
      <c r="X474" s="164" t="s">
        <v>387</v>
      </c>
      <c r="Y474" s="164" t="s">
        <v>1319</v>
      </c>
      <c r="Z474" s="164" t="s">
        <v>163</v>
      </c>
      <c r="AA474" s="168" t="s">
        <v>184</v>
      </c>
      <c r="AB474" s="168" t="s">
        <v>194</v>
      </c>
      <c r="AC474" s="168" t="s">
        <v>188</v>
      </c>
      <c r="AD474" s="168" t="s">
        <v>182</v>
      </c>
      <c r="AE474" s="168" t="s">
        <v>163</v>
      </c>
      <c r="AF474" s="168" t="s">
        <v>163</v>
      </c>
      <c r="AG474" s="168" t="s">
        <v>163</v>
      </c>
      <c r="AH474" s="168" t="str">
        <f t="shared" si="43"/>
        <v>Refrigerator-Compact-Manual-Yes-No-No-No</v>
      </c>
      <c r="AI474" s="168" t="s">
        <v>315</v>
      </c>
      <c r="AJ474" s="168">
        <v>7.84</v>
      </c>
      <c r="AK474" s="169">
        <v>219.1</v>
      </c>
      <c r="AL474" s="169">
        <f t="shared" si="44"/>
        <v>232.428</v>
      </c>
      <c r="AM474" s="168">
        <f t="shared" si="45"/>
        <v>268</v>
      </c>
      <c r="AN474" s="168">
        <f t="shared" si="46"/>
        <v>200</v>
      </c>
      <c r="AO474" s="164" t="str">
        <f t="shared" si="47"/>
        <v>Yes</v>
      </c>
      <c r="AP474" s="164">
        <f t="shared" si="48"/>
        <v>68</v>
      </c>
    </row>
    <row r="475" spans="2:42">
      <c r="B475" s="164">
        <v>2216318</v>
      </c>
      <c r="C475" s="164" t="s">
        <v>181</v>
      </c>
      <c r="D475" s="164" t="s">
        <v>1320</v>
      </c>
      <c r="E475" s="164"/>
      <c r="F475" s="164" t="s">
        <v>193</v>
      </c>
      <c r="G475" s="164" t="s">
        <v>162</v>
      </c>
      <c r="H475" s="164" t="s">
        <v>163</v>
      </c>
      <c r="I475" s="164" t="s">
        <v>163</v>
      </c>
      <c r="J475" s="164" t="s">
        <v>163</v>
      </c>
      <c r="K475" s="164" t="s">
        <v>163</v>
      </c>
      <c r="L475" s="164" t="s">
        <v>163</v>
      </c>
      <c r="M475" s="164">
        <v>65.5</v>
      </c>
      <c r="N475" s="164">
        <v>29.2</v>
      </c>
      <c r="O475" s="165">
        <v>18</v>
      </c>
      <c r="P475" s="165">
        <v>21.7</v>
      </c>
      <c r="Q475" s="164">
        <v>368</v>
      </c>
      <c r="R475" s="164">
        <v>409</v>
      </c>
      <c r="S475" s="166">
        <v>0.1</v>
      </c>
      <c r="T475" s="164" t="s">
        <v>163</v>
      </c>
      <c r="U475" s="164"/>
      <c r="V475" s="167">
        <v>41800</v>
      </c>
      <c r="W475" s="167">
        <v>41841</v>
      </c>
      <c r="X475" s="164" t="s">
        <v>387</v>
      </c>
      <c r="Y475" s="164" t="s">
        <v>1321</v>
      </c>
      <c r="Z475" s="164" t="s">
        <v>163</v>
      </c>
      <c r="AA475" s="168" t="s">
        <v>184</v>
      </c>
      <c r="AB475" s="168" t="s">
        <v>193</v>
      </c>
      <c r="AC475" s="168" t="s">
        <v>162</v>
      </c>
      <c r="AD475" s="168" t="s">
        <v>163</v>
      </c>
      <c r="AE475" s="168" t="s">
        <v>163</v>
      </c>
      <c r="AF475" s="168" t="s">
        <v>163</v>
      </c>
      <c r="AG475" s="168" t="s">
        <v>163</v>
      </c>
      <c r="AH475" s="168" t="str">
        <f t="shared" si="43"/>
        <v>Refrigerator-Top Freezer-Automatic-No-No-No-No</v>
      </c>
      <c r="AI475" s="168">
        <v>3</v>
      </c>
      <c r="AJ475" s="168">
        <v>8.07</v>
      </c>
      <c r="AK475" s="169">
        <v>233.7</v>
      </c>
      <c r="AL475" s="169">
        <f t="shared" si="44"/>
        <v>408.81899999999996</v>
      </c>
      <c r="AM475" s="168">
        <f t="shared" si="45"/>
        <v>409</v>
      </c>
      <c r="AN475" s="168">
        <f t="shared" si="46"/>
        <v>368</v>
      </c>
      <c r="AO475" s="164" t="str">
        <f t="shared" si="47"/>
        <v>Yes</v>
      </c>
      <c r="AP475" s="164">
        <f t="shared" si="48"/>
        <v>41</v>
      </c>
    </row>
    <row r="476" spans="2:42">
      <c r="B476" s="164">
        <v>2216319</v>
      </c>
      <c r="C476" s="164" t="s">
        <v>181</v>
      </c>
      <c r="D476" s="164" t="s">
        <v>1322</v>
      </c>
      <c r="E476" s="164" t="s">
        <v>1323</v>
      </c>
      <c r="F476" s="164" t="s">
        <v>193</v>
      </c>
      <c r="G476" s="164" t="s">
        <v>162</v>
      </c>
      <c r="H476" s="164" t="s">
        <v>163</v>
      </c>
      <c r="I476" s="164" t="s">
        <v>163</v>
      </c>
      <c r="J476" s="164" t="s">
        <v>163</v>
      </c>
      <c r="K476" s="164" t="s">
        <v>163</v>
      </c>
      <c r="L476" s="164" t="s">
        <v>163</v>
      </c>
      <c r="M476" s="164">
        <v>66.900000000000006</v>
      </c>
      <c r="N476" s="164">
        <v>31.2</v>
      </c>
      <c r="O476" s="165">
        <v>20.6</v>
      </c>
      <c r="P476" s="165">
        <v>24.6</v>
      </c>
      <c r="Q476" s="164">
        <v>389</v>
      </c>
      <c r="R476" s="164">
        <v>432</v>
      </c>
      <c r="S476" s="166">
        <v>0.1</v>
      </c>
      <c r="T476" s="164" t="s">
        <v>163</v>
      </c>
      <c r="U476" s="164"/>
      <c r="V476" s="167">
        <v>41800</v>
      </c>
      <c r="W476" s="167">
        <v>41841</v>
      </c>
      <c r="X476" s="164" t="s">
        <v>387</v>
      </c>
      <c r="Y476" s="164" t="s">
        <v>1324</v>
      </c>
      <c r="Z476" s="164" t="s">
        <v>163</v>
      </c>
      <c r="AA476" s="168" t="s">
        <v>184</v>
      </c>
      <c r="AB476" s="168" t="s">
        <v>193</v>
      </c>
      <c r="AC476" s="168" t="s">
        <v>162</v>
      </c>
      <c r="AD476" s="168" t="s">
        <v>163</v>
      </c>
      <c r="AE476" s="168" t="s">
        <v>163</v>
      </c>
      <c r="AF476" s="168" t="s">
        <v>163</v>
      </c>
      <c r="AG476" s="168" t="s">
        <v>163</v>
      </c>
      <c r="AH476" s="168" t="str">
        <f t="shared" si="43"/>
        <v>Refrigerator-Top Freezer-Automatic-No-No-No-No</v>
      </c>
      <c r="AI476" s="168">
        <v>3</v>
      </c>
      <c r="AJ476" s="168">
        <v>8.07</v>
      </c>
      <c r="AK476" s="169">
        <v>233.7</v>
      </c>
      <c r="AL476" s="169">
        <f t="shared" si="44"/>
        <v>432.22199999999998</v>
      </c>
      <c r="AM476" s="168">
        <f t="shared" si="45"/>
        <v>432</v>
      </c>
      <c r="AN476" s="168">
        <f t="shared" si="46"/>
        <v>389</v>
      </c>
      <c r="AO476" s="164" t="str">
        <f t="shared" si="47"/>
        <v>Yes</v>
      </c>
      <c r="AP476" s="164">
        <f t="shared" si="48"/>
        <v>43</v>
      </c>
    </row>
    <row r="477" spans="2:42">
      <c r="B477" s="164">
        <v>2216710</v>
      </c>
      <c r="C477" s="164" t="s">
        <v>1325</v>
      </c>
      <c r="D477" s="164" t="s">
        <v>1326</v>
      </c>
      <c r="E477" s="164"/>
      <c r="F477" s="164" t="s">
        <v>193</v>
      </c>
      <c r="G477" s="164" t="s">
        <v>162</v>
      </c>
      <c r="H477" s="164" t="s">
        <v>163</v>
      </c>
      <c r="I477" s="164" t="s">
        <v>163</v>
      </c>
      <c r="J477" s="164" t="s">
        <v>163</v>
      </c>
      <c r="K477" s="164" t="s">
        <v>163</v>
      </c>
      <c r="L477" s="164" t="s">
        <v>163</v>
      </c>
      <c r="M477" s="164">
        <v>59.8</v>
      </c>
      <c r="N477" s="164">
        <v>24</v>
      </c>
      <c r="O477" s="165">
        <v>9.9</v>
      </c>
      <c r="P477" s="165">
        <v>9.9</v>
      </c>
      <c r="Q477" s="164">
        <v>296</v>
      </c>
      <c r="R477" s="164">
        <v>314</v>
      </c>
      <c r="S477" s="166">
        <v>0.06</v>
      </c>
      <c r="T477" s="164" t="s">
        <v>163</v>
      </c>
      <c r="U477" s="164"/>
      <c r="V477" s="167">
        <v>41791</v>
      </c>
      <c r="W477" s="167">
        <v>41778</v>
      </c>
      <c r="X477" s="164" t="s">
        <v>387</v>
      </c>
      <c r="Y477" s="164" t="s">
        <v>1327</v>
      </c>
      <c r="Z477" s="164" t="s">
        <v>163</v>
      </c>
      <c r="AA477" s="168" t="s">
        <v>184</v>
      </c>
      <c r="AB477" s="168" t="s">
        <v>193</v>
      </c>
      <c r="AC477" s="168" t="s">
        <v>162</v>
      </c>
      <c r="AD477" s="168" t="s">
        <v>163</v>
      </c>
      <c r="AE477" s="168" t="s">
        <v>163</v>
      </c>
      <c r="AF477" s="168" t="s">
        <v>163</v>
      </c>
      <c r="AG477" s="168" t="s">
        <v>163</v>
      </c>
      <c r="AH477" s="168" t="str">
        <f t="shared" si="43"/>
        <v>Refrigerator-Top Freezer-Automatic-No-No-No-No</v>
      </c>
      <c r="AI477" s="168">
        <v>3</v>
      </c>
      <c r="AJ477" s="168">
        <v>8.07</v>
      </c>
      <c r="AK477" s="169">
        <v>233.7</v>
      </c>
      <c r="AL477" s="169">
        <f t="shared" si="44"/>
        <v>313.59299999999996</v>
      </c>
      <c r="AM477" s="168">
        <f t="shared" si="45"/>
        <v>314</v>
      </c>
      <c r="AN477" s="168">
        <f t="shared" si="46"/>
        <v>296</v>
      </c>
      <c r="AO477" s="164" t="str">
        <f t="shared" si="47"/>
        <v>Yes</v>
      </c>
      <c r="AP477" s="164">
        <f t="shared" si="48"/>
        <v>18</v>
      </c>
    </row>
    <row r="478" spans="2:42">
      <c r="B478" s="164">
        <v>2216711</v>
      </c>
      <c r="C478" s="164" t="s">
        <v>1325</v>
      </c>
      <c r="D478" s="164" t="s">
        <v>1328</v>
      </c>
      <c r="E478" s="164"/>
      <c r="F478" s="164" t="s">
        <v>193</v>
      </c>
      <c r="G478" s="164" t="s">
        <v>162</v>
      </c>
      <c r="H478" s="164" t="s">
        <v>163</v>
      </c>
      <c r="I478" s="164" t="s">
        <v>163</v>
      </c>
      <c r="J478" s="164" t="s">
        <v>163</v>
      </c>
      <c r="K478" s="164" t="s">
        <v>163</v>
      </c>
      <c r="L478" s="164" t="s">
        <v>163</v>
      </c>
      <c r="M478" s="164">
        <v>59.8</v>
      </c>
      <c r="N478" s="164">
        <v>24</v>
      </c>
      <c r="O478" s="165">
        <v>11.5</v>
      </c>
      <c r="P478" s="165">
        <v>11.5</v>
      </c>
      <c r="Q478" s="164">
        <v>311</v>
      </c>
      <c r="R478" s="164">
        <v>327</v>
      </c>
      <c r="S478" s="166">
        <v>0.05</v>
      </c>
      <c r="T478" s="164" t="s">
        <v>163</v>
      </c>
      <c r="U478" s="164"/>
      <c r="V478" s="167">
        <v>41791</v>
      </c>
      <c r="W478" s="167">
        <v>41778</v>
      </c>
      <c r="X478" s="164" t="s">
        <v>387</v>
      </c>
      <c r="Y478" s="164" t="s">
        <v>1329</v>
      </c>
      <c r="Z478" s="164" t="s">
        <v>163</v>
      </c>
      <c r="AA478" s="168" t="s">
        <v>184</v>
      </c>
      <c r="AB478" s="168" t="s">
        <v>193</v>
      </c>
      <c r="AC478" s="168" t="s">
        <v>162</v>
      </c>
      <c r="AD478" s="168" t="s">
        <v>163</v>
      </c>
      <c r="AE478" s="168" t="s">
        <v>163</v>
      </c>
      <c r="AF478" s="168" t="s">
        <v>163</v>
      </c>
      <c r="AG478" s="168" t="s">
        <v>163</v>
      </c>
      <c r="AH478" s="168" t="str">
        <f t="shared" si="43"/>
        <v>Refrigerator-Top Freezer-Automatic-No-No-No-No</v>
      </c>
      <c r="AI478" s="168">
        <v>3</v>
      </c>
      <c r="AJ478" s="168">
        <v>8.07</v>
      </c>
      <c r="AK478" s="169">
        <v>233.7</v>
      </c>
      <c r="AL478" s="169">
        <f t="shared" si="44"/>
        <v>326.505</v>
      </c>
      <c r="AM478" s="168">
        <f t="shared" si="45"/>
        <v>327</v>
      </c>
      <c r="AN478" s="168">
        <f t="shared" si="46"/>
        <v>311</v>
      </c>
      <c r="AO478" s="164" t="str">
        <f t="shared" si="47"/>
        <v>Yes</v>
      </c>
      <c r="AP478" s="164">
        <f t="shared" si="48"/>
        <v>16</v>
      </c>
    </row>
    <row r="479" spans="2:42">
      <c r="B479" s="164">
        <v>2217822</v>
      </c>
      <c r="C479" s="164" t="s">
        <v>752</v>
      </c>
      <c r="D479" s="164" t="s">
        <v>1330</v>
      </c>
      <c r="E479" s="164"/>
      <c r="F479" s="164" t="s">
        <v>191</v>
      </c>
      <c r="G479" s="164" t="s">
        <v>162</v>
      </c>
      <c r="H479" s="164" t="s">
        <v>163</v>
      </c>
      <c r="I479" s="164" t="s">
        <v>163</v>
      </c>
      <c r="J479" s="164" t="s">
        <v>163</v>
      </c>
      <c r="K479" s="164" t="s">
        <v>163</v>
      </c>
      <c r="L479" s="164" t="s">
        <v>163</v>
      </c>
      <c r="M479" s="164">
        <v>73.2</v>
      </c>
      <c r="N479" s="164">
        <v>26.8</v>
      </c>
      <c r="O479" s="165">
        <v>14.1</v>
      </c>
      <c r="P479" s="165">
        <v>17.100000000000001</v>
      </c>
      <c r="Q479" s="164">
        <v>421</v>
      </c>
      <c r="R479" s="164">
        <v>468</v>
      </c>
      <c r="S479" s="166">
        <v>0.1</v>
      </c>
      <c r="T479" s="164" t="s">
        <v>163</v>
      </c>
      <c r="U479" s="164"/>
      <c r="V479" s="167">
        <v>41870</v>
      </c>
      <c r="W479" s="167">
        <v>41871</v>
      </c>
      <c r="X479" s="164" t="s">
        <v>387</v>
      </c>
      <c r="Y479" s="164" t="s">
        <v>1331</v>
      </c>
      <c r="Z479" s="164" t="s">
        <v>163</v>
      </c>
      <c r="AA479" s="168" t="s">
        <v>184</v>
      </c>
      <c r="AB479" s="168" t="s">
        <v>191</v>
      </c>
      <c r="AC479" s="168" t="s">
        <v>162</v>
      </c>
      <c r="AD479" s="168" t="s">
        <v>163</v>
      </c>
      <c r="AE479" s="168" t="s">
        <v>163</v>
      </c>
      <c r="AF479" s="168" t="s">
        <v>163</v>
      </c>
      <c r="AG479" s="168" t="s">
        <v>163</v>
      </c>
      <c r="AH479" s="168" t="str">
        <f t="shared" si="43"/>
        <v>Refrigerator-Bottom Freezer-Automatic-No-No-No-No</v>
      </c>
      <c r="AI479" s="168">
        <v>5</v>
      </c>
      <c r="AJ479" s="168">
        <v>8.85</v>
      </c>
      <c r="AK479" s="169">
        <v>317</v>
      </c>
      <c r="AL479" s="169">
        <f t="shared" si="44"/>
        <v>468.33500000000004</v>
      </c>
      <c r="AM479" s="168">
        <f t="shared" si="45"/>
        <v>468</v>
      </c>
      <c r="AN479" s="168">
        <f t="shared" si="46"/>
        <v>421</v>
      </c>
      <c r="AO479" s="164" t="str">
        <f t="shared" si="47"/>
        <v>Yes</v>
      </c>
      <c r="AP479" s="164">
        <f t="shared" si="48"/>
        <v>47</v>
      </c>
    </row>
    <row r="480" spans="2:42">
      <c r="B480" s="164">
        <v>2217823</v>
      </c>
      <c r="C480" s="164" t="s">
        <v>752</v>
      </c>
      <c r="D480" s="164" t="s">
        <v>1332</v>
      </c>
      <c r="E480" s="164"/>
      <c r="F480" s="164" t="s">
        <v>191</v>
      </c>
      <c r="G480" s="164" t="s">
        <v>162</v>
      </c>
      <c r="H480" s="164" t="s">
        <v>163</v>
      </c>
      <c r="I480" s="164" t="s">
        <v>163</v>
      </c>
      <c r="J480" s="164" t="s">
        <v>163</v>
      </c>
      <c r="K480" s="164" t="s">
        <v>163</v>
      </c>
      <c r="L480" s="164" t="s">
        <v>163</v>
      </c>
      <c r="M480" s="164">
        <v>73.2</v>
      </c>
      <c r="N480" s="164">
        <v>31.1</v>
      </c>
      <c r="O480" s="165">
        <v>17</v>
      </c>
      <c r="P480" s="165">
        <v>20.7</v>
      </c>
      <c r="Q480" s="164">
        <v>449</v>
      </c>
      <c r="R480" s="164">
        <v>500</v>
      </c>
      <c r="S480" s="166">
        <v>0.1</v>
      </c>
      <c r="T480" s="164" t="s">
        <v>163</v>
      </c>
      <c r="U480" s="164"/>
      <c r="V480" s="167">
        <v>41870</v>
      </c>
      <c r="W480" s="167">
        <v>41871</v>
      </c>
      <c r="X480" s="164" t="s">
        <v>387</v>
      </c>
      <c r="Y480" s="164" t="s">
        <v>1333</v>
      </c>
      <c r="Z480" s="164" t="s">
        <v>163</v>
      </c>
      <c r="AA480" s="168" t="s">
        <v>184</v>
      </c>
      <c r="AB480" s="168" t="s">
        <v>191</v>
      </c>
      <c r="AC480" s="168" t="s">
        <v>162</v>
      </c>
      <c r="AD480" s="168" t="s">
        <v>163</v>
      </c>
      <c r="AE480" s="168" t="s">
        <v>163</v>
      </c>
      <c r="AF480" s="168" t="s">
        <v>163</v>
      </c>
      <c r="AG480" s="168" t="s">
        <v>163</v>
      </c>
      <c r="AH480" s="168" t="str">
        <f t="shared" si="43"/>
        <v>Refrigerator-Bottom Freezer-Automatic-No-No-No-No</v>
      </c>
      <c r="AI480" s="168">
        <v>5</v>
      </c>
      <c r="AJ480" s="168">
        <v>8.85</v>
      </c>
      <c r="AK480" s="169">
        <v>317</v>
      </c>
      <c r="AL480" s="169">
        <f t="shared" si="44"/>
        <v>500.19499999999999</v>
      </c>
      <c r="AM480" s="168">
        <f t="shared" si="45"/>
        <v>500</v>
      </c>
      <c r="AN480" s="168">
        <f t="shared" si="46"/>
        <v>449</v>
      </c>
      <c r="AO480" s="164" t="str">
        <f t="shared" si="47"/>
        <v>Yes</v>
      </c>
      <c r="AP480" s="164">
        <f t="shared" si="48"/>
        <v>51</v>
      </c>
    </row>
    <row r="481" spans="2:42">
      <c r="B481" s="164">
        <v>2210362</v>
      </c>
      <c r="C481" s="164" t="s">
        <v>752</v>
      </c>
      <c r="D481" s="164" t="s">
        <v>1334</v>
      </c>
      <c r="E481" s="164"/>
      <c r="F481" s="164" t="s">
        <v>194</v>
      </c>
      <c r="G481" s="164" t="s">
        <v>162</v>
      </c>
      <c r="H481" s="164" t="s">
        <v>182</v>
      </c>
      <c r="I481" s="164" t="s">
        <v>163</v>
      </c>
      <c r="J481" s="164" t="s">
        <v>163</v>
      </c>
      <c r="K481" s="164" t="s">
        <v>163</v>
      </c>
      <c r="L481" s="164" t="s">
        <v>163</v>
      </c>
      <c r="M481" s="164">
        <v>33.700000000000003</v>
      </c>
      <c r="N481" s="164">
        <v>18.7</v>
      </c>
      <c r="O481" s="165">
        <v>2.9</v>
      </c>
      <c r="P481" s="165">
        <v>3.6</v>
      </c>
      <c r="Q481" s="164">
        <v>321</v>
      </c>
      <c r="R481" s="164">
        <v>357</v>
      </c>
      <c r="S481" s="166">
        <v>0.1</v>
      </c>
      <c r="T481" s="164" t="s">
        <v>163</v>
      </c>
      <c r="U481" s="164"/>
      <c r="V481" s="167">
        <v>41768</v>
      </c>
      <c r="W481" s="167">
        <v>41772</v>
      </c>
      <c r="X481" s="164" t="s">
        <v>387</v>
      </c>
      <c r="Y481" s="164" t="s">
        <v>1335</v>
      </c>
      <c r="Z481" s="164" t="s">
        <v>163</v>
      </c>
      <c r="AA481" s="168" t="s">
        <v>184</v>
      </c>
      <c r="AB481" s="168" t="s">
        <v>194</v>
      </c>
      <c r="AC481" s="168" t="s">
        <v>162</v>
      </c>
      <c r="AD481" s="168" t="s">
        <v>182</v>
      </c>
      <c r="AE481" s="168" t="s">
        <v>163</v>
      </c>
      <c r="AF481" s="168" t="s">
        <v>163</v>
      </c>
      <c r="AG481" s="168" t="s">
        <v>163</v>
      </c>
      <c r="AH481" s="168" t="str">
        <f t="shared" si="43"/>
        <v>Refrigerator-Compact-Automatic-Yes-No-No-No</v>
      </c>
      <c r="AI481" s="168" t="s">
        <v>329</v>
      </c>
      <c r="AJ481" s="168">
        <v>9.17</v>
      </c>
      <c r="AK481" s="169">
        <v>259.3</v>
      </c>
      <c r="AL481" s="169">
        <f t="shared" si="44"/>
        <v>292.31200000000001</v>
      </c>
      <c r="AM481" s="168">
        <f t="shared" si="45"/>
        <v>357</v>
      </c>
      <c r="AN481" s="168">
        <f t="shared" si="46"/>
        <v>321</v>
      </c>
      <c r="AO481" s="164" t="str">
        <f t="shared" si="47"/>
        <v>Yes</v>
      </c>
      <c r="AP481" s="164">
        <f t="shared" si="48"/>
        <v>36</v>
      </c>
    </row>
    <row r="482" spans="2:42">
      <c r="B482" s="164">
        <v>2210558</v>
      </c>
      <c r="C482" s="164" t="s">
        <v>752</v>
      </c>
      <c r="D482" s="164" t="s">
        <v>1336</v>
      </c>
      <c r="E482" s="164" t="s">
        <v>1337</v>
      </c>
      <c r="F482" s="164" t="s">
        <v>191</v>
      </c>
      <c r="G482" s="164" t="s">
        <v>162</v>
      </c>
      <c r="H482" s="164" t="s">
        <v>163</v>
      </c>
      <c r="I482" s="164" t="s">
        <v>163</v>
      </c>
      <c r="J482" s="164" t="s">
        <v>163</v>
      </c>
      <c r="K482" s="164" t="s">
        <v>163</v>
      </c>
      <c r="L482" s="164" t="s">
        <v>163</v>
      </c>
      <c r="M482" s="164">
        <v>79.099999999999994</v>
      </c>
      <c r="N482" s="164">
        <v>23.4</v>
      </c>
      <c r="O482" s="165">
        <v>13.3</v>
      </c>
      <c r="P482" s="165">
        <v>16</v>
      </c>
      <c r="Q482" s="164">
        <v>413</v>
      </c>
      <c r="R482" s="164">
        <v>459</v>
      </c>
      <c r="S482" s="166">
        <v>0.1</v>
      </c>
      <c r="T482" s="164" t="s">
        <v>163</v>
      </c>
      <c r="U482" s="164"/>
      <c r="V482" s="167">
        <v>41768</v>
      </c>
      <c r="W482" s="167">
        <v>41771</v>
      </c>
      <c r="X482" s="164" t="s">
        <v>387</v>
      </c>
      <c r="Y482" s="164" t="s">
        <v>1338</v>
      </c>
      <c r="Z482" s="164" t="s">
        <v>163</v>
      </c>
      <c r="AA482" s="168" t="s">
        <v>184</v>
      </c>
      <c r="AB482" s="168" t="s">
        <v>191</v>
      </c>
      <c r="AC482" s="168" t="s">
        <v>162</v>
      </c>
      <c r="AD482" s="168" t="s">
        <v>163</v>
      </c>
      <c r="AE482" s="168" t="s">
        <v>163</v>
      </c>
      <c r="AF482" s="168" t="s">
        <v>163</v>
      </c>
      <c r="AG482" s="168" t="s">
        <v>163</v>
      </c>
      <c r="AH482" s="168" t="str">
        <f t="shared" si="43"/>
        <v>Refrigerator-Bottom Freezer-Automatic-No-No-No-No</v>
      </c>
      <c r="AI482" s="168">
        <v>5</v>
      </c>
      <c r="AJ482" s="168">
        <v>8.85</v>
      </c>
      <c r="AK482" s="169">
        <v>317</v>
      </c>
      <c r="AL482" s="169">
        <f t="shared" si="44"/>
        <v>458.6</v>
      </c>
      <c r="AM482" s="168">
        <f t="shared" si="45"/>
        <v>459</v>
      </c>
      <c r="AN482" s="168">
        <f t="shared" si="46"/>
        <v>413</v>
      </c>
      <c r="AO482" s="164" t="str">
        <f t="shared" si="47"/>
        <v>Yes</v>
      </c>
      <c r="AP482" s="164">
        <f t="shared" si="48"/>
        <v>46</v>
      </c>
    </row>
    <row r="483" spans="2:42">
      <c r="B483" s="164">
        <v>2205161</v>
      </c>
      <c r="C483" s="164" t="s">
        <v>752</v>
      </c>
      <c r="D483" s="164" t="s">
        <v>1339</v>
      </c>
      <c r="E483" s="164" t="s">
        <v>1340</v>
      </c>
      <c r="F483" s="164" t="s">
        <v>194</v>
      </c>
      <c r="G483" s="164" t="s">
        <v>188</v>
      </c>
      <c r="H483" s="164" t="s">
        <v>182</v>
      </c>
      <c r="I483" s="164" t="s">
        <v>163</v>
      </c>
      <c r="J483" s="164" t="s">
        <v>163</v>
      </c>
      <c r="K483" s="164" t="s">
        <v>163</v>
      </c>
      <c r="L483" s="164" t="s">
        <v>163</v>
      </c>
      <c r="M483" s="164">
        <v>27.2</v>
      </c>
      <c r="N483" s="164">
        <v>17.3</v>
      </c>
      <c r="O483" s="165">
        <v>2.5</v>
      </c>
      <c r="P483" s="165">
        <v>2.5</v>
      </c>
      <c r="Q483" s="164">
        <v>214</v>
      </c>
      <c r="R483" s="164">
        <v>275</v>
      </c>
      <c r="S483" s="166">
        <v>0.22</v>
      </c>
      <c r="T483" s="164" t="s">
        <v>163</v>
      </c>
      <c r="U483" s="164"/>
      <c r="V483" s="167">
        <v>41695</v>
      </c>
      <c r="W483" s="167">
        <v>41697</v>
      </c>
      <c r="X483" s="164" t="s">
        <v>387</v>
      </c>
      <c r="Y483" s="164" t="s">
        <v>1341</v>
      </c>
      <c r="Z483" s="164" t="s">
        <v>163</v>
      </c>
      <c r="AA483" s="168" t="s">
        <v>184</v>
      </c>
      <c r="AB483" s="168" t="s">
        <v>194</v>
      </c>
      <c r="AC483" s="168" t="s">
        <v>188</v>
      </c>
      <c r="AD483" s="168" t="s">
        <v>182</v>
      </c>
      <c r="AE483" s="168" t="s">
        <v>163</v>
      </c>
      <c r="AF483" s="168" t="s">
        <v>163</v>
      </c>
      <c r="AG483" s="168" t="s">
        <v>163</v>
      </c>
      <c r="AH483" s="168" t="str">
        <f t="shared" si="43"/>
        <v>Refrigerator-Compact-Manual-Yes-No-No-No</v>
      </c>
      <c r="AI483" s="168" t="s">
        <v>315</v>
      </c>
      <c r="AJ483" s="168">
        <v>7.84</v>
      </c>
      <c r="AK483" s="169">
        <v>219.1</v>
      </c>
      <c r="AL483" s="169">
        <f t="shared" si="44"/>
        <v>238.7</v>
      </c>
      <c r="AM483" s="168">
        <f t="shared" si="45"/>
        <v>275</v>
      </c>
      <c r="AN483" s="168">
        <f t="shared" si="46"/>
        <v>214</v>
      </c>
      <c r="AO483" s="164" t="str">
        <f t="shared" si="47"/>
        <v>Yes</v>
      </c>
      <c r="AP483" s="164">
        <f t="shared" si="48"/>
        <v>61</v>
      </c>
    </row>
    <row r="484" spans="2:42">
      <c r="B484" s="164">
        <v>2205165</v>
      </c>
      <c r="C484" s="164" t="s">
        <v>752</v>
      </c>
      <c r="D484" s="164" t="s">
        <v>1342</v>
      </c>
      <c r="E484" s="164" t="s">
        <v>1343</v>
      </c>
      <c r="F484" s="164" t="s">
        <v>194</v>
      </c>
      <c r="G484" s="164" t="s">
        <v>188</v>
      </c>
      <c r="H484" s="164" t="s">
        <v>182</v>
      </c>
      <c r="I484" s="164" t="s">
        <v>163</v>
      </c>
      <c r="J484" s="164" t="s">
        <v>163</v>
      </c>
      <c r="K484" s="164" t="s">
        <v>163</v>
      </c>
      <c r="L484" s="164" t="s">
        <v>163</v>
      </c>
      <c r="M484" s="164">
        <v>33</v>
      </c>
      <c r="N484" s="164">
        <v>19</v>
      </c>
      <c r="O484" s="165">
        <v>3.4</v>
      </c>
      <c r="P484" s="165">
        <v>3.4</v>
      </c>
      <c r="Q484" s="164">
        <v>221</v>
      </c>
      <c r="R484" s="164">
        <v>283</v>
      </c>
      <c r="S484" s="166">
        <v>0.22</v>
      </c>
      <c r="T484" s="164" t="s">
        <v>163</v>
      </c>
      <c r="U484" s="164"/>
      <c r="V484" s="167">
        <v>41695</v>
      </c>
      <c r="W484" s="167">
        <v>41697</v>
      </c>
      <c r="X484" s="164" t="s">
        <v>387</v>
      </c>
      <c r="Y484" s="164" t="s">
        <v>1344</v>
      </c>
      <c r="Z484" s="164" t="s">
        <v>163</v>
      </c>
      <c r="AA484" s="168" t="s">
        <v>184</v>
      </c>
      <c r="AB484" s="168" t="s">
        <v>194</v>
      </c>
      <c r="AC484" s="168" t="s">
        <v>188</v>
      </c>
      <c r="AD484" s="168" t="s">
        <v>182</v>
      </c>
      <c r="AE484" s="168" t="s">
        <v>163</v>
      </c>
      <c r="AF484" s="168" t="s">
        <v>163</v>
      </c>
      <c r="AG484" s="168" t="s">
        <v>163</v>
      </c>
      <c r="AH484" s="168" t="str">
        <f t="shared" si="43"/>
        <v>Refrigerator-Compact-Manual-Yes-No-No-No</v>
      </c>
      <c r="AI484" s="168" t="s">
        <v>315</v>
      </c>
      <c r="AJ484" s="168">
        <v>7.84</v>
      </c>
      <c r="AK484" s="169">
        <v>219.1</v>
      </c>
      <c r="AL484" s="169">
        <f t="shared" si="44"/>
        <v>245.756</v>
      </c>
      <c r="AM484" s="168">
        <f t="shared" si="45"/>
        <v>283</v>
      </c>
      <c r="AN484" s="168">
        <f t="shared" si="46"/>
        <v>221</v>
      </c>
      <c r="AO484" s="164" t="str">
        <f t="shared" si="47"/>
        <v>Yes</v>
      </c>
      <c r="AP484" s="164">
        <f t="shared" si="48"/>
        <v>62</v>
      </c>
    </row>
    <row r="485" spans="2:42">
      <c r="B485" s="164">
        <v>2205157</v>
      </c>
      <c r="C485" s="164" t="s">
        <v>752</v>
      </c>
      <c r="D485" s="164" t="s">
        <v>1345</v>
      </c>
      <c r="E485" s="164"/>
      <c r="F485" s="164" t="s">
        <v>194</v>
      </c>
      <c r="G485" s="164" t="s">
        <v>188</v>
      </c>
      <c r="H485" s="164" t="s">
        <v>182</v>
      </c>
      <c r="I485" s="164" t="s">
        <v>163</v>
      </c>
      <c r="J485" s="164" t="s">
        <v>163</v>
      </c>
      <c r="K485" s="164" t="s">
        <v>163</v>
      </c>
      <c r="L485" s="164" t="s">
        <v>163</v>
      </c>
      <c r="M485" s="164">
        <v>32.299999999999997</v>
      </c>
      <c r="N485" s="164">
        <v>20.399999999999999</v>
      </c>
      <c r="O485" s="165">
        <v>4.2</v>
      </c>
      <c r="P485" s="165">
        <v>4.2</v>
      </c>
      <c r="Q485" s="164">
        <v>226</v>
      </c>
      <c r="R485" s="164">
        <v>290</v>
      </c>
      <c r="S485" s="166">
        <v>0.22</v>
      </c>
      <c r="T485" s="164" t="s">
        <v>163</v>
      </c>
      <c r="U485" s="164"/>
      <c r="V485" s="167">
        <v>41695</v>
      </c>
      <c r="W485" s="167">
        <v>41697</v>
      </c>
      <c r="X485" s="164" t="s">
        <v>387</v>
      </c>
      <c r="Y485" s="164" t="s">
        <v>1346</v>
      </c>
      <c r="Z485" s="164" t="s">
        <v>163</v>
      </c>
      <c r="AA485" s="168" t="s">
        <v>184</v>
      </c>
      <c r="AB485" s="168" t="s">
        <v>194</v>
      </c>
      <c r="AC485" s="168" t="s">
        <v>188</v>
      </c>
      <c r="AD485" s="168" t="s">
        <v>182</v>
      </c>
      <c r="AE485" s="168" t="s">
        <v>163</v>
      </c>
      <c r="AF485" s="168" t="s">
        <v>163</v>
      </c>
      <c r="AG485" s="168" t="s">
        <v>163</v>
      </c>
      <c r="AH485" s="168" t="str">
        <f t="shared" si="43"/>
        <v>Refrigerator-Compact-Manual-Yes-No-No-No</v>
      </c>
      <c r="AI485" s="168" t="s">
        <v>315</v>
      </c>
      <c r="AJ485" s="168">
        <v>7.84</v>
      </c>
      <c r="AK485" s="169">
        <v>219.1</v>
      </c>
      <c r="AL485" s="169">
        <f t="shared" si="44"/>
        <v>252.02799999999999</v>
      </c>
      <c r="AM485" s="168">
        <f t="shared" si="45"/>
        <v>290</v>
      </c>
      <c r="AN485" s="168">
        <f t="shared" si="46"/>
        <v>226</v>
      </c>
      <c r="AO485" s="164" t="str">
        <f t="shared" si="47"/>
        <v>Yes</v>
      </c>
      <c r="AP485" s="164">
        <f t="shared" si="48"/>
        <v>64</v>
      </c>
    </row>
    <row r="486" spans="2:42">
      <c r="B486" s="164">
        <v>2210465</v>
      </c>
      <c r="C486" s="164" t="s">
        <v>855</v>
      </c>
      <c r="D486" s="164" t="s">
        <v>1347</v>
      </c>
      <c r="E486" s="164"/>
      <c r="F486" s="164" t="s">
        <v>194</v>
      </c>
      <c r="G486" s="164" t="s">
        <v>188</v>
      </c>
      <c r="H486" s="164" t="s">
        <v>182</v>
      </c>
      <c r="I486" s="164" t="s">
        <v>163</v>
      </c>
      <c r="J486" s="164" t="s">
        <v>163</v>
      </c>
      <c r="K486" s="164" t="s">
        <v>163</v>
      </c>
      <c r="L486" s="164" t="s">
        <v>163</v>
      </c>
      <c r="M486" s="164">
        <v>24.8</v>
      </c>
      <c r="N486" s="164">
        <v>17.5</v>
      </c>
      <c r="O486" s="165">
        <v>2.4</v>
      </c>
      <c r="P486" s="165">
        <v>2.4</v>
      </c>
      <c r="Q486" s="164">
        <v>213</v>
      </c>
      <c r="R486" s="164">
        <v>274</v>
      </c>
      <c r="S486" s="166">
        <v>0.22</v>
      </c>
      <c r="T486" s="164" t="s">
        <v>163</v>
      </c>
      <c r="U486" s="164"/>
      <c r="V486" s="167">
        <v>41759</v>
      </c>
      <c r="W486" s="167">
        <v>41752</v>
      </c>
      <c r="X486" s="164" t="s">
        <v>506</v>
      </c>
      <c r="Y486" s="164" t="s">
        <v>1348</v>
      </c>
      <c r="Z486" s="164" t="s">
        <v>163</v>
      </c>
      <c r="AA486" s="168" t="s">
        <v>184</v>
      </c>
      <c r="AB486" s="168" t="s">
        <v>194</v>
      </c>
      <c r="AC486" s="168" t="s">
        <v>188</v>
      </c>
      <c r="AD486" s="168" t="s">
        <v>182</v>
      </c>
      <c r="AE486" s="168" t="s">
        <v>163</v>
      </c>
      <c r="AF486" s="168" t="s">
        <v>163</v>
      </c>
      <c r="AG486" s="168" t="s">
        <v>163</v>
      </c>
      <c r="AH486" s="168" t="str">
        <f t="shared" si="43"/>
        <v>Refrigerator-Compact-Manual-Yes-No-No-No</v>
      </c>
      <c r="AI486" s="168" t="s">
        <v>315</v>
      </c>
      <c r="AJ486" s="168">
        <v>7.84</v>
      </c>
      <c r="AK486" s="169">
        <v>219.1</v>
      </c>
      <c r="AL486" s="169">
        <f t="shared" si="44"/>
        <v>237.916</v>
      </c>
      <c r="AM486" s="168">
        <f t="shared" si="45"/>
        <v>274</v>
      </c>
      <c r="AN486" s="168">
        <f t="shared" si="46"/>
        <v>213</v>
      </c>
      <c r="AO486" s="164" t="str">
        <f t="shared" si="47"/>
        <v>Yes</v>
      </c>
      <c r="AP486" s="164">
        <f t="shared" si="48"/>
        <v>61</v>
      </c>
    </row>
    <row r="487" spans="2:42">
      <c r="B487" s="164">
        <v>2210468</v>
      </c>
      <c r="C487" s="164" t="s">
        <v>855</v>
      </c>
      <c r="D487" s="164" t="s">
        <v>1349</v>
      </c>
      <c r="E487" s="164"/>
      <c r="F487" s="164" t="s">
        <v>194</v>
      </c>
      <c r="G487" s="164" t="s">
        <v>188</v>
      </c>
      <c r="H487" s="164" t="s">
        <v>182</v>
      </c>
      <c r="I487" s="164" t="s">
        <v>163</v>
      </c>
      <c r="J487" s="164" t="s">
        <v>163</v>
      </c>
      <c r="K487" s="164" t="s">
        <v>163</v>
      </c>
      <c r="L487" s="164" t="s">
        <v>163</v>
      </c>
      <c r="M487" s="164">
        <v>26</v>
      </c>
      <c r="N487" s="164">
        <v>17.5</v>
      </c>
      <c r="O487" s="165">
        <v>2.6</v>
      </c>
      <c r="P487" s="165">
        <v>2.6</v>
      </c>
      <c r="Q487" s="164">
        <v>215</v>
      </c>
      <c r="R487" s="164">
        <v>276</v>
      </c>
      <c r="S487" s="166">
        <v>0.22</v>
      </c>
      <c r="T487" s="164" t="s">
        <v>163</v>
      </c>
      <c r="U487" s="164"/>
      <c r="V487" s="167">
        <v>41759</v>
      </c>
      <c r="W487" s="167">
        <v>41752</v>
      </c>
      <c r="X487" s="164" t="s">
        <v>506</v>
      </c>
      <c r="Y487" s="164" t="s">
        <v>1350</v>
      </c>
      <c r="Z487" s="164" t="s">
        <v>163</v>
      </c>
      <c r="AA487" s="168" t="s">
        <v>184</v>
      </c>
      <c r="AB487" s="168" t="s">
        <v>194</v>
      </c>
      <c r="AC487" s="168" t="s">
        <v>188</v>
      </c>
      <c r="AD487" s="168" t="s">
        <v>182</v>
      </c>
      <c r="AE487" s="168" t="s">
        <v>163</v>
      </c>
      <c r="AF487" s="168" t="s">
        <v>163</v>
      </c>
      <c r="AG487" s="168" t="s">
        <v>163</v>
      </c>
      <c r="AH487" s="168" t="str">
        <f t="shared" si="43"/>
        <v>Refrigerator-Compact-Manual-Yes-No-No-No</v>
      </c>
      <c r="AI487" s="168" t="s">
        <v>315</v>
      </c>
      <c r="AJ487" s="168">
        <v>7.84</v>
      </c>
      <c r="AK487" s="169">
        <v>219.1</v>
      </c>
      <c r="AL487" s="169">
        <f t="shared" si="44"/>
        <v>239.48399999999998</v>
      </c>
      <c r="AM487" s="168">
        <f t="shared" si="45"/>
        <v>276</v>
      </c>
      <c r="AN487" s="168">
        <f t="shared" si="46"/>
        <v>215</v>
      </c>
      <c r="AO487" s="164" t="str">
        <f t="shared" si="47"/>
        <v>Yes</v>
      </c>
      <c r="AP487" s="164">
        <f t="shared" si="48"/>
        <v>61</v>
      </c>
    </row>
    <row r="488" spans="2:42">
      <c r="B488" s="164">
        <v>2210478</v>
      </c>
      <c r="C488" s="164" t="s">
        <v>855</v>
      </c>
      <c r="D488" s="164" t="s">
        <v>1351</v>
      </c>
      <c r="E488" s="164"/>
      <c r="F488" s="164" t="s">
        <v>194</v>
      </c>
      <c r="G488" s="164" t="s">
        <v>188</v>
      </c>
      <c r="H488" s="164" t="s">
        <v>182</v>
      </c>
      <c r="I488" s="164" t="s">
        <v>163</v>
      </c>
      <c r="J488" s="164" t="s">
        <v>163</v>
      </c>
      <c r="K488" s="164" t="s">
        <v>163</v>
      </c>
      <c r="L488" s="164" t="s">
        <v>163</v>
      </c>
      <c r="M488" s="164">
        <v>26</v>
      </c>
      <c r="N488" s="164">
        <v>17.5</v>
      </c>
      <c r="O488" s="165">
        <v>2.6</v>
      </c>
      <c r="P488" s="165">
        <v>2.6</v>
      </c>
      <c r="Q488" s="164">
        <v>215</v>
      </c>
      <c r="R488" s="164">
        <v>276</v>
      </c>
      <c r="S488" s="166">
        <v>0.22</v>
      </c>
      <c r="T488" s="164" t="s">
        <v>163</v>
      </c>
      <c r="U488" s="164"/>
      <c r="V488" s="167">
        <v>41759</v>
      </c>
      <c r="W488" s="167">
        <v>41752</v>
      </c>
      <c r="X488" s="164" t="s">
        <v>506</v>
      </c>
      <c r="Y488" s="164" t="s">
        <v>1352</v>
      </c>
      <c r="Z488" s="164" t="s">
        <v>163</v>
      </c>
      <c r="AA488" s="168" t="s">
        <v>184</v>
      </c>
      <c r="AB488" s="168" t="s">
        <v>194</v>
      </c>
      <c r="AC488" s="168" t="s">
        <v>188</v>
      </c>
      <c r="AD488" s="168" t="s">
        <v>182</v>
      </c>
      <c r="AE488" s="168" t="s">
        <v>163</v>
      </c>
      <c r="AF488" s="168" t="s">
        <v>163</v>
      </c>
      <c r="AG488" s="168" t="s">
        <v>163</v>
      </c>
      <c r="AH488" s="168" t="str">
        <f t="shared" si="43"/>
        <v>Refrigerator-Compact-Manual-Yes-No-No-No</v>
      </c>
      <c r="AI488" s="168" t="s">
        <v>315</v>
      </c>
      <c r="AJ488" s="168">
        <v>7.84</v>
      </c>
      <c r="AK488" s="169">
        <v>219.1</v>
      </c>
      <c r="AL488" s="169">
        <f t="shared" si="44"/>
        <v>239.48399999999998</v>
      </c>
      <c r="AM488" s="168">
        <f t="shared" si="45"/>
        <v>276</v>
      </c>
      <c r="AN488" s="168">
        <f t="shared" si="46"/>
        <v>215</v>
      </c>
      <c r="AO488" s="164" t="str">
        <f t="shared" si="47"/>
        <v>Yes</v>
      </c>
      <c r="AP488" s="164">
        <f t="shared" si="48"/>
        <v>61</v>
      </c>
    </row>
    <row r="489" spans="2:42">
      <c r="B489" s="164">
        <v>2210469</v>
      </c>
      <c r="C489" s="164" t="s">
        <v>855</v>
      </c>
      <c r="D489" s="164" t="s">
        <v>1353</v>
      </c>
      <c r="E489" s="164"/>
      <c r="F489" s="164" t="s">
        <v>194</v>
      </c>
      <c r="G489" s="164" t="s">
        <v>188</v>
      </c>
      <c r="H489" s="164" t="s">
        <v>182</v>
      </c>
      <c r="I489" s="164" t="s">
        <v>163</v>
      </c>
      <c r="J489" s="164" t="s">
        <v>163</v>
      </c>
      <c r="K489" s="164" t="s">
        <v>163</v>
      </c>
      <c r="L489" s="164" t="s">
        <v>163</v>
      </c>
      <c r="M489" s="164">
        <v>26</v>
      </c>
      <c r="N489" s="164">
        <v>17.5</v>
      </c>
      <c r="O489" s="165">
        <v>2.6</v>
      </c>
      <c r="P489" s="165">
        <v>2.6</v>
      </c>
      <c r="Q489" s="164">
        <v>215</v>
      </c>
      <c r="R489" s="164">
        <v>276</v>
      </c>
      <c r="S489" s="166">
        <v>0.22</v>
      </c>
      <c r="T489" s="164" t="s">
        <v>163</v>
      </c>
      <c r="U489" s="164"/>
      <c r="V489" s="167">
        <v>41759</v>
      </c>
      <c r="W489" s="167">
        <v>41752</v>
      </c>
      <c r="X489" s="164" t="s">
        <v>506</v>
      </c>
      <c r="Y489" s="164" t="s">
        <v>1354</v>
      </c>
      <c r="Z489" s="164" t="s">
        <v>163</v>
      </c>
      <c r="AA489" s="168" t="s">
        <v>184</v>
      </c>
      <c r="AB489" s="168" t="s">
        <v>194</v>
      </c>
      <c r="AC489" s="168" t="s">
        <v>188</v>
      </c>
      <c r="AD489" s="168" t="s">
        <v>182</v>
      </c>
      <c r="AE489" s="168" t="s">
        <v>163</v>
      </c>
      <c r="AF489" s="168" t="s">
        <v>163</v>
      </c>
      <c r="AG489" s="168" t="s">
        <v>163</v>
      </c>
      <c r="AH489" s="168" t="str">
        <f t="shared" si="43"/>
        <v>Refrigerator-Compact-Manual-Yes-No-No-No</v>
      </c>
      <c r="AI489" s="168" t="s">
        <v>315</v>
      </c>
      <c r="AJ489" s="168">
        <v>7.84</v>
      </c>
      <c r="AK489" s="169">
        <v>219.1</v>
      </c>
      <c r="AL489" s="169">
        <f t="shared" si="44"/>
        <v>239.48399999999998</v>
      </c>
      <c r="AM489" s="168">
        <f t="shared" si="45"/>
        <v>276</v>
      </c>
      <c r="AN489" s="168">
        <f t="shared" si="46"/>
        <v>215</v>
      </c>
      <c r="AO489" s="164" t="str">
        <f t="shared" si="47"/>
        <v>Yes</v>
      </c>
      <c r="AP489" s="164">
        <f t="shared" si="48"/>
        <v>61</v>
      </c>
    </row>
    <row r="490" spans="2:42">
      <c r="B490" s="164">
        <v>2217845</v>
      </c>
      <c r="C490" s="164" t="s">
        <v>175</v>
      </c>
      <c r="D490" s="164" t="s">
        <v>1355</v>
      </c>
      <c r="E490" s="164"/>
      <c r="F490" s="164" t="s">
        <v>191</v>
      </c>
      <c r="G490" s="164" t="s">
        <v>162</v>
      </c>
      <c r="H490" s="164" t="s">
        <v>163</v>
      </c>
      <c r="I490" s="164" t="s">
        <v>182</v>
      </c>
      <c r="J490" s="164" t="s">
        <v>163</v>
      </c>
      <c r="K490" s="164" t="s">
        <v>182</v>
      </c>
      <c r="L490" s="164" t="s">
        <v>182</v>
      </c>
      <c r="M490" s="164">
        <v>69.7</v>
      </c>
      <c r="N490" s="164">
        <v>21.5</v>
      </c>
      <c r="O490" s="165">
        <v>8.6999999999999993</v>
      </c>
      <c r="P490" s="165">
        <v>10.5</v>
      </c>
      <c r="Q490" s="164">
        <v>467</v>
      </c>
      <c r="R490" s="164">
        <v>520</v>
      </c>
      <c r="S490" s="166">
        <v>0.1</v>
      </c>
      <c r="T490" s="164" t="s">
        <v>163</v>
      </c>
      <c r="U490" s="164" t="s">
        <v>163</v>
      </c>
      <c r="V490" s="167">
        <v>41883</v>
      </c>
      <c r="W490" s="167">
        <v>41852</v>
      </c>
      <c r="X490" s="164" t="s">
        <v>387</v>
      </c>
      <c r="Y490" s="164" t="s">
        <v>1356</v>
      </c>
      <c r="Z490" s="164" t="s">
        <v>163</v>
      </c>
      <c r="AA490" s="168" t="s">
        <v>184</v>
      </c>
      <c r="AB490" s="168" t="s">
        <v>191</v>
      </c>
      <c r="AC490" s="168" t="s">
        <v>162</v>
      </c>
      <c r="AD490" s="168" t="s">
        <v>163</v>
      </c>
      <c r="AE490" s="168" t="s">
        <v>182</v>
      </c>
      <c r="AF490" s="168" t="s">
        <v>163</v>
      </c>
      <c r="AG490" s="168" t="s">
        <v>182</v>
      </c>
      <c r="AH490" s="168" t="str">
        <f t="shared" si="43"/>
        <v>Refrigerator-Bottom Freezer-Automatic-No-Yes-No-Yes</v>
      </c>
      <c r="AI490" s="168" t="s">
        <v>265</v>
      </c>
      <c r="AJ490" s="168">
        <v>9.4</v>
      </c>
      <c r="AK490" s="169">
        <v>420.9</v>
      </c>
      <c r="AL490" s="169">
        <f t="shared" si="44"/>
        <v>519.6</v>
      </c>
      <c r="AM490" s="168">
        <f t="shared" si="45"/>
        <v>520</v>
      </c>
      <c r="AN490" s="168">
        <f t="shared" si="46"/>
        <v>467</v>
      </c>
      <c r="AO490" s="164" t="str">
        <f t="shared" si="47"/>
        <v>Yes</v>
      </c>
      <c r="AP490" s="164">
        <f t="shared" si="48"/>
        <v>53</v>
      </c>
    </row>
    <row r="491" spans="2:42">
      <c r="B491" s="164">
        <v>2217844</v>
      </c>
      <c r="C491" s="164" t="s">
        <v>175</v>
      </c>
      <c r="D491" s="164" t="s">
        <v>1357</v>
      </c>
      <c r="E491" s="164"/>
      <c r="F491" s="164" t="s">
        <v>191</v>
      </c>
      <c r="G491" s="164" t="s">
        <v>162</v>
      </c>
      <c r="H491" s="164" t="s">
        <v>163</v>
      </c>
      <c r="I491" s="164" t="s">
        <v>163</v>
      </c>
      <c r="J491" s="164" t="s">
        <v>163</v>
      </c>
      <c r="K491" s="164" t="s">
        <v>163</v>
      </c>
      <c r="L491" s="164" t="s">
        <v>182</v>
      </c>
      <c r="M491" s="164">
        <v>71.599999999999994</v>
      </c>
      <c r="N491" s="164">
        <v>23.6</v>
      </c>
      <c r="O491" s="165">
        <v>11.5</v>
      </c>
      <c r="P491" s="165">
        <v>14</v>
      </c>
      <c r="Q491" s="164">
        <v>395</v>
      </c>
      <c r="R491" s="164">
        <v>441</v>
      </c>
      <c r="S491" s="166">
        <v>0.1</v>
      </c>
      <c r="T491" s="164" t="s">
        <v>163</v>
      </c>
      <c r="U491" s="164" t="s">
        <v>163</v>
      </c>
      <c r="V491" s="167">
        <v>41883</v>
      </c>
      <c r="W491" s="167">
        <v>41852</v>
      </c>
      <c r="X491" s="164" t="s">
        <v>387</v>
      </c>
      <c r="Y491" s="164" t="s">
        <v>1358</v>
      </c>
      <c r="Z491" s="164" t="s">
        <v>163</v>
      </c>
      <c r="AA491" s="168" t="s">
        <v>184</v>
      </c>
      <c r="AB491" s="168" t="s">
        <v>191</v>
      </c>
      <c r="AC491" s="168" t="s">
        <v>162</v>
      </c>
      <c r="AD491" s="168" t="s">
        <v>163</v>
      </c>
      <c r="AE491" s="168" t="s">
        <v>163</v>
      </c>
      <c r="AF491" s="168" t="s">
        <v>163</v>
      </c>
      <c r="AG491" s="168" t="s">
        <v>163</v>
      </c>
      <c r="AH491" s="168" t="str">
        <f t="shared" si="43"/>
        <v>Refrigerator-Bottom Freezer-Automatic-No-No-No-No</v>
      </c>
      <c r="AI491" s="168">
        <v>5</v>
      </c>
      <c r="AJ491" s="168">
        <v>8.85</v>
      </c>
      <c r="AK491" s="169">
        <v>317</v>
      </c>
      <c r="AL491" s="169">
        <f t="shared" si="44"/>
        <v>440.9</v>
      </c>
      <c r="AM491" s="168">
        <f t="shared" si="45"/>
        <v>441</v>
      </c>
      <c r="AN491" s="168">
        <f t="shared" si="46"/>
        <v>395</v>
      </c>
      <c r="AO491" s="164" t="str">
        <f t="shared" si="47"/>
        <v>Yes</v>
      </c>
      <c r="AP491" s="164">
        <f t="shared" si="48"/>
        <v>46</v>
      </c>
    </row>
    <row r="492" spans="2:42">
      <c r="B492" s="164">
        <v>2214628</v>
      </c>
      <c r="C492" s="164" t="s">
        <v>1359</v>
      </c>
      <c r="D492" s="164" t="s">
        <v>1360</v>
      </c>
      <c r="E492" s="164"/>
      <c r="F492" s="164" t="s">
        <v>194</v>
      </c>
      <c r="G492" s="164" t="s">
        <v>162</v>
      </c>
      <c r="H492" s="164" t="s">
        <v>182</v>
      </c>
      <c r="I492" s="164" t="s">
        <v>163</v>
      </c>
      <c r="J492" s="164" t="s">
        <v>163</v>
      </c>
      <c r="K492" s="164" t="s">
        <v>163</v>
      </c>
      <c r="L492" s="164" t="s">
        <v>163</v>
      </c>
      <c r="M492" s="164">
        <v>44.4</v>
      </c>
      <c r="N492" s="164">
        <v>19.100000000000001</v>
      </c>
      <c r="O492" s="165">
        <v>4.5</v>
      </c>
      <c r="P492" s="165">
        <v>5.6</v>
      </c>
      <c r="Q492" s="164">
        <v>340</v>
      </c>
      <c r="R492" s="164">
        <v>405</v>
      </c>
      <c r="S492" s="166">
        <v>0.16</v>
      </c>
      <c r="T492" s="164" t="s">
        <v>163</v>
      </c>
      <c r="U492" s="164"/>
      <c r="V492" s="167">
        <v>41827</v>
      </c>
      <c r="W492" s="167">
        <v>41827</v>
      </c>
      <c r="X492" s="164" t="s">
        <v>506</v>
      </c>
      <c r="Y492" s="164" t="s">
        <v>1361</v>
      </c>
      <c r="Z492" s="164" t="s">
        <v>163</v>
      </c>
      <c r="AA492" s="168" t="s">
        <v>184</v>
      </c>
      <c r="AB492" s="168" t="s">
        <v>194</v>
      </c>
      <c r="AC492" s="168" t="s">
        <v>162</v>
      </c>
      <c r="AD492" s="168" t="s">
        <v>182</v>
      </c>
      <c r="AE492" s="168" t="s">
        <v>163</v>
      </c>
      <c r="AF492" s="168" t="s">
        <v>163</v>
      </c>
      <c r="AG492" s="168" t="s">
        <v>163</v>
      </c>
      <c r="AH492" s="168" t="str">
        <f t="shared" si="43"/>
        <v>Refrigerator-Compact-Automatic-Yes-No-No-No</v>
      </c>
      <c r="AI492" s="168" t="s">
        <v>329</v>
      </c>
      <c r="AJ492" s="168">
        <v>9.17</v>
      </c>
      <c r="AK492" s="169">
        <v>259.3</v>
      </c>
      <c r="AL492" s="169">
        <f t="shared" si="44"/>
        <v>310.65199999999999</v>
      </c>
      <c r="AM492" s="168">
        <f t="shared" si="45"/>
        <v>405</v>
      </c>
      <c r="AN492" s="168">
        <f t="shared" si="46"/>
        <v>340</v>
      </c>
      <c r="AO492" s="164" t="str">
        <f t="shared" si="47"/>
        <v>Yes</v>
      </c>
      <c r="AP492" s="164">
        <f t="shared" si="48"/>
        <v>65</v>
      </c>
    </row>
    <row r="493" spans="2:42">
      <c r="B493" s="164">
        <v>2199103</v>
      </c>
      <c r="C493" s="164" t="s">
        <v>1362</v>
      </c>
      <c r="D493" s="164" t="s">
        <v>1363</v>
      </c>
      <c r="E493" s="164"/>
      <c r="F493" s="164" t="s">
        <v>194</v>
      </c>
      <c r="G493" s="164" t="s">
        <v>162</v>
      </c>
      <c r="H493" s="164" t="s">
        <v>182</v>
      </c>
      <c r="I493" s="164" t="s">
        <v>163</v>
      </c>
      <c r="J493" s="164" t="s">
        <v>163</v>
      </c>
      <c r="K493" s="164" t="s">
        <v>163</v>
      </c>
      <c r="L493" s="164" t="s">
        <v>163</v>
      </c>
      <c r="M493" s="164">
        <v>43</v>
      </c>
      <c r="N493" s="164">
        <v>21.6</v>
      </c>
      <c r="O493" s="165">
        <v>4.5</v>
      </c>
      <c r="P493" s="165">
        <v>5.4</v>
      </c>
      <c r="Q493" s="164">
        <v>347</v>
      </c>
      <c r="R493" s="164">
        <v>403</v>
      </c>
      <c r="S493" s="166">
        <v>0.14000000000000001</v>
      </c>
      <c r="T493" s="164" t="s">
        <v>163</v>
      </c>
      <c r="U493" s="164"/>
      <c r="V493" s="167">
        <v>41631</v>
      </c>
      <c r="W493" s="167">
        <v>41620</v>
      </c>
      <c r="X493" s="164" t="s">
        <v>387</v>
      </c>
      <c r="Y493" s="164" t="s">
        <v>1364</v>
      </c>
      <c r="Z493" s="164" t="s">
        <v>163</v>
      </c>
      <c r="AA493" s="168" t="s">
        <v>184</v>
      </c>
      <c r="AB493" s="168" t="s">
        <v>194</v>
      </c>
      <c r="AC493" s="168" t="s">
        <v>162</v>
      </c>
      <c r="AD493" s="168" t="s">
        <v>182</v>
      </c>
      <c r="AE493" s="168" t="s">
        <v>163</v>
      </c>
      <c r="AF493" s="168" t="s">
        <v>163</v>
      </c>
      <c r="AG493" s="168" t="s">
        <v>163</v>
      </c>
      <c r="AH493" s="168" t="str">
        <f t="shared" si="43"/>
        <v>Refrigerator-Compact-Automatic-Yes-No-No-No</v>
      </c>
      <c r="AI493" s="168" t="s">
        <v>329</v>
      </c>
      <c r="AJ493" s="168">
        <v>9.17</v>
      </c>
      <c r="AK493" s="169">
        <v>259.3</v>
      </c>
      <c r="AL493" s="169">
        <f t="shared" si="44"/>
        <v>308.81799999999998</v>
      </c>
      <c r="AM493" s="168">
        <f t="shared" si="45"/>
        <v>403</v>
      </c>
      <c r="AN493" s="168">
        <f t="shared" si="46"/>
        <v>347</v>
      </c>
      <c r="AO493" s="164" t="str">
        <f t="shared" si="47"/>
        <v>Yes</v>
      </c>
      <c r="AP493" s="164">
        <f t="shared" si="48"/>
        <v>56</v>
      </c>
    </row>
    <row r="494" spans="2:42">
      <c r="B494" s="164">
        <v>2199104</v>
      </c>
      <c r="C494" s="164" t="s">
        <v>1362</v>
      </c>
      <c r="D494" s="164" t="s">
        <v>1365</v>
      </c>
      <c r="E494" s="164"/>
      <c r="F494" s="164" t="s">
        <v>194</v>
      </c>
      <c r="G494" s="164" t="s">
        <v>162</v>
      </c>
      <c r="H494" s="164" t="s">
        <v>182</v>
      </c>
      <c r="I494" s="164" t="s">
        <v>163</v>
      </c>
      <c r="J494" s="164" t="s">
        <v>163</v>
      </c>
      <c r="K494" s="164" t="s">
        <v>163</v>
      </c>
      <c r="L494" s="164" t="s">
        <v>163</v>
      </c>
      <c r="M494" s="164">
        <v>43</v>
      </c>
      <c r="N494" s="164">
        <v>21.6</v>
      </c>
      <c r="O494" s="165">
        <v>4.5</v>
      </c>
      <c r="P494" s="165">
        <v>5.4</v>
      </c>
      <c r="Q494" s="164">
        <v>347</v>
      </c>
      <c r="R494" s="164">
        <v>403</v>
      </c>
      <c r="S494" s="166">
        <v>0.14000000000000001</v>
      </c>
      <c r="T494" s="164" t="s">
        <v>163</v>
      </c>
      <c r="U494" s="164"/>
      <c r="V494" s="167">
        <v>41631</v>
      </c>
      <c r="W494" s="167">
        <v>41620</v>
      </c>
      <c r="X494" s="164" t="s">
        <v>387</v>
      </c>
      <c r="Y494" s="164" t="s">
        <v>1366</v>
      </c>
      <c r="Z494" s="164" t="s">
        <v>163</v>
      </c>
      <c r="AA494" s="168" t="s">
        <v>184</v>
      </c>
      <c r="AB494" s="168" t="s">
        <v>194</v>
      </c>
      <c r="AC494" s="168" t="s">
        <v>162</v>
      </c>
      <c r="AD494" s="168" t="s">
        <v>182</v>
      </c>
      <c r="AE494" s="168" t="s">
        <v>163</v>
      </c>
      <c r="AF494" s="168" t="s">
        <v>163</v>
      </c>
      <c r="AG494" s="168" t="s">
        <v>163</v>
      </c>
      <c r="AH494" s="168" t="str">
        <f t="shared" si="43"/>
        <v>Refrigerator-Compact-Automatic-Yes-No-No-No</v>
      </c>
      <c r="AI494" s="168" t="s">
        <v>329</v>
      </c>
      <c r="AJ494" s="168">
        <v>9.17</v>
      </c>
      <c r="AK494" s="169">
        <v>259.3</v>
      </c>
      <c r="AL494" s="169">
        <f t="shared" si="44"/>
        <v>308.81799999999998</v>
      </c>
      <c r="AM494" s="168">
        <f t="shared" si="45"/>
        <v>403</v>
      </c>
      <c r="AN494" s="168">
        <f t="shared" si="46"/>
        <v>347</v>
      </c>
      <c r="AO494" s="164" t="str">
        <f t="shared" si="47"/>
        <v>Yes</v>
      </c>
      <c r="AP494" s="164">
        <f t="shared" si="48"/>
        <v>56</v>
      </c>
    </row>
    <row r="495" spans="2:42">
      <c r="B495" s="164">
        <v>2215462</v>
      </c>
      <c r="C495" s="164" t="s">
        <v>1367</v>
      </c>
      <c r="D495" s="164" t="s">
        <v>1368</v>
      </c>
      <c r="E495" s="164"/>
      <c r="F495" s="164" t="s">
        <v>194</v>
      </c>
      <c r="G495" s="164" t="s">
        <v>188</v>
      </c>
      <c r="H495" s="164" t="s">
        <v>182</v>
      </c>
      <c r="I495" s="164" t="s">
        <v>163</v>
      </c>
      <c r="J495" s="164" t="s">
        <v>163</v>
      </c>
      <c r="K495" s="164" t="s">
        <v>163</v>
      </c>
      <c r="L495" s="164" t="s">
        <v>163</v>
      </c>
      <c r="M495" s="164">
        <v>25.2</v>
      </c>
      <c r="N495" s="164">
        <v>16.100000000000001</v>
      </c>
      <c r="O495" s="165">
        <v>2.4</v>
      </c>
      <c r="P495" s="165">
        <v>2.4</v>
      </c>
      <c r="Q495" s="164">
        <v>212</v>
      </c>
      <c r="R495" s="164">
        <v>274</v>
      </c>
      <c r="S495" s="166">
        <v>0.23</v>
      </c>
      <c r="T495" s="164" t="s">
        <v>163</v>
      </c>
      <c r="U495" s="164"/>
      <c r="V495" s="167">
        <v>41809</v>
      </c>
      <c r="W495" s="167">
        <v>41810</v>
      </c>
      <c r="X495" s="164" t="s">
        <v>506</v>
      </c>
      <c r="Y495" s="164" t="s">
        <v>1369</v>
      </c>
      <c r="Z495" s="164" t="s">
        <v>163</v>
      </c>
      <c r="AA495" s="168" t="s">
        <v>184</v>
      </c>
      <c r="AB495" s="168" t="s">
        <v>194</v>
      </c>
      <c r="AC495" s="168" t="s">
        <v>188</v>
      </c>
      <c r="AD495" s="168" t="s">
        <v>182</v>
      </c>
      <c r="AE495" s="168" t="s">
        <v>163</v>
      </c>
      <c r="AF495" s="168" t="s">
        <v>163</v>
      </c>
      <c r="AG495" s="168" t="s">
        <v>163</v>
      </c>
      <c r="AH495" s="168" t="str">
        <f t="shared" si="43"/>
        <v>Refrigerator-Compact-Manual-Yes-No-No-No</v>
      </c>
      <c r="AI495" s="168" t="s">
        <v>315</v>
      </c>
      <c r="AJ495" s="168">
        <v>7.84</v>
      </c>
      <c r="AK495" s="169">
        <v>219.1</v>
      </c>
      <c r="AL495" s="169">
        <f t="shared" si="44"/>
        <v>237.916</v>
      </c>
      <c r="AM495" s="168">
        <f t="shared" si="45"/>
        <v>274</v>
      </c>
      <c r="AN495" s="168">
        <f t="shared" si="46"/>
        <v>212</v>
      </c>
      <c r="AO495" s="164" t="str">
        <f t="shared" si="47"/>
        <v>Yes</v>
      </c>
      <c r="AP495" s="164">
        <f t="shared" si="48"/>
        <v>62</v>
      </c>
    </row>
    <row r="496" spans="2:42">
      <c r="B496" s="164">
        <v>2199162</v>
      </c>
      <c r="C496" s="164" t="s">
        <v>176</v>
      </c>
      <c r="D496" s="164" t="s">
        <v>1370</v>
      </c>
      <c r="E496" s="164"/>
      <c r="F496" s="164" t="s">
        <v>191</v>
      </c>
      <c r="G496" s="164" t="s">
        <v>162</v>
      </c>
      <c r="H496" s="164" t="s">
        <v>163</v>
      </c>
      <c r="I496" s="164" t="s">
        <v>163</v>
      </c>
      <c r="J496" s="164" t="s">
        <v>182</v>
      </c>
      <c r="K496" s="164" t="s">
        <v>182</v>
      </c>
      <c r="L496" s="164" t="s">
        <v>182</v>
      </c>
      <c r="M496" s="164">
        <v>72.8</v>
      </c>
      <c r="N496" s="164">
        <v>35.799999999999997</v>
      </c>
      <c r="O496" s="165">
        <v>22.5</v>
      </c>
      <c r="P496" s="165">
        <v>27.7</v>
      </c>
      <c r="Q496" s="164">
        <v>691</v>
      </c>
      <c r="R496" s="164">
        <v>732</v>
      </c>
      <c r="S496" s="166">
        <v>0.06</v>
      </c>
      <c r="T496" s="164" t="s">
        <v>182</v>
      </c>
      <c r="U496" s="164" t="s">
        <v>182</v>
      </c>
      <c r="V496" s="167">
        <v>41662</v>
      </c>
      <c r="W496" s="167">
        <v>41801</v>
      </c>
      <c r="X496" s="164" t="s">
        <v>387</v>
      </c>
      <c r="Y496" s="164" t="s">
        <v>1371</v>
      </c>
      <c r="Z496" s="164" t="s">
        <v>163</v>
      </c>
      <c r="AA496" s="168" t="s">
        <v>184</v>
      </c>
      <c r="AB496" s="168" t="s">
        <v>191</v>
      </c>
      <c r="AC496" s="168" t="s">
        <v>162</v>
      </c>
      <c r="AD496" s="168" t="s">
        <v>163</v>
      </c>
      <c r="AE496" s="168" t="s">
        <v>163</v>
      </c>
      <c r="AF496" s="168" t="s">
        <v>182</v>
      </c>
      <c r="AG496" s="168" t="s">
        <v>182</v>
      </c>
      <c r="AH496" s="168" t="str">
        <f t="shared" si="43"/>
        <v>Refrigerator-Bottom Freezer-Automatic-No-No-Yes-Yes</v>
      </c>
      <c r="AI496" s="168" t="s">
        <v>269</v>
      </c>
      <c r="AJ496" s="168">
        <v>9.25</v>
      </c>
      <c r="AK496" s="169">
        <v>475.4</v>
      </c>
      <c r="AL496" s="169">
        <f t="shared" si="44"/>
        <v>731.625</v>
      </c>
      <c r="AM496" s="168">
        <f t="shared" si="45"/>
        <v>732</v>
      </c>
      <c r="AN496" s="168">
        <f t="shared" si="46"/>
        <v>691</v>
      </c>
      <c r="AO496" s="164" t="str">
        <f t="shared" si="47"/>
        <v>Yes</v>
      </c>
      <c r="AP496" s="164">
        <f t="shared" si="48"/>
        <v>41</v>
      </c>
    </row>
    <row r="497" spans="2:42">
      <c r="B497" s="164">
        <v>2199161</v>
      </c>
      <c r="C497" s="164" t="s">
        <v>176</v>
      </c>
      <c r="D497" s="164" t="s">
        <v>1372</v>
      </c>
      <c r="E497" s="164"/>
      <c r="F497" s="164" t="s">
        <v>191</v>
      </c>
      <c r="G497" s="164" t="s">
        <v>162</v>
      </c>
      <c r="H497" s="164" t="s">
        <v>163</v>
      </c>
      <c r="I497" s="164" t="s">
        <v>163</v>
      </c>
      <c r="J497" s="164" t="s">
        <v>182</v>
      </c>
      <c r="K497" s="164" t="s">
        <v>182</v>
      </c>
      <c r="L497" s="164" t="s">
        <v>182</v>
      </c>
      <c r="M497" s="164">
        <v>72.8</v>
      </c>
      <c r="N497" s="164">
        <v>35.799999999999997</v>
      </c>
      <c r="O497" s="165">
        <v>22.5</v>
      </c>
      <c r="P497" s="165">
        <v>27.7</v>
      </c>
      <c r="Q497" s="164">
        <v>691</v>
      </c>
      <c r="R497" s="164">
        <v>732</v>
      </c>
      <c r="S497" s="166">
        <v>0.06</v>
      </c>
      <c r="T497" s="164" t="s">
        <v>182</v>
      </c>
      <c r="U497" s="164" t="s">
        <v>182</v>
      </c>
      <c r="V497" s="167">
        <v>41662</v>
      </c>
      <c r="W497" s="167">
        <v>41801</v>
      </c>
      <c r="X497" s="164" t="s">
        <v>387</v>
      </c>
      <c r="Y497" s="164" t="s">
        <v>1373</v>
      </c>
      <c r="Z497" s="164" t="s">
        <v>163</v>
      </c>
      <c r="AA497" s="168" t="s">
        <v>184</v>
      </c>
      <c r="AB497" s="168" t="s">
        <v>191</v>
      </c>
      <c r="AC497" s="168" t="s">
        <v>162</v>
      </c>
      <c r="AD497" s="168" t="s">
        <v>163</v>
      </c>
      <c r="AE497" s="168" t="s">
        <v>163</v>
      </c>
      <c r="AF497" s="168" t="s">
        <v>182</v>
      </c>
      <c r="AG497" s="168" t="s">
        <v>182</v>
      </c>
      <c r="AH497" s="168" t="str">
        <f t="shared" si="43"/>
        <v>Refrigerator-Bottom Freezer-Automatic-No-No-Yes-Yes</v>
      </c>
      <c r="AI497" s="168" t="s">
        <v>269</v>
      </c>
      <c r="AJ497" s="168">
        <v>9.25</v>
      </c>
      <c r="AK497" s="169">
        <v>475.4</v>
      </c>
      <c r="AL497" s="169">
        <f t="shared" si="44"/>
        <v>731.625</v>
      </c>
      <c r="AM497" s="168">
        <f t="shared" si="45"/>
        <v>732</v>
      </c>
      <c r="AN497" s="168">
        <f t="shared" si="46"/>
        <v>691</v>
      </c>
      <c r="AO497" s="164" t="str">
        <f t="shared" si="47"/>
        <v>Yes</v>
      </c>
      <c r="AP497" s="164">
        <f t="shared" si="48"/>
        <v>41</v>
      </c>
    </row>
    <row r="498" spans="2:42">
      <c r="B498" s="164">
        <v>2204743</v>
      </c>
      <c r="C498" s="164" t="s">
        <v>176</v>
      </c>
      <c r="D498" s="164" t="s">
        <v>1374</v>
      </c>
      <c r="E498" s="164"/>
      <c r="F498" s="164" t="s">
        <v>191</v>
      </c>
      <c r="G498" s="164" t="s">
        <v>162</v>
      </c>
      <c r="H498" s="164" t="s">
        <v>163</v>
      </c>
      <c r="I498" s="164" t="s">
        <v>163</v>
      </c>
      <c r="J498" s="164" t="s">
        <v>182</v>
      </c>
      <c r="K498" s="164" t="s">
        <v>182</v>
      </c>
      <c r="L498" s="164" t="s">
        <v>182</v>
      </c>
      <c r="M498" s="164">
        <v>70</v>
      </c>
      <c r="N498" s="164">
        <v>35.799999999999997</v>
      </c>
      <c r="O498" s="165">
        <v>22.6</v>
      </c>
      <c r="P498" s="165">
        <v>27.5</v>
      </c>
      <c r="Q498" s="164">
        <v>657</v>
      </c>
      <c r="R498" s="164">
        <v>730</v>
      </c>
      <c r="S498" s="166">
        <v>0.1</v>
      </c>
      <c r="T498" s="164" t="s">
        <v>163</v>
      </c>
      <c r="U498" s="164"/>
      <c r="V498" s="167">
        <v>41737</v>
      </c>
      <c r="W498" s="167">
        <v>41689</v>
      </c>
      <c r="X498" s="164" t="s">
        <v>387</v>
      </c>
      <c r="Y498" s="164" t="s">
        <v>1375</v>
      </c>
      <c r="Z498" s="164" t="s">
        <v>163</v>
      </c>
      <c r="AA498" s="168" t="s">
        <v>184</v>
      </c>
      <c r="AB498" s="168" t="s">
        <v>191</v>
      </c>
      <c r="AC498" s="168" t="s">
        <v>162</v>
      </c>
      <c r="AD498" s="168" t="s">
        <v>163</v>
      </c>
      <c r="AE498" s="168" t="s">
        <v>163</v>
      </c>
      <c r="AF498" s="168" t="s">
        <v>182</v>
      </c>
      <c r="AG498" s="168" t="s">
        <v>182</v>
      </c>
      <c r="AH498" s="168" t="str">
        <f t="shared" si="43"/>
        <v>Refrigerator-Bottom Freezer-Automatic-No-No-Yes-Yes</v>
      </c>
      <c r="AI498" s="168" t="s">
        <v>269</v>
      </c>
      <c r="AJ498" s="168">
        <v>9.25</v>
      </c>
      <c r="AK498" s="169">
        <v>475.4</v>
      </c>
      <c r="AL498" s="169">
        <f t="shared" si="44"/>
        <v>729.77499999999998</v>
      </c>
      <c r="AM498" s="168">
        <f t="shared" si="45"/>
        <v>730</v>
      </c>
      <c r="AN498" s="168">
        <f t="shared" si="46"/>
        <v>657</v>
      </c>
      <c r="AO498" s="164" t="str">
        <f t="shared" si="47"/>
        <v>Yes</v>
      </c>
      <c r="AP498" s="164">
        <f t="shared" si="48"/>
        <v>73</v>
      </c>
    </row>
    <row r="499" spans="2:42">
      <c r="B499" s="164">
        <v>2212255</v>
      </c>
      <c r="C499" s="164" t="s">
        <v>176</v>
      </c>
      <c r="D499" s="164" t="s">
        <v>1376</v>
      </c>
      <c r="E499" s="164"/>
      <c r="F499" s="164" t="s">
        <v>191</v>
      </c>
      <c r="G499" s="164" t="s">
        <v>162</v>
      </c>
      <c r="H499" s="164" t="s">
        <v>163</v>
      </c>
      <c r="I499" s="164" t="s">
        <v>163</v>
      </c>
      <c r="J499" s="164" t="s">
        <v>182</v>
      </c>
      <c r="K499" s="164" t="s">
        <v>182</v>
      </c>
      <c r="L499" s="164" t="s">
        <v>182</v>
      </c>
      <c r="M499" s="164">
        <v>70</v>
      </c>
      <c r="N499" s="164">
        <v>35.799999999999997</v>
      </c>
      <c r="O499" s="165">
        <v>22.5</v>
      </c>
      <c r="P499" s="165">
        <v>27.7</v>
      </c>
      <c r="Q499" s="164">
        <v>691</v>
      </c>
      <c r="R499" s="164">
        <v>732</v>
      </c>
      <c r="S499" s="166">
        <v>0.06</v>
      </c>
      <c r="T499" s="164" t="s">
        <v>182</v>
      </c>
      <c r="U499" s="164" t="s">
        <v>182</v>
      </c>
      <c r="V499" s="167">
        <v>41820</v>
      </c>
      <c r="W499" s="167">
        <v>41789</v>
      </c>
      <c r="X499" s="164" t="s">
        <v>387</v>
      </c>
      <c r="Y499" s="164" t="s">
        <v>1377</v>
      </c>
      <c r="Z499" s="164" t="s">
        <v>163</v>
      </c>
      <c r="AA499" s="168" t="s">
        <v>184</v>
      </c>
      <c r="AB499" s="168" t="s">
        <v>191</v>
      </c>
      <c r="AC499" s="168" t="s">
        <v>162</v>
      </c>
      <c r="AD499" s="168" t="s">
        <v>163</v>
      </c>
      <c r="AE499" s="168" t="s">
        <v>163</v>
      </c>
      <c r="AF499" s="168" t="s">
        <v>182</v>
      </c>
      <c r="AG499" s="168" t="s">
        <v>182</v>
      </c>
      <c r="AH499" s="168" t="str">
        <f t="shared" si="43"/>
        <v>Refrigerator-Bottom Freezer-Automatic-No-No-Yes-Yes</v>
      </c>
      <c r="AI499" s="168" t="s">
        <v>269</v>
      </c>
      <c r="AJ499" s="168">
        <v>9.25</v>
      </c>
      <c r="AK499" s="169">
        <v>475.4</v>
      </c>
      <c r="AL499" s="169">
        <f t="shared" si="44"/>
        <v>731.625</v>
      </c>
      <c r="AM499" s="168">
        <f t="shared" si="45"/>
        <v>732</v>
      </c>
      <c r="AN499" s="168">
        <f t="shared" si="46"/>
        <v>691</v>
      </c>
      <c r="AO499" s="164" t="str">
        <f t="shared" si="47"/>
        <v>Yes</v>
      </c>
      <c r="AP499" s="164">
        <f t="shared" si="48"/>
        <v>41</v>
      </c>
    </row>
    <row r="500" spans="2:42">
      <c r="B500" s="164">
        <v>2199401</v>
      </c>
      <c r="C500" s="164" t="s">
        <v>176</v>
      </c>
      <c r="D500" s="164" t="s">
        <v>1378</v>
      </c>
      <c r="E500" s="164"/>
      <c r="F500" s="164" t="s">
        <v>191</v>
      </c>
      <c r="G500" s="164" t="s">
        <v>162</v>
      </c>
      <c r="H500" s="164" t="s">
        <v>163</v>
      </c>
      <c r="I500" s="164" t="s">
        <v>163</v>
      </c>
      <c r="J500" s="164" t="s">
        <v>182</v>
      </c>
      <c r="K500" s="164" t="s">
        <v>182</v>
      </c>
      <c r="L500" s="164" t="s">
        <v>182</v>
      </c>
      <c r="M500" s="164">
        <v>70</v>
      </c>
      <c r="N500" s="164">
        <v>35.799999999999997</v>
      </c>
      <c r="O500" s="165">
        <v>22.6</v>
      </c>
      <c r="P500" s="165">
        <v>27.5</v>
      </c>
      <c r="Q500" s="164">
        <v>657</v>
      </c>
      <c r="R500" s="164">
        <v>730</v>
      </c>
      <c r="S500" s="166">
        <v>0.1</v>
      </c>
      <c r="T500" s="164" t="s">
        <v>163</v>
      </c>
      <c r="U500" s="164"/>
      <c r="V500" s="167">
        <v>41640</v>
      </c>
      <c r="W500" s="167">
        <v>41633</v>
      </c>
      <c r="X500" s="164" t="s">
        <v>387</v>
      </c>
      <c r="Y500" s="164" t="s">
        <v>1379</v>
      </c>
      <c r="Z500" s="164" t="s">
        <v>163</v>
      </c>
      <c r="AA500" s="168" t="s">
        <v>184</v>
      </c>
      <c r="AB500" s="168" t="s">
        <v>191</v>
      </c>
      <c r="AC500" s="168" t="s">
        <v>162</v>
      </c>
      <c r="AD500" s="168" t="s">
        <v>163</v>
      </c>
      <c r="AE500" s="168" t="s">
        <v>163</v>
      </c>
      <c r="AF500" s="168" t="s">
        <v>182</v>
      </c>
      <c r="AG500" s="168" t="s">
        <v>182</v>
      </c>
      <c r="AH500" s="168" t="str">
        <f t="shared" si="43"/>
        <v>Refrigerator-Bottom Freezer-Automatic-No-No-Yes-Yes</v>
      </c>
      <c r="AI500" s="168" t="s">
        <v>269</v>
      </c>
      <c r="AJ500" s="168">
        <v>9.25</v>
      </c>
      <c r="AK500" s="169">
        <v>475.4</v>
      </c>
      <c r="AL500" s="169">
        <f t="shared" si="44"/>
        <v>729.77499999999998</v>
      </c>
      <c r="AM500" s="168">
        <f t="shared" si="45"/>
        <v>730</v>
      </c>
      <c r="AN500" s="168">
        <f t="shared" si="46"/>
        <v>657</v>
      </c>
      <c r="AO500" s="164" t="str">
        <f t="shared" si="47"/>
        <v>Yes</v>
      </c>
      <c r="AP500" s="164">
        <f t="shared" si="48"/>
        <v>73</v>
      </c>
    </row>
    <row r="501" spans="2:42">
      <c r="B501" s="164">
        <v>2199396</v>
      </c>
      <c r="C501" s="164" t="s">
        <v>176</v>
      </c>
      <c r="D501" s="164" t="s">
        <v>1380</v>
      </c>
      <c r="E501" s="164"/>
      <c r="F501" s="164" t="s">
        <v>191</v>
      </c>
      <c r="G501" s="164" t="s">
        <v>162</v>
      </c>
      <c r="H501" s="164" t="s">
        <v>163</v>
      </c>
      <c r="I501" s="164" t="s">
        <v>163</v>
      </c>
      <c r="J501" s="164" t="s">
        <v>182</v>
      </c>
      <c r="K501" s="164" t="s">
        <v>182</v>
      </c>
      <c r="L501" s="164" t="s">
        <v>163</v>
      </c>
      <c r="M501" s="164">
        <v>70</v>
      </c>
      <c r="N501" s="164">
        <v>32.700000000000003</v>
      </c>
      <c r="O501" s="165">
        <v>24.7</v>
      </c>
      <c r="P501" s="165">
        <v>30.2</v>
      </c>
      <c r="Q501" s="164">
        <v>679</v>
      </c>
      <c r="R501" s="164">
        <v>755</v>
      </c>
      <c r="S501" s="166">
        <v>0.1</v>
      </c>
      <c r="T501" s="164" t="s">
        <v>163</v>
      </c>
      <c r="U501" s="164"/>
      <c r="V501" s="167">
        <v>41640</v>
      </c>
      <c r="W501" s="167">
        <v>41632</v>
      </c>
      <c r="X501" s="164" t="s">
        <v>387</v>
      </c>
      <c r="Y501" s="164" t="s">
        <v>1381</v>
      </c>
      <c r="Z501" s="164" t="s">
        <v>163</v>
      </c>
      <c r="AA501" s="168" t="s">
        <v>184</v>
      </c>
      <c r="AB501" s="168" t="s">
        <v>191</v>
      </c>
      <c r="AC501" s="168" t="s">
        <v>162</v>
      </c>
      <c r="AD501" s="168" t="s">
        <v>163</v>
      </c>
      <c r="AE501" s="168" t="s">
        <v>163</v>
      </c>
      <c r="AF501" s="168" t="s">
        <v>182</v>
      </c>
      <c r="AG501" s="168" t="s">
        <v>182</v>
      </c>
      <c r="AH501" s="168" t="str">
        <f t="shared" si="43"/>
        <v>Refrigerator-Bottom Freezer-Automatic-No-No-Yes-Yes</v>
      </c>
      <c r="AI501" s="168" t="s">
        <v>269</v>
      </c>
      <c r="AJ501" s="168">
        <v>9.25</v>
      </c>
      <c r="AK501" s="169">
        <v>475.4</v>
      </c>
      <c r="AL501" s="169">
        <f t="shared" si="44"/>
        <v>754.75</v>
      </c>
      <c r="AM501" s="168">
        <f t="shared" si="45"/>
        <v>755</v>
      </c>
      <c r="AN501" s="168">
        <f t="shared" si="46"/>
        <v>679</v>
      </c>
      <c r="AO501" s="164" t="str">
        <f t="shared" si="47"/>
        <v>Yes</v>
      </c>
      <c r="AP501" s="164">
        <f t="shared" si="48"/>
        <v>76</v>
      </c>
    </row>
    <row r="502" spans="2:42">
      <c r="B502" s="164">
        <v>2199861</v>
      </c>
      <c r="C502" s="164" t="s">
        <v>176</v>
      </c>
      <c r="D502" s="164" t="s">
        <v>1382</v>
      </c>
      <c r="E502" s="164"/>
      <c r="F502" s="164" t="s">
        <v>191</v>
      </c>
      <c r="G502" s="164" t="s">
        <v>162</v>
      </c>
      <c r="H502" s="164" t="s">
        <v>163</v>
      </c>
      <c r="I502" s="164" t="s">
        <v>163</v>
      </c>
      <c r="J502" s="164" t="s">
        <v>163</v>
      </c>
      <c r="K502" s="164" t="s">
        <v>182</v>
      </c>
      <c r="L502" s="164" t="s">
        <v>163</v>
      </c>
      <c r="M502" s="164">
        <v>70</v>
      </c>
      <c r="N502" s="164">
        <v>35.799999999999997</v>
      </c>
      <c r="O502" s="165">
        <v>25.5</v>
      </c>
      <c r="P502" s="165">
        <v>31.6</v>
      </c>
      <c r="Q502" s="164">
        <v>612</v>
      </c>
      <c r="R502" s="164">
        <v>681</v>
      </c>
      <c r="S502" s="166">
        <v>0.1</v>
      </c>
      <c r="T502" s="164" t="s">
        <v>163</v>
      </c>
      <c r="U502" s="164"/>
      <c r="V502" s="167">
        <v>41640</v>
      </c>
      <c r="W502" s="167">
        <v>41635</v>
      </c>
      <c r="X502" s="164" t="s">
        <v>387</v>
      </c>
      <c r="Y502" s="164" t="s">
        <v>1383</v>
      </c>
      <c r="Z502" s="164" t="s">
        <v>163</v>
      </c>
      <c r="AA502" s="168" t="s">
        <v>184</v>
      </c>
      <c r="AB502" s="168" t="s">
        <v>191</v>
      </c>
      <c r="AC502" s="168" t="s">
        <v>162</v>
      </c>
      <c r="AD502" s="168" t="s">
        <v>163</v>
      </c>
      <c r="AE502" s="168" t="s">
        <v>163</v>
      </c>
      <c r="AF502" s="168" t="s">
        <v>163</v>
      </c>
      <c r="AG502" s="168" t="s">
        <v>182</v>
      </c>
      <c r="AH502" s="168" t="str">
        <f t="shared" si="43"/>
        <v>Refrigerator-Bottom Freezer-Automatic-No-No-No-Yes</v>
      </c>
      <c r="AI502" s="168" t="s">
        <v>261</v>
      </c>
      <c r="AJ502" s="168">
        <v>8.85</v>
      </c>
      <c r="AK502" s="169">
        <v>401</v>
      </c>
      <c r="AL502" s="169">
        <f t="shared" si="44"/>
        <v>680.66000000000008</v>
      </c>
      <c r="AM502" s="168">
        <f t="shared" si="45"/>
        <v>681</v>
      </c>
      <c r="AN502" s="168">
        <f t="shared" si="46"/>
        <v>612</v>
      </c>
      <c r="AO502" s="164" t="str">
        <f t="shared" si="47"/>
        <v>Yes</v>
      </c>
      <c r="AP502" s="164">
        <f t="shared" si="48"/>
        <v>69</v>
      </c>
    </row>
    <row r="503" spans="2:42">
      <c r="B503" s="164">
        <v>2199860</v>
      </c>
      <c r="C503" s="164" t="s">
        <v>176</v>
      </c>
      <c r="D503" s="164" t="s">
        <v>1384</v>
      </c>
      <c r="E503" s="164"/>
      <c r="F503" s="164" t="s">
        <v>191</v>
      </c>
      <c r="G503" s="164" t="s">
        <v>162</v>
      </c>
      <c r="H503" s="164" t="s">
        <v>163</v>
      </c>
      <c r="I503" s="164" t="s">
        <v>163</v>
      </c>
      <c r="J503" s="164" t="s">
        <v>163</v>
      </c>
      <c r="K503" s="164" t="s">
        <v>182</v>
      </c>
      <c r="L503" s="164" t="s">
        <v>163</v>
      </c>
      <c r="M503" s="164">
        <v>70</v>
      </c>
      <c r="N503" s="164">
        <v>35.799999999999997</v>
      </c>
      <c r="O503" s="165">
        <v>25.5</v>
      </c>
      <c r="P503" s="165">
        <v>31.6</v>
      </c>
      <c r="Q503" s="164">
        <v>612</v>
      </c>
      <c r="R503" s="164">
        <v>681</v>
      </c>
      <c r="S503" s="166">
        <v>0.1</v>
      </c>
      <c r="T503" s="164" t="s">
        <v>163</v>
      </c>
      <c r="U503" s="164"/>
      <c r="V503" s="167">
        <v>41640</v>
      </c>
      <c r="W503" s="167">
        <v>41635</v>
      </c>
      <c r="X503" s="164" t="s">
        <v>387</v>
      </c>
      <c r="Y503" s="164" t="s">
        <v>1385</v>
      </c>
      <c r="Z503" s="164" t="s">
        <v>163</v>
      </c>
      <c r="AA503" s="168" t="s">
        <v>184</v>
      </c>
      <c r="AB503" s="168" t="s">
        <v>191</v>
      </c>
      <c r="AC503" s="168" t="s">
        <v>162</v>
      </c>
      <c r="AD503" s="168" t="s">
        <v>163</v>
      </c>
      <c r="AE503" s="168" t="s">
        <v>163</v>
      </c>
      <c r="AF503" s="168" t="s">
        <v>163</v>
      </c>
      <c r="AG503" s="168" t="s">
        <v>182</v>
      </c>
      <c r="AH503" s="168" t="str">
        <f t="shared" si="43"/>
        <v>Refrigerator-Bottom Freezer-Automatic-No-No-No-Yes</v>
      </c>
      <c r="AI503" s="168" t="s">
        <v>261</v>
      </c>
      <c r="AJ503" s="168">
        <v>8.85</v>
      </c>
      <c r="AK503" s="169">
        <v>401</v>
      </c>
      <c r="AL503" s="169">
        <f t="shared" si="44"/>
        <v>680.66000000000008</v>
      </c>
      <c r="AM503" s="168">
        <f t="shared" si="45"/>
        <v>681</v>
      </c>
      <c r="AN503" s="168">
        <f t="shared" si="46"/>
        <v>612</v>
      </c>
      <c r="AO503" s="164" t="str">
        <f t="shared" si="47"/>
        <v>Yes</v>
      </c>
      <c r="AP503" s="164">
        <f t="shared" si="48"/>
        <v>69</v>
      </c>
    </row>
    <row r="504" spans="2:42">
      <c r="B504" s="164">
        <v>2199402</v>
      </c>
      <c r="C504" s="164" t="s">
        <v>176</v>
      </c>
      <c r="D504" s="164" t="s">
        <v>1386</v>
      </c>
      <c r="E504" s="164"/>
      <c r="F504" s="164" t="s">
        <v>191</v>
      </c>
      <c r="G504" s="164" t="s">
        <v>162</v>
      </c>
      <c r="H504" s="164" t="s">
        <v>163</v>
      </c>
      <c r="I504" s="164" t="s">
        <v>163</v>
      </c>
      <c r="J504" s="164" t="s">
        <v>163</v>
      </c>
      <c r="K504" s="164" t="s">
        <v>182</v>
      </c>
      <c r="L504" s="164" t="s">
        <v>163</v>
      </c>
      <c r="M504" s="164">
        <v>70</v>
      </c>
      <c r="N504" s="164">
        <v>35.799999999999997</v>
      </c>
      <c r="O504" s="165">
        <v>25.5</v>
      </c>
      <c r="P504" s="165">
        <v>31.6</v>
      </c>
      <c r="Q504" s="164">
        <v>570</v>
      </c>
      <c r="R504" s="164">
        <v>681</v>
      </c>
      <c r="S504" s="166">
        <v>0.16</v>
      </c>
      <c r="T504" s="164" t="s">
        <v>163</v>
      </c>
      <c r="U504" s="164"/>
      <c r="V504" s="167">
        <v>41640</v>
      </c>
      <c r="W504" s="167">
        <v>41633</v>
      </c>
      <c r="X504" s="164" t="s">
        <v>387</v>
      </c>
      <c r="Y504" s="164" t="s">
        <v>1387</v>
      </c>
      <c r="Z504" s="164" t="s">
        <v>182</v>
      </c>
      <c r="AA504" s="168" t="s">
        <v>184</v>
      </c>
      <c r="AB504" s="168" t="s">
        <v>191</v>
      </c>
      <c r="AC504" s="168" t="s">
        <v>162</v>
      </c>
      <c r="AD504" s="168" t="s">
        <v>163</v>
      </c>
      <c r="AE504" s="168" t="s">
        <v>163</v>
      </c>
      <c r="AF504" s="168" t="s">
        <v>163</v>
      </c>
      <c r="AG504" s="168" t="s">
        <v>182</v>
      </c>
      <c r="AH504" s="168" t="str">
        <f t="shared" si="43"/>
        <v>Refrigerator-Bottom Freezer-Automatic-No-No-No-Yes</v>
      </c>
      <c r="AI504" s="168" t="s">
        <v>261</v>
      </c>
      <c r="AJ504" s="168">
        <v>8.85</v>
      </c>
      <c r="AK504" s="169">
        <v>401</v>
      </c>
      <c r="AL504" s="169">
        <f t="shared" si="44"/>
        <v>680.66000000000008</v>
      </c>
      <c r="AM504" s="168">
        <f t="shared" si="45"/>
        <v>681</v>
      </c>
      <c r="AN504" s="168">
        <f t="shared" si="46"/>
        <v>570</v>
      </c>
      <c r="AO504" s="164" t="str">
        <f t="shared" si="47"/>
        <v>Yes</v>
      </c>
      <c r="AP504" s="164">
        <f t="shared" si="48"/>
        <v>111</v>
      </c>
    </row>
    <row r="505" spans="2:42">
      <c r="B505" s="164">
        <v>2199857</v>
      </c>
      <c r="C505" s="164" t="s">
        <v>176</v>
      </c>
      <c r="D505" s="164" t="s">
        <v>1388</v>
      </c>
      <c r="E505" s="164"/>
      <c r="F505" s="164" t="s">
        <v>191</v>
      </c>
      <c r="G505" s="164" t="s">
        <v>162</v>
      </c>
      <c r="H505" s="164" t="s">
        <v>163</v>
      </c>
      <c r="I505" s="164" t="s">
        <v>163</v>
      </c>
      <c r="J505" s="164" t="s">
        <v>182</v>
      </c>
      <c r="K505" s="164" t="s">
        <v>182</v>
      </c>
      <c r="L505" s="164" t="s">
        <v>163</v>
      </c>
      <c r="M505" s="164">
        <v>70</v>
      </c>
      <c r="N505" s="164">
        <v>35.799999999999997</v>
      </c>
      <c r="O505" s="165">
        <v>24.6</v>
      </c>
      <c r="P505" s="165">
        <v>30.7</v>
      </c>
      <c r="Q505" s="164">
        <v>629</v>
      </c>
      <c r="R505" s="164">
        <v>759</v>
      </c>
      <c r="S505" s="166">
        <v>0.17</v>
      </c>
      <c r="T505" s="164" t="s">
        <v>163</v>
      </c>
      <c r="U505" s="164"/>
      <c r="V505" s="167">
        <v>41640</v>
      </c>
      <c r="W505" s="167">
        <v>41635</v>
      </c>
      <c r="X505" s="164" t="s">
        <v>387</v>
      </c>
      <c r="Y505" s="164" t="s">
        <v>1389</v>
      </c>
      <c r="Z505" s="164" t="s">
        <v>182</v>
      </c>
      <c r="AA505" s="168" t="s">
        <v>184</v>
      </c>
      <c r="AB505" s="168" t="s">
        <v>191</v>
      </c>
      <c r="AC505" s="168" t="s">
        <v>162</v>
      </c>
      <c r="AD505" s="168" t="s">
        <v>163</v>
      </c>
      <c r="AE505" s="168" t="s">
        <v>163</v>
      </c>
      <c r="AF505" s="168" t="s">
        <v>182</v>
      </c>
      <c r="AG505" s="168" t="s">
        <v>182</v>
      </c>
      <c r="AH505" s="168" t="str">
        <f t="shared" si="43"/>
        <v>Refrigerator-Bottom Freezer-Automatic-No-No-Yes-Yes</v>
      </c>
      <c r="AI505" s="168" t="s">
        <v>269</v>
      </c>
      <c r="AJ505" s="168">
        <v>9.25</v>
      </c>
      <c r="AK505" s="169">
        <v>475.4</v>
      </c>
      <c r="AL505" s="169">
        <f t="shared" si="44"/>
        <v>759.375</v>
      </c>
      <c r="AM505" s="168">
        <f t="shared" si="45"/>
        <v>759</v>
      </c>
      <c r="AN505" s="168">
        <f t="shared" si="46"/>
        <v>629</v>
      </c>
      <c r="AO505" s="164" t="str">
        <f t="shared" si="47"/>
        <v>Yes</v>
      </c>
      <c r="AP505" s="164">
        <f t="shared" si="48"/>
        <v>130</v>
      </c>
    </row>
    <row r="506" spans="2:42">
      <c r="B506" s="164">
        <v>2199856</v>
      </c>
      <c r="C506" s="164" t="s">
        <v>176</v>
      </c>
      <c r="D506" s="164" t="s">
        <v>1390</v>
      </c>
      <c r="E506" s="164"/>
      <c r="F506" s="164" t="s">
        <v>191</v>
      </c>
      <c r="G506" s="164" t="s">
        <v>162</v>
      </c>
      <c r="H506" s="164" t="s">
        <v>163</v>
      </c>
      <c r="I506" s="164" t="s">
        <v>163</v>
      </c>
      <c r="J506" s="164" t="s">
        <v>182</v>
      </c>
      <c r="K506" s="164" t="s">
        <v>182</v>
      </c>
      <c r="L506" s="164" t="s">
        <v>163</v>
      </c>
      <c r="M506" s="164">
        <v>70</v>
      </c>
      <c r="N506" s="164">
        <v>35.799999999999997</v>
      </c>
      <c r="O506" s="165">
        <v>24.6</v>
      </c>
      <c r="P506" s="165">
        <v>30.7</v>
      </c>
      <c r="Q506" s="164">
        <v>629</v>
      </c>
      <c r="R506" s="164">
        <v>759</v>
      </c>
      <c r="S506" s="166">
        <v>0.17</v>
      </c>
      <c r="T506" s="164" t="s">
        <v>163</v>
      </c>
      <c r="U506" s="164"/>
      <c r="V506" s="167">
        <v>41640</v>
      </c>
      <c r="W506" s="167">
        <v>41635</v>
      </c>
      <c r="X506" s="164" t="s">
        <v>387</v>
      </c>
      <c r="Y506" s="164" t="s">
        <v>1391</v>
      </c>
      <c r="Z506" s="164" t="s">
        <v>182</v>
      </c>
      <c r="AA506" s="168" t="s">
        <v>184</v>
      </c>
      <c r="AB506" s="168" t="s">
        <v>191</v>
      </c>
      <c r="AC506" s="168" t="s">
        <v>162</v>
      </c>
      <c r="AD506" s="168" t="s">
        <v>163</v>
      </c>
      <c r="AE506" s="168" t="s">
        <v>163</v>
      </c>
      <c r="AF506" s="168" t="s">
        <v>182</v>
      </c>
      <c r="AG506" s="168" t="s">
        <v>182</v>
      </c>
      <c r="AH506" s="168" t="str">
        <f t="shared" si="43"/>
        <v>Refrigerator-Bottom Freezer-Automatic-No-No-Yes-Yes</v>
      </c>
      <c r="AI506" s="168" t="s">
        <v>269</v>
      </c>
      <c r="AJ506" s="168">
        <v>9.25</v>
      </c>
      <c r="AK506" s="169">
        <v>475.4</v>
      </c>
      <c r="AL506" s="169">
        <f t="shared" si="44"/>
        <v>759.375</v>
      </c>
      <c r="AM506" s="168">
        <f t="shared" si="45"/>
        <v>759</v>
      </c>
      <c r="AN506" s="168">
        <f t="shared" si="46"/>
        <v>629</v>
      </c>
      <c r="AO506" s="164" t="str">
        <f t="shared" si="47"/>
        <v>Yes</v>
      </c>
      <c r="AP506" s="164">
        <f t="shared" si="48"/>
        <v>130</v>
      </c>
    </row>
    <row r="507" spans="2:42">
      <c r="B507" s="164">
        <v>2204861</v>
      </c>
      <c r="C507" s="164" t="s">
        <v>176</v>
      </c>
      <c r="D507" s="164" t="s">
        <v>1392</v>
      </c>
      <c r="E507" s="164"/>
      <c r="F507" s="164" t="s">
        <v>191</v>
      </c>
      <c r="G507" s="164" t="s">
        <v>162</v>
      </c>
      <c r="H507" s="164" t="s">
        <v>163</v>
      </c>
      <c r="I507" s="164" t="s">
        <v>163</v>
      </c>
      <c r="J507" s="164" t="s">
        <v>163</v>
      </c>
      <c r="K507" s="164" t="s">
        <v>182</v>
      </c>
      <c r="L507" s="164" t="s">
        <v>163</v>
      </c>
      <c r="M507" s="164">
        <v>70</v>
      </c>
      <c r="N507" s="164">
        <v>35.799999999999997</v>
      </c>
      <c r="O507" s="165">
        <v>25.5</v>
      </c>
      <c r="P507" s="165">
        <v>31.6</v>
      </c>
      <c r="Q507" s="164">
        <v>527</v>
      </c>
      <c r="R507" s="164">
        <v>681</v>
      </c>
      <c r="S507" s="166">
        <v>0.23</v>
      </c>
      <c r="T507" s="164" t="s">
        <v>163</v>
      </c>
      <c r="U507" s="164"/>
      <c r="V507" s="167">
        <v>41720</v>
      </c>
      <c r="W507" s="167">
        <v>41690</v>
      </c>
      <c r="X507" s="164" t="s">
        <v>387</v>
      </c>
      <c r="Y507" s="164" t="s">
        <v>1393</v>
      </c>
      <c r="Z507" s="164" t="s">
        <v>182</v>
      </c>
      <c r="AA507" s="168" t="s">
        <v>184</v>
      </c>
      <c r="AB507" s="168" t="s">
        <v>191</v>
      </c>
      <c r="AC507" s="168" t="s">
        <v>162</v>
      </c>
      <c r="AD507" s="168" t="s">
        <v>163</v>
      </c>
      <c r="AE507" s="168" t="s">
        <v>163</v>
      </c>
      <c r="AF507" s="168" t="s">
        <v>163</v>
      </c>
      <c r="AG507" s="168" t="s">
        <v>182</v>
      </c>
      <c r="AH507" s="168" t="str">
        <f t="shared" si="43"/>
        <v>Refrigerator-Bottom Freezer-Automatic-No-No-No-Yes</v>
      </c>
      <c r="AI507" s="168" t="s">
        <v>261</v>
      </c>
      <c r="AJ507" s="168">
        <v>8.85</v>
      </c>
      <c r="AK507" s="169">
        <v>401</v>
      </c>
      <c r="AL507" s="169">
        <f t="shared" si="44"/>
        <v>680.66000000000008</v>
      </c>
      <c r="AM507" s="168">
        <f t="shared" si="45"/>
        <v>681</v>
      </c>
      <c r="AN507" s="168">
        <f t="shared" si="46"/>
        <v>527</v>
      </c>
      <c r="AO507" s="164" t="str">
        <f t="shared" si="47"/>
        <v>Yes</v>
      </c>
      <c r="AP507" s="164">
        <f t="shared" si="48"/>
        <v>154</v>
      </c>
    </row>
    <row r="508" spans="2:42">
      <c r="B508" s="164">
        <v>2204863</v>
      </c>
      <c r="C508" s="164" t="s">
        <v>176</v>
      </c>
      <c r="D508" s="164" t="s">
        <v>1394</v>
      </c>
      <c r="E508" s="164"/>
      <c r="F508" s="164" t="s">
        <v>191</v>
      </c>
      <c r="G508" s="164" t="s">
        <v>162</v>
      </c>
      <c r="H508" s="164" t="s">
        <v>163</v>
      </c>
      <c r="I508" s="164" t="s">
        <v>163</v>
      </c>
      <c r="J508" s="164" t="s">
        <v>182</v>
      </c>
      <c r="K508" s="164" t="s">
        <v>182</v>
      </c>
      <c r="L508" s="164" t="s">
        <v>163</v>
      </c>
      <c r="M508" s="164">
        <v>70</v>
      </c>
      <c r="N508" s="164">
        <v>35.799999999999997</v>
      </c>
      <c r="O508" s="165">
        <v>27.8</v>
      </c>
      <c r="P508" s="165">
        <v>34.6</v>
      </c>
      <c r="Q508" s="164">
        <v>716</v>
      </c>
      <c r="R508" s="164">
        <v>795</v>
      </c>
      <c r="S508" s="166">
        <v>0.1</v>
      </c>
      <c r="T508" s="164" t="s">
        <v>163</v>
      </c>
      <c r="U508" s="164"/>
      <c r="V508" s="167">
        <v>41746</v>
      </c>
      <c r="W508" s="167">
        <v>41690</v>
      </c>
      <c r="X508" s="164" t="s">
        <v>387</v>
      </c>
      <c r="Y508" s="164" t="s">
        <v>1395</v>
      </c>
      <c r="Z508" s="164" t="s">
        <v>163</v>
      </c>
      <c r="AA508" s="168" t="s">
        <v>184</v>
      </c>
      <c r="AB508" s="168" t="s">
        <v>191</v>
      </c>
      <c r="AC508" s="168" t="s">
        <v>162</v>
      </c>
      <c r="AD508" s="168" t="s">
        <v>163</v>
      </c>
      <c r="AE508" s="168" t="s">
        <v>163</v>
      </c>
      <c r="AF508" s="168" t="s">
        <v>182</v>
      </c>
      <c r="AG508" s="168" t="s">
        <v>182</v>
      </c>
      <c r="AH508" s="168" t="str">
        <f t="shared" si="43"/>
        <v>Refrigerator-Bottom Freezer-Automatic-No-No-Yes-Yes</v>
      </c>
      <c r="AI508" s="168" t="s">
        <v>269</v>
      </c>
      <c r="AJ508" s="168">
        <v>9.25</v>
      </c>
      <c r="AK508" s="169">
        <v>475.4</v>
      </c>
      <c r="AL508" s="169">
        <f t="shared" si="44"/>
        <v>795.45</v>
      </c>
      <c r="AM508" s="168">
        <f t="shared" si="45"/>
        <v>795</v>
      </c>
      <c r="AN508" s="168">
        <f t="shared" si="46"/>
        <v>716</v>
      </c>
      <c r="AO508" s="164" t="str">
        <f t="shared" si="47"/>
        <v>Yes</v>
      </c>
      <c r="AP508" s="164">
        <f t="shared" si="48"/>
        <v>79</v>
      </c>
    </row>
    <row r="509" spans="2:42">
      <c r="B509" s="164">
        <v>2204862</v>
      </c>
      <c r="C509" s="164" t="s">
        <v>176</v>
      </c>
      <c r="D509" s="164" t="s">
        <v>1396</v>
      </c>
      <c r="E509" s="164"/>
      <c r="F509" s="164" t="s">
        <v>191</v>
      </c>
      <c r="G509" s="164" t="s">
        <v>162</v>
      </c>
      <c r="H509" s="164" t="s">
        <v>163</v>
      </c>
      <c r="I509" s="164" t="s">
        <v>163</v>
      </c>
      <c r="J509" s="164" t="s">
        <v>182</v>
      </c>
      <c r="K509" s="164" t="s">
        <v>182</v>
      </c>
      <c r="L509" s="164" t="s">
        <v>163</v>
      </c>
      <c r="M509" s="164">
        <v>70</v>
      </c>
      <c r="N509" s="164">
        <v>35.799999999999997</v>
      </c>
      <c r="O509" s="165">
        <v>27.8</v>
      </c>
      <c r="P509" s="165">
        <v>34.6</v>
      </c>
      <c r="Q509" s="164">
        <v>716</v>
      </c>
      <c r="R509" s="164">
        <v>795</v>
      </c>
      <c r="S509" s="166">
        <v>0.1</v>
      </c>
      <c r="T509" s="164" t="s">
        <v>163</v>
      </c>
      <c r="U509" s="164"/>
      <c r="V509" s="167">
        <v>41736</v>
      </c>
      <c r="W509" s="167">
        <v>41690</v>
      </c>
      <c r="X509" s="164" t="s">
        <v>387</v>
      </c>
      <c r="Y509" s="164" t="s">
        <v>1397</v>
      </c>
      <c r="Z509" s="164" t="s">
        <v>163</v>
      </c>
      <c r="AA509" s="168" t="s">
        <v>184</v>
      </c>
      <c r="AB509" s="168" t="s">
        <v>191</v>
      </c>
      <c r="AC509" s="168" t="s">
        <v>162</v>
      </c>
      <c r="AD509" s="168" t="s">
        <v>163</v>
      </c>
      <c r="AE509" s="168" t="s">
        <v>163</v>
      </c>
      <c r="AF509" s="168" t="s">
        <v>182</v>
      </c>
      <c r="AG509" s="168" t="s">
        <v>182</v>
      </c>
      <c r="AH509" s="168" t="str">
        <f t="shared" si="43"/>
        <v>Refrigerator-Bottom Freezer-Automatic-No-No-Yes-Yes</v>
      </c>
      <c r="AI509" s="168" t="s">
        <v>269</v>
      </c>
      <c r="AJ509" s="168">
        <v>9.25</v>
      </c>
      <c r="AK509" s="169">
        <v>475.4</v>
      </c>
      <c r="AL509" s="169">
        <f t="shared" si="44"/>
        <v>795.45</v>
      </c>
      <c r="AM509" s="168">
        <f t="shared" si="45"/>
        <v>795</v>
      </c>
      <c r="AN509" s="168">
        <f t="shared" si="46"/>
        <v>716</v>
      </c>
      <c r="AO509" s="164" t="str">
        <f t="shared" si="47"/>
        <v>Yes</v>
      </c>
      <c r="AP509" s="164">
        <f t="shared" si="48"/>
        <v>79</v>
      </c>
    </row>
    <row r="510" spans="2:42">
      <c r="B510" s="164">
        <v>2199397</v>
      </c>
      <c r="C510" s="164" t="s">
        <v>176</v>
      </c>
      <c r="D510" s="164" t="s">
        <v>1398</v>
      </c>
      <c r="E510" s="164"/>
      <c r="F510" s="164" t="s">
        <v>191</v>
      </c>
      <c r="G510" s="164" t="s">
        <v>162</v>
      </c>
      <c r="H510" s="164" t="s">
        <v>163</v>
      </c>
      <c r="I510" s="164" t="s">
        <v>163</v>
      </c>
      <c r="J510" s="164" t="s">
        <v>182</v>
      </c>
      <c r="K510" s="164" t="s">
        <v>182</v>
      </c>
      <c r="L510" s="164" t="s">
        <v>163</v>
      </c>
      <c r="M510" s="164">
        <v>70</v>
      </c>
      <c r="N510" s="164">
        <v>35.799999999999997</v>
      </c>
      <c r="O510" s="165">
        <v>28</v>
      </c>
      <c r="P510" s="165">
        <v>34.799999999999997</v>
      </c>
      <c r="Q510" s="164">
        <v>717</v>
      </c>
      <c r="R510" s="164">
        <v>797</v>
      </c>
      <c r="S510" s="166">
        <v>0.1</v>
      </c>
      <c r="T510" s="164" t="s">
        <v>163</v>
      </c>
      <c r="U510" s="164"/>
      <c r="V510" s="167">
        <v>41640</v>
      </c>
      <c r="W510" s="167">
        <v>41632</v>
      </c>
      <c r="X510" s="164" t="s">
        <v>387</v>
      </c>
      <c r="Y510" s="164" t="s">
        <v>1399</v>
      </c>
      <c r="Z510" s="164" t="s">
        <v>163</v>
      </c>
      <c r="AA510" s="168" t="s">
        <v>184</v>
      </c>
      <c r="AB510" s="168" t="s">
        <v>191</v>
      </c>
      <c r="AC510" s="168" t="s">
        <v>162</v>
      </c>
      <c r="AD510" s="168" t="s">
        <v>163</v>
      </c>
      <c r="AE510" s="168" t="s">
        <v>163</v>
      </c>
      <c r="AF510" s="168" t="s">
        <v>182</v>
      </c>
      <c r="AG510" s="168" t="s">
        <v>182</v>
      </c>
      <c r="AH510" s="168" t="str">
        <f t="shared" si="43"/>
        <v>Refrigerator-Bottom Freezer-Automatic-No-No-Yes-Yes</v>
      </c>
      <c r="AI510" s="168" t="s">
        <v>269</v>
      </c>
      <c r="AJ510" s="168">
        <v>9.25</v>
      </c>
      <c r="AK510" s="169">
        <v>475.4</v>
      </c>
      <c r="AL510" s="169">
        <f t="shared" si="44"/>
        <v>797.3</v>
      </c>
      <c r="AM510" s="168">
        <f t="shared" si="45"/>
        <v>797</v>
      </c>
      <c r="AN510" s="168">
        <f t="shared" si="46"/>
        <v>717</v>
      </c>
      <c r="AO510" s="164" t="str">
        <f t="shared" si="47"/>
        <v>Yes</v>
      </c>
      <c r="AP510" s="164">
        <f t="shared" si="48"/>
        <v>80</v>
      </c>
    </row>
    <row r="511" spans="2:42">
      <c r="B511" s="164">
        <v>2199398</v>
      </c>
      <c r="C511" s="164" t="s">
        <v>176</v>
      </c>
      <c r="D511" s="164" t="s">
        <v>1400</v>
      </c>
      <c r="E511" s="164"/>
      <c r="F511" s="164" t="s">
        <v>191</v>
      </c>
      <c r="G511" s="164" t="s">
        <v>162</v>
      </c>
      <c r="H511" s="164" t="s">
        <v>163</v>
      </c>
      <c r="I511" s="164" t="s">
        <v>163</v>
      </c>
      <c r="J511" s="164" t="s">
        <v>182</v>
      </c>
      <c r="K511" s="164" t="s">
        <v>182</v>
      </c>
      <c r="L511" s="164" t="s">
        <v>163</v>
      </c>
      <c r="M511" s="164">
        <v>70</v>
      </c>
      <c r="N511" s="164">
        <v>35.799999999999997</v>
      </c>
      <c r="O511" s="165">
        <v>28</v>
      </c>
      <c r="P511" s="165">
        <v>34.9</v>
      </c>
      <c r="Q511" s="164">
        <v>717</v>
      </c>
      <c r="R511" s="164">
        <v>798</v>
      </c>
      <c r="S511" s="166">
        <v>0.1</v>
      </c>
      <c r="T511" s="164" t="s">
        <v>163</v>
      </c>
      <c r="U511" s="164"/>
      <c r="V511" s="167">
        <v>41640</v>
      </c>
      <c r="W511" s="167">
        <v>41632</v>
      </c>
      <c r="X511" s="164" t="s">
        <v>387</v>
      </c>
      <c r="Y511" s="164" t="s">
        <v>1401</v>
      </c>
      <c r="Z511" s="164" t="s">
        <v>163</v>
      </c>
      <c r="AA511" s="168" t="s">
        <v>184</v>
      </c>
      <c r="AB511" s="168" t="s">
        <v>191</v>
      </c>
      <c r="AC511" s="168" t="s">
        <v>162</v>
      </c>
      <c r="AD511" s="168" t="s">
        <v>163</v>
      </c>
      <c r="AE511" s="168" t="s">
        <v>163</v>
      </c>
      <c r="AF511" s="168" t="s">
        <v>182</v>
      </c>
      <c r="AG511" s="168" t="s">
        <v>182</v>
      </c>
      <c r="AH511" s="168" t="str">
        <f t="shared" si="43"/>
        <v>Refrigerator-Bottom Freezer-Automatic-No-No-Yes-Yes</v>
      </c>
      <c r="AI511" s="168" t="s">
        <v>269</v>
      </c>
      <c r="AJ511" s="168">
        <v>9.25</v>
      </c>
      <c r="AK511" s="169">
        <v>475.4</v>
      </c>
      <c r="AL511" s="169">
        <f t="shared" si="44"/>
        <v>798.22499999999991</v>
      </c>
      <c r="AM511" s="168">
        <f t="shared" si="45"/>
        <v>798</v>
      </c>
      <c r="AN511" s="168">
        <f t="shared" si="46"/>
        <v>717</v>
      </c>
      <c r="AO511" s="164" t="str">
        <f t="shared" si="47"/>
        <v>Yes</v>
      </c>
      <c r="AP511" s="164">
        <f t="shared" si="48"/>
        <v>81</v>
      </c>
    </row>
    <row r="512" spans="2:42">
      <c r="B512" s="164">
        <v>2207326</v>
      </c>
      <c r="C512" s="164" t="s">
        <v>176</v>
      </c>
      <c r="D512" s="164" t="s">
        <v>1402</v>
      </c>
      <c r="E512" s="164"/>
      <c r="F512" s="164" t="s">
        <v>191</v>
      </c>
      <c r="G512" s="164" t="s">
        <v>162</v>
      </c>
      <c r="H512" s="164" t="s">
        <v>163</v>
      </c>
      <c r="I512" s="164" t="s">
        <v>163</v>
      </c>
      <c r="J512" s="164" t="s">
        <v>182</v>
      </c>
      <c r="K512" s="164" t="s">
        <v>182</v>
      </c>
      <c r="L512" s="164" t="s">
        <v>163</v>
      </c>
      <c r="M512" s="164">
        <v>70</v>
      </c>
      <c r="N512" s="164">
        <v>35.799999999999997</v>
      </c>
      <c r="O512" s="165">
        <v>28</v>
      </c>
      <c r="P512" s="165">
        <v>34.9</v>
      </c>
      <c r="Q512" s="164">
        <v>611</v>
      </c>
      <c r="R512" s="164">
        <v>798</v>
      </c>
      <c r="S512" s="166">
        <v>0.24</v>
      </c>
      <c r="T512" s="164" t="s">
        <v>163</v>
      </c>
      <c r="U512" s="164"/>
      <c r="V512" s="167">
        <v>41759</v>
      </c>
      <c r="W512" s="167">
        <v>41718</v>
      </c>
      <c r="X512" s="164" t="s">
        <v>387</v>
      </c>
      <c r="Y512" s="164" t="s">
        <v>1403</v>
      </c>
      <c r="Z512" s="164" t="s">
        <v>182</v>
      </c>
      <c r="AA512" s="168" t="s">
        <v>184</v>
      </c>
      <c r="AB512" s="168" t="s">
        <v>191</v>
      </c>
      <c r="AC512" s="168" t="s">
        <v>162</v>
      </c>
      <c r="AD512" s="168" t="s">
        <v>163</v>
      </c>
      <c r="AE512" s="168" t="s">
        <v>163</v>
      </c>
      <c r="AF512" s="168" t="s">
        <v>182</v>
      </c>
      <c r="AG512" s="168" t="s">
        <v>182</v>
      </c>
      <c r="AH512" s="168" t="str">
        <f t="shared" si="43"/>
        <v>Refrigerator-Bottom Freezer-Automatic-No-No-Yes-Yes</v>
      </c>
      <c r="AI512" s="168" t="s">
        <v>269</v>
      </c>
      <c r="AJ512" s="168">
        <v>9.25</v>
      </c>
      <c r="AK512" s="169">
        <v>475.4</v>
      </c>
      <c r="AL512" s="169">
        <f t="shared" si="44"/>
        <v>798.22499999999991</v>
      </c>
      <c r="AM512" s="168">
        <f t="shared" si="45"/>
        <v>798</v>
      </c>
      <c r="AN512" s="168">
        <f t="shared" si="46"/>
        <v>611</v>
      </c>
      <c r="AO512" s="164" t="str">
        <f t="shared" si="47"/>
        <v>Yes</v>
      </c>
      <c r="AP512" s="164">
        <f t="shared" si="48"/>
        <v>187</v>
      </c>
    </row>
    <row r="513" spans="2:42">
      <c r="B513" s="164">
        <v>2199395</v>
      </c>
      <c r="C513" s="164" t="s">
        <v>176</v>
      </c>
      <c r="D513" s="164" t="s">
        <v>1404</v>
      </c>
      <c r="E513" s="164"/>
      <c r="F513" s="164" t="s">
        <v>191</v>
      </c>
      <c r="G513" s="164" t="s">
        <v>162</v>
      </c>
      <c r="H513" s="164" t="s">
        <v>163</v>
      </c>
      <c r="I513" s="164" t="s">
        <v>163</v>
      </c>
      <c r="J513" s="164" t="s">
        <v>182</v>
      </c>
      <c r="K513" s="164" t="s">
        <v>182</v>
      </c>
      <c r="L513" s="164" t="s">
        <v>163</v>
      </c>
      <c r="M513" s="164">
        <v>70</v>
      </c>
      <c r="N513" s="164">
        <v>35.799999999999997</v>
      </c>
      <c r="O513" s="165">
        <v>28.2</v>
      </c>
      <c r="P513" s="165">
        <v>34.6</v>
      </c>
      <c r="Q513" s="164">
        <v>714</v>
      </c>
      <c r="R513" s="164">
        <v>795</v>
      </c>
      <c r="S513" s="166">
        <v>0.1</v>
      </c>
      <c r="T513" s="164" t="s">
        <v>163</v>
      </c>
      <c r="U513" s="164"/>
      <c r="V513" s="167">
        <v>41640</v>
      </c>
      <c r="W513" s="167">
        <v>41632</v>
      </c>
      <c r="X513" s="164" t="s">
        <v>387</v>
      </c>
      <c r="Y513" s="164" t="s">
        <v>1405</v>
      </c>
      <c r="Z513" s="164" t="s">
        <v>163</v>
      </c>
      <c r="AA513" s="168" t="s">
        <v>184</v>
      </c>
      <c r="AB513" s="168" t="s">
        <v>191</v>
      </c>
      <c r="AC513" s="168" t="s">
        <v>162</v>
      </c>
      <c r="AD513" s="168" t="s">
        <v>163</v>
      </c>
      <c r="AE513" s="168" t="s">
        <v>163</v>
      </c>
      <c r="AF513" s="168" t="s">
        <v>182</v>
      </c>
      <c r="AG513" s="168" t="s">
        <v>182</v>
      </c>
      <c r="AH513" s="168" t="str">
        <f t="shared" si="43"/>
        <v>Refrigerator-Bottom Freezer-Automatic-No-No-Yes-Yes</v>
      </c>
      <c r="AI513" s="168" t="s">
        <v>269</v>
      </c>
      <c r="AJ513" s="168">
        <v>9.25</v>
      </c>
      <c r="AK513" s="169">
        <v>475.4</v>
      </c>
      <c r="AL513" s="169">
        <f t="shared" si="44"/>
        <v>795.45</v>
      </c>
      <c r="AM513" s="168">
        <f t="shared" si="45"/>
        <v>795</v>
      </c>
      <c r="AN513" s="168">
        <f t="shared" si="46"/>
        <v>714</v>
      </c>
      <c r="AO513" s="164" t="str">
        <f t="shared" si="47"/>
        <v>Yes</v>
      </c>
      <c r="AP513" s="164">
        <f t="shared" si="48"/>
        <v>81</v>
      </c>
    </row>
    <row r="514" spans="2:42">
      <c r="B514" s="164">
        <v>2206769</v>
      </c>
      <c r="C514" s="164" t="s">
        <v>176</v>
      </c>
      <c r="D514" s="164" t="s">
        <v>1406</v>
      </c>
      <c r="E514" s="164"/>
      <c r="F514" s="164" t="s">
        <v>191</v>
      </c>
      <c r="G514" s="164" t="s">
        <v>162</v>
      </c>
      <c r="H514" s="164" t="s">
        <v>163</v>
      </c>
      <c r="I514" s="164" t="s">
        <v>163</v>
      </c>
      <c r="J514" s="164" t="s">
        <v>182</v>
      </c>
      <c r="K514" s="164" t="s">
        <v>182</v>
      </c>
      <c r="L514" s="164" t="s">
        <v>163</v>
      </c>
      <c r="M514" s="164">
        <v>69.599999999999994</v>
      </c>
      <c r="N514" s="164">
        <v>35.799999999999997</v>
      </c>
      <c r="O514" s="165">
        <v>28.2</v>
      </c>
      <c r="P514" s="165">
        <v>34.6</v>
      </c>
      <c r="Q514" s="164">
        <v>714</v>
      </c>
      <c r="R514" s="164">
        <v>795</v>
      </c>
      <c r="S514" s="166">
        <v>0.1</v>
      </c>
      <c r="T514" s="164" t="s">
        <v>163</v>
      </c>
      <c r="U514" s="164"/>
      <c r="V514" s="167">
        <v>41759</v>
      </c>
      <c r="W514" s="167">
        <v>41717</v>
      </c>
      <c r="X514" s="164" t="s">
        <v>387</v>
      </c>
      <c r="Y514" s="164" t="s">
        <v>1407</v>
      </c>
      <c r="Z514" s="164" t="s">
        <v>163</v>
      </c>
      <c r="AA514" s="168" t="s">
        <v>184</v>
      </c>
      <c r="AB514" s="168" t="s">
        <v>191</v>
      </c>
      <c r="AC514" s="168" t="s">
        <v>162</v>
      </c>
      <c r="AD514" s="168" t="s">
        <v>163</v>
      </c>
      <c r="AE514" s="168" t="s">
        <v>163</v>
      </c>
      <c r="AF514" s="168" t="s">
        <v>182</v>
      </c>
      <c r="AG514" s="168" t="s">
        <v>182</v>
      </c>
      <c r="AH514" s="168" t="str">
        <f t="shared" si="43"/>
        <v>Refrigerator-Bottom Freezer-Automatic-No-No-Yes-Yes</v>
      </c>
      <c r="AI514" s="168" t="s">
        <v>269</v>
      </c>
      <c r="AJ514" s="168">
        <v>9.25</v>
      </c>
      <c r="AK514" s="169">
        <v>475.4</v>
      </c>
      <c r="AL514" s="169">
        <f t="shared" si="44"/>
        <v>795.45</v>
      </c>
      <c r="AM514" s="168">
        <f t="shared" si="45"/>
        <v>795</v>
      </c>
      <c r="AN514" s="168">
        <f t="shared" si="46"/>
        <v>714</v>
      </c>
      <c r="AO514" s="164" t="str">
        <f t="shared" si="47"/>
        <v>Yes</v>
      </c>
      <c r="AP514" s="164">
        <f t="shared" si="48"/>
        <v>81</v>
      </c>
    </row>
    <row r="515" spans="2:42">
      <c r="B515" s="164">
        <v>2206768</v>
      </c>
      <c r="C515" s="164" t="s">
        <v>176</v>
      </c>
      <c r="D515" s="164" t="s">
        <v>1408</v>
      </c>
      <c r="E515" s="164"/>
      <c r="F515" s="164" t="s">
        <v>191</v>
      </c>
      <c r="G515" s="164" t="s">
        <v>162</v>
      </c>
      <c r="H515" s="164" t="s">
        <v>163</v>
      </c>
      <c r="I515" s="164" t="s">
        <v>163</v>
      </c>
      <c r="J515" s="164" t="s">
        <v>182</v>
      </c>
      <c r="K515" s="164" t="s">
        <v>182</v>
      </c>
      <c r="L515" s="164" t="s">
        <v>163</v>
      </c>
      <c r="M515" s="164">
        <v>69.599999999999994</v>
      </c>
      <c r="N515" s="164">
        <v>35.799999999999997</v>
      </c>
      <c r="O515" s="165">
        <v>29.5</v>
      </c>
      <c r="P515" s="165">
        <v>36.299999999999997</v>
      </c>
      <c r="Q515" s="164">
        <v>730</v>
      </c>
      <c r="R515" s="164">
        <v>811</v>
      </c>
      <c r="S515" s="166">
        <v>0.1</v>
      </c>
      <c r="T515" s="164" t="s">
        <v>163</v>
      </c>
      <c r="U515" s="164"/>
      <c r="V515" s="167">
        <v>41753</v>
      </c>
      <c r="W515" s="167">
        <v>41717</v>
      </c>
      <c r="X515" s="164" t="s">
        <v>387</v>
      </c>
      <c r="Y515" s="164" t="s">
        <v>1409</v>
      </c>
      <c r="Z515" s="164" t="s">
        <v>163</v>
      </c>
      <c r="AA515" s="168" t="s">
        <v>184</v>
      </c>
      <c r="AB515" s="168" t="s">
        <v>191</v>
      </c>
      <c r="AC515" s="168" t="s">
        <v>162</v>
      </c>
      <c r="AD515" s="168" t="s">
        <v>163</v>
      </c>
      <c r="AE515" s="168" t="s">
        <v>163</v>
      </c>
      <c r="AF515" s="168" t="s">
        <v>182</v>
      </c>
      <c r="AG515" s="168" t="s">
        <v>182</v>
      </c>
      <c r="AH515" s="168" t="str">
        <f t="shared" si="43"/>
        <v>Refrigerator-Bottom Freezer-Automatic-No-No-Yes-Yes</v>
      </c>
      <c r="AI515" s="168" t="s">
        <v>269</v>
      </c>
      <c r="AJ515" s="168">
        <v>9.25</v>
      </c>
      <c r="AK515" s="169">
        <v>475.4</v>
      </c>
      <c r="AL515" s="169">
        <f t="shared" si="44"/>
        <v>811.17499999999995</v>
      </c>
      <c r="AM515" s="168">
        <f t="shared" si="45"/>
        <v>811</v>
      </c>
      <c r="AN515" s="168">
        <f t="shared" si="46"/>
        <v>730</v>
      </c>
      <c r="AO515" s="164" t="str">
        <f t="shared" si="47"/>
        <v>Yes</v>
      </c>
      <c r="AP515" s="164">
        <f t="shared" si="48"/>
        <v>81</v>
      </c>
    </row>
    <row r="516" spans="2:42">
      <c r="B516" s="164">
        <v>2206289</v>
      </c>
      <c r="C516" s="164" t="s">
        <v>176</v>
      </c>
      <c r="D516" s="164" t="s">
        <v>1410</v>
      </c>
      <c r="E516" s="164"/>
      <c r="F516" s="164" t="s">
        <v>191</v>
      </c>
      <c r="G516" s="164" t="s">
        <v>162</v>
      </c>
      <c r="H516" s="164" t="s">
        <v>163</v>
      </c>
      <c r="I516" s="164" t="s">
        <v>163</v>
      </c>
      <c r="J516" s="164" t="s">
        <v>182</v>
      </c>
      <c r="K516" s="164" t="s">
        <v>182</v>
      </c>
      <c r="L516" s="164" t="s">
        <v>163</v>
      </c>
      <c r="M516" s="164">
        <v>69.599999999999994</v>
      </c>
      <c r="N516" s="164">
        <v>35.799999999999997</v>
      </c>
      <c r="O516" s="165">
        <v>30.2</v>
      </c>
      <c r="P516" s="165">
        <v>37.799999999999997</v>
      </c>
      <c r="Q516" s="164">
        <v>743</v>
      </c>
      <c r="R516" s="164">
        <v>825</v>
      </c>
      <c r="S516" s="166">
        <v>0.1</v>
      </c>
      <c r="T516" s="164" t="s">
        <v>163</v>
      </c>
      <c r="U516" s="164"/>
      <c r="V516" s="167">
        <v>41753</v>
      </c>
      <c r="W516" s="167">
        <v>41710</v>
      </c>
      <c r="X516" s="164" t="s">
        <v>387</v>
      </c>
      <c r="Y516" s="164" t="s">
        <v>1411</v>
      </c>
      <c r="Z516" s="164" t="s">
        <v>163</v>
      </c>
      <c r="AA516" s="168" t="s">
        <v>184</v>
      </c>
      <c r="AB516" s="168" t="s">
        <v>191</v>
      </c>
      <c r="AC516" s="168" t="s">
        <v>162</v>
      </c>
      <c r="AD516" s="168" t="s">
        <v>163</v>
      </c>
      <c r="AE516" s="168" t="s">
        <v>163</v>
      </c>
      <c r="AF516" s="168" t="s">
        <v>182</v>
      </c>
      <c r="AG516" s="168" t="s">
        <v>182</v>
      </c>
      <c r="AH516" s="168" t="str">
        <f t="shared" si="43"/>
        <v>Refrigerator-Bottom Freezer-Automatic-No-No-Yes-Yes</v>
      </c>
      <c r="AI516" s="168" t="s">
        <v>269</v>
      </c>
      <c r="AJ516" s="168">
        <v>9.25</v>
      </c>
      <c r="AK516" s="169">
        <v>475.4</v>
      </c>
      <c r="AL516" s="169">
        <f t="shared" si="44"/>
        <v>825.05</v>
      </c>
      <c r="AM516" s="168">
        <f t="shared" si="45"/>
        <v>825</v>
      </c>
      <c r="AN516" s="168">
        <f t="shared" si="46"/>
        <v>743</v>
      </c>
      <c r="AO516" s="164" t="str">
        <f t="shared" si="47"/>
        <v>Yes</v>
      </c>
      <c r="AP516" s="164">
        <f t="shared" si="48"/>
        <v>82</v>
      </c>
    </row>
    <row r="517" spans="2:42">
      <c r="B517" s="164">
        <v>2199400</v>
      </c>
      <c r="C517" s="164" t="s">
        <v>176</v>
      </c>
      <c r="D517" s="164" t="s">
        <v>1412</v>
      </c>
      <c r="E517" s="164"/>
      <c r="F517" s="164" t="s">
        <v>191</v>
      </c>
      <c r="G517" s="164" t="s">
        <v>162</v>
      </c>
      <c r="H517" s="164" t="s">
        <v>163</v>
      </c>
      <c r="I517" s="164" t="s">
        <v>163</v>
      </c>
      <c r="J517" s="164" t="s">
        <v>182</v>
      </c>
      <c r="K517" s="164" t="s">
        <v>182</v>
      </c>
      <c r="L517" s="164" t="s">
        <v>163</v>
      </c>
      <c r="M517" s="164">
        <v>70</v>
      </c>
      <c r="N517" s="164">
        <v>35.799999999999997</v>
      </c>
      <c r="O517" s="165">
        <v>29.7</v>
      </c>
      <c r="P517" s="165">
        <v>36.5</v>
      </c>
      <c r="Q517" s="164">
        <v>732</v>
      </c>
      <c r="R517" s="164">
        <v>813</v>
      </c>
      <c r="S517" s="166">
        <v>0.1</v>
      </c>
      <c r="T517" s="164" t="s">
        <v>163</v>
      </c>
      <c r="U517" s="164"/>
      <c r="V517" s="167">
        <v>41640</v>
      </c>
      <c r="W517" s="167">
        <v>41633</v>
      </c>
      <c r="X517" s="164" t="s">
        <v>387</v>
      </c>
      <c r="Y517" s="164" t="s">
        <v>1413</v>
      </c>
      <c r="Z517" s="164" t="s">
        <v>163</v>
      </c>
      <c r="AA517" s="168" t="s">
        <v>184</v>
      </c>
      <c r="AB517" s="168" t="s">
        <v>191</v>
      </c>
      <c r="AC517" s="168" t="s">
        <v>162</v>
      </c>
      <c r="AD517" s="168" t="s">
        <v>163</v>
      </c>
      <c r="AE517" s="168" t="s">
        <v>163</v>
      </c>
      <c r="AF517" s="168" t="s">
        <v>182</v>
      </c>
      <c r="AG517" s="168" t="s">
        <v>182</v>
      </c>
      <c r="AH517" s="168" t="str">
        <f t="shared" si="43"/>
        <v>Refrigerator-Bottom Freezer-Automatic-No-No-Yes-Yes</v>
      </c>
      <c r="AI517" s="168" t="s">
        <v>269</v>
      </c>
      <c r="AJ517" s="168">
        <v>9.25</v>
      </c>
      <c r="AK517" s="169">
        <v>475.4</v>
      </c>
      <c r="AL517" s="169">
        <f t="shared" si="44"/>
        <v>813.02499999999998</v>
      </c>
      <c r="AM517" s="168">
        <f t="shared" si="45"/>
        <v>813</v>
      </c>
      <c r="AN517" s="168">
        <f t="shared" si="46"/>
        <v>732</v>
      </c>
      <c r="AO517" s="164" t="str">
        <f t="shared" si="47"/>
        <v>Yes</v>
      </c>
      <c r="AP517" s="164">
        <f t="shared" si="48"/>
        <v>81</v>
      </c>
    </row>
    <row r="518" spans="2:42">
      <c r="B518" s="164">
        <v>2199399</v>
      </c>
      <c r="C518" s="164" t="s">
        <v>176</v>
      </c>
      <c r="D518" s="164" t="s">
        <v>1414</v>
      </c>
      <c r="E518" s="164"/>
      <c r="F518" s="164" t="s">
        <v>191</v>
      </c>
      <c r="G518" s="164" t="s">
        <v>162</v>
      </c>
      <c r="H518" s="164" t="s">
        <v>163</v>
      </c>
      <c r="I518" s="164" t="s">
        <v>163</v>
      </c>
      <c r="J518" s="164" t="s">
        <v>182</v>
      </c>
      <c r="K518" s="164" t="s">
        <v>182</v>
      </c>
      <c r="L518" s="164" t="s">
        <v>163</v>
      </c>
      <c r="M518" s="164">
        <v>70</v>
      </c>
      <c r="N518" s="164">
        <v>35.799999999999997</v>
      </c>
      <c r="O518" s="165">
        <v>29.1</v>
      </c>
      <c r="P518" s="165">
        <v>35.9</v>
      </c>
      <c r="Q518" s="164">
        <v>727</v>
      </c>
      <c r="R518" s="164">
        <v>807</v>
      </c>
      <c r="S518" s="166">
        <v>0.1</v>
      </c>
      <c r="T518" s="164" t="s">
        <v>163</v>
      </c>
      <c r="U518" s="164"/>
      <c r="V518" s="167">
        <v>41640</v>
      </c>
      <c r="W518" s="167">
        <v>41633</v>
      </c>
      <c r="X518" s="164" t="s">
        <v>387</v>
      </c>
      <c r="Y518" s="164" t="s">
        <v>1415</v>
      </c>
      <c r="Z518" s="164" t="s">
        <v>163</v>
      </c>
      <c r="AA518" s="168" t="s">
        <v>184</v>
      </c>
      <c r="AB518" s="168" t="s">
        <v>191</v>
      </c>
      <c r="AC518" s="168" t="s">
        <v>162</v>
      </c>
      <c r="AD518" s="168" t="s">
        <v>163</v>
      </c>
      <c r="AE518" s="168" t="s">
        <v>163</v>
      </c>
      <c r="AF518" s="168" t="s">
        <v>182</v>
      </c>
      <c r="AG518" s="168" t="s">
        <v>182</v>
      </c>
      <c r="AH518" s="168" t="str">
        <f t="shared" si="43"/>
        <v>Refrigerator-Bottom Freezer-Automatic-No-No-Yes-Yes</v>
      </c>
      <c r="AI518" s="168" t="s">
        <v>269</v>
      </c>
      <c r="AJ518" s="168">
        <v>9.25</v>
      </c>
      <c r="AK518" s="169">
        <v>475.4</v>
      </c>
      <c r="AL518" s="169">
        <f t="shared" si="44"/>
        <v>807.47499999999991</v>
      </c>
      <c r="AM518" s="168">
        <f t="shared" si="45"/>
        <v>807</v>
      </c>
      <c r="AN518" s="168">
        <f t="shared" si="46"/>
        <v>727</v>
      </c>
      <c r="AO518" s="164" t="str">
        <f t="shared" si="47"/>
        <v>Yes</v>
      </c>
      <c r="AP518" s="164">
        <f t="shared" si="48"/>
        <v>80</v>
      </c>
    </row>
    <row r="519" spans="2:42">
      <c r="B519" s="164">
        <v>2199858</v>
      </c>
      <c r="C519" s="164" t="s">
        <v>176</v>
      </c>
      <c r="D519" s="164" t="s">
        <v>1416</v>
      </c>
      <c r="E519" s="164"/>
      <c r="F519" s="164" t="s">
        <v>191</v>
      </c>
      <c r="G519" s="164" t="s">
        <v>162</v>
      </c>
      <c r="H519" s="164" t="s">
        <v>163</v>
      </c>
      <c r="I519" s="164" t="s">
        <v>163</v>
      </c>
      <c r="J519" s="164" t="s">
        <v>182</v>
      </c>
      <c r="K519" s="164" t="s">
        <v>182</v>
      </c>
      <c r="L519" s="164" t="s">
        <v>163</v>
      </c>
      <c r="M519" s="164">
        <v>70</v>
      </c>
      <c r="N519" s="164">
        <v>35.799999999999997</v>
      </c>
      <c r="O519" s="165">
        <v>30.5</v>
      </c>
      <c r="P519" s="165">
        <v>38.1</v>
      </c>
      <c r="Q519" s="164">
        <v>745</v>
      </c>
      <c r="R519" s="164">
        <v>828</v>
      </c>
      <c r="S519" s="166">
        <v>0.1</v>
      </c>
      <c r="T519" s="164" t="s">
        <v>163</v>
      </c>
      <c r="U519" s="164"/>
      <c r="V519" s="167">
        <v>41640</v>
      </c>
      <c r="W519" s="167">
        <v>41635</v>
      </c>
      <c r="X519" s="164" t="s">
        <v>387</v>
      </c>
      <c r="Y519" s="164" t="s">
        <v>1417</v>
      </c>
      <c r="Z519" s="164" t="s">
        <v>163</v>
      </c>
      <c r="AA519" s="168" t="s">
        <v>184</v>
      </c>
      <c r="AB519" s="168" t="s">
        <v>191</v>
      </c>
      <c r="AC519" s="168" t="s">
        <v>162</v>
      </c>
      <c r="AD519" s="168" t="s">
        <v>163</v>
      </c>
      <c r="AE519" s="168" t="s">
        <v>163</v>
      </c>
      <c r="AF519" s="168" t="s">
        <v>182</v>
      </c>
      <c r="AG519" s="168" t="s">
        <v>182</v>
      </c>
      <c r="AH519" s="168" t="str">
        <f t="shared" si="43"/>
        <v>Refrigerator-Bottom Freezer-Automatic-No-No-Yes-Yes</v>
      </c>
      <c r="AI519" s="168" t="s">
        <v>269</v>
      </c>
      <c r="AJ519" s="168">
        <v>9.25</v>
      </c>
      <c r="AK519" s="169">
        <v>475.4</v>
      </c>
      <c r="AL519" s="169">
        <f t="shared" si="44"/>
        <v>827.82500000000005</v>
      </c>
      <c r="AM519" s="168">
        <f t="shared" si="45"/>
        <v>828</v>
      </c>
      <c r="AN519" s="168">
        <f t="shared" si="46"/>
        <v>745</v>
      </c>
      <c r="AO519" s="164" t="str">
        <f t="shared" si="47"/>
        <v>Yes</v>
      </c>
      <c r="AP519" s="164">
        <f t="shared" si="48"/>
        <v>83</v>
      </c>
    </row>
    <row r="520" spans="2:42">
      <c r="B520" s="164">
        <v>2199859</v>
      </c>
      <c r="C520" s="164" t="s">
        <v>176</v>
      </c>
      <c r="D520" s="164" t="s">
        <v>1418</v>
      </c>
      <c r="E520" s="164"/>
      <c r="F520" s="164" t="s">
        <v>191</v>
      </c>
      <c r="G520" s="164" t="s">
        <v>162</v>
      </c>
      <c r="H520" s="164" t="s">
        <v>163</v>
      </c>
      <c r="I520" s="164" t="s">
        <v>163</v>
      </c>
      <c r="J520" s="164" t="s">
        <v>182</v>
      </c>
      <c r="K520" s="164" t="s">
        <v>182</v>
      </c>
      <c r="L520" s="164" t="s">
        <v>182</v>
      </c>
      <c r="M520" s="164">
        <v>72.8</v>
      </c>
      <c r="N520" s="164">
        <v>35.799999999999997</v>
      </c>
      <c r="O520" s="165">
        <v>30.4</v>
      </c>
      <c r="P520" s="165">
        <v>39.799999999999997</v>
      </c>
      <c r="Q520" s="164">
        <v>737</v>
      </c>
      <c r="R520" s="164">
        <v>844</v>
      </c>
      <c r="S520" s="166">
        <v>0.13</v>
      </c>
      <c r="T520" s="164" t="s">
        <v>163</v>
      </c>
      <c r="U520" s="164" t="s">
        <v>163</v>
      </c>
      <c r="V520" s="167">
        <v>41640</v>
      </c>
      <c r="W520" s="167">
        <v>41801</v>
      </c>
      <c r="X520" s="164" t="s">
        <v>387</v>
      </c>
      <c r="Y520" s="164" t="s">
        <v>1419</v>
      </c>
      <c r="Z520" s="164" t="s">
        <v>163</v>
      </c>
      <c r="AA520" s="168" t="s">
        <v>184</v>
      </c>
      <c r="AB520" s="168" t="s">
        <v>191</v>
      </c>
      <c r="AC520" s="168" t="s">
        <v>162</v>
      </c>
      <c r="AD520" s="168" t="s">
        <v>163</v>
      </c>
      <c r="AE520" s="168" t="s">
        <v>163</v>
      </c>
      <c r="AF520" s="168" t="s">
        <v>182</v>
      </c>
      <c r="AG520" s="168" t="s">
        <v>182</v>
      </c>
      <c r="AH520" s="168" t="str">
        <f t="shared" si="43"/>
        <v>Refrigerator-Bottom Freezer-Automatic-No-No-Yes-Yes</v>
      </c>
      <c r="AI520" s="168" t="s">
        <v>269</v>
      </c>
      <c r="AJ520" s="168">
        <v>9.25</v>
      </c>
      <c r="AK520" s="169">
        <v>475.4</v>
      </c>
      <c r="AL520" s="169">
        <f t="shared" si="44"/>
        <v>843.55</v>
      </c>
      <c r="AM520" s="168">
        <f t="shared" si="45"/>
        <v>844</v>
      </c>
      <c r="AN520" s="168">
        <f t="shared" si="46"/>
        <v>737</v>
      </c>
      <c r="AO520" s="164" t="str">
        <f t="shared" si="47"/>
        <v>Yes</v>
      </c>
      <c r="AP520" s="164">
        <f t="shared" si="48"/>
        <v>107</v>
      </c>
    </row>
    <row r="521" spans="2:42">
      <c r="B521" s="164">
        <v>2202758</v>
      </c>
      <c r="C521" s="164" t="s">
        <v>176</v>
      </c>
      <c r="D521" s="164" t="s">
        <v>1420</v>
      </c>
      <c r="E521" s="164"/>
      <c r="F521" s="164" t="s">
        <v>191</v>
      </c>
      <c r="G521" s="164" t="s">
        <v>162</v>
      </c>
      <c r="H521" s="164" t="s">
        <v>163</v>
      </c>
      <c r="I521" s="164" t="s">
        <v>163</v>
      </c>
      <c r="J521" s="164" t="s">
        <v>182</v>
      </c>
      <c r="K521" s="164" t="s">
        <v>182</v>
      </c>
      <c r="L521" s="164" t="s">
        <v>163</v>
      </c>
      <c r="M521" s="164">
        <v>72.8</v>
      </c>
      <c r="N521" s="164">
        <v>35.799999999999997</v>
      </c>
      <c r="O521" s="165">
        <v>34.299999999999997</v>
      </c>
      <c r="P521" s="165">
        <v>45.9</v>
      </c>
      <c r="Q521" s="164">
        <v>847</v>
      </c>
      <c r="R521" s="164">
        <v>900</v>
      </c>
      <c r="S521" s="166">
        <v>0.06</v>
      </c>
      <c r="T521" s="164" t="s">
        <v>182</v>
      </c>
      <c r="U521" s="164" t="s">
        <v>182</v>
      </c>
      <c r="V521" s="167">
        <v>41708</v>
      </c>
      <c r="W521" s="167">
        <v>41661</v>
      </c>
      <c r="X521" s="164" t="s">
        <v>387</v>
      </c>
      <c r="Y521" s="164" t="s">
        <v>1421</v>
      </c>
      <c r="Z521" s="164" t="s">
        <v>163</v>
      </c>
      <c r="AA521" s="168" t="s">
        <v>184</v>
      </c>
      <c r="AB521" s="168" t="s">
        <v>191</v>
      </c>
      <c r="AC521" s="168" t="s">
        <v>162</v>
      </c>
      <c r="AD521" s="168" t="s">
        <v>163</v>
      </c>
      <c r="AE521" s="168" t="s">
        <v>163</v>
      </c>
      <c r="AF521" s="168" t="s">
        <v>182</v>
      </c>
      <c r="AG521" s="168" t="s">
        <v>182</v>
      </c>
      <c r="AH521" s="168" t="str">
        <f t="shared" si="43"/>
        <v>Refrigerator-Bottom Freezer-Automatic-No-No-Yes-Yes</v>
      </c>
      <c r="AI521" s="168" t="s">
        <v>269</v>
      </c>
      <c r="AJ521" s="168">
        <v>9.25</v>
      </c>
      <c r="AK521" s="169">
        <v>475.4</v>
      </c>
      <c r="AL521" s="169">
        <f t="shared" si="44"/>
        <v>899.97499999999991</v>
      </c>
      <c r="AM521" s="168">
        <f t="shared" si="45"/>
        <v>900</v>
      </c>
      <c r="AN521" s="168">
        <f t="shared" si="46"/>
        <v>847</v>
      </c>
      <c r="AO521" s="164" t="str">
        <f t="shared" si="47"/>
        <v>Yes</v>
      </c>
      <c r="AP521" s="164">
        <f t="shared" si="48"/>
        <v>53</v>
      </c>
    </row>
    <row r="522" spans="2:42">
      <c r="B522" s="164">
        <v>2202757</v>
      </c>
      <c r="C522" s="164" t="s">
        <v>176</v>
      </c>
      <c r="D522" s="164" t="s">
        <v>1422</v>
      </c>
      <c r="E522" s="164"/>
      <c r="F522" s="164" t="s">
        <v>191</v>
      </c>
      <c r="G522" s="164" t="s">
        <v>162</v>
      </c>
      <c r="H522" s="164" t="s">
        <v>163</v>
      </c>
      <c r="I522" s="164" t="s">
        <v>163</v>
      </c>
      <c r="J522" s="164" t="s">
        <v>182</v>
      </c>
      <c r="K522" s="164" t="s">
        <v>182</v>
      </c>
      <c r="L522" s="164" t="s">
        <v>163</v>
      </c>
      <c r="M522" s="164">
        <v>72.8</v>
      </c>
      <c r="N522" s="164">
        <v>35.799999999999997</v>
      </c>
      <c r="O522" s="165">
        <v>34.299999999999997</v>
      </c>
      <c r="P522" s="165">
        <v>45.9</v>
      </c>
      <c r="Q522" s="164">
        <v>847</v>
      </c>
      <c r="R522" s="164">
        <v>900</v>
      </c>
      <c r="S522" s="166">
        <v>0.06</v>
      </c>
      <c r="T522" s="164" t="s">
        <v>182</v>
      </c>
      <c r="U522" s="164" t="s">
        <v>182</v>
      </c>
      <c r="V522" s="167">
        <v>41701</v>
      </c>
      <c r="W522" s="167">
        <v>41661</v>
      </c>
      <c r="X522" s="164" t="s">
        <v>387</v>
      </c>
      <c r="Y522" s="164" t="s">
        <v>1423</v>
      </c>
      <c r="Z522" s="164" t="s">
        <v>163</v>
      </c>
      <c r="AA522" s="168" t="s">
        <v>184</v>
      </c>
      <c r="AB522" s="168" t="s">
        <v>191</v>
      </c>
      <c r="AC522" s="168" t="s">
        <v>162</v>
      </c>
      <c r="AD522" s="168" t="s">
        <v>163</v>
      </c>
      <c r="AE522" s="168" t="s">
        <v>163</v>
      </c>
      <c r="AF522" s="168" t="s">
        <v>182</v>
      </c>
      <c r="AG522" s="168" t="s">
        <v>182</v>
      </c>
      <c r="AH522" s="168" t="str">
        <f t="shared" si="43"/>
        <v>Refrigerator-Bottom Freezer-Automatic-No-No-Yes-Yes</v>
      </c>
      <c r="AI522" s="168" t="s">
        <v>269</v>
      </c>
      <c r="AJ522" s="168">
        <v>9.25</v>
      </c>
      <c r="AK522" s="169">
        <v>475.4</v>
      </c>
      <c r="AL522" s="169">
        <f t="shared" si="44"/>
        <v>899.97499999999991</v>
      </c>
      <c r="AM522" s="168">
        <f t="shared" si="45"/>
        <v>900</v>
      </c>
      <c r="AN522" s="168">
        <f t="shared" si="46"/>
        <v>847</v>
      </c>
      <c r="AO522" s="164" t="str">
        <f t="shared" si="47"/>
        <v>Yes</v>
      </c>
      <c r="AP522" s="164">
        <f t="shared" si="48"/>
        <v>53</v>
      </c>
    </row>
    <row r="523" spans="2:42">
      <c r="B523" s="164">
        <v>2203978</v>
      </c>
      <c r="C523" s="164" t="s">
        <v>176</v>
      </c>
      <c r="D523" s="164" t="s">
        <v>1424</v>
      </c>
      <c r="E523" s="164"/>
      <c r="F523" s="164" t="s">
        <v>192</v>
      </c>
      <c r="G523" s="164" t="s">
        <v>162</v>
      </c>
      <c r="H523" s="164" t="s">
        <v>163</v>
      </c>
      <c r="I523" s="164" t="s">
        <v>163</v>
      </c>
      <c r="J523" s="164" t="s">
        <v>182</v>
      </c>
      <c r="K523" s="164" t="s">
        <v>182</v>
      </c>
      <c r="L523" s="164" t="s">
        <v>182</v>
      </c>
      <c r="M523" s="164">
        <v>69.8</v>
      </c>
      <c r="N523" s="164">
        <v>35.9</v>
      </c>
      <c r="O523" s="165">
        <v>21.5</v>
      </c>
      <c r="P523" s="165">
        <v>27</v>
      </c>
      <c r="Q523" s="164">
        <v>627</v>
      </c>
      <c r="R523" s="164">
        <v>663</v>
      </c>
      <c r="S523" s="166">
        <v>0.06</v>
      </c>
      <c r="T523" s="164" t="s">
        <v>182</v>
      </c>
      <c r="U523" s="164" t="s">
        <v>182</v>
      </c>
      <c r="V523" s="167">
        <v>41708</v>
      </c>
      <c r="W523" s="167">
        <v>41677</v>
      </c>
      <c r="X523" s="164" t="s">
        <v>387</v>
      </c>
      <c r="Y523" s="164" t="s">
        <v>1425</v>
      </c>
      <c r="Z523" s="164" t="s">
        <v>163</v>
      </c>
      <c r="AA523" s="168" t="s">
        <v>184</v>
      </c>
      <c r="AB523" s="168" t="s">
        <v>192</v>
      </c>
      <c r="AC523" s="168" t="s">
        <v>162</v>
      </c>
      <c r="AD523" s="168" t="s">
        <v>163</v>
      </c>
      <c r="AE523" s="168" t="s">
        <v>163</v>
      </c>
      <c r="AF523" s="168" t="s">
        <v>182</v>
      </c>
      <c r="AG523" s="168" t="s">
        <v>182</v>
      </c>
      <c r="AH523" s="168" t="str">
        <f t="shared" si="43"/>
        <v>Refrigerator-Side-by-Side-Automatic-No-No-Yes-Yes</v>
      </c>
      <c r="AI523" s="168">
        <v>7</v>
      </c>
      <c r="AJ523" s="168">
        <v>8.5399999999999991</v>
      </c>
      <c r="AK523" s="169">
        <v>432.8</v>
      </c>
      <c r="AL523" s="169">
        <f t="shared" si="44"/>
        <v>663.38</v>
      </c>
      <c r="AM523" s="168">
        <f t="shared" si="45"/>
        <v>663</v>
      </c>
      <c r="AN523" s="168">
        <f t="shared" si="46"/>
        <v>627</v>
      </c>
      <c r="AO523" s="164" t="str">
        <f t="shared" si="47"/>
        <v>Yes</v>
      </c>
      <c r="AP523" s="164">
        <f t="shared" si="48"/>
        <v>36</v>
      </c>
    </row>
    <row r="524" spans="2:42">
      <c r="B524" s="164">
        <v>2203977</v>
      </c>
      <c r="C524" s="164" t="s">
        <v>176</v>
      </c>
      <c r="D524" s="164" t="s">
        <v>1426</v>
      </c>
      <c r="E524" s="164"/>
      <c r="F524" s="164" t="s">
        <v>192</v>
      </c>
      <c r="G524" s="164" t="s">
        <v>162</v>
      </c>
      <c r="H524" s="164" t="s">
        <v>163</v>
      </c>
      <c r="I524" s="164" t="s">
        <v>163</v>
      </c>
      <c r="J524" s="164" t="s">
        <v>182</v>
      </c>
      <c r="K524" s="164" t="s">
        <v>182</v>
      </c>
      <c r="L524" s="164" t="s">
        <v>163</v>
      </c>
      <c r="M524" s="164">
        <v>69.8</v>
      </c>
      <c r="N524" s="164">
        <v>35.9</v>
      </c>
      <c r="O524" s="165">
        <v>28.5</v>
      </c>
      <c r="P524" s="165">
        <v>36.200000000000003</v>
      </c>
      <c r="Q524" s="164">
        <v>701</v>
      </c>
      <c r="R524" s="164">
        <v>742</v>
      </c>
      <c r="S524" s="166">
        <v>0.06</v>
      </c>
      <c r="T524" s="164" t="s">
        <v>182</v>
      </c>
      <c r="U524" s="164" t="s">
        <v>182</v>
      </c>
      <c r="V524" s="167">
        <v>41708</v>
      </c>
      <c r="W524" s="167">
        <v>41677</v>
      </c>
      <c r="X524" s="164" t="s">
        <v>387</v>
      </c>
      <c r="Y524" s="164" t="s">
        <v>1427</v>
      </c>
      <c r="Z524" s="164" t="s">
        <v>163</v>
      </c>
      <c r="AA524" s="168" t="s">
        <v>184</v>
      </c>
      <c r="AB524" s="168" t="s">
        <v>192</v>
      </c>
      <c r="AC524" s="168" t="s">
        <v>162</v>
      </c>
      <c r="AD524" s="168" t="s">
        <v>163</v>
      </c>
      <c r="AE524" s="168" t="s">
        <v>163</v>
      </c>
      <c r="AF524" s="168" t="s">
        <v>182</v>
      </c>
      <c r="AG524" s="168" t="s">
        <v>182</v>
      </c>
      <c r="AH524" s="168" t="str">
        <f t="shared" si="43"/>
        <v>Refrigerator-Side-by-Side-Automatic-No-No-Yes-Yes</v>
      </c>
      <c r="AI524" s="168">
        <v>7</v>
      </c>
      <c r="AJ524" s="168">
        <v>8.5399999999999991</v>
      </c>
      <c r="AK524" s="169">
        <v>432.8</v>
      </c>
      <c r="AL524" s="169">
        <f t="shared" si="44"/>
        <v>741.94799999999998</v>
      </c>
      <c r="AM524" s="168">
        <f t="shared" si="45"/>
        <v>742</v>
      </c>
      <c r="AN524" s="168">
        <f t="shared" si="46"/>
        <v>701</v>
      </c>
      <c r="AO524" s="164" t="str">
        <f t="shared" si="47"/>
        <v>Yes</v>
      </c>
      <c r="AP524" s="164">
        <f t="shared" si="48"/>
        <v>41</v>
      </c>
    </row>
    <row r="525" spans="2:42">
      <c r="B525" s="164">
        <v>2218114</v>
      </c>
      <c r="C525" s="164" t="s">
        <v>176</v>
      </c>
      <c r="D525" s="164" t="s">
        <v>1428</v>
      </c>
      <c r="E525" s="164"/>
      <c r="F525" s="164" t="s">
        <v>191</v>
      </c>
      <c r="G525" s="164" t="s">
        <v>162</v>
      </c>
      <c r="H525" s="164" t="s">
        <v>163</v>
      </c>
      <c r="I525" s="164" t="s">
        <v>163</v>
      </c>
      <c r="J525" s="164" t="s">
        <v>163</v>
      </c>
      <c r="K525" s="164" t="s">
        <v>163</v>
      </c>
      <c r="L525" s="164" t="s">
        <v>163</v>
      </c>
      <c r="M525" s="164">
        <v>66.8</v>
      </c>
      <c r="N525" s="164">
        <v>29.8</v>
      </c>
      <c r="O525" s="165">
        <v>21.8</v>
      </c>
      <c r="P525" s="165">
        <v>27.1</v>
      </c>
      <c r="Q525" s="164">
        <v>485</v>
      </c>
      <c r="R525" s="164">
        <v>557</v>
      </c>
      <c r="S525" s="166">
        <v>0.13</v>
      </c>
      <c r="T525" s="164" t="s">
        <v>163</v>
      </c>
      <c r="U525" s="164"/>
      <c r="V525" s="167">
        <v>41897</v>
      </c>
      <c r="W525" s="167">
        <v>41880</v>
      </c>
      <c r="X525" s="164" t="s">
        <v>387</v>
      </c>
      <c r="Y525" s="164" t="s">
        <v>1429</v>
      </c>
      <c r="Z525" s="164" t="s">
        <v>163</v>
      </c>
      <c r="AA525" s="168" t="s">
        <v>184</v>
      </c>
      <c r="AB525" s="168" t="s">
        <v>191</v>
      </c>
      <c r="AC525" s="168" t="s">
        <v>162</v>
      </c>
      <c r="AD525" s="168" t="s">
        <v>163</v>
      </c>
      <c r="AE525" s="168" t="s">
        <v>163</v>
      </c>
      <c r="AF525" s="168" t="s">
        <v>163</v>
      </c>
      <c r="AG525" s="168" t="s">
        <v>163</v>
      </c>
      <c r="AH525" s="168" t="str">
        <f t="shared" ref="AH525:AH586" si="49">CONCATENATE(AA525,"-",AB525,"-",AC525,"-",AD525,"-",AE525,"-",AF525,"-",AG525)</f>
        <v>Refrigerator-Bottom Freezer-Automatic-No-No-No-No</v>
      </c>
      <c r="AI525" s="168">
        <v>5</v>
      </c>
      <c r="AJ525" s="168">
        <v>8.85</v>
      </c>
      <c r="AK525" s="169">
        <v>317</v>
      </c>
      <c r="AL525" s="169">
        <f t="shared" ref="AL525:AL586" si="50">AJ525*P525+AK525</f>
        <v>556.83500000000004</v>
      </c>
      <c r="AM525" s="168">
        <f t="shared" ref="AM525:AM586" si="51">R525</f>
        <v>557</v>
      </c>
      <c r="AN525" s="168">
        <f t="shared" ref="AN525:AN586" si="52">Q525</f>
        <v>485</v>
      </c>
      <c r="AO525" s="164" t="str">
        <f t="shared" ref="AO525:AO586" si="53">IF(AN525&lt;AM525,"Yes","No")</f>
        <v>Yes</v>
      </c>
      <c r="AP525" s="164">
        <f t="shared" ref="AP525:AP586" si="54">AM525-AN525</f>
        <v>72</v>
      </c>
    </row>
    <row r="526" spans="2:42">
      <c r="B526" s="164">
        <v>2218113</v>
      </c>
      <c r="C526" s="164" t="s">
        <v>176</v>
      </c>
      <c r="D526" s="164" t="s">
        <v>1430</v>
      </c>
      <c r="E526" s="164"/>
      <c r="F526" s="164" t="s">
        <v>191</v>
      </c>
      <c r="G526" s="164" t="s">
        <v>162</v>
      </c>
      <c r="H526" s="164" t="s">
        <v>163</v>
      </c>
      <c r="I526" s="164" t="s">
        <v>163</v>
      </c>
      <c r="J526" s="164" t="s">
        <v>163</v>
      </c>
      <c r="K526" s="164" t="s">
        <v>182</v>
      </c>
      <c r="L526" s="164" t="s">
        <v>163</v>
      </c>
      <c r="M526" s="164">
        <v>66.8</v>
      </c>
      <c r="N526" s="164">
        <v>29.8</v>
      </c>
      <c r="O526" s="165">
        <v>21.8</v>
      </c>
      <c r="P526" s="165">
        <v>27.1</v>
      </c>
      <c r="Q526" s="164">
        <v>567</v>
      </c>
      <c r="R526" s="164">
        <v>641</v>
      </c>
      <c r="S526" s="166">
        <v>0.12</v>
      </c>
      <c r="T526" s="164" t="s">
        <v>163</v>
      </c>
      <c r="U526" s="164"/>
      <c r="V526" s="167">
        <v>41897</v>
      </c>
      <c r="W526" s="167">
        <v>41880</v>
      </c>
      <c r="X526" s="164" t="s">
        <v>387</v>
      </c>
      <c r="Y526" s="164" t="s">
        <v>1431</v>
      </c>
      <c r="Z526" s="164" t="s">
        <v>163</v>
      </c>
      <c r="AA526" s="168" t="s">
        <v>184</v>
      </c>
      <c r="AB526" s="168" t="s">
        <v>191</v>
      </c>
      <c r="AC526" s="168" t="s">
        <v>162</v>
      </c>
      <c r="AD526" s="168" t="s">
        <v>163</v>
      </c>
      <c r="AE526" s="168" t="s">
        <v>163</v>
      </c>
      <c r="AF526" s="168" t="s">
        <v>163</v>
      </c>
      <c r="AG526" s="168" t="s">
        <v>182</v>
      </c>
      <c r="AH526" s="168" t="str">
        <f t="shared" si="49"/>
        <v>Refrigerator-Bottom Freezer-Automatic-No-No-No-Yes</v>
      </c>
      <c r="AI526" s="168" t="s">
        <v>261</v>
      </c>
      <c r="AJ526" s="168">
        <v>8.85</v>
      </c>
      <c r="AK526" s="169">
        <v>401</v>
      </c>
      <c r="AL526" s="169">
        <f t="shared" si="50"/>
        <v>640.83500000000004</v>
      </c>
      <c r="AM526" s="168">
        <f t="shared" si="51"/>
        <v>641</v>
      </c>
      <c r="AN526" s="168">
        <f t="shared" si="52"/>
        <v>567</v>
      </c>
      <c r="AO526" s="164" t="str">
        <f t="shared" si="53"/>
        <v>Yes</v>
      </c>
      <c r="AP526" s="164">
        <f t="shared" si="54"/>
        <v>74</v>
      </c>
    </row>
    <row r="527" spans="2:42">
      <c r="B527" s="164">
        <v>2199163</v>
      </c>
      <c r="C527" s="164" t="s">
        <v>176</v>
      </c>
      <c r="D527" s="164" t="s">
        <v>1432</v>
      </c>
      <c r="E527" s="164"/>
      <c r="F527" s="164" t="s">
        <v>192</v>
      </c>
      <c r="G527" s="164" t="s">
        <v>162</v>
      </c>
      <c r="H527" s="164" t="s">
        <v>163</v>
      </c>
      <c r="I527" s="164" t="s">
        <v>163</v>
      </c>
      <c r="J527" s="164" t="s">
        <v>182</v>
      </c>
      <c r="K527" s="164" t="s">
        <v>182</v>
      </c>
      <c r="L527" s="164" t="s">
        <v>182</v>
      </c>
      <c r="M527" s="164">
        <v>70.2</v>
      </c>
      <c r="N527" s="164">
        <v>35.9</v>
      </c>
      <c r="O527" s="165">
        <v>22.3</v>
      </c>
      <c r="P527" s="165">
        <v>28.3</v>
      </c>
      <c r="Q527" s="164">
        <v>638</v>
      </c>
      <c r="R527" s="164">
        <v>674</v>
      </c>
      <c r="S527" s="166">
        <v>0.05</v>
      </c>
      <c r="T527" s="164" t="s">
        <v>182</v>
      </c>
      <c r="U527" s="164" t="s">
        <v>182</v>
      </c>
      <c r="V527" s="167">
        <v>41662</v>
      </c>
      <c r="W527" s="167">
        <v>41617</v>
      </c>
      <c r="X527" s="164" t="s">
        <v>387</v>
      </c>
      <c r="Y527" s="164" t="s">
        <v>1433</v>
      </c>
      <c r="Z527" s="164" t="s">
        <v>163</v>
      </c>
      <c r="AA527" s="168" t="s">
        <v>184</v>
      </c>
      <c r="AB527" s="168" t="s">
        <v>192</v>
      </c>
      <c r="AC527" s="168" t="s">
        <v>162</v>
      </c>
      <c r="AD527" s="168" t="s">
        <v>163</v>
      </c>
      <c r="AE527" s="168" t="s">
        <v>163</v>
      </c>
      <c r="AF527" s="168" t="s">
        <v>182</v>
      </c>
      <c r="AG527" s="168" t="s">
        <v>182</v>
      </c>
      <c r="AH527" s="168" t="str">
        <f t="shared" si="49"/>
        <v>Refrigerator-Side-by-Side-Automatic-No-No-Yes-Yes</v>
      </c>
      <c r="AI527" s="168">
        <v>7</v>
      </c>
      <c r="AJ527" s="168">
        <v>8.5399999999999991</v>
      </c>
      <c r="AK527" s="169">
        <v>432.8</v>
      </c>
      <c r="AL527" s="169">
        <f t="shared" si="50"/>
        <v>674.48199999999997</v>
      </c>
      <c r="AM527" s="168">
        <f t="shared" si="51"/>
        <v>674</v>
      </c>
      <c r="AN527" s="168">
        <f t="shared" si="52"/>
        <v>638</v>
      </c>
      <c r="AO527" s="164" t="str">
        <f t="shared" si="53"/>
        <v>Yes</v>
      </c>
      <c r="AP527" s="164">
        <f t="shared" si="54"/>
        <v>36</v>
      </c>
    </row>
    <row r="528" spans="2:42">
      <c r="B528" s="164">
        <v>2199394</v>
      </c>
      <c r="C528" s="164" t="s">
        <v>176</v>
      </c>
      <c r="D528" s="164" t="s">
        <v>1434</v>
      </c>
      <c r="E528" s="164"/>
      <c r="F528" s="164" t="s">
        <v>192</v>
      </c>
      <c r="G528" s="164" t="s">
        <v>162</v>
      </c>
      <c r="H528" s="164" t="s">
        <v>163</v>
      </c>
      <c r="I528" s="164" t="s">
        <v>163</v>
      </c>
      <c r="J528" s="164" t="s">
        <v>182</v>
      </c>
      <c r="K528" s="164" t="s">
        <v>182</v>
      </c>
      <c r="L528" s="164" t="s">
        <v>182</v>
      </c>
      <c r="M528" s="164">
        <v>70</v>
      </c>
      <c r="N528" s="164">
        <v>35.799999999999997</v>
      </c>
      <c r="O528" s="165">
        <v>24.5</v>
      </c>
      <c r="P528" s="165">
        <v>31.5</v>
      </c>
      <c r="Q528" s="164">
        <v>626</v>
      </c>
      <c r="R528" s="164">
        <v>702</v>
      </c>
      <c r="S528" s="166">
        <v>0.11</v>
      </c>
      <c r="T528" s="164" t="s">
        <v>163</v>
      </c>
      <c r="U528" s="164"/>
      <c r="V528" s="167">
        <v>41637</v>
      </c>
      <c r="W528" s="167">
        <v>41631</v>
      </c>
      <c r="X528" s="164" t="s">
        <v>387</v>
      </c>
      <c r="Y528" s="164" t="s">
        <v>1435</v>
      </c>
      <c r="Z528" s="164" t="s">
        <v>163</v>
      </c>
      <c r="AA528" s="168" t="s">
        <v>184</v>
      </c>
      <c r="AB528" s="168" t="s">
        <v>192</v>
      </c>
      <c r="AC528" s="168" t="s">
        <v>162</v>
      </c>
      <c r="AD528" s="168" t="s">
        <v>163</v>
      </c>
      <c r="AE528" s="168" t="s">
        <v>163</v>
      </c>
      <c r="AF528" s="168" t="s">
        <v>182</v>
      </c>
      <c r="AG528" s="168" t="s">
        <v>182</v>
      </c>
      <c r="AH528" s="168" t="str">
        <f t="shared" si="49"/>
        <v>Refrigerator-Side-by-Side-Automatic-No-No-Yes-Yes</v>
      </c>
      <c r="AI528" s="168">
        <v>7</v>
      </c>
      <c r="AJ528" s="168">
        <v>8.5399999999999991</v>
      </c>
      <c r="AK528" s="169">
        <v>432.8</v>
      </c>
      <c r="AL528" s="169">
        <f t="shared" si="50"/>
        <v>701.81</v>
      </c>
      <c r="AM528" s="168">
        <f t="shared" si="51"/>
        <v>702</v>
      </c>
      <c r="AN528" s="168">
        <f t="shared" si="52"/>
        <v>626</v>
      </c>
      <c r="AO528" s="164" t="str">
        <f t="shared" si="53"/>
        <v>Yes</v>
      </c>
      <c r="AP528" s="164">
        <f t="shared" si="54"/>
        <v>76</v>
      </c>
    </row>
    <row r="529" spans="2:42">
      <c r="B529" s="164">
        <v>2199393</v>
      </c>
      <c r="C529" s="164" t="s">
        <v>176</v>
      </c>
      <c r="D529" s="164" t="s">
        <v>1436</v>
      </c>
      <c r="E529" s="164"/>
      <c r="F529" s="164" t="s">
        <v>192</v>
      </c>
      <c r="G529" s="164" t="s">
        <v>162</v>
      </c>
      <c r="H529" s="164" t="s">
        <v>163</v>
      </c>
      <c r="I529" s="164" t="s">
        <v>163</v>
      </c>
      <c r="J529" s="164" t="s">
        <v>182</v>
      </c>
      <c r="K529" s="164" t="s">
        <v>182</v>
      </c>
      <c r="L529" s="164" t="s">
        <v>182</v>
      </c>
      <c r="M529" s="164">
        <v>70</v>
      </c>
      <c r="N529" s="164">
        <v>35.799999999999997</v>
      </c>
      <c r="O529" s="165">
        <v>24.5</v>
      </c>
      <c r="P529" s="165">
        <v>31.5</v>
      </c>
      <c r="Q529" s="164">
        <v>626</v>
      </c>
      <c r="R529" s="164">
        <v>702</v>
      </c>
      <c r="S529" s="166">
        <v>0.11</v>
      </c>
      <c r="T529" s="164" t="s">
        <v>163</v>
      </c>
      <c r="U529" s="164"/>
      <c r="V529" s="167">
        <v>41637</v>
      </c>
      <c r="W529" s="167">
        <v>41631</v>
      </c>
      <c r="X529" s="164" t="s">
        <v>387</v>
      </c>
      <c r="Y529" s="164" t="s">
        <v>1437</v>
      </c>
      <c r="Z529" s="164" t="s">
        <v>163</v>
      </c>
      <c r="AA529" s="168" t="s">
        <v>184</v>
      </c>
      <c r="AB529" s="168" t="s">
        <v>192</v>
      </c>
      <c r="AC529" s="168" t="s">
        <v>162</v>
      </c>
      <c r="AD529" s="168" t="s">
        <v>163</v>
      </c>
      <c r="AE529" s="168" t="s">
        <v>163</v>
      </c>
      <c r="AF529" s="168" t="s">
        <v>182</v>
      </c>
      <c r="AG529" s="168" t="s">
        <v>182</v>
      </c>
      <c r="AH529" s="168" t="str">
        <f t="shared" si="49"/>
        <v>Refrigerator-Side-by-Side-Automatic-No-No-Yes-Yes</v>
      </c>
      <c r="AI529" s="168">
        <v>7</v>
      </c>
      <c r="AJ529" s="168">
        <v>8.5399999999999991</v>
      </c>
      <c r="AK529" s="169">
        <v>432.8</v>
      </c>
      <c r="AL529" s="169">
        <f t="shared" si="50"/>
        <v>701.81</v>
      </c>
      <c r="AM529" s="168">
        <f t="shared" si="51"/>
        <v>702</v>
      </c>
      <c r="AN529" s="168">
        <f t="shared" si="52"/>
        <v>626</v>
      </c>
      <c r="AO529" s="164" t="str">
        <f t="shared" si="53"/>
        <v>Yes</v>
      </c>
      <c r="AP529" s="164">
        <f t="shared" si="54"/>
        <v>76</v>
      </c>
    </row>
    <row r="530" spans="2:42">
      <c r="B530" s="164">
        <v>2210028</v>
      </c>
      <c r="C530" s="164" t="s">
        <v>1438</v>
      </c>
      <c r="D530" s="164" t="s">
        <v>649</v>
      </c>
      <c r="E530" s="164"/>
      <c r="F530" s="164" t="s">
        <v>194</v>
      </c>
      <c r="G530" s="164" t="s">
        <v>162</v>
      </c>
      <c r="H530" s="164" t="s">
        <v>182</v>
      </c>
      <c r="I530" s="164" t="s">
        <v>163</v>
      </c>
      <c r="J530" s="164" t="s">
        <v>163</v>
      </c>
      <c r="K530" s="164" t="s">
        <v>163</v>
      </c>
      <c r="L530" s="164" t="s">
        <v>182</v>
      </c>
      <c r="M530" s="164">
        <v>36.299999999999997</v>
      </c>
      <c r="N530" s="164">
        <v>23.8</v>
      </c>
      <c r="O530" s="165">
        <v>5.5</v>
      </c>
      <c r="P530" s="165">
        <v>5.5</v>
      </c>
      <c r="Q530" s="164">
        <v>278</v>
      </c>
      <c r="R530" s="164">
        <v>310</v>
      </c>
      <c r="S530" s="166">
        <v>0.1</v>
      </c>
      <c r="T530" s="164" t="s">
        <v>163</v>
      </c>
      <c r="U530" s="164"/>
      <c r="V530" s="167">
        <v>41821</v>
      </c>
      <c r="W530" s="167">
        <v>41763</v>
      </c>
      <c r="X530" s="164" t="s">
        <v>387</v>
      </c>
      <c r="Y530" s="164" t="s">
        <v>1439</v>
      </c>
      <c r="Z530" s="164" t="s">
        <v>163</v>
      </c>
      <c r="AA530" s="168" t="s">
        <v>184</v>
      </c>
      <c r="AB530" s="168" t="s">
        <v>194</v>
      </c>
      <c r="AC530" s="168" t="s">
        <v>162</v>
      </c>
      <c r="AD530" s="168" t="s">
        <v>182</v>
      </c>
      <c r="AE530" s="168" t="s">
        <v>163</v>
      </c>
      <c r="AF530" s="168" t="s">
        <v>163</v>
      </c>
      <c r="AG530" s="168" t="s">
        <v>163</v>
      </c>
      <c r="AH530" s="168" t="str">
        <f t="shared" si="49"/>
        <v>Refrigerator-Compact-Automatic-Yes-No-No-No</v>
      </c>
      <c r="AI530" s="168" t="s">
        <v>329</v>
      </c>
      <c r="AJ530" s="168">
        <v>9.17</v>
      </c>
      <c r="AK530" s="169">
        <v>259.3</v>
      </c>
      <c r="AL530" s="169">
        <f t="shared" si="50"/>
        <v>309.73500000000001</v>
      </c>
      <c r="AM530" s="168">
        <f t="shared" si="51"/>
        <v>310</v>
      </c>
      <c r="AN530" s="168">
        <f t="shared" si="52"/>
        <v>278</v>
      </c>
      <c r="AO530" s="164" t="str">
        <f t="shared" si="53"/>
        <v>Yes</v>
      </c>
      <c r="AP530" s="164">
        <f t="shared" si="54"/>
        <v>32</v>
      </c>
    </row>
    <row r="531" spans="2:42">
      <c r="B531" s="164">
        <v>2210029</v>
      </c>
      <c r="C531" s="164" t="s">
        <v>1438</v>
      </c>
      <c r="D531" s="164" t="s">
        <v>651</v>
      </c>
      <c r="E531" s="164"/>
      <c r="F531" s="164" t="s">
        <v>194</v>
      </c>
      <c r="G531" s="164" t="s">
        <v>162</v>
      </c>
      <c r="H531" s="164" t="s">
        <v>182</v>
      </c>
      <c r="I531" s="164" t="s">
        <v>163</v>
      </c>
      <c r="J531" s="164" t="s">
        <v>163</v>
      </c>
      <c r="K531" s="164" t="s">
        <v>163</v>
      </c>
      <c r="L531" s="164" t="s">
        <v>182</v>
      </c>
      <c r="M531" s="164">
        <v>36.299999999999997</v>
      </c>
      <c r="N531" s="164">
        <v>23.8</v>
      </c>
      <c r="O531" s="165">
        <v>5.5</v>
      </c>
      <c r="P531" s="165">
        <v>5.5</v>
      </c>
      <c r="Q531" s="164">
        <v>278</v>
      </c>
      <c r="R531" s="164">
        <v>310</v>
      </c>
      <c r="S531" s="166">
        <v>0.1</v>
      </c>
      <c r="T531" s="164" t="s">
        <v>163</v>
      </c>
      <c r="U531" s="164"/>
      <c r="V531" s="167">
        <v>41821</v>
      </c>
      <c r="W531" s="167">
        <v>41763</v>
      </c>
      <c r="X531" s="164" t="s">
        <v>387</v>
      </c>
      <c r="Y531" s="164" t="s">
        <v>1440</v>
      </c>
      <c r="Z531" s="164" t="s">
        <v>163</v>
      </c>
      <c r="AA531" s="168" t="s">
        <v>184</v>
      </c>
      <c r="AB531" s="168" t="s">
        <v>194</v>
      </c>
      <c r="AC531" s="168" t="s">
        <v>162</v>
      </c>
      <c r="AD531" s="168" t="s">
        <v>182</v>
      </c>
      <c r="AE531" s="168" t="s">
        <v>163</v>
      </c>
      <c r="AF531" s="168" t="s">
        <v>163</v>
      </c>
      <c r="AG531" s="168" t="s">
        <v>163</v>
      </c>
      <c r="AH531" s="168" t="str">
        <f t="shared" si="49"/>
        <v>Refrigerator-Compact-Automatic-Yes-No-No-No</v>
      </c>
      <c r="AI531" s="168" t="s">
        <v>329</v>
      </c>
      <c r="AJ531" s="168">
        <v>9.17</v>
      </c>
      <c r="AK531" s="169">
        <v>259.3</v>
      </c>
      <c r="AL531" s="169">
        <f t="shared" si="50"/>
        <v>309.73500000000001</v>
      </c>
      <c r="AM531" s="168">
        <f t="shared" si="51"/>
        <v>310</v>
      </c>
      <c r="AN531" s="168">
        <f t="shared" si="52"/>
        <v>278</v>
      </c>
      <c r="AO531" s="164" t="str">
        <f t="shared" si="53"/>
        <v>Yes</v>
      </c>
      <c r="AP531" s="164">
        <f t="shared" si="54"/>
        <v>32</v>
      </c>
    </row>
    <row r="532" spans="2:42">
      <c r="B532" s="164">
        <v>2212660</v>
      </c>
      <c r="C532" s="164" t="s">
        <v>1441</v>
      </c>
      <c r="D532" s="164" t="s">
        <v>1442</v>
      </c>
      <c r="E532" s="164"/>
      <c r="F532" s="164" t="s">
        <v>194</v>
      </c>
      <c r="G532" s="164" t="s">
        <v>162</v>
      </c>
      <c r="H532" s="164" t="s">
        <v>182</v>
      </c>
      <c r="I532" s="164" t="s">
        <v>163</v>
      </c>
      <c r="J532" s="164" t="s">
        <v>163</v>
      </c>
      <c r="K532" s="164" t="s">
        <v>163</v>
      </c>
      <c r="L532" s="164" t="s">
        <v>163</v>
      </c>
      <c r="M532" s="164">
        <v>26.6</v>
      </c>
      <c r="N532" s="164">
        <v>17.7</v>
      </c>
      <c r="O532" s="165">
        <v>2.6</v>
      </c>
      <c r="P532" s="165">
        <v>2.6</v>
      </c>
      <c r="Q532" s="164">
        <v>228</v>
      </c>
      <c r="R532" s="164">
        <v>283</v>
      </c>
      <c r="S532" s="166">
        <v>0.19</v>
      </c>
      <c r="T532" s="164" t="s">
        <v>163</v>
      </c>
      <c r="U532" s="164"/>
      <c r="V532" s="167">
        <v>41802</v>
      </c>
      <c r="W532" s="167">
        <v>41786</v>
      </c>
      <c r="X532" s="164" t="s">
        <v>387</v>
      </c>
      <c r="Y532" s="164" t="s">
        <v>1443</v>
      </c>
      <c r="Z532" s="164" t="s">
        <v>163</v>
      </c>
      <c r="AA532" s="168" t="s">
        <v>184</v>
      </c>
      <c r="AB532" s="168" t="s">
        <v>194</v>
      </c>
      <c r="AC532" s="168" t="s">
        <v>162</v>
      </c>
      <c r="AD532" s="168" t="s">
        <v>182</v>
      </c>
      <c r="AE532" s="168" t="s">
        <v>163</v>
      </c>
      <c r="AF532" s="168" t="s">
        <v>163</v>
      </c>
      <c r="AG532" s="168" t="s">
        <v>163</v>
      </c>
      <c r="AH532" s="168" t="str">
        <f t="shared" si="49"/>
        <v>Refrigerator-Compact-Automatic-Yes-No-No-No</v>
      </c>
      <c r="AI532" s="168" t="s">
        <v>329</v>
      </c>
      <c r="AJ532" s="168">
        <v>9.17</v>
      </c>
      <c r="AK532" s="169">
        <v>259.3</v>
      </c>
      <c r="AL532" s="169">
        <f t="shared" si="50"/>
        <v>283.142</v>
      </c>
      <c r="AM532" s="168">
        <f t="shared" si="51"/>
        <v>283</v>
      </c>
      <c r="AN532" s="168">
        <f t="shared" si="52"/>
        <v>228</v>
      </c>
      <c r="AO532" s="164" t="str">
        <f t="shared" si="53"/>
        <v>Yes</v>
      </c>
      <c r="AP532" s="164">
        <f t="shared" si="54"/>
        <v>55</v>
      </c>
    </row>
    <row r="533" spans="2:42">
      <c r="B533" s="164">
        <v>2212661</v>
      </c>
      <c r="C533" s="164" t="s">
        <v>1441</v>
      </c>
      <c r="D533" s="164" t="s">
        <v>1444</v>
      </c>
      <c r="E533" s="164"/>
      <c r="F533" s="164" t="s">
        <v>194</v>
      </c>
      <c r="G533" s="164" t="s">
        <v>162</v>
      </c>
      <c r="H533" s="164" t="s">
        <v>182</v>
      </c>
      <c r="I533" s="164" t="s">
        <v>163</v>
      </c>
      <c r="J533" s="164" t="s">
        <v>163</v>
      </c>
      <c r="K533" s="164" t="s">
        <v>163</v>
      </c>
      <c r="L533" s="164" t="s">
        <v>163</v>
      </c>
      <c r="M533" s="164">
        <v>32.700000000000003</v>
      </c>
      <c r="N533" s="164">
        <v>17.7</v>
      </c>
      <c r="O533" s="165">
        <v>3.2</v>
      </c>
      <c r="P533" s="165">
        <v>3.2</v>
      </c>
      <c r="Q533" s="164">
        <v>258</v>
      </c>
      <c r="R533" s="164">
        <v>289</v>
      </c>
      <c r="S533" s="166">
        <v>0.11</v>
      </c>
      <c r="T533" s="164" t="s">
        <v>163</v>
      </c>
      <c r="U533" s="164"/>
      <c r="V533" s="167">
        <v>41802</v>
      </c>
      <c r="W533" s="167">
        <v>41786</v>
      </c>
      <c r="X533" s="164" t="s">
        <v>387</v>
      </c>
      <c r="Y533" s="164" t="s">
        <v>1445</v>
      </c>
      <c r="Z533" s="164" t="s">
        <v>163</v>
      </c>
      <c r="AA533" s="168" t="s">
        <v>184</v>
      </c>
      <c r="AB533" s="168" t="s">
        <v>194</v>
      </c>
      <c r="AC533" s="168" t="s">
        <v>162</v>
      </c>
      <c r="AD533" s="168" t="s">
        <v>182</v>
      </c>
      <c r="AE533" s="168" t="s">
        <v>163</v>
      </c>
      <c r="AF533" s="168" t="s">
        <v>163</v>
      </c>
      <c r="AG533" s="168" t="s">
        <v>163</v>
      </c>
      <c r="AH533" s="168" t="str">
        <f t="shared" si="49"/>
        <v>Refrigerator-Compact-Automatic-Yes-No-No-No</v>
      </c>
      <c r="AI533" s="168" t="s">
        <v>329</v>
      </c>
      <c r="AJ533" s="168">
        <v>9.17</v>
      </c>
      <c r="AK533" s="169">
        <v>259.3</v>
      </c>
      <c r="AL533" s="169">
        <f t="shared" si="50"/>
        <v>288.64400000000001</v>
      </c>
      <c r="AM533" s="168">
        <f t="shared" si="51"/>
        <v>289</v>
      </c>
      <c r="AN533" s="168">
        <f t="shared" si="52"/>
        <v>258</v>
      </c>
      <c r="AO533" s="164" t="str">
        <f t="shared" si="53"/>
        <v>Yes</v>
      </c>
      <c r="AP533" s="164">
        <f t="shared" si="54"/>
        <v>31</v>
      </c>
    </row>
    <row r="534" spans="2:42">
      <c r="B534" s="164">
        <v>2212662</v>
      </c>
      <c r="C534" s="164" t="s">
        <v>1441</v>
      </c>
      <c r="D534" s="164" t="s">
        <v>1446</v>
      </c>
      <c r="E534" s="164"/>
      <c r="F534" s="164" t="s">
        <v>194</v>
      </c>
      <c r="G534" s="164" t="s">
        <v>162</v>
      </c>
      <c r="H534" s="164" t="s">
        <v>182</v>
      </c>
      <c r="I534" s="164" t="s">
        <v>163</v>
      </c>
      <c r="J534" s="164" t="s">
        <v>163</v>
      </c>
      <c r="K534" s="164" t="s">
        <v>163</v>
      </c>
      <c r="L534" s="164" t="s">
        <v>163</v>
      </c>
      <c r="M534" s="164">
        <v>32.700000000000003</v>
      </c>
      <c r="N534" s="164">
        <v>17.7</v>
      </c>
      <c r="O534" s="165">
        <v>3.3</v>
      </c>
      <c r="P534" s="165">
        <v>3.3</v>
      </c>
      <c r="Q534" s="164">
        <v>259</v>
      </c>
      <c r="R534" s="164">
        <v>290</v>
      </c>
      <c r="S534" s="166">
        <v>0.11</v>
      </c>
      <c r="T534" s="164" t="s">
        <v>163</v>
      </c>
      <c r="U534" s="164"/>
      <c r="V534" s="167">
        <v>41802</v>
      </c>
      <c r="W534" s="167">
        <v>41786</v>
      </c>
      <c r="X534" s="164" t="s">
        <v>387</v>
      </c>
      <c r="Y534" s="164" t="s">
        <v>1447</v>
      </c>
      <c r="Z534" s="164" t="s">
        <v>163</v>
      </c>
      <c r="AA534" s="168" t="s">
        <v>184</v>
      </c>
      <c r="AB534" s="168" t="s">
        <v>194</v>
      </c>
      <c r="AC534" s="168" t="s">
        <v>162</v>
      </c>
      <c r="AD534" s="168" t="s">
        <v>182</v>
      </c>
      <c r="AE534" s="168" t="s">
        <v>163</v>
      </c>
      <c r="AF534" s="168" t="s">
        <v>163</v>
      </c>
      <c r="AG534" s="168" t="s">
        <v>163</v>
      </c>
      <c r="AH534" s="168" t="str">
        <f t="shared" si="49"/>
        <v>Refrigerator-Compact-Automatic-Yes-No-No-No</v>
      </c>
      <c r="AI534" s="168" t="s">
        <v>329</v>
      </c>
      <c r="AJ534" s="168">
        <v>9.17</v>
      </c>
      <c r="AK534" s="169">
        <v>259.3</v>
      </c>
      <c r="AL534" s="169">
        <f t="shared" si="50"/>
        <v>289.56100000000004</v>
      </c>
      <c r="AM534" s="168">
        <f t="shared" si="51"/>
        <v>290</v>
      </c>
      <c r="AN534" s="168">
        <f t="shared" si="52"/>
        <v>259</v>
      </c>
      <c r="AO534" s="164" t="str">
        <f t="shared" si="53"/>
        <v>Yes</v>
      </c>
      <c r="AP534" s="164">
        <f t="shared" si="54"/>
        <v>31</v>
      </c>
    </row>
    <row r="535" spans="2:42">
      <c r="B535" s="164">
        <v>2210398</v>
      </c>
      <c r="C535" s="164" t="s">
        <v>1448</v>
      </c>
      <c r="D535" s="164" t="s">
        <v>1449</v>
      </c>
      <c r="E535" s="164"/>
      <c r="F535" s="164" t="s">
        <v>194</v>
      </c>
      <c r="G535" s="164" t="s">
        <v>188</v>
      </c>
      <c r="H535" s="164" t="s">
        <v>182</v>
      </c>
      <c r="I535" s="164" t="s">
        <v>163</v>
      </c>
      <c r="J535" s="164" t="s">
        <v>163</v>
      </c>
      <c r="K535" s="164" t="s">
        <v>163</v>
      </c>
      <c r="L535" s="164" t="s">
        <v>163</v>
      </c>
      <c r="M535" s="164">
        <v>19.399999999999999</v>
      </c>
      <c r="N535" s="164">
        <v>18.600000000000001</v>
      </c>
      <c r="O535" s="165">
        <v>1.6</v>
      </c>
      <c r="P535" s="165">
        <v>1.6</v>
      </c>
      <c r="Q535" s="164">
        <v>207</v>
      </c>
      <c r="R535" s="164">
        <v>267</v>
      </c>
      <c r="S535" s="166">
        <v>0.22</v>
      </c>
      <c r="T535" s="164" t="s">
        <v>163</v>
      </c>
      <c r="U535" s="164"/>
      <c r="V535" s="167">
        <v>41713</v>
      </c>
      <c r="W535" s="167">
        <v>41647</v>
      </c>
      <c r="X535" s="164" t="s">
        <v>506</v>
      </c>
      <c r="Y535" s="164" t="s">
        <v>1450</v>
      </c>
      <c r="Z535" s="164" t="s">
        <v>163</v>
      </c>
      <c r="AA535" s="168" t="s">
        <v>184</v>
      </c>
      <c r="AB535" s="168" t="s">
        <v>194</v>
      </c>
      <c r="AC535" s="168" t="s">
        <v>188</v>
      </c>
      <c r="AD535" s="168" t="s">
        <v>182</v>
      </c>
      <c r="AE535" s="168" t="s">
        <v>163</v>
      </c>
      <c r="AF535" s="168" t="s">
        <v>163</v>
      </c>
      <c r="AG535" s="168" t="s">
        <v>163</v>
      </c>
      <c r="AH535" s="168" t="str">
        <f t="shared" si="49"/>
        <v>Refrigerator-Compact-Manual-Yes-No-No-No</v>
      </c>
      <c r="AI535" s="168" t="s">
        <v>315</v>
      </c>
      <c r="AJ535" s="168">
        <v>7.84</v>
      </c>
      <c r="AK535" s="169">
        <v>219.1</v>
      </c>
      <c r="AL535" s="169">
        <f t="shared" si="50"/>
        <v>231.64400000000001</v>
      </c>
      <c r="AM535" s="168">
        <f t="shared" si="51"/>
        <v>267</v>
      </c>
      <c r="AN535" s="168">
        <f t="shared" si="52"/>
        <v>207</v>
      </c>
      <c r="AO535" s="164" t="str">
        <f t="shared" si="53"/>
        <v>Yes</v>
      </c>
      <c r="AP535" s="164">
        <f t="shared" si="54"/>
        <v>60</v>
      </c>
    </row>
    <row r="536" spans="2:42">
      <c r="B536" s="164">
        <v>2210399</v>
      </c>
      <c r="C536" s="164" t="s">
        <v>1448</v>
      </c>
      <c r="D536" s="164" t="s">
        <v>1451</v>
      </c>
      <c r="E536" s="164"/>
      <c r="F536" s="164" t="s">
        <v>194</v>
      </c>
      <c r="G536" s="164" t="s">
        <v>188</v>
      </c>
      <c r="H536" s="164" t="s">
        <v>182</v>
      </c>
      <c r="I536" s="164" t="s">
        <v>163</v>
      </c>
      <c r="J536" s="164" t="s">
        <v>163</v>
      </c>
      <c r="K536" s="164" t="s">
        <v>163</v>
      </c>
      <c r="L536" s="164" t="s">
        <v>163</v>
      </c>
      <c r="M536" s="164">
        <v>24.8</v>
      </c>
      <c r="N536" s="164">
        <v>17.5</v>
      </c>
      <c r="O536" s="165">
        <v>2.4</v>
      </c>
      <c r="P536" s="165">
        <v>2.4</v>
      </c>
      <c r="Q536" s="164">
        <v>213</v>
      </c>
      <c r="R536" s="164">
        <v>274</v>
      </c>
      <c r="S536" s="166">
        <v>0.22</v>
      </c>
      <c r="T536" s="164" t="s">
        <v>163</v>
      </c>
      <c r="U536" s="164"/>
      <c r="V536" s="167">
        <v>41713</v>
      </c>
      <c r="W536" s="167">
        <v>41647</v>
      </c>
      <c r="X536" s="164" t="s">
        <v>506</v>
      </c>
      <c r="Y536" s="164" t="s">
        <v>1452</v>
      </c>
      <c r="Z536" s="164" t="s">
        <v>163</v>
      </c>
      <c r="AA536" s="168" t="s">
        <v>184</v>
      </c>
      <c r="AB536" s="168" t="s">
        <v>194</v>
      </c>
      <c r="AC536" s="168" t="s">
        <v>188</v>
      </c>
      <c r="AD536" s="168" t="s">
        <v>182</v>
      </c>
      <c r="AE536" s="168" t="s">
        <v>163</v>
      </c>
      <c r="AF536" s="168" t="s">
        <v>163</v>
      </c>
      <c r="AG536" s="168" t="s">
        <v>163</v>
      </c>
      <c r="AH536" s="168" t="str">
        <f t="shared" si="49"/>
        <v>Refrigerator-Compact-Manual-Yes-No-No-No</v>
      </c>
      <c r="AI536" s="168" t="s">
        <v>315</v>
      </c>
      <c r="AJ536" s="168">
        <v>7.84</v>
      </c>
      <c r="AK536" s="169">
        <v>219.1</v>
      </c>
      <c r="AL536" s="169">
        <f t="shared" si="50"/>
        <v>237.916</v>
      </c>
      <c r="AM536" s="168">
        <f t="shared" si="51"/>
        <v>274</v>
      </c>
      <c r="AN536" s="168">
        <f t="shared" si="52"/>
        <v>213</v>
      </c>
      <c r="AO536" s="164" t="str">
        <f t="shared" si="53"/>
        <v>Yes</v>
      </c>
      <c r="AP536" s="164">
        <f t="shared" si="54"/>
        <v>61</v>
      </c>
    </row>
    <row r="537" spans="2:42">
      <c r="B537" s="164">
        <v>2210400</v>
      </c>
      <c r="C537" s="164" t="s">
        <v>1448</v>
      </c>
      <c r="D537" s="164" t="s">
        <v>1453</v>
      </c>
      <c r="E537" s="164"/>
      <c r="F537" s="164" t="s">
        <v>194</v>
      </c>
      <c r="G537" s="164" t="s">
        <v>188</v>
      </c>
      <c r="H537" s="164" t="s">
        <v>182</v>
      </c>
      <c r="I537" s="164" t="s">
        <v>163</v>
      </c>
      <c r="J537" s="164" t="s">
        <v>163</v>
      </c>
      <c r="K537" s="164" t="s">
        <v>163</v>
      </c>
      <c r="L537" s="164" t="s">
        <v>163</v>
      </c>
      <c r="M537" s="164">
        <v>24.8</v>
      </c>
      <c r="N537" s="164">
        <v>17.5</v>
      </c>
      <c r="O537" s="165">
        <v>2.4</v>
      </c>
      <c r="P537" s="165">
        <v>2.4</v>
      </c>
      <c r="Q537" s="164">
        <v>213</v>
      </c>
      <c r="R537" s="164">
        <v>274</v>
      </c>
      <c r="S537" s="166">
        <v>0.22</v>
      </c>
      <c r="T537" s="164" t="s">
        <v>163</v>
      </c>
      <c r="U537" s="164"/>
      <c r="V537" s="167">
        <v>41713</v>
      </c>
      <c r="W537" s="167">
        <v>41647</v>
      </c>
      <c r="X537" s="164" t="s">
        <v>506</v>
      </c>
      <c r="Y537" s="164" t="s">
        <v>1454</v>
      </c>
      <c r="Z537" s="164" t="s">
        <v>163</v>
      </c>
      <c r="AA537" s="168" t="s">
        <v>184</v>
      </c>
      <c r="AB537" s="168" t="s">
        <v>194</v>
      </c>
      <c r="AC537" s="168" t="s">
        <v>188</v>
      </c>
      <c r="AD537" s="168" t="s">
        <v>182</v>
      </c>
      <c r="AE537" s="168" t="s">
        <v>163</v>
      </c>
      <c r="AF537" s="168" t="s">
        <v>163</v>
      </c>
      <c r="AG537" s="168" t="s">
        <v>163</v>
      </c>
      <c r="AH537" s="168" t="str">
        <f t="shared" si="49"/>
        <v>Refrigerator-Compact-Manual-Yes-No-No-No</v>
      </c>
      <c r="AI537" s="168" t="s">
        <v>315</v>
      </c>
      <c r="AJ537" s="168">
        <v>7.84</v>
      </c>
      <c r="AK537" s="169">
        <v>219.1</v>
      </c>
      <c r="AL537" s="169">
        <f t="shared" si="50"/>
        <v>237.916</v>
      </c>
      <c r="AM537" s="168">
        <f t="shared" si="51"/>
        <v>274</v>
      </c>
      <c r="AN537" s="168">
        <f t="shared" si="52"/>
        <v>213</v>
      </c>
      <c r="AO537" s="164" t="str">
        <f t="shared" si="53"/>
        <v>Yes</v>
      </c>
      <c r="AP537" s="164">
        <f t="shared" si="54"/>
        <v>61</v>
      </c>
    </row>
    <row r="538" spans="2:42">
      <c r="B538" s="164">
        <v>2210396</v>
      </c>
      <c r="C538" s="164" t="s">
        <v>1448</v>
      </c>
      <c r="D538" s="164" t="s">
        <v>1455</v>
      </c>
      <c r="E538" s="164"/>
      <c r="F538" s="164" t="s">
        <v>194</v>
      </c>
      <c r="G538" s="164" t="s">
        <v>162</v>
      </c>
      <c r="H538" s="164" t="s">
        <v>182</v>
      </c>
      <c r="I538" s="164" t="s">
        <v>163</v>
      </c>
      <c r="J538" s="164" t="s">
        <v>163</v>
      </c>
      <c r="K538" s="164" t="s">
        <v>163</v>
      </c>
      <c r="L538" s="164" t="s">
        <v>163</v>
      </c>
      <c r="M538" s="164">
        <v>33</v>
      </c>
      <c r="N538" s="164">
        <v>18.5</v>
      </c>
      <c r="O538" s="165">
        <v>3.1</v>
      </c>
      <c r="P538" s="165">
        <v>3.8</v>
      </c>
      <c r="Q538" s="164">
        <v>270</v>
      </c>
      <c r="R538" s="164">
        <v>358</v>
      </c>
      <c r="S538" s="166">
        <v>0.25</v>
      </c>
      <c r="T538" s="164" t="s">
        <v>163</v>
      </c>
      <c r="U538" s="164"/>
      <c r="V538" s="167">
        <v>41305</v>
      </c>
      <c r="W538" s="167">
        <v>41647</v>
      </c>
      <c r="X538" s="164" t="s">
        <v>506</v>
      </c>
      <c r="Y538" s="164" t="s">
        <v>1456</v>
      </c>
      <c r="Z538" s="164" t="s">
        <v>163</v>
      </c>
      <c r="AA538" s="168" t="s">
        <v>184</v>
      </c>
      <c r="AB538" s="168" t="s">
        <v>194</v>
      </c>
      <c r="AC538" s="168" t="s">
        <v>162</v>
      </c>
      <c r="AD538" s="168" t="s">
        <v>182</v>
      </c>
      <c r="AE538" s="168" t="s">
        <v>163</v>
      </c>
      <c r="AF538" s="168" t="s">
        <v>163</v>
      </c>
      <c r="AG538" s="168" t="s">
        <v>163</v>
      </c>
      <c r="AH538" s="168" t="str">
        <f t="shared" si="49"/>
        <v>Refrigerator-Compact-Automatic-Yes-No-No-No</v>
      </c>
      <c r="AI538" s="168" t="s">
        <v>329</v>
      </c>
      <c r="AJ538" s="168">
        <v>9.17</v>
      </c>
      <c r="AK538" s="169">
        <v>259.3</v>
      </c>
      <c r="AL538" s="169">
        <f t="shared" si="50"/>
        <v>294.14600000000002</v>
      </c>
      <c r="AM538" s="168">
        <f t="shared" si="51"/>
        <v>358</v>
      </c>
      <c r="AN538" s="168">
        <f t="shared" si="52"/>
        <v>270</v>
      </c>
      <c r="AO538" s="164" t="str">
        <f t="shared" si="53"/>
        <v>Yes</v>
      </c>
      <c r="AP538" s="164">
        <f t="shared" si="54"/>
        <v>88</v>
      </c>
    </row>
    <row r="539" spans="2:42">
      <c r="B539" s="164">
        <v>2210397</v>
      </c>
      <c r="C539" s="164" t="s">
        <v>1448</v>
      </c>
      <c r="D539" s="164" t="s">
        <v>1457</v>
      </c>
      <c r="E539" s="164"/>
      <c r="F539" s="164" t="s">
        <v>194</v>
      </c>
      <c r="G539" s="164" t="s">
        <v>162</v>
      </c>
      <c r="H539" s="164" t="s">
        <v>182</v>
      </c>
      <c r="I539" s="164" t="s">
        <v>163</v>
      </c>
      <c r="J539" s="164" t="s">
        <v>163</v>
      </c>
      <c r="K539" s="164" t="s">
        <v>163</v>
      </c>
      <c r="L539" s="164" t="s">
        <v>163</v>
      </c>
      <c r="M539" s="164">
        <v>33</v>
      </c>
      <c r="N539" s="164">
        <v>18.5</v>
      </c>
      <c r="O539" s="165">
        <v>3.1</v>
      </c>
      <c r="P539" s="165">
        <v>3.8</v>
      </c>
      <c r="Q539" s="164">
        <v>270</v>
      </c>
      <c r="R539" s="164">
        <v>358</v>
      </c>
      <c r="S539" s="166">
        <v>0.25</v>
      </c>
      <c r="T539" s="164" t="s">
        <v>163</v>
      </c>
      <c r="U539" s="164"/>
      <c r="V539" s="167">
        <v>41305</v>
      </c>
      <c r="W539" s="167">
        <v>41647</v>
      </c>
      <c r="X539" s="164" t="s">
        <v>506</v>
      </c>
      <c r="Y539" s="164" t="s">
        <v>1458</v>
      </c>
      <c r="Z539" s="164" t="s">
        <v>163</v>
      </c>
      <c r="AA539" s="168" t="s">
        <v>184</v>
      </c>
      <c r="AB539" s="168" t="s">
        <v>194</v>
      </c>
      <c r="AC539" s="168" t="s">
        <v>162</v>
      </c>
      <c r="AD539" s="168" t="s">
        <v>182</v>
      </c>
      <c r="AE539" s="168" t="s">
        <v>163</v>
      </c>
      <c r="AF539" s="168" t="s">
        <v>163</v>
      </c>
      <c r="AG539" s="168" t="s">
        <v>163</v>
      </c>
      <c r="AH539" s="168" t="str">
        <f t="shared" si="49"/>
        <v>Refrigerator-Compact-Automatic-Yes-No-No-No</v>
      </c>
      <c r="AI539" s="168" t="s">
        <v>329</v>
      </c>
      <c r="AJ539" s="168">
        <v>9.17</v>
      </c>
      <c r="AK539" s="169">
        <v>259.3</v>
      </c>
      <c r="AL539" s="169">
        <f t="shared" si="50"/>
        <v>294.14600000000002</v>
      </c>
      <c r="AM539" s="168">
        <f t="shared" si="51"/>
        <v>358</v>
      </c>
      <c r="AN539" s="168">
        <f t="shared" si="52"/>
        <v>270</v>
      </c>
      <c r="AO539" s="164" t="str">
        <f t="shared" si="53"/>
        <v>Yes</v>
      </c>
      <c r="AP539" s="164">
        <f t="shared" si="54"/>
        <v>88</v>
      </c>
    </row>
    <row r="540" spans="2:42">
      <c r="B540" s="164">
        <v>2210401</v>
      </c>
      <c r="C540" s="164" t="s">
        <v>1448</v>
      </c>
      <c r="D540" s="164" t="s">
        <v>1459</v>
      </c>
      <c r="E540" s="164"/>
      <c r="F540" s="164" t="s">
        <v>194</v>
      </c>
      <c r="G540" s="164" t="s">
        <v>188</v>
      </c>
      <c r="H540" s="164" t="s">
        <v>182</v>
      </c>
      <c r="I540" s="164" t="s">
        <v>163</v>
      </c>
      <c r="J540" s="164" t="s">
        <v>163</v>
      </c>
      <c r="K540" s="164" t="s">
        <v>163</v>
      </c>
      <c r="L540" s="164" t="s">
        <v>163</v>
      </c>
      <c r="M540" s="164">
        <v>33.9</v>
      </c>
      <c r="N540" s="164">
        <v>18.600000000000001</v>
      </c>
      <c r="O540" s="165">
        <v>3.3</v>
      </c>
      <c r="P540" s="165">
        <v>3.3</v>
      </c>
      <c r="Q540" s="164">
        <v>220</v>
      </c>
      <c r="R540" s="164">
        <v>282</v>
      </c>
      <c r="S540" s="166">
        <v>0.22</v>
      </c>
      <c r="T540" s="164" t="s">
        <v>163</v>
      </c>
      <c r="U540" s="164"/>
      <c r="V540" s="167">
        <v>41713</v>
      </c>
      <c r="W540" s="167">
        <v>41647</v>
      </c>
      <c r="X540" s="164" t="s">
        <v>506</v>
      </c>
      <c r="Y540" s="164" t="s">
        <v>1460</v>
      </c>
      <c r="Z540" s="164" t="s">
        <v>163</v>
      </c>
      <c r="AA540" s="168" t="s">
        <v>184</v>
      </c>
      <c r="AB540" s="168" t="s">
        <v>194</v>
      </c>
      <c r="AC540" s="168" t="s">
        <v>188</v>
      </c>
      <c r="AD540" s="168" t="s">
        <v>182</v>
      </c>
      <c r="AE540" s="168" t="s">
        <v>163</v>
      </c>
      <c r="AF540" s="168" t="s">
        <v>163</v>
      </c>
      <c r="AG540" s="168" t="s">
        <v>163</v>
      </c>
      <c r="AH540" s="168" t="str">
        <f t="shared" si="49"/>
        <v>Refrigerator-Compact-Manual-Yes-No-No-No</v>
      </c>
      <c r="AI540" s="168" t="s">
        <v>315</v>
      </c>
      <c r="AJ540" s="168">
        <v>7.84</v>
      </c>
      <c r="AK540" s="169">
        <v>219.1</v>
      </c>
      <c r="AL540" s="169">
        <f t="shared" si="50"/>
        <v>244.97199999999998</v>
      </c>
      <c r="AM540" s="168">
        <f t="shared" si="51"/>
        <v>282</v>
      </c>
      <c r="AN540" s="168">
        <f t="shared" si="52"/>
        <v>220</v>
      </c>
      <c r="AO540" s="164" t="str">
        <f t="shared" si="53"/>
        <v>Yes</v>
      </c>
      <c r="AP540" s="164">
        <f t="shared" si="54"/>
        <v>62</v>
      </c>
    </row>
    <row r="541" spans="2:42">
      <c r="B541" s="164">
        <v>2210402</v>
      </c>
      <c r="C541" s="164" t="s">
        <v>1448</v>
      </c>
      <c r="D541" s="164" t="s">
        <v>1461</v>
      </c>
      <c r="E541" s="164"/>
      <c r="F541" s="164" t="s">
        <v>194</v>
      </c>
      <c r="G541" s="164" t="s">
        <v>188</v>
      </c>
      <c r="H541" s="164" t="s">
        <v>182</v>
      </c>
      <c r="I541" s="164" t="s">
        <v>163</v>
      </c>
      <c r="J541" s="164" t="s">
        <v>163</v>
      </c>
      <c r="K541" s="164" t="s">
        <v>163</v>
      </c>
      <c r="L541" s="164" t="s">
        <v>163</v>
      </c>
      <c r="M541" s="164">
        <v>33.9</v>
      </c>
      <c r="N541" s="164">
        <v>19.7</v>
      </c>
      <c r="O541" s="165">
        <v>4.4000000000000004</v>
      </c>
      <c r="P541" s="165">
        <v>4.4000000000000004</v>
      </c>
      <c r="Q541" s="164">
        <v>226</v>
      </c>
      <c r="R541" s="164">
        <v>292</v>
      </c>
      <c r="S541" s="166">
        <v>0.23</v>
      </c>
      <c r="T541" s="164" t="s">
        <v>163</v>
      </c>
      <c r="U541" s="164"/>
      <c r="V541" s="167">
        <v>41713</v>
      </c>
      <c r="W541" s="167">
        <v>41647</v>
      </c>
      <c r="X541" s="164" t="s">
        <v>506</v>
      </c>
      <c r="Y541" s="164" t="s">
        <v>1462</v>
      </c>
      <c r="Z541" s="164" t="s">
        <v>163</v>
      </c>
      <c r="AA541" s="168" t="s">
        <v>184</v>
      </c>
      <c r="AB541" s="168" t="s">
        <v>194</v>
      </c>
      <c r="AC541" s="168" t="s">
        <v>188</v>
      </c>
      <c r="AD541" s="168" t="s">
        <v>182</v>
      </c>
      <c r="AE541" s="168" t="s">
        <v>163</v>
      </c>
      <c r="AF541" s="168" t="s">
        <v>163</v>
      </c>
      <c r="AG541" s="168" t="s">
        <v>163</v>
      </c>
      <c r="AH541" s="168" t="str">
        <f t="shared" si="49"/>
        <v>Refrigerator-Compact-Manual-Yes-No-No-No</v>
      </c>
      <c r="AI541" s="168" t="s">
        <v>315</v>
      </c>
      <c r="AJ541" s="168">
        <v>7.84</v>
      </c>
      <c r="AK541" s="169">
        <v>219.1</v>
      </c>
      <c r="AL541" s="169">
        <f t="shared" si="50"/>
        <v>253.596</v>
      </c>
      <c r="AM541" s="168">
        <f t="shared" si="51"/>
        <v>292</v>
      </c>
      <c r="AN541" s="168">
        <f t="shared" si="52"/>
        <v>226</v>
      </c>
      <c r="AO541" s="164" t="str">
        <f t="shared" si="53"/>
        <v>Yes</v>
      </c>
      <c r="AP541" s="164">
        <f t="shared" si="54"/>
        <v>66</v>
      </c>
    </row>
    <row r="542" spans="2:42">
      <c r="B542" s="164">
        <v>2211709</v>
      </c>
      <c r="C542" s="164" t="s">
        <v>1463</v>
      </c>
      <c r="D542" s="164" t="s">
        <v>1464</v>
      </c>
      <c r="E542" s="164"/>
      <c r="F542" s="164" t="s">
        <v>195</v>
      </c>
      <c r="G542" s="164" t="s">
        <v>162</v>
      </c>
      <c r="H542" s="164" t="s">
        <v>163</v>
      </c>
      <c r="I542" s="164" t="s">
        <v>182</v>
      </c>
      <c r="J542" s="164" t="s">
        <v>163</v>
      </c>
      <c r="K542" s="164" t="s">
        <v>163</v>
      </c>
      <c r="L542" s="164" t="s">
        <v>182</v>
      </c>
      <c r="M542" s="164">
        <v>84</v>
      </c>
      <c r="N542" s="164">
        <v>24</v>
      </c>
      <c r="O542" s="165">
        <v>12.9</v>
      </c>
      <c r="P542" s="165">
        <v>12.9</v>
      </c>
      <c r="Q542" s="164">
        <v>298</v>
      </c>
      <c r="R542" s="164">
        <v>332</v>
      </c>
      <c r="S542" s="166">
        <v>0.1</v>
      </c>
      <c r="T542" s="164" t="s">
        <v>163</v>
      </c>
      <c r="U542" s="164"/>
      <c r="V542" s="167">
        <v>41640</v>
      </c>
      <c r="W542" s="167">
        <v>41781</v>
      </c>
      <c r="X542" s="164" t="s">
        <v>387</v>
      </c>
      <c r="Y542" s="164" t="s">
        <v>1465</v>
      </c>
      <c r="Z542" s="164" t="s">
        <v>163</v>
      </c>
      <c r="AA542" s="168" t="s">
        <v>184</v>
      </c>
      <c r="AB542" s="168" t="s">
        <v>195</v>
      </c>
      <c r="AC542" s="168" t="s">
        <v>162</v>
      </c>
      <c r="AD542" s="168" t="s">
        <v>163</v>
      </c>
      <c r="AE542" s="168" t="s">
        <v>182</v>
      </c>
      <c r="AF542" s="168" t="s">
        <v>163</v>
      </c>
      <c r="AG542" s="168" t="s">
        <v>163</v>
      </c>
      <c r="AH542" s="168" t="str">
        <f t="shared" si="49"/>
        <v>Refrigerator-Freezerless and Single Door-Automatic-No-Yes-No-No</v>
      </c>
      <c r="AI542" s="168"/>
      <c r="AJ542" s="168" t="b">
        <v>0</v>
      </c>
      <c r="AK542" s="169" t="b">
        <v>0</v>
      </c>
      <c r="AL542" s="169">
        <f t="shared" si="50"/>
        <v>0</v>
      </c>
      <c r="AM542" s="168">
        <f t="shared" si="51"/>
        <v>332</v>
      </c>
      <c r="AN542" s="168">
        <f t="shared" si="52"/>
        <v>298</v>
      </c>
      <c r="AO542" s="164" t="str">
        <f t="shared" si="53"/>
        <v>Yes</v>
      </c>
      <c r="AP542" s="164">
        <f t="shared" si="54"/>
        <v>34</v>
      </c>
    </row>
    <row r="543" spans="2:42">
      <c r="B543" s="164">
        <v>2211711</v>
      </c>
      <c r="C543" s="164" t="s">
        <v>1463</v>
      </c>
      <c r="D543" s="164" t="s">
        <v>1466</v>
      </c>
      <c r="E543" s="164"/>
      <c r="F543" s="164" t="s">
        <v>195</v>
      </c>
      <c r="G543" s="164" t="s">
        <v>162</v>
      </c>
      <c r="H543" s="164" t="s">
        <v>163</v>
      </c>
      <c r="I543" s="164" t="s">
        <v>182</v>
      </c>
      <c r="J543" s="164" t="s">
        <v>163</v>
      </c>
      <c r="K543" s="164" t="s">
        <v>163</v>
      </c>
      <c r="L543" s="164" t="s">
        <v>182</v>
      </c>
      <c r="M543" s="164">
        <v>84</v>
      </c>
      <c r="N543" s="164">
        <v>30</v>
      </c>
      <c r="O543" s="165">
        <v>17.3</v>
      </c>
      <c r="P543" s="165">
        <v>17.3</v>
      </c>
      <c r="Q543" s="164">
        <v>330</v>
      </c>
      <c r="R543" s="164">
        <v>367</v>
      </c>
      <c r="S543" s="166">
        <v>0.1</v>
      </c>
      <c r="T543" s="164" t="s">
        <v>163</v>
      </c>
      <c r="U543" s="164"/>
      <c r="V543" s="167">
        <v>41518</v>
      </c>
      <c r="W543" s="167">
        <v>41781</v>
      </c>
      <c r="X543" s="164" t="s">
        <v>387</v>
      </c>
      <c r="Y543" s="164" t="s">
        <v>1467</v>
      </c>
      <c r="Z543" s="164" t="s">
        <v>163</v>
      </c>
      <c r="AA543" s="168" t="s">
        <v>184</v>
      </c>
      <c r="AB543" s="168" t="s">
        <v>195</v>
      </c>
      <c r="AC543" s="168" t="s">
        <v>162</v>
      </c>
      <c r="AD543" s="168" t="s">
        <v>163</v>
      </c>
      <c r="AE543" s="168" t="s">
        <v>182</v>
      </c>
      <c r="AF543" s="168" t="s">
        <v>163</v>
      </c>
      <c r="AG543" s="168" t="s">
        <v>163</v>
      </c>
      <c r="AH543" s="168" t="str">
        <f t="shared" si="49"/>
        <v>Refrigerator-Freezerless and Single Door-Automatic-No-Yes-No-No</v>
      </c>
      <c r="AI543" s="168"/>
      <c r="AJ543" s="168" t="b">
        <v>0</v>
      </c>
      <c r="AK543" s="169" t="b">
        <v>0</v>
      </c>
      <c r="AL543" s="169">
        <f t="shared" si="50"/>
        <v>0</v>
      </c>
      <c r="AM543" s="168">
        <f t="shared" si="51"/>
        <v>367</v>
      </c>
      <c r="AN543" s="168">
        <f t="shared" si="52"/>
        <v>330</v>
      </c>
      <c r="AO543" s="164" t="str">
        <f t="shared" si="53"/>
        <v>Yes</v>
      </c>
      <c r="AP543" s="164">
        <f t="shared" si="54"/>
        <v>37</v>
      </c>
    </row>
    <row r="544" spans="2:42">
      <c r="B544" s="164">
        <v>2209868</v>
      </c>
      <c r="C544" s="164" t="s">
        <v>1463</v>
      </c>
      <c r="D544" s="164" t="s">
        <v>1468</v>
      </c>
      <c r="E544" s="164"/>
      <c r="F544" s="164" t="s">
        <v>194</v>
      </c>
      <c r="G544" s="164" t="s">
        <v>162</v>
      </c>
      <c r="H544" s="164" t="s">
        <v>182</v>
      </c>
      <c r="I544" s="164" t="s">
        <v>163</v>
      </c>
      <c r="J544" s="164" t="s">
        <v>163</v>
      </c>
      <c r="K544" s="164" t="s">
        <v>163</v>
      </c>
      <c r="L544" s="164" t="s">
        <v>182</v>
      </c>
      <c r="M544" s="164">
        <v>34</v>
      </c>
      <c r="N544" s="164">
        <v>24</v>
      </c>
      <c r="O544" s="165">
        <v>4</v>
      </c>
      <c r="P544" s="165">
        <v>4</v>
      </c>
      <c r="Q544" s="164">
        <v>213</v>
      </c>
      <c r="R544" s="164">
        <v>296</v>
      </c>
      <c r="S544" s="166">
        <v>0.28000000000000003</v>
      </c>
      <c r="T544" s="164" t="s">
        <v>163</v>
      </c>
      <c r="U544" s="164"/>
      <c r="V544" s="167">
        <v>41760</v>
      </c>
      <c r="W544" s="167">
        <v>41760</v>
      </c>
      <c r="X544" s="164" t="s">
        <v>387</v>
      </c>
      <c r="Y544" s="164" t="s">
        <v>1469</v>
      </c>
      <c r="Z544" s="164" t="s">
        <v>163</v>
      </c>
      <c r="AA544" s="168" t="s">
        <v>184</v>
      </c>
      <c r="AB544" s="168" t="s">
        <v>194</v>
      </c>
      <c r="AC544" s="168" t="s">
        <v>162</v>
      </c>
      <c r="AD544" s="168" t="s">
        <v>182</v>
      </c>
      <c r="AE544" s="168" t="s">
        <v>163</v>
      </c>
      <c r="AF544" s="168" t="s">
        <v>163</v>
      </c>
      <c r="AG544" s="168" t="s">
        <v>163</v>
      </c>
      <c r="AH544" s="168" t="str">
        <f t="shared" si="49"/>
        <v>Refrigerator-Compact-Automatic-Yes-No-No-No</v>
      </c>
      <c r="AI544" s="168" t="s">
        <v>329</v>
      </c>
      <c r="AJ544" s="168">
        <v>9.17</v>
      </c>
      <c r="AK544" s="169">
        <v>259.3</v>
      </c>
      <c r="AL544" s="169">
        <f t="shared" si="50"/>
        <v>295.98</v>
      </c>
      <c r="AM544" s="168">
        <f t="shared" si="51"/>
        <v>296</v>
      </c>
      <c r="AN544" s="168">
        <f t="shared" si="52"/>
        <v>213</v>
      </c>
      <c r="AO544" s="164" t="str">
        <f t="shared" si="53"/>
        <v>Yes</v>
      </c>
      <c r="AP544" s="164">
        <f t="shared" si="54"/>
        <v>83</v>
      </c>
    </row>
    <row r="545" spans="2:42">
      <c r="B545" s="164">
        <v>2211715</v>
      </c>
      <c r="C545" s="164" t="s">
        <v>1463</v>
      </c>
      <c r="D545" s="164" t="s">
        <v>1470</v>
      </c>
      <c r="E545" s="164"/>
      <c r="F545" s="164" t="s">
        <v>194</v>
      </c>
      <c r="G545" s="164" t="s">
        <v>162</v>
      </c>
      <c r="H545" s="164" t="s">
        <v>182</v>
      </c>
      <c r="I545" s="164" t="s">
        <v>163</v>
      </c>
      <c r="J545" s="164" t="s">
        <v>163</v>
      </c>
      <c r="K545" s="164" t="s">
        <v>163</v>
      </c>
      <c r="L545" s="164" t="s">
        <v>182</v>
      </c>
      <c r="M545" s="164">
        <v>34</v>
      </c>
      <c r="N545" s="164">
        <v>27</v>
      </c>
      <c r="O545" s="165">
        <v>4.5999999999999996</v>
      </c>
      <c r="P545" s="165">
        <v>4.5999999999999996</v>
      </c>
      <c r="Q545" s="164">
        <v>217</v>
      </c>
      <c r="R545" s="164">
        <v>301</v>
      </c>
      <c r="S545" s="166">
        <v>0.28000000000000003</v>
      </c>
      <c r="T545" s="164" t="s">
        <v>163</v>
      </c>
      <c r="U545" s="164"/>
      <c r="V545" s="167">
        <v>41760</v>
      </c>
      <c r="W545" s="167">
        <v>41781</v>
      </c>
      <c r="X545" s="164" t="s">
        <v>387</v>
      </c>
      <c r="Y545" s="164" t="s">
        <v>1471</v>
      </c>
      <c r="Z545" s="164" t="s">
        <v>163</v>
      </c>
      <c r="AA545" s="168" t="s">
        <v>184</v>
      </c>
      <c r="AB545" s="168" t="s">
        <v>194</v>
      </c>
      <c r="AC545" s="168" t="s">
        <v>162</v>
      </c>
      <c r="AD545" s="168" t="s">
        <v>182</v>
      </c>
      <c r="AE545" s="168" t="s">
        <v>163</v>
      </c>
      <c r="AF545" s="168" t="s">
        <v>163</v>
      </c>
      <c r="AG545" s="168" t="s">
        <v>163</v>
      </c>
      <c r="AH545" s="168" t="str">
        <f t="shared" si="49"/>
        <v>Refrigerator-Compact-Automatic-Yes-No-No-No</v>
      </c>
      <c r="AI545" s="168" t="s">
        <v>329</v>
      </c>
      <c r="AJ545" s="168">
        <v>9.17</v>
      </c>
      <c r="AK545" s="169">
        <v>259.3</v>
      </c>
      <c r="AL545" s="169">
        <f t="shared" si="50"/>
        <v>301.48200000000003</v>
      </c>
      <c r="AM545" s="168">
        <f t="shared" si="51"/>
        <v>301</v>
      </c>
      <c r="AN545" s="168">
        <f t="shared" si="52"/>
        <v>217</v>
      </c>
      <c r="AO545" s="164" t="str">
        <f t="shared" si="53"/>
        <v>Yes</v>
      </c>
      <c r="AP545" s="164">
        <f t="shared" si="54"/>
        <v>84</v>
      </c>
    </row>
    <row r="546" spans="2:42">
      <c r="B546" s="164">
        <v>2209869</v>
      </c>
      <c r="C546" s="164" t="s">
        <v>1463</v>
      </c>
      <c r="D546" s="164" t="s">
        <v>1472</v>
      </c>
      <c r="E546" s="164"/>
      <c r="F546" s="164" t="s">
        <v>194</v>
      </c>
      <c r="G546" s="164" t="s">
        <v>162</v>
      </c>
      <c r="H546" s="164" t="s">
        <v>182</v>
      </c>
      <c r="I546" s="164" t="s">
        <v>163</v>
      </c>
      <c r="J546" s="164" t="s">
        <v>163</v>
      </c>
      <c r="K546" s="164" t="s">
        <v>163</v>
      </c>
      <c r="L546" s="164" t="s">
        <v>182</v>
      </c>
      <c r="M546" s="164">
        <v>34</v>
      </c>
      <c r="N546" s="164">
        <v>30</v>
      </c>
      <c r="O546" s="165">
        <v>5</v>
      </c>
      <c r="P546" s="165">
        <v>6.5</v>
      </c>
      <c r="Q546" s="164">
        <v>374</v>
      </c>
      <c r="R546" s="164">
        <v>416</v>
      </c>
      <c r="S546" s="166">
        <v>0.1</v>
      </c>
      <c r="T546" s="164" t="s">
        <v>163</v>
      </c>
      <c r="U546" s="164"/>
      <c r="V546" s="167">
        <v>41518</v>
      </c>
      <c r="W546" s="167">
        <v>41760</v>
      </c>
      <c r="X546" s="164" t="s">
        <v>387</v>
      </c>
      <c r="Y546" s="164" t="s">
        <v>1473</v>
      </c>
      <c r="Z546" s="164" t="s">
        <v>163</v>
      </c>
      <c r="AA546" s="168" t="s">
        <v>184</v>
      </c>
      <c r="AB546" s="168" t="s">
        <v>194</v>
      </c>
      <c r="AC546" s="168" t="s">
        <v>162</v>
      </c>
      <c r="AD546" s="168" t="s">
        <v>182</v>
      </c>
      <c r="AE546" s="168" t="s">
        <v>163</v>
      </c>
      <c r="AF546" s="168" t="s">
        <v>163</v>
      </c>
      <c r="AG546" s="168" t="s">
        <v>163</v>
      </c>
      <c r="AH546" s="168" t="str">
        <f t="shared" si="49"/>
        <v>Refrigerator-Compact-Automatic-Yes-No-No-No</v>
      </c>
      <c r="AI546" s="168" t="s">
        <v>329</v>
      </c>
      <c r="AJ546" s="168">
        <v>9.17</v>
      </c>
      <c r="AK546" s="169">
        <v>259.3</v>
      </c>
      <c r="AL546" s="169">
        <f t="shared" si="50"/>
        <v>318.90500000000003</v>
      </c>
      <c r="AM546" s="168">
        <f t="shared" si="51"/>
        <v>416</v>
      </c>
      <c r="AN546" s="168">
        <f t="shared" si="52"/>
        <v>374</v>
      </c>
      <c r="AO546" s="164" t="str">
        <f t="shared" si="53"/>
        <v>Yes</v>
      </c>
      <c r="AP546" s="164">
        <f t="shared" si="54"/>
        <v>42</v>
      </c>
    </row>
    <row r="547" spans="2:42">
      <c r="B547" s="164">
        <v>2212207</v>
      </c>
      <c r="C547" s="164" t="s">
        <v>1463</v>
      </c>
      <c r="D547" s="164" t="s">
        <v>1474</v>
      </c>
      <c r="E547" s="164"/>
      <c r="F547" s="164" t="s">
        <v>194</v>
      </c>
      <c r="G547" s="164" t="s">
        <v>162</v>
      </c>
      <c r="H547" s="164" t="s">
        <v>182</v>
      </c>
      <c r="I547" s="164" t="s">
        <v>163</v>
      </c>
      <c r="J547" s="164" t="s">
        <v>163</v>
      </c>
      <c r="K547" s="164" t="s">
        <v>182</v>
      </c>
      <c r="L547" s="164" t="s">
        <v>182</v>
      </c>
      <c r="M547" s="164">
        <v>34</v>
      </c>
      <c r="N547" s="164">
        <v>30</v>
      </c>
      <c r="O547" s="165">
        <v>5</v>
      </c>
      <c r="P547" s="165">
        <v>6.5</v>
      </c>
      <c r="Q547" s="164">
        <v>450</v>
      </c>
      <c r="R547" s="164">
        <v>500</v>
      </c>
      <c r="S547" s="166">
        <v>0.1</v>
      </c>
      <c r="T547" s="164" t="s">
        <v>163</v>
      </c>
      <c r="U547" s="164"/>
      <c r="V547" s="167">
        <v>41518</v>
      </c>
      <c r="W547" s="167">
        <v>41760</v>
      </c>
      <c r="X547" s="164" t="s">
        <v>387</v>
      </c>
      <c r="Y547" s="164" t="s">
        <v>1475</v>
      </c>
      <c r="Z547" s="164" t="s">
        <v>163</v>
      </c>
      <c r="AA547" s="168" t="s">
        <v>184</v>
      </c>
      <c r="AB547" s="168" t="s">
        <v>194</v>
      </c>
      <c r="AC547" s="168" t="s">
        <v>162</v>
      </c>
      <c r="AD547" s="168" t="s">
        <v>182</v>
      </c>
      <c r="AE547" s="168" t="s">
        <v>163</v>
      </c>
      <c r="AF547" s="168" t="s">
        <v>163</v>
      </c>
      <c r="AG547" s="168" t="s">
        <v>182</v>
      </c>
      <c r="AH547" s="168" t="str">
        <f t="shared" si="49"/>
        <v>Refrigerator-Compact-Automatic-Yes-No-No-Yes</v>
      </c>
      <c r="AI547" s="168"/>
      <c r="AJ547" s="168" t="b">
        <v>0</v>
      </c>
      <c r="AK547" s="169" t="b">
        <v>0</v>
      </c>
      <c r="AL547" s="169">
        <f t="shared" si="50"/>
        <v>0</v>
      </c>
      <c r="AM547" s="168">
        <f t="shared" si="51"/>
        <v>500</v>
      </c>
      <c r="AN547" s="168">
        <f t="shared" si="52"/>
        <v>450</v>
      </c>
      <c r="AO547" s="164" t="str">
        <f t="shared" si="53"/>
        <v>Yes</v>
      </c>
      <c r="AP547" s="164">
        <f t="shared" si="54"/>
        <v>50</v>
      </c>
    </row>
    <row r="548" spans="2:42">
      <c r="B548" s="164">
        <v>2209871</v>
      </c>
      <c r="C548" s="164" t="s">
        <v>1463</v>
      </c>
      <c r="D548" s="164" t="s">
        <v>1476</v>
      </c>
      <c r="E548" s="164"/>
      <c r="F548" s="164" t="s">
        <v>194</v>
      </c>
      <c r="G548" s="164" t="s">
        <v>162</v>
      </c>
      <c r="H548" s="164" t="s">
        <v>182</v>
      </c>
      <c r="I548" s="164" t="s">
        <v>163</v>
      </c>
      <c r="J548" s="164" t="s">
        <v>163</v>
      </c>
      <c r="K548" s="164" t="s">
        <v>163</v>
      </c>
      <c r="L548" s="164" t="s">
        <v>182</v>
      </c>
      <c r="M548" s="164">
        <v>34</v>
      </c>
      <c r="N548" s="164">
        <v>30</v>
      </c>
      <c r="O548" s="165">
        <v>5.2</v>
      </c>
      <c r="P548" s="165">
        <v>5.2</v>
      </c>
      <c r="Q548" s="164">
        <v>221</v>
      </c>
      <c r="R548" s="164">
        <v>307</v>
      </c>
      <c r="S548" s="166">
        <v>0.28000000000000003</v>
      </c>
      <c r="T548" s="164" t="s">
        <v>163</v>
      </c>
      <c r="U548" s="164"/>
      <c r="V548" s="167">
        <v>41518</v>
      </c>
      <c r="W548" s="167">
        <v>41760</v>
      </c>
      <c r="X548" s="164" t="s">
        <v>387</v>
      </c>
      <c r="Y548" s="164" t="s">
        <v>1477</v>
      </c>
      <c r="Z548" s="164" t="s">
        <v>163</v>
      </c>
      <c r="AA548" s="168" t="s">
        <v>184</v>
      </c>
      <c r="AB548" s="168" t="s">
        <v>194</v>
      </c>
      <c r="AC548" s="168" t="s">
        <v>162</v>
      </c>
      <c r="AD548" s="168" t="s">
        <v>182</v>
      </c>
      <c r="AE548" s="168" t="s">
        <v>163</v>
      </c>
      <c r="AF548" s="168" t="s">
        <v>163</v>
      </c>
      <c r="AG548" s="168" t="s">
        <v>163</v>
      </c>
      <c r="AH548" s="168" t="str">
        <f t="shared" si="49"/>
        <v>Refrigerator-Compact-Automatic-Yes-No-No-No</v>
      </c>
      <c r="AI548" s="168" t="s">
        <v>329</v>
      </c>
      <c r="AJ548" s="168">
        <v>9.17</v>
      </c>
      <c r="AK548" s="169">
        <v>259.3</v>
      </c>
      <c r="AL548" s="169">
        <f t="shared" si="50"/>
        <v>306.98400000000004</v>
      </c>
      <c r="AM548" s="168">
        <f t="shared" si="51"/>
        <v>307</v>
      </c>
      <c r="AN548" s="168">
        <f t="shared" si="52"/>
        <v>221</v>
      </c>
      <c r="AO548" s="164" t="str">
        <f t="shared" si="53"/>
        <v>Yes</v>
      </c>
      <c r="AP548" s="164">
        <f t="shared" si="54"/>
        <v>86</v>
      </c>
    </row>
    <row r="549" spans="2:42">
      <c r="B549" s="164">
        <v>2211716</v>
      </c>
      <c r="C549" s="164" t="s">
        <v>1463</v>
      </c>
      <c r="D549" s="164" t="s">
        <v>1478</v>
      </c>
      <c r="E549" s="164"/>
      <c r="F549" s="164" t="s">
        <v>194</v>
      </c>
      <c r="G549" s="164" t="s">
        <v>162</v>
      </c>
      <c r="H549" s="164" t="s">
        <v>182</v>
      </c>
      <c r="I549" s="164" t="s">
        <v>163</v>
      </c>
      <c r="J549" s="164" t="s">
        <v>163</v>
      </c>
      <c r="K549" s="164" t="s">
        <v>163</v>
      </c>
      <c r="L549" s="164" t="s">
        <v>182</v>
      </c>
      <c r="M549" s="164">
        <v>34</v>
      </c>
      <c r="N549" s="164">
        <v>36</v>
      </c>
      <c r="O549" s="165">
        <v>6.6</v>
      </c>
      <c r="P549" s="165">
        <v>6.6</v>
      </c>
      <c r="Q549" s="164">
        <v>230</v>
      </c>
      <c r="R549" s="164">
        <v>320</v>
      </c>
      <c r="S549" s="166">
        <v>0.28000000000000003</v>
      </c>
      <c r="T549" s="164" t="s">
        <v>163</v>
      </c>
      <c r="U549" s="164"/>
      <c r="V549" s="167">
        <v>41760</v>
      </c>
      <c r="W549" s="167">
        <v>41781</v>
      </c>
      <c r="X549" s="164" t="s">
        <v>387</v>
      </c>
      <c r="Y549" s="164" t="s">
        <v>1479</v>
      </c>
      <c r="Z549" s="164" t="s">
        <v>163</v>
      </c>
      <c r="AA549" s="168" t="s">
        <v>184</v>
      </c>
      <c r="AB549" s="168" t="s">
        <v>194</v>
      </c>
      <c r="AC549" s="168" t="s">
        <v>162</v>
      </c>
      <c r="AD549" s="168" t="s">
        <v>182</v>
      </c>
      <c r="AE549" s="168" t="s">
        <v>163</v>
      </c>
      <c r="AF549" s="168" t="s">
        <v>163</v>
      </c>
      <c r="AG549" s="168" t="s">
        <v>163</v>
      </c>
      <c r="AH549" s="168" t="str">
        <f t="shared" si="49"/>
        <v>Refrigerator-Compact-Automatic-Yes-No-No-No</v>
      </c>
      <c r="AI549" s="168" t="s">
        <v>329</v>
      </c>
      <c r="AJ549" s="168">
        <v>9.17</v>
      </c>
      <c r="AK549" s="169">
        <v>259.3</v>
      </c>
      <c r="AL549" s="169">
        <f t="shared" si="50"/>
        <v>319.822</v>
      </c>
      <c r="AM549" s="168">
        <f t="shared" si="51"/>
        <v>320</v>
      </c>
      <c r="AN549" s="168">
        <f t="shared" si="52"/>
        <v>230</v>
      </c>
      <c r="AO549" s="164" t="str">
        <f t="shared" si="53"/>
        <v>Yes</v>
      </c>
      <c r="AP549" s="164">
        <f t="shared" si="54"/>
        <v>90</v>
      </c>
    </row>
    <row r="550" spans="2:42">
      <c r="B550" s="164">
        <v>2211712</v>
      </c>
      <c r="C550" s="164" t="s">
        <v>1463</v>
      </c>
      <c r="D550" s="164" t="s">
        <v>1480</v>
      </c>
      <c r="E550" s="164"/>
      <c r="F550" s="164" t="s">
        <v>191</v>
      </c>
      <c r="G550" s="164" t="s">
        <v>162</v>
      </c>
      <c r="H550" s="164" t="s">
        <v>163</v>
      </c>
      <c r="I550" s="164" t="s">
        <v>182</v>
      </c>
      <c r="J550" s="164" t="s">
        <v>163</v>
      </c>
      <c r="K550" s="164" t="s">
        <v>182</v>
      </c>
      <c r="L550" s="164" t="s">
        <v>182</v>
      </c>
      <c r="M550" s="164">
        <v>84</v>
      </c>
      <c r="N550" s="164">
        <v>30</v>
      </c>
      <c r="O550" s="165">
        <v>15.6</v>
      </c>
      <c r="P550" s="165">
        <v>19.399999999999999</v>
      </c>
      <c r="Q550" s="164">
        <v>543</v>
      </c>
      <c r="R550" s="164">
        <v>603</v>
      </c>
      <c r="S550" s="166">
        <v>0.1</v>
      </c>
      <c r="T550" s="164" t="s">
        <v>163</v>
      </c>
      <c r="U550" s="164"/>
      <c r="V550" s="167">
        <v>41440</v>
      </c>
      <c r="W550" s="167">
        <v>41781</v>
      </c>
      <c r="X550" s="164" t="s">
        <v>387</v>
      </c>
      <c r="Y550" s="164" t="s">
        <v>1481</v>
      </c>
      <c r="Z550" s="164" t="s">
        <v>163</v>
      </c>
      <c r="AA550" s="168" t="s">
        <v>184</v>
      </c>
      <c r="AB550" s="168" t="s">
        <v>191</v>
      </c>
      <c r="AC550" s="168" t="s">
        <v>162</v>
      </c>
      <c r="AD550" s="168" t="s">
        <v>163</v>
      </c>
      <c r="AE550" s="168" t="s">
        <v>182</v>
      </c>
      <c r="AF550" s="168" t="s">
        <v>163</v>
      </c>
      <c r="AG550" s="168" t="s">
        <v>182</v>
      </c>
      <c r="AH550" s="168" t="str">
        <f t="shared" si="49"/>
        <v>Refrigerator-Bottom Freezer-Automatic-No-Yes-No-Yes</v>
      </c>
      <c r="AI550" s="168" t="s">
        <v>265</v>
      </c>
      <c r="AJ550" s="168">
        <v>9.4</v>
      </c>
      <c r="AK550" s="169">
        <v>420.9</v>
      </c>
      <c r="AL550" s="169">
        <f t="shared" si="50"/>
        <v>603.26</v>
      </c>
      <c r="AM550" s="168">
        <f t="shared" si="51"/>
        <v>603</v>
      </c>
      <c r="AN550" s="168">
        <f t="shared" si="52"/>
        <v>543</v>
      </c>
      <c r="AO550" s="164" t="str">
        <f t="shared" si="53"/>
        <v>Yes</v>
      </c>
      <c r="AP550" s="164">
        <f t="shared" si="54"/>
        <v>60</v>
      </c>
    </row>
    <row r="551" spans="2:42">
      <c r="B551" s="164">
        <v>2208072</v>
      </c>
      <c r="C551" s="164" t="s">
        <v>1463</v>
      </c>
      <c r="D551" s="164" t="s">
        <v>1482</v>
      </c>
      <c r="E551" s="164"/>
      <c r="F551" s="164" t="s">
        <v>195</v>
      </c>
      <c r="G551" s="164" t="s">
        <v>162</v>
      </c>
      <c r="H551" s="164" t="s">
        <v>163</v>
      </c>
      <c r="I551" s="164" t="s">
        <v>182</v>
      </c>
      <c r="J551" s="164" t="s">
        <v>163</v>
      </c>
      <c r="K551" s="164" t="s">
        <v>163</v>
      </c>
      <c r="L551" s="164" t="s">
        <v>182</v>
      </c>
      <c r="M551" s="164">
        <v>84</v>
      </c>
      <c r="N551" s="164">
        <v>30</v>
      </c>
      <c r="O551" s="165">
        <v>16.5</v>
      </c>
      <c r="P551" s="165">
        <v>16.5</v>
      </c>
      <c r="Q551" s="164">
        <v>324</v>
      </c>
      <c r="R551" s="164">
        <v>361</v>
      </c>
      <c r="S551" s="166">
        <v>0.1</v>
      </c>
      <c r="T551" s="164" t="s">
        <v>163</v>
      </c>
      <c r="U551" s="164"/>
      <c r="V551" s="167">
        <v>41518</v>
      </c>
      <c r="W551" s="167">
        <v>41730</v>
      </c>
      <c r="X551" s="164" t="s">
        <v>387</v>
      </c>
      <c r="Y551" s="164" t="s">
        <v>1483</v>
      </c>
      <c r="Z551" s="164" t="s">
        <v>163</v>
      </c>
      <c r="AA551" s="168" t="s">
        <v>184</v>
      </c>
      <c r="AB551" s="168" t="s">
        <v>195</v>
      </c>
      <c r="AC551" s="168" t="s">
        <v>162</v>
      </c>
      <c r="AD551" s="168" t="s">
        <v>163</v>
      </c>
      <c r="AE551" s="168" t="s">
        <v>182</v>
      </c>
      <c r="AF551" s="168" t="s">
        <v>163</v>
      </c>
      <c r="AG551" s="168" t="s">
        <v>163</v>
      </c>
      <c r="AH551" s="168" t="str">
        <f t="shared" si="49"/>
        <v>Refrigerator-Freezerless and Single Door-Automatic-No-Yes-No-No</v>
      </c>
      <c r="AI551" s="168"/>
      <c r="AJ551" s="168" t="b">
        <v>0</v>
      </c>
      <c r="AK551" s="169" t="b">
        <v>0</v>
      </c>
      <c r="AL551" s="169">
        <f t="shared" si="50"/>
        <v>0</v>
      </c>
      <c r="AM551" s="168">
        <f t="shared" si="51"/>
        <v>361</v>
      </c>
      <c r="AN551" s="168">
        <f t="shared" si="52"/>
        <v>324</v>
      </c>
      <c r="AO551" s="164" t="str">
        <f t="shared" si="53"/>
        <v>Yes</v>
      </c>
      <c r="AP551" s="164">
        <f t="shared" si="54"/>
        <v>37</v>
      </c>
    </row>
    <row r="552" spans="2:42">
      <c r="B552" s="164">
        <v>2211713</v>
      </c>
      <c r="C552" s="164" t="s">
        <v>1463</v>
      </c>
      <c r="D552" s="164" t="s">
        <v>1484</v>
      </c>
      <c r="E552" s="164"/>
      <c r="F552" s="164" t="s">
        <v>191</v>
      </c>
      <c r="G552" s="164" t="s">
        <v>162</v>
      </c>
      <c r="H552" s="164" t="s">
        <v>163</v>
      </c>
      <c r="I552" s="164" t="s">
        <v>182</v>
      </c>
      <c r="J552" s="164" t="s">
        <v>163</v>
      </c>
      <c r="K552" s="164" t="s">
        <v>182</v>
      </c>
      <c r="L552" s="164" t="s">
        <v>182</v>
      </c>
      <c r="M552" s="164">
        <v>84</v>
      </c>
      <c r="N552" s="164">
        <v>36</v>
      </c>
      <c r="O552" s="165">
        <v>19.7</v>
      </c>
      <c r="P552" s="165">
        <v>24.5</v>
      </c>
      <c r="Q552" s="164">
        <v>586</v>
      </c>
      <c r="R552" s="164">
        <v>651</v>
      </c>
      <c r="S552" s="166">
        <v>0.1</v>
      </c>
      <c r="T552" s="164" t="s">
        <v>163</v>
      </c>
      <c r="U552" s="164"/>
      <c r="V552" s="167">
        <v>41470</v>
      </c>
      <c r="W552" s="167">
        <v>41781</v>
      </c>
      <c r="X552" s="164" t="s">
        <v>387</v>
      </c>
      <c r="Y552" s="164" t="s">
        <v>1485</v>
      </c>
      <c r="Z552" s="164" t="s">
        <v>163</v>
      </c>
      <c r="AA552" s="168" t="s">
        <v>184</v>
      </c>
      <c r="AB552" s="168" t="s">
        <v>191</v>
      </c>
      <c r="AC552" s="168" t="s">
        <v>162</v>
      </c>
      <c r="AD552" s="168" t="s">
        <v>163</v>
      </c>
      <c r="AE552" s="168" t="s">
        <v>182</v>
      </c>
      <c r="AF552" s="168" t="s">
        <v>163</v>
      </c>
      <c r="AG552" s="168" t="s">
        <v>182</v>
      </c>
      <c r="AH552" s="168" t="str">
        <f t="shared" si="49"/>
        <v>Refrigerator-Bottom Freezer-Automatic-No-Yes-No-Yes</v>
      </c>
      <c r="AI552" s="168" t="s">
        <v>265</v>
      </c>
      <c r="AJ552" s="168">
        <v>9.4</v>
      </c>
      <c r="AK552" s="169">
        <v>420.9</v>
      </c>
      <c r="AL552" s="169">
        <f t="shared" si="50"/>
        <v>651.20000000000005</v>
      </c>
      <c r="AM552" s="168">
        <f t="shared" si="51"/>
        <v>651</v>
      </c>
      <c r="AN552" s="168">
        <f t="shared" si="52"/>
        <v>586</v>
      </c>
      <c r="AO552" s="164" t="str">
        <f t="shared" si="53"/>
        <v>Yes</v>
      </c>
      <c r="AP552" s="164">
        <f t="shared" si="54"/>
        <v>65</v>
      </c>
    </row>
    <row r="553" spans="2:42">
      <c r="B553" s="164">
        <v>2211714</v>
      </c>
      <c r="C553" s="164" t="s">
        <v>1463</v>
      </c>
      <c r="D553" s="164" t="s">
        <v>1486</v>
      </c>
      <c r="E553" s="164"/>
      <c r="F553" s="164" t="s">
        <v>195</v>
      </c>
      <c r="G553" s="164" t="s">
        <v>162</v>
      </c>
      <c r="H553" s="164" t="s">
        <v>163</v>
      </c>
      <c r="I553" s="164" t="s">
        <v>182</v>
      </c>
      <c r="J553" s="164" t="s">
        <v>163</v>
      </c>
      <c r="K553" s="164" t="s">
        <v>163</v>
      </c>
      <c r="L553" s="164" t="s">
        <v>182</v>
      </c>
      <c r="M553" s="164">
        <v>84</v>
      </c>
      <c r="N553" s="164">
        <v>36</v>
      </c>
      <c r="O553" s="165">
        <v>20.5</v>
      </c>
      <c r="P553" s="165">
        <v>20.5</v>
      </c>
      <c r="Q553" s="164">
        <v>353</v>
      </c>
      <c r="R553" s="164">
        <v>393</v>
      </c>
      <c r="S553" s="166">
        <v>0.1</v>
      </c>
      <c r="T553" s="164" t="s">
        <v>163</v>
      </c>
      <c r="U553" s="164"/>
      <c r="V553" s="167">
        <v>41518</v>
      </c>
      <c r="W553" s="167">
        <v>41781</v>
      </c>
      <c r="X553" s="164" t="s">
        <v>387</v>
      </c>
      <c r="Y553" s="164" t="s">
        <v>1487</v>
      </c>
      <c r="Z553" s="164" t="s">
        <v>163</v>
      </c>
      <c r="AA553" s="168" t="s">
        <v>184</v>
      </c>
      <c r="AB553" s="168" t="s">
        <v>195</v>
      </c>
      <c r="AC553" s="168" t="s">
        <v>162</v>
      </c>
      <c r="AD553" s="168" t="s">
        <v>163</v>
      </c>
      <c r="AE553" s="168" t="s">
        <v>182</v>
      </c>
      <c r="AF553" s="168" t="s">
        <v>163</v>
      </c>
      <c r="AG553" s="168" t="s">
        <v>163</v>
      </c>
      <c r="AH553" s="168" t="str">
        <f t="shared" si="49"/>
        <v>Refrigerator-Freezerless and Single Door-Automatic-No-Yes-No-No</v>
      </c>
      <c r="AI553" s="168"/>
      <c r="AJ553" s="168" t="b">
        <v>0</v>
      </c>
      <c r="AK553" s="169" t="b">
        <v>0</v>
      </c>
      <c r="AL553" s="169">
        <f t="shared" si="50"/>
        <v>0</v>
      </c>
      <c r="AM553" s="168">
        <f t="shared" si="51"/>
        <v>393</v>
      </c>
      <c r="AN553" s="168">
        <f t="shared" si="52"/>
        <v>353</v>
      </c>
      <c r="AO553" s="164" t="str">
        <f t="shared" si="53"/>
        <v>Yes</v>
      </c>
      <c r="AP553" s="164">
        <f t="shared" si="54"/>
        <v>40</v>
      </c>
    </row>
    <row r="554" spans="2:42">
      <c r="B554" s="164">
        <v>2218006</v>
      </c>
      <c r="C554" s="164" t="s">
        <v>1488</v>
      </c>
      <c r="D554" s="164" t="s">
        <v>1489</v>
      </c>
      <c r="E554" s="164"/>
      <c r="F554" s="164" t="s">
        <v>194</v>
      </c>
      <c r="G554" s="164" t="s">
        <v>162</v>
      </c>
      <c r="H554" s="164" t="s">
        <v>182</v>
      </c>
      <c r="I554" s="164" t="s">
        <v>163</v>
      </c>
      <c r="J554" s="164" t="s">
        <v>163</v>
      </c>
      <c r="K554" s="164" t="s">
        <v>163</v>
      </c>
      <c r="L554" s="164" t="s">
        <v>163</v>
      </c>
      <c r="M554" s="164">
        <v>33.299999999999997</v>
      </c>
      <c r="N554" s="164">
        <v>18.600000000000001</v>
      </c>
      <c r="O554" s="165">
        <v>3</v>
      </c>
      <c r="P554" s="165">
        <v>3.6</v>
      </c>
      <c r="Q554" s="164">
        <v>319</v>
      </c>
      <c r="R554" s="164">
        <v>357</v>
      </c>
      <c r="S554" s="166">
        <v>0.11</v>
      </c>
      <c r="T554" s="164" t="s">
        <v>163</v>
      </c>
      <c r="U554" s="164" t="s">
        <v>163</v>
      </c>
      <c r="V554" s="167">
        <v>41852</v>
      </c>
      <c r="W554" s="167">
        <v>41878</v>
      </c>
      <c r="X554" s="164" t="s">
        <v>506</v>
      </c>
      <c r="Y554" s="164" t="s">
        <v>1490</v>
      </c>
      <c r="Z554" s="164" t="s">
        <v>163</v>
      </c>
      <c r="AA554" s="168" t="s">
        <v>184</v>
      </c>
      <c r="AB554" s="168" t="s">
        <v>194</v>
      </c>
      <c r="AC554" s="168" t="s">
        <v>162</v>
      </c>
      <c r="AD554" s="168" t="s">
        <v>182</v>
      </c>
      <c r="AE554" s="168" t="s">
        <v>163</v>
      </c>
      <c r="AF554" s="168" t="s">
        <v>163</v>
      </c>
      <c r="AG554" s="168" t="s">
        <v>163</v>
      </c>
      <c r="AH554" s="168" t="str">
        <f t="shared" si="49"/>
        <v>Refrigerator-Compact-Automatic-Yes-No-No-No</v>
      </c>
      <c r="AI554" s="168" t="s">
        <v>329</v>
      </c>
      <c r="AJ554" s="168">
        <v>9.17</v>
      </c>
      <c r="AK554" s="169">
        <v>259.3</v>
      </c>
      <c r="AL554" s="169">
        <f t="shared" si="50"/>
        <v>292.31200000000001</v>
      </c>
      <c r="AM554" s="168">
        <f t="shared" si="51"/>
        <v>357</v>
      </c>
      <c r="AN554" s="168">
        <f t="shared" si="52"/>
        <v>319</v>
      </c>
      <c r="AO554" s="164" t="str">
        <f t="shared" si="53"/>
        <v>Yes</v>
      </c>
      <c r="AP554" s="164">
        <f t="shared" si="54"/>
        <v>38</v>
      </c>
    </row>
    <row r="555" spans="2:42">
      <c r="B555" s="164">
        <v>2218014</v>
      </c>
      <c r="C555" s="164" t="s">
        <v>1488</v>
      </c>
      <c r="D555" s="164" t="s">
        <v>1491</v>
      </c>
      <c r="E555" s="164"/>
      <c r="F555" s="164" t="s">
        <v>194</v>
      </c>
      <c r="G555" s="164" t="s">
        <v>162</v>
      </c>
      <c r="H555" s="164" t="s">
        <v>182</v>
      </c>
      <c r="I555" s="164" t="s">
        <v>163</v>
      </c>
      <c r="J555" s="164" t="s">
        <v>163</v>
      </c>
      <c r="K555" s="164" t="s">
        <v>163</v>
      </c>
      <c r="L555" s="164" t="s">
        <v>163</v>
      </c>
      <c r="M555" s="164">
        <v>33.299999999999997</v>
      </c>
      <c r="N555" s="164">
        <v>18.600000000000001</v>
      </c>
      <c r="O555" s="165">
        <v>3.6</v>
      </c>
      <c r="P555" s="165">
        <v>3.6</v>
      </c>
      <c r="Q555" s="164">
        <v>262</v>
      </c>
      <c r="R555" s="164">
        <v>292</v>
      </c>
      <c r="S555" s="166">
        <v>0.1</v>
      </c>
      <c r="T555" s="164" t="s">
        <v>163</v>
      </c>
      <c r="U555" s="164" t="s">
        <v>163</v>
      </c>
      <c r="V555" s="167">
        <v>41869</v>
      </c>
      <c r="W555" s="167">
        <v>41878</v>
      </c>
      <c r="X555" s="164" t="s">
        <v>506</v>
      </c>
      <c r="Y555" s="164" t="s">
        <v>1492</v>
      </c>
      <c r="Z555" s="164" t="s">
        <v>163</v>
      </c>
      <c r="AA555" s="168" t="s">
        <v>184</v>
      </c>
      <c r="AB555" s="168" t="s">
        <v>194</v>
      </c>
      <c r="AC555" s="168" t="s">
        <v>162</v>
      </c>
      <c r="AD555" s="168" t="s">
        <v>182</v>
      </c>
      <c r="AE555" s="168" t="s">
        <v>163</v>
      </c>
      <c r="AF555" s="168" t="s">
        <v>163</v>
      </c>
      <c r="AG555" s="168" t="s">
        <v>163</v>
      </c>
      <c r="AH555" s="168" t="str">
        <f t="shared" si="49"/>
        <v>Refrigerator-Compact-Automatic-Yes-No-No-No</v>
      </c>
      <c r="AI555" s="168" t="s">
        <v>329</v>
      </c>
      <c r="AJ555" s="168">
        <v>9.17</v>
      </c>
      <c r="AK555" s="169">
        <v>259.3</v>
      </c>
      <c r="AL555" s="169">
        <f t="shared" si="50"/>
        <v>292.31200000000001</v>
      </c>
      <c r="AM555" s="168">
        <f t="shared" si="51"/>
        <v>292</v>
      </c>
      <c r="AN555" s="168">
        <f t="shared" si="52"/>
        <v>262</v>
      </c>
      <c r="AO555" s="164" t="str">
        <f t="shared" si="53"/>
        <v>Yes</v>
      </c>
      <c r="AP555" s="164">
        <f t="shared" si="54"/>
        <v>30</v>
      </c>
    </row>
    <row r="556" spans="2:42">
      <c r="B556" s="164">
        <v>2218015</v>
      </c>
      <c r="C556" s="164" t="s">
        <v>1488</v>
      </c>
      <c r="D556" s="164" t="s">
        <v>1493</v>
      </c>
      <c r="E556" s="164"/>
      <c r="F556" s="164" t="s">
        <v>194</v>
      </c>
      <c r="G556" s="164" t="s">
        <v>162</v>
      </c>
      <c r="H556" s="164" t="s">
        <v>182</v>
      </c>
      <c r="I556" s="164" t="s">
        <v>163</v>
      </c>
      <c r="J556" s="164" t="s">
        <v>163</v>
      </c>
      <c r="K556" s="164" t="s">
        <v>163</v>
      </c>
      <c r="L556" s="164" t="s">
        <v>163</v>
      </c>
      <c r="M556" s="164">
        <v>33.299999999999997</v>
      </c>
      <c r="N556" s="164">
        <v>18.600000000000001</v>
      </c>
      <c r="O556" s="165">
        <v>3.6</v>
      </c>
      <c r="P556" s="165">
        <v>3.6</v>
      </c>
      <c r="Q556" s="164">
        <v>262</v>
      </c>
      <c r="R556" s="164">
        <v>292</v>
      </c>
      <c r="S556" s="166">
        <v>0.1</v>
      </c>
      <c r="T556" s="164" t="s">
        <v>163</v>
      </c>
      <c r="U556" s="164" t="s">
        <v>163</v>
      </c>
      <c r="V556" s="167">
        <v>41869</v>
      </c>
      <c r="W556" s="167">
        <v>41878</v>
      </c>
      <c r="X556" s="164" t="s">
        <v>506</v>
      </c>
      <c r="Y556" s="164" t="s">
        <v>1494</v>
      </c>
      <c r="Z556" s="164" t="s">
        <v>163</v>
      </c>
      <c r="AA556" s="168" t="s">
        <v>184</v>
      </c>
      <c r="AB556" s="168" t="s">
        <v>194</v>
      </c>
      <c r="AC556" s="168" t="s">
        <v>162</v>
      </c>
      <c r="AD556" s="168" t="s">
        <v>182</v>
      </c>
      <c r="AE556" s="168" t="s">
        <v>163</v>
      </c>
      <c r="AF556" s="168" t="s">
        <v>163</v>
      </c>
      <c r="AG556" s="168" t="s">
        <v>163</v>
      </c>
      <c r="AH556" s="168" t="str">
        <f t="shared" si="49"/>
        <v>Refrigerator-Compact-Automatic-Yes-No-No-No</v>
      </c>
      <c r="AI556" s="168" t="s">
        <v>329</v>
      </c>
      <c r="AJ556" s="168">
        <v>9.17</v>
      </c>
      <c r="AK556" s="169">
        <v>259.3</v>
      </c>
      <c r="AL556" s="169">
        <f t="shared" si="50"/>
        <v>292.31200000000001</v>
      </c>
      <c r="AM556" s="168">
        <f t="shared" si="51"/>
        <v>292</v>
      </c>
      <c r="AN556" s="168">
        <f t="shared" si="52"/>
        <v>262</v>
      </c>
      <c r="AO556" s="164" t="str">
        <f t="shared" si="53"/>
        <v>Yes</v>
      </c>
      <c r="AP556" s="164">
        <f t="shared" si="54"/>
        <v>30</v>
      </c>
    </row>
    <row r="557" spans="2:42">
      <c r="B557" s="164">
        <v>2218025</v>
      </c>
      <c r="C557" s="164" t="s">
        <v>1488</v>
      </c>
      <c r="D557" s="164" t="s">
        <v>1495</v>
      </c>
      <c r="E557" s="164"/>
      <c r="F557" s="164" t="s">
        <v>194</v>
      </c>
      <c r="G557" s="164" t="s">
        <v>162</v>
      </c>
      <c r="H557" s="164" t="s">
        <v>182</v>
      </c>
      <c r="I557" s="164" t="s">
        <v>163</v>
      </c>
      <c r="J557" s="164" t="s">
        <v>163</v>
      </c>
      <c r="K557" s="164" t="s">
        <v>163</v>
      </c>
      <c r="L557" s="164" t="s">
        <v>163</v>
      </c>
      <c r="M557" s="164">
        <v>46</v>
      </c>
      <c r="N557" s="164">
        <v>18.600000000000001</v>
      </c>
      <c r="O557" s="165">
        <v>4.8</v>
      </c>
      <c r="P557" s="165">
        <v>5.8</v>
      </c>
      <c r="Q557" s="164">
        <v>346</v>
      </c>
      <c r="R557" s="164">
        <v>408</v>
      </c>
      <c r="S557" s="166">
        <v>0.15</v>
      </c>
      <c r="T557" s="164" t="s">
        <v>163</v>
      </c>
      <c r="U557" s="164" t="s">
        <v>163</v>
      </c>
      <c r="V557" s="167">
        <v>41887</v>
      </c>
      <c r="W557" s="167">
        <v>41878</v>
      </c>
      <c r="X557" s="164" t="s">
        <v>506</v>
      </c>
      <c r="Y557" s="164" t="s">
        <v>1496</v>
      </c>
      <c r="Z557" s="164" t="s">
        <v>163</v>
      </c>
      <c r="AA557" s="168" t="s">
        <v>184</v>
      </c>
      <c r="AB557" s="168" t="s">
        <v>194</v>
      </c>
      <c r="AC557" s="168" t="s">
        <v>162</v>
      </c>
      <c r="AD557" s="168" t="s">
        <v>182</v>
      </c>
      <c r="AE557" s="168" t="s">
        <v>163</v>
      </c>
      <c r="AF557" s="168" t="s">
        <v>163</v>
      </c>
      <c r="AG557" s="168" t="s">
        <v>163</v>
      </c>
      <c r="AH557" s="168" t="str">
        <f t="shared" si="49"/>
        <v>Refrigerator-Compact-Automatic-Yes-No-No-No</v>
      </c>
      <c r="AI557" s="168" t="s">
        <v>329</v>
      </c>
      <c r="AJ557" s="168">
        <v>9.17</v>
      </c>
      <c r="AK557" s="169">
        <v>259.3</v>
      </c>
      <c r="AL557" s="169">
        <f t="shared" si="50"/>
        <v>312.48599999999999</v>
      </c>
      <c r="AM557" s="168">
        <f t="shared" si="51"/>
        <v>408</v>
      </c>
      <c r="AN557" s="168">
        <f t="shared" si="52"/>
        <v>346</v>
      </c>
      <c r="AO557" s="164" t="str">
        <f t="shared" si="53"/>
        <v>Yes</v>
      </c>
      <c r="AP557" s="164">
        <f t="shared" si="54"/>
        <v>62</v>
      </c>
    </row>
    <row r="558" spans="2:42">
      <c r="B558" s="164">
        <v>2215433</v>
      </c>
      <c r="C558" s="164" t="s">
        <v>1488</v>
      </c>
      <c r="D558" s="164" t="s">
        <v>1497</v>
      </c>
      <c r="E558" s="164"/>
      <c r="F558" s="164" t="s">
        <v>194</v>
      </c>
      <c r="G558" s="164" t="s">
        <v>162</v>
      </c>
      <c r="H558" s="164" t="s">
        <v>182</v>
      </c>
      <c r="I558" s="164" t="s">
        <v>163</v>
      </c>
      <c r="J558" s="164" t="s">
        <v>163</v>
      </c>
      <c r="K558" s="164" t="s">
        <v>163</v>
      </c>
      <c r="L558" s="164" t="s">
        <v>163</v>
      </c>
      <c r="M558" s="164">
        <v>43.5</v>
      </c>
      <c r="N558" s="164">
        <v>19.100000000000001</v>
      </c>
      <c r="O558" s="165">
        <v>4.3</v>
      </c>
      <c r="P558" s="165">
        <v>5.0999999999999996</v>
      </c>
      <c r="Q558" s="164">
        <v>359</v>
      </c>
      <c r="R558" s="164">
        <v>399</v>
      </c>
      <c r="S558" s="166">
        <v>0.1</v>
      </c>
      <c r="T558" s="164" t="s">
        <v>163</v>
      </c>
      <c r="U558" s="164"/>
      <c r="V558" s="167">
        <v>41815</v>
      </c>
      <c r="W558" s="167">
        <v>41815</v>
      </c>
      <c r="X558" s="164" t="s">
        <v>387</v>
      </c>
      <c r="Y558" s="164" t="s">
        <v>1498</v>
      </c>
      <c r="Z558" s="164" t="s">
        <v>163</v>
      </c>
      <c r="AA558" s="168" t="s">
        <v>184</v>
      </c>
      <c r="AB558" s="168" t="s">
        <v>194</v>
      </c>
      <c r="AC558" s="168" t="s">
        <v>162</v>
      </c>
      <c r="AD558" s="168" t="s">
        <v>182</v>
      </c>
      <c r="AE558" s="168" t="s">
        <v>163</v>
      </c>
      <c r="AF558" s="168" t="s">
        <v>163</v>
      </c>
      <c r="AG558" s="168" t="s">
        <v>163</v>
      </c>
      <c r="AH558" s="168" t="str">
        <f t="shared" si="49"/>
        <v>Refrigerator-Compact-Automatic-Yes-No-No-No</v>
      </c>
      <c r="AI558" s="168" t="s">
        <v>329</v>
      </c>
      <c r="AJ558" s="168">
        <v>9.17</v>
      </c>
      <c r="AK558" s="169">
        <v>259.3</v>
      </c>
      <c r="AL558" s="169">
        <f t="shared" si="50"/>
        <v>306.06700000000001</v>
      </c>
      <c r="AM558" s="168">
        <f t="shared" si="51"/>
        <v>399</v>
      </c>
      <c r="AN558" s="168">
        <f t="shared" si="52"/>
        <v>359</v>
      </c>
      <c r="AO558" s="164" t="str">
        <f t="shared" si="53"/>
        <v>Yes</v>
      </c>
      <c r="AP558" s="164">
        <f t="shared" si="54"/>
        <v>40</v>
      </c>
    </row>
    <row r="559" spans="2:42">
      <c r="B559" s="164">
        <v>2205164</v>
      </c>
      <c r="C559" s="164" t="s">
        <v>1499</v>
      </c>
      <c r="D559" s="164" t="s">
        <v>1500</v>
      </c>
      <c r="E559" s="164"/>
      <c r="F559" s="164" t="s">
        <v>194</v>
      </c>
      <c r="G559" s="164" t="s">
        <v>188</v>
      </c>
      <c r="H559" s="164" t="s">
        <v>182</v>
      </c>
      <c r="I559" s="164" t="s">
        <v>163</v>
      </c>
      <c r="J559" s="164" t="s">
        <v>163</v>
      </c>
      <c r="K559" s="164" t="s">
        <v>163</v>
      </c>
      <c r="L559" s="164" t="s">
        <v>163</v>
      </c>
      <c r="M559" s="164">
        <v>27.2</v>
      </c>
      <c r="N559" s="164">
        <v>17.3</v>
      </c>
      <c r="O559" s="165">
        <v>2.5</v>
      </c>
      <c r="P559" s="165">
        <v>2.5</v>
      </c>
      <c r="Q559" s="164">
        <v>214</v>
      </c>
      <c r="R559" s="164">
        <v>275</v>
      </c>
      <c r="S559" s="166">
        <v>0.22</v>
      </c>
      <c r="T559" s="164" t="s">
        <v>163</v>
      </c>
      <c r="U559" s="164"/>
      <c r="V559" s="167">
        <v>41695</v>
      </c>
      <c r="W559" s="167">
        <v>41697</v>
      </c>
      <c r="X559" s="164" t="s">
        <v>387</v>
      </c>
      <c r="Y559" s="164" t="s">
        <v>1501</v>
      </c>
      <c r="Z559" s="164" t="s">
        <v>163</v>
      </c>
      <c r="AA559" s="168" t="s">
        <v>184</v>
      </c>
      <c r="AB559" s="168" t="s">
        <v>194</v>
      </c>
      <c r="AC559" s="168" t="s">
        <v>188</v>
      </c>
      <c r="AD559" s="168" t="s">
        <v>182</v>
      </c>
      <c r="AE559" s="168" t="s">
        <v>163</v>
      </c>
      <c r="AF559" s="168" t="s">
        <v>163</v>
      </c>
      <c r="AG559" s="168" t="s">
        <v>163</v>
      </c>
      <c r="AH559" s="168" t="str">
        <f t="shared" si="49"/>
        <v>Refrigerator-Compact-Manual-Yes-No-No-No</v>
      </c>
      <c r="AI559" s="168" t="s">
        <v>315</v>
      </c>
      <c r="AJ559" s="168">
        <v>7.84</v>
      </c>
      <c r="AK559" s="169">
        <v>219.1</v>
      </c>
      <c r="AL559" s="169">
        <f t="shared" si="50"/>
        <v>238.7</v>
      </c>
      <c r="AM559" s="168">
        <f t="shared" si="51"/>
        <v>275</v>
      </c>
      <c r="AN559" s="168">
        <f t="shared" si="52"/>
        <v>214</v>
      </c>
      <c r="AO559" s="164" t="str">
        <f t="shared" si="53"/>
        <v>Yes</v>
      </c>
      <c r="AP559" s="164">
        <f t="shared" si="54"/>
        <v>61</v>
      </c>
    </row>
    <row r="560" spans="2:42">
      <c r="B560" s="164">
        <v>2205166</v>
      </c>
      <c r="C560" s="164" t="s">
        <v>1499</v>
      </c>
      <c r="D560" s="164" t="s">
        <v>1502</v>
      </c>
      <c r="E560" s="164"/>
      <c r="F560" s="164" t="s">
        <v>194</v>
      </c>
      <c r="G560" s="164" t="s">
        <v>188</v>
      </c>
      <c r="H560" s="164" t="s">
        <v>182</v>
      </c>
      <c r="I560" s="164" t="s">
        <v>163</v>
      </c>
      <c r="J560" s="164" t="s">
        <v>163</v>
      </c>
      <c r="K560" s="164" t="s">
        <v>163</v>
      </c>
      <c r="L560" s="164" t="s">
        <v>163</v>
      </c>
      <c r="M560" s="164">
        <v>33</v>
      </c>
      <c r="N560" s="164">
        <v>19</v>
      </c>
      <c r="O560" s="165">
        <v>3.4</v>
      </c>
      <c r="P560" s="165">
        <v>3.4</v>
      </c>
      <c r="Q560" s="164">
        <v>221</v>
      </c>
      <c r="R560" s="164">
        <v>283</v>
      </c>
      <c r="S560" s="166">
        <v>0.22</v>
      </c>
      <c r="T560" s="164" t="s">
        <v>163</v>
      </c>
      <c r="U560" s="164"/>
      <c r="V560" s="167">
        <v>41695</v>
      </c>
      <c r="W560" s="167">
        <v>41697</v>
      </c>
      <c r="X560" s="164" t="s">
        <v>387</v>
      </c>
      <c r="Y560" s="164" t="s">
        <v>1503</v>
      </c>
      <c r="Z560" s="164" t="s">
        <v>163</v>
      </c>
      <c r="AA560" s="168" t="s">
        <v>184</v>
      </c>
      <c r="AB560" s="168" t="s">
        <v>194</v>
      </c>
      <c r="AC560" s="168" t="s">
        <v>188</v>
      </c>
      <c r="AD560" s="168" t="s">
        <v>182</v>
      </c>
      <c r="AE560" s="168" t="s">
        <v>163</v>
      </c>
      <c r="AF560" s="168" t="s">
        <v>163</v>
      </c>
      <c r="AG560" s="168" t="s">
        <v>163</v>
      </c>
      <c r="AH560" s="168" t="str">
        <f t="shared" si="49"/>
        <v>Refrigerator-Compact-Manual-Yes-No-No-No</v>
      </c>
      <c r="AI560" s="168" t="s">
        <v>315</v>
      </c>
      <c r="AJ560" s="168">
        <v>7.84</v>
      </c>
      <c r="AK560" s="169">
        <v>219.1</v>
      </c>
      <c r="AL560" s="169">
        <f t="shared" si="50"/>
        <v>245.756</v>
      </c>
      <c r="AM560" s="168">
        <f t="shared" si="51"/>
        <v>283</v>
      </c>
      <c r="AN560" s="168">
        <f t="shared" si="52"/>
        <v>221</v>
      </c>
      <c r="AO560" s="164" t="str">
        <f t="shared" si="53"/>
        <v>Yes</v>
      </c>
      <c r="AP560" s="164">
        <f t="shared" si="54"/>
        <v>62</v>
      </c>
    </row>
    <row r="561" spans="2:42">
      <c r="B561" s="164">
        <v>2205160</v>
      </c>
      <c r="C561" s="164" t="s">
        <v>1499</v>
      </c>
      <c r="D561" s="164" t="s">
        <v>1504</v>
      </c>
      <c r="E561" s="164"/>
      <c r="F561" s="164" t="s">
        <v>194</v>
      </c>
      <c r="G561" s="164" t="s">
        <v>188</v>
      </c>
      <c r="H561" s="164" t="s">
        <v>182</v>
      </c>
      <c r="I561" s="164" t="s">
        <v>163</v>
      </c>
      <c r="J561" s="164" t="s">
        <v>163</v>
      </c>
      <c r="K561" s="164" t="s">
        <v>163</v>
      </c>
      <c r="L561" s="164" t="s">
        <v>163</v>
      </c>
      <c r="M561" s="164">
        <v>32.299999999999997</v>
      </c>
      <c r="N561" s="164">
        <v>20.399999999999999</v>
      </c>
      <c r="O561" s="165">
        <v>4.2</v>
      </c>
      <c r="P561" s="165">
        <v>4.2</v>
      </c>
      <c r="Q561" s="164">
        <v>226</v>
      </c>
      <c r="R561" s="164">
        <v>290</v>
      </c>
      <c r="S561" s="166">
        <v>0.22</v>
      </c>
      <c r="T561" s="164" t="s">
        <v>163</v>
      </c>
      <c r="U561" s="164"/>
      <c r="V561" s="167">
        <v>41695</v>
      </c>
      <c r="W561" s="167">
        <v>41697</v>
      </c>
      <c r="X561" s="164" t="s">
        <v>387</v>
      </c>
      <c r="Y561" s="164" t="s">
        <v>1505</v>
      </c>
      <c r="Z561" s="164" t="s">
        <v>163</v>
      </c>
      <c r="AA561" s="168" t="s">
        <v>184</v>
      </c>
      <c r="AB561" s="168" t="s">
        <v>194</v>
      </c>
      <c r="AC561" s="168" t="s">
        <v>188</v>
      </c>
      <c r="AD561" s="168" t="s">
        <v>182</v>
      </c>
      <c r="AE561" s="168" t="s">
        <v>163</v>
      </c>
      <c r="AF561" s="168" t="s">
        <v>163</v>
      </c>
      <c r="AG561" s="168" t="s">
        <v>163</v>
      </c>
      <c r="AH561" s="168" t="str">
        <f t="shared" si="49"/>
        <v>Refrigerator-Compact-Manual-Yes-No-No-No</v>
      </c>
      <c r="AI561" s="168" t="s">
        <v>315</v>
      </c>
      <c r="AJ561" s="168">
        <v>7.84</v>
      </c>
      <c r="AK561" s="169">
        <v>219.1</v>
      </c>
      <c r="AL561" s="169">
        <f t="shared" si="50"/>
        <v>252.02799999999999</v>
      </c>
      <c r="AM561" s="168">
        <f t="shared" si="51"/>
        <v>290</v>
      </c>
      <c r="AN561" s="168">
        <f t="shared" si="52"/>
        <v>226</v>
      </c>
      <c r="AO561" s="164" t="str">
        <f t="shared" si="53"/>
        <v>Yes</v>
      </c>
      <c r="AP561" s="164">
        <f t="shared" si="54"/>
        <v>64</v>
      </c>
    </row>
    <row r="562" spans="2:42">
      <c r="B562" s="164">
        <v>2214573</v>
      </c>
      <c r="C562" s="164" t="s">
        <v>1506</v>
      </c>
      <c r="D562" s="164" t="s">
        <v>1507</v>
      </c>
      <c r="E562" s="164"/>
      <c r="F562" s="164" t="s">
        <v>194</v>
      </c>
      <c r="G562" s="164" t="s">
        <v>162</v>
      </c>
      <c r="H562" s="164" t="s">
        <v>182</v>
      </c>
      <c r="I562" s="164" t="s">
        <v>163</v>
      </c>
      <c r="J562" s="164" t="s">
        <v>163</v>
      </c>
      <c r="K562" s="164" t="s">
        <v>163</v>
      </c>
      <c r="L562" s="164" t="s">
        <v>163</v>
      </c>
      <c r="M562" s="164">
        <v>44</v>
      </c>
      <c r="N562" s="164">
        <v>20</v>
      </c>
      <c r="O562" s="165">
        <v>4.3</v>
      </c>
      <c r="P562" s="165">
        <v>5.2</v>
      </c>
      <c r="Q562" s="164">
        <v>329</v>
      </c>
      <c r="R562" s="164">
        <v>367</v>
      </c>
      <c r="S562" s="166">
        <v>0.1</v>
      </c>
      <c r="T562" s="164" t="s">
        <v>163</v>
      </c>
      <c r="U562" s="164"/>
      <c r="V562" s="167">
        <v>41840</v>
      </c>
      <c r="W562" s="167">
        <v>41789</v>
      </c>
      <c r="X562" s="164" t="s">
        <v>387</v>
      </c>
      <c r="Y562" s="164" t="s">
        <v>1508</v>
      </c>
      <c r="Z562" s="164" t="s">
        <v>163</v>
      </c>
      <c r="AA562" s="168" t="s">
        <v>184</v>
      </c>
      <c r="AB562" s="168" t="s">
        <v>194</v>
      </c>
      <c r="AC562" s="168" t="s">
        <v>162</v>
      </c>
      <c r="AD562" s="168" t="s">
        <v>182</v>
      </c>
      <c r="AE562" s="168" t="s">
        <v>163</v>
      </c>
      <c r="AF562" s="168" t="s">
        <v>163</v>
      </c>
      <c r="AG562" s="168" t="s">
        <v>163</v>
      </c>
      <c r="AH562" s="168" t="str">
        <f t="shared" si="49"/>
        <v>Refrigerator-Compact-Automatic-Yes-No-No-No</v>
      </c>
      <c r="AI562" s="168" t="s">
        <v>329</v>
      </c>
      <c r="AJ562" s="168">
        <v>9.17</v>
      </c>
      <c r="AK562" s="169">
        <v>259.3</v>
      </c>
      <c r="AL562" s="169">
        <f t="shared" si="50"/>
        <v>306.98400000000004</v>
      </c>
      <c r="AM562" s="168">
        <f t="shared" si="51"/>
        <v>367</v>
      </c>
      <c r="AN562" s="168">
        <f t="shared" si="52"/>
        <v>329</v>
      </c>
      <c r="AO562" s="164" t="str">
        <f t="shared" si="53"/>
        <v>Yes</v>
      </c>
      <c r="AP562" s="164">
        <f t="shared" si="54"/>
        <v>38</v>
      </c>
    </row>
    <row r="563" spans="2:42">
      <c r="B563" s="164">
        <v>2210012</v>
      </c>
      <c r="C563" s="164" t="s">
        <v>1509</v>
      </c>
      <c r="D563" s="164" t="s">
        <v>1510</v>
      </c>
      <c r="E563" s="164"/>
      <c r="F563" s="164" t="s">
        <v>194</v>
      </c>
      <c r="G563" s="164" t="s">
        <v>162</v>
      </c>
      <c r="H563" s="164" t="s">
        <v>182</v>
      </c>
      <c r="I563" s="164" t="s">
        <v>163</v>
      </c>
      <c r="J563" s="164" t="s">
        <v>163</v>
      </c>
      <c r="K563" s="164" t="s">
        <v>163</v>
      </c>
      <c r="L563" s="164" t="s">
        <v>163</v>
      </c>
      <c r="M563" s="164">
        <v>43.5</v>
      </c>
      <c r="N563" s="164">
        <v>19.100000000000001</v>
      </c>
      <c r="O563" s="165">
        <v>4.3</v>
      </c>
      <c r="P563" s="165">
        <v>5.0999999999999996</v>
      </c>
      <c r="Q563" s="164">
        <v>359</v>
      </c>
      <c r="R563" s="164">
        <v>399</v>
      </c>
      <c r="S563" s="166">
        <v>0.1</v>
      </c>
      <c r="T563" s="164" t="s">
        <v>163</v>
      </c>
      <c r="U563" s="164"/>
      <c r="V563" s="167">
        <v>41754</v>
      </c>
      <c r="W563" s="167">
        <v>41761</v>
      </c>
      <c r="X563" s="164" t="s">
        <v>387</v>
      </c>
      <c r="Y563" s="164" t="s">
        <v>1511</v>
      </c>
      <c r="Z563" s="164" t="s">
        <v>163</v>
      </c>
      <c r="AA563" s="168" t="s">
        <v>184</v>
      </c>
      <c r="AB563" s="168" t="s">
        <v>194</v>
      </c>
      <c r="AC563" s="168" t="s">
        <v>162</v>
      </c>
      <c r="AD563" s="168" t="s">
        <v>182</v>
      </c>
      <c r="AE563" s="168" t="s">
        <v>163</v>
      </c>
      <c r="AF563" s="168" t="s">
        <v>163</v>
      </c>
      <c r="AG563" s="168" t="s">
        <v>163</v>
      </c>
      <c r="AH563" s="168" t="str">
        <f t="shared" si="49"/>
        <v>Refrigerator-Compact-Automatic-Yes-No-No-No</v>
      </c>
      <c r="AI563" s="168" t="s">
        <v>329</v>
      </c>
      <c r="AJ563" s="168">
        <v>9.17</v>
      </c>
      <c r="AK563" s="169">
        <v>259.3</v>
      </c>
      <c r="AL563" s="169">
        <f t="shared" si="50"/>
        <v>306.06700000000001</v>
      </c>
      <c r="AM563" s="168">
        <f t="shared" si="51"/>
        <v>399</v>
      </c>
      <c r="AN563" s="168">
        <f t="shared" si="52"/>
        <v>359</v>
      </c>
      <c r="AO563" s="164" t="str">
        <f t="shared" si="53"/>
        <v>Yes</v>
      </c>
      <c r="AP563" s="164">
        <f t="shared" si="54"/>
        <v>40</v>
      </c>
    </row>
    <row r="564" spans="2:42">
      <c r="B564" s="164">
        <v>2206033</v>
      </c>
      <c r="C564" s="164" t="s">
        <v>177</v>
      </c>
      <c r="D564" s="164" t="s">
        <v>1512</v>
      </c>
      <c r="E564" s="164"/>
      <c r="F564" s="164" t="s">
        <v>194</v>
      </c>
      <c r="G564" s="164" t="s">
        <v>188</v>
      </c>
      <c r="H564" s="164" t="s">
        <v>182</v>
      </c>
      <c r="I564" s="164" t="s">
        <v>163</v>
      </c>
      <c r="J564" s="164" t="s">
        <v>163</v>
      </c>
      <c r="K564" s="164" t="s">
        <v>163</v>
      </c>
      <c r="L564" s="164" t="s">
        <v>163</v>
      </c>
      <c r="M564" s="164">
        <v>33.1</v>
      </c>
      <c r="N564" s="164">
        <v>19.899999999999999</v>
      </c>
      <c r="O564" s="165">
        <v>4.2</v>
      </c>
      <c r="P564" s="165">
        <v>4.2</v>
      </c>
      <c r="Q564" s="164">
        <v>228</v>
      </c>
      <c r="R564" s="164">
        <v>290</v>
      </c>
      <c r="S564" s="166">
        <v>0.21</v>
      </c>
      <c r="T564" s="164" t="s">
        <v>163</v>
      </c>
      <c r="U564" s="164"/>
      <c r="V564" s="167">
        <v>41711</v>
      </c>
      <c r="W564" s="167">
        <v>41705</v>
      </c>
      <c r="X564" s="164" t="s">
        <v>387</v>
      </c>
      <c r="Y564" s="164" t="s">
        <v>1513</v>
      </c>
      <c r="Z564" s="164" t="s">
        <v>163</v>
      </c>
      <c r="AA564" s="168" t="s">
        <v>184</v>
      </c>
      <c r="AB564" s="168" t="s">
        <v>194</v>
      </c>
      <c r="AC564" s="168" t="s">
        <v>188</v>
      </c>
      <c r="AD564" s="168" t="s">
        <v>182</v>
      </c>
      <c r="AE564" s="168" t="s">
        <v>163</v>
      </c>
      <c r="AF564" s="168" t="s">
        <v>163</v>
      </c>
      <c r="AG564" s="168" t="s">
        <v>163</v>
      </c>
      <c r="AH564" s="168" t="str">
        <f t="shared" si="49"/>
        <v>Refrigerator-Compact-Manual-Yes-No-No-No</v>
      </c>
      <c r="AI564" s="168" t="s">
        <v>315</v>
      </c>
      <c r="AJ564" s="168">
        <v>7.84</v>
      </c>
      <c r="AK564" s="169">
        <v>219.1</v>
      </c>
      <c r="AL564" s="169">
        <f t="shared" si="50"/>
        <v>252.02799999999999</v>
      </c>
      <c r="AM564" s="168">
        <f t="shared" si="51"/>
        <v>290</v>
      </c>
      <c r="AN564" s="168">
        <f t="shared" si="52"/>
        <v>228</v>
      </c>
      <c r="AO564" s="164" t="str">
        <f t="shared" si="53"/>
        <v>Yes</v>
      </c>
      <c r="AP564" s="164">
        <f t="shared" si="54"/>
        <v>62</v>
      </c>
    </row>
    <row r="565" spans="2:42">
      <c r="B565" s="164">
        <v>2206034</v>
      </c>
      <c r="C565" s="164" t="s">
        <v>177</v>
      </c>
      <c r="D565" s="164" t="s">
        <v>1514</v>
      </c>
      <c r="E565" s="164"/>
      <c r="F565" s="164" t="s">
        <v>194</v>
      </c>
      <c r="G565" s="164" t="s">
        <v>188</v>
      </c>
      <c r="H565" s="164" t="s">
        <v>182</v>
      </c>
      <c r="I565" s="164" t="s">
        <v>163</v>
      </c>
      <c r="J565" s="164" t="s">
        <v>163</v>
      </c>
      <c r="K565" s="164" t="s">
        <v>163</v>
      </c>
      <c r="L565" s="164" t="s">
        <v>163</v>
      </c>
      <c r="M565" s="164">
        <v>33.1</v>
      </c>
      <c r="N565" s="164">
        <v>19.899999999999999</v>
      </c>
      <c r="O565" s="165">
        <v>4.2</v>
      </c>
      <c r="P565" s="165">
        <v>4.2</v>
      </c>
      <c r="Q565" s="164">
        <v>228</v>
      </c>
      <c r="R565" s="164">
        <v>290</v>
      </c>
      <c r="S565" s="166">
        <v>0.21</v>
      </c>
      <c r="T565" s="164" t="s">
        <v>163</v>
      </c>
      <c r="U565" s="164"/>
      <c r="V565" s="167">
        <v>41711</v>
      </c>
      <c r="W565" s="167">
        <v>41705</v>
      </c>
      <c r="X565" s="164" t="s">
        <v>387</v>
      </c>
      <c r="Y565" s="164" t="s">
        <v>1515</v>
      </c>
      <c r="Z565" s="164" t="s">
        <v>163</v>
      </c>
      <c r="AA565" s="168" t="s">
        <v>184</v>
      </c>
      <c r="AB565" s="168" t="s">
        <v>194</v>
      </c>
      <c r="AC565" s="168" t="s">
        <v>188</v>
      </c>
      <c r="AD565" s="168" t="s">
        <v>182</v>
      </c>
      <c r="AE565" s="168" t="s">
        <v>163</v>
      </c>
      <c r="AF565" s="168" t="s">
        <v>163</v>
      </c>
      <c r="AG565" s="168" t="s">
        <v>163</v>
      </c>
      <c r="AH565" s="168" t="str">
        <f t="shared" si="49"/>
        <v>Refrigerator-Compact-Manual-Yes-No-No-No</v>
      </c>
      <c r="AI565" s="168" t="s">
        <v>315</v>
      </c>
      <c r="AJ565" s="168">
        <v>7.84</v>
      </c>
      <c r="AK565" s="169">
        <v>219.1</v>
      </c>
      <c r="AL565" s="169">
        <f t="shared" si="50"/>
        <v>252.02799999999999</v>
      </c>
      <c r="AM565" s="168">
        <f t="shared" si="51"/>
        <v>290</v>
      </c>
      <c r="AN565" s="168">
        <f t="shared" si="52"/>
        <v>228</v>
      </c>
      <c r="AO565" s="164" t="str">
        <f t="shared" si="53"/>
        <v>Yes</v>
      </c>
      <c r="AP565" s="164">
        <f t="shared" si="54"/>
        <v>62</v>
      </c>
    </row>
    <row r="566" spans="2:42">
      <c r="B566" s="164">
        <v>2208192</v>
      </c>
      <c r="C566" s="164" t="s">
        <v>177</v>
      </c>
      <c r="D566" s="164" t="s">
        <v>1516</v>
      </c>
      <c r="E566" s="164"/>
      <c r="F566" s="164" t="s">
        <v>191</v>
      </c>
      <c r="G566" s="164" t="s">
        <v>162</v>
      </c>
      <c r="H566" s="164" t="s">
        <v>163</v>
      </c>
      <c r="I566" s="164" t="s">
        <v>163</v>
      </c>
      <c r="J566" s="164" t="s">
        <v>163</v>
      </c>
      <c r="K566" s="164" t="s">
        <v>163</v>
      </c>
      <c r="L566" s="164" t="s">
        <v>163</v>
      </c>
      <c r="M566" s="164">
        <v>65.5</v>
      </c>
      <c r="N566" s="164">
        <v>29.6</v>
      </c>
      <c r="O566" s="165">
        <v>18.600000000000001</v>
      </c>
      <c r="P566" s="165">
        <v>23</v>
      </c>
      <c r="Q566" s="164">
        <v>469</v>
      </c>
      <c r="R566" s="164">
        <v>521</v>
      </c>
      <c r="S566" s="166">
        <v>0.1</v>
      </c>
      <c r="T566" s="164" t="s">
        <v>163</v>
      </c>
      <c r="U566" s="164"/>
      <c r="V566" s="167">
        <v>41729</v>
      </c>
      <c r="W566" s="167">
        <v>41726</v>
      </c>
      <c r="X566" s="164" t="s">
        <v>387</v>
      </c>
      <c r="Y566" s="164" t="s">
        <v>1517</v>
      </c>
      <c r="Z566" s="164" t="s">
        <v>163</v>
      </c>
      <c r="AA566" s="168" t="s">
        <v>184</v>
      </c>
      <c r="AB566" s="168" t="s">
        <v>191</v>
      </c>
      <c r="AC566" s="168" t="s">
        <v>162</v>
      </c>
      <c r="AD566" s="168" t="s">
        <v>163</v>
      </c>
      <c r="AE566" s="168" t="s">
        <v>163</v>
      </c>
      <c r="AF566" s="168" t="s">
        <v>163</v>
      </c>
      <c r="AG566" s="168" t="s">
        <v>163</v>
      </c>
      <c r="AH566" s="168" t="str">
        <f t="shared" si="49"/>
        <v>Refrigerator-Bottom Freezer-Automatic-No-No-No-No</v>
      </c>
      <c r="AI566" s="168">
        <v>5</v>
      </c>
      <c r="AJ566" s="168">
        <v>8.85</v>
      </c>
      <c r="AK566" s="169">
        <v>317</v>
      </c>
      <c r="AL566" s="169">
        <f t="shared" si="50"/>
        <v>520.54999999999995</v>
      </c>
      <c r="AM566" s="168">
        <f t="shared" si="51"/>
        <v>521</v>
      </c>
      <c r="AN566" s="168">
        <f t="shared" si="52"/>
        <v>469</v>
      </c>
      <c r="AO566" s="164" t="str">
        <f t="shared" si="53"/>
        <v>Yes</v>
      </c>
      <c r="AP566" s="164">
        <f t="shared" si="54"/>
        <v>52</v>
      </c>
    </row>
    <row r="567" spans="2:42">
      <c r="B567" s="164">
        <v>2208216</v>
      </c>
      <c r="C567" s="164" t="s">
        <v>177</v>
      </c>
      <c r="D567" s="164" t="s">
        <v>1518</v>
      </c>
      <c r="E567" s="164"/>
      <c r="F567" s="164" t="s">
        <v>191</v>
      </c>
      <c r="G567" s="164" t="s">
        <v>162</v>
      </c>
      <c r="H567" s="164" t="s">
        <v>163</v>
      </c>
      <c r="I567" s="164" t="s">
        <v>163</v>
      </c>
      <c r="J567" s="164" t="s">
        <v>163</v>
      </c>
      <c r="K567" s="164" t="s">
        <v>182</v>
      </c>
      <c r="L567" s="164" t="s">
        <v>163</v>
      </c>
      <c r="M567" s="164">
        <v>68.900000000000006</v>
      </c>
      <c r="N567" s="164">
        <v>32.6</v>
      </c>
      <c r="O567" s="165">
        <v>22.1</v>
      </c>
      <c r="P567" s="165">
        <v>27</v>
      </c>
      <c r="Q567" s="164">
        <v>576</v>
      </c>
      <c r="R567" s="164">
        <v>640</v>
      </c>
      <c r="S567" s="166">
        <v>0.1</v>
      </c>
      <c r="T567" s="164" t="s">
        <v>163</v>
      </c>
      <c r="U567" s="164"/>
      <c r="V567" s="167">
        <v>41729</v>
      </c>
      <c r="W567" s="167">
        <v>41726</v>
      </c>
      <c r="X567" s="164" t="s">
        <v>387</v>
      </c>
      <c r="Y567" s="164" t="s">
        <v>1519</v>
      </c>
      <c r="Z567" s="164" t="s">
        <v>163</v>
      </c>
      <c r="AA567" s="168" t="s">
        <v>184</v>
      </c>
      <c r="AB567" s="168" t="s">
        <v>191</v>
      </c>
      <c r="AC567" s="168" t="s">
        <v>162</v>
      </c>
      <c r="AD567" s="168" t="s">
        <v>163</v>
      </c>
      <c r="AE567" s="168" t="s">
        <v>163</v>
      </c>
      <c r="AF567" s="168" t="s">
        <v>163</v>
      </c>
      <c r="AG567" s="168" t="s">
        <v>182</v>
      </c>
      <c r="AH567" s="168" t="str">
        <f t="shared" si="49"/>
        <v>Refrigerator-Bottom Freezer-Automatic-No-No-No-Yes</v>
      </c>
      <c r="AI567" s="168" t="s">
        <v>261</v>
      </c>
      <c r="AJ567" s="168">
        <v>8.85</v>
      </c>
      <c r="AK567" s="169">
        <v>401</v>
      </c>
      <c r="AL567" s="169">
        <f t="shared" si="50"/>
        <v>639.95000000000005</v>
      </c>
      <c r="AM567" s="168">
        <f t="shared" si="51"/>
        <v>640</v>
      </c>
      <c r="AN567" s="168">
        <f t="shared" si="52"/>
        <v>576</v>
      </c>
      <c r="AO567" s="164" t="str">
        <f t="shared" si="53"/>
        <v>Yes</v>
      </c>
      <c r="AP567" s="164">
        <f t="shared" si="54"/>
        <v>64</v>
      </c>
    </row>
    <row r="568" spans="2:42">
      <c r="B568" s="164">
        <v>2208190</v>
      </c>
      <c r="C568" s="164" t="s">
        <v>177</v>
      </c>
      <c r="D568" s="164" t="s">
        <v>1520</v>
      </c>
      <c r="E568" s="164"/>
      <c r="F568" s="164" t="s">
        <v>191</v>
      </c>
      <c r="G568" s="164" t="s">
        <v>162</v>
      </c>
      <c r="H568" s="164" t="s">
        <v>163</v>
      </c>
      <c r="I568" s="164" t="s">
        <v>163</v>
      </c>
      <c r="J568" s="164" t="s">
        <v>163</v>
      </c>
      <c r="K568" s="164" t="s">
        <v>163</v>
      </c>
      <c r="L568" s="164" t="s">
        <v>163</v>
      </c>
      <c r="M568" s="164">
        <v>65.5</v>
      </c>
      <c r="N568" s="164">
        <v>29.6</v>
      </c>
      <c r="O568" s="165">
        <v>18.600000000000001</v>
      </c>
      <c r="P568" s="165">
        <v>23</v>
      </c>
      <c r="Q568" s="164">
        <v>469</v>
      </c>
      <c r="R568" s="164">
        <v>521</v>
      </c>
      <c r="S568" s="166">
        <v>0.1</v>
      </c>
      <c r="T568" s="164" t="s">
        <v>163</v>
      </c>
      <c r="U568" s="164"/>
      <c r="V568" s="167">
        <v>41736</v>
      </c>
      <c r="W568" s="167">
        <v>41726</v>
      </c>
      <c r="X568" s="164" t="s">
        <v>387</v>
      </c>
      <c r="Y568" s="164" t="s">
        <v>1521</v>
      </c>
      <c r="Z568" s="164" t="s">
        <v>163</v>
      </c>
      <c r="AA568" s="168" t="s">
        <v>184</v>
      </c>
      <c r="AB568" s="168" t="s">
        <v>191</v>
      </c>
      <c r="AC568" s="168" t="s">
        <v>162</v>
      </c>
      <c r="AD568" s="168" t="s">
        <v>163</v>
      </c>
      <c r="AE568" s="168" t="s">
        <v>163</v>
      </c>
      <c r="AF568" s="168" t="s">
        <v>163</v>
      </c>
      <c r="AG568" s="168" t="s">
        <v>163</v>
      </c>
      <c r="AH568" s="168" t="str">
        <f t="shared" si="49"/>
        <v>Refrigerator-Bottom Freezer-Automatic-No-No-No-No</v>
      </c>
      <c r="AI568" s="168">
        <v>5</v>
      </c>
      <c r="AJ568" s="168">
        <v>8.85</v>
      </c>
      <c r="AK568" s="169">
        <v>317</v>
      </c>
      <c r="AL568" s="169">
        <f t="shared" si="50"/>
        <v>520.54999999999995</v>
      </c>
      <c r="AM568" s="168">
        <f t="shared" si="51"/>
        <v>521</v>
      </c>
      <c r="AN568" s="168">
        <f t="shared" si="52"/>
        <v>469</v>
      </c>
      <c r="AO568" s="164" t="str">
        <f t="shared" si="53"/>
        <v>Yes</v>
      </c>
      <c r="AP568" s="164">
        <f t="shared" si="54"/>
        <v>52</v>
      </c>
    </row>
    <row r="569" spans="2:42">
      <c r="B569" s="164">
        <v>2208191</v>
      </c>
      <c r="C569" s="164" t="s">
        <v>177</v>
      </c>
      <c r="D569" s="164" t="s">
        <v>1522</v>
      </c>
      <c r="E569" s="164"/>
      <c r="F569" s="164" t="s">
        <v>191</v>
      </c>
      <c r="G569" s="164" t="s">
        <v>162</v>
      </c>
      <c r="H569" s="164" t="s">
        <v>163</v>
      </c>
      <c r="I569" s="164" t="s">
        <v>163</v>
      </c>
      <c r="J569" s="164" t="s">
        <v>163</v>
      </c>
      <c r="K569" s="164" t="s">
        <v>163</v>
      </c>
      <c r="L569" s="164" t="s">
        <v>163</v>
      </c>
      <c r="M569" s="164">
        <v>65.5</v>
      </c>
      <c r="N569" s="164">
        <v>29.6</v>
      </c>
      <c r="O569" s="165">
        <v>18.600000000000001</v>
      </c>
      <c r="P569" s="165">
        <v>23</v>
      </c>
      <c r="Q569" s="164">
        <v>469</v>
      </c>
      <c r="R569" s="164">
        <v>521</v>
      </c>
      <c r="S569" s="166">
        <v>0.1</v>
      </c>
      <c r="T569" s="164" t="s">
        <v>163</v>
      </c>
      <c r="U569" s="164"/>
      <c r="V569" s="167">
        <v>41736</v>
      </c>
      <c r="W569" s="167">
        <v>41726</v>
      </c>
      <c r="X569" s="164" t="s">
        <v>387</v>
      </c>
      <c r="Y569" s="164" t="s">
        <v>1523</v>
      </c>
      <c r="Z569" s="164" t="s">
        <v>163</v>
      </c>
      <c r="AA569" s="168" t="s">
        <v>184</v>
      </c>
      <c r="AB569" s="168" t="s">
        <v>191</v>
      </c>
      <c r="AC569" s="168" t="s">
        <v>162</v>
      </c>
      <c r="AD569" s="168" t="s">
        <v>163</v>
      </c>
      <c r="AE569" s="168" t="s">
        <v>163</v>
      </c>
      <c r="AF569" s="168" t="s">
        <v>163</v>
      </c>
      <c r="AG569" s="168" t="s">
        <v>163</v>
      </c>
      <c r="AH569" s="168" t="str">
        <f t="shared" si="49"/>
        <v>Refrigerator-Bottom Freezer-Automatic-No-No-No-No</v>
      </c>
      <c r="AI569" s="168">
        <v>5</v>
      </c>
      <c r="AJ569" s="168">
        <v>8.85</v>
      </c>
      <c r="AK569" s="169">
        <v>317</v>
      </c>
      <c r="AL569" s="169">
        <f t="shared" si="50"/>
        <v>520.54999999999995</v>
      </c>
      <c r="AM569" s="168">
        <f t="shared" si="51"/>
        <v>521</v>
      </c>
      <c r="AN569" s="168">
        <f t="shared" si="52"/>
        <v>469</v>
      </c>
      <c r="AO569" s="164" t="str">
        <f t="shared" si="53"/>
        <v>Yes</v>
      </c>
      <c r="AP569" s="164">
        <f t="shared" si="54"/>
        <v>52</v>
      </c>
    </row>
    <row r="570" spans="2:42">
      <c r="B570" s="164">
        <v>2217320</v>
      </c>
      <c r="C570" s="164" t="s">
        <v>177</v>
      </c>
      <c r="D570" s="164" t="s">
        <v>1524</v>
      </c>
      <c r="E570" s="164"/>
      <c r="F570" s="164" t="s">
        <v>191</v>
      </c>
      <c r="G570" s="164" t="s">
        <v>162</v>
      </c>
      <c r="H570" s="164" t="s">
        <v>163</v>
      </c>
      <c r="I570" s="164" t="s">
        <v>163</v>
      </c>
      <c r="J570" s="164" t="s">
        <v>163</v>
      </c>
      <c r="K570" s="164" t="s">
        <v>163</v>
      </c>
      <c r="L570" s="164" t="s">
        <v>163</v>
      </c>
      <c r="M570" s="164">
        <v>74</v>
      </c>
      <c r="N570" s="164">
        <v>24</v>
      </c>
      <c r="O570" s="165">
        <v>11.3</v>
      </c>
      <c r="P570" s="165">
        <v>14.1</v>
      </c>
      <c r="Q570" s="164">
        <v>353</v>
      </c>
      <c r="R570" s="164">
        <v>442</v>
      </c>
      <c r="S570" s="166">
        <v>0.2</v>
      </c>
      <c r="T570" s="164" t="s">
        <v>163</v>
      </c>
      <c r="U570" s="164"/>
      <c r="V570" s="167">
        <v>41852</v>
      </c>
      <c r="W570" s="167">
        <v>41863</v>
      </c>
      <c r="X570" s="164" t="s">
        <v>387</v>
      </c>
      <c r="Y570" s="164" t="s">
        <v>1525</v>
      </c>
      <c r="Z570" s="164" t="s">
        <v>182</v>
      </c>
      <c r="AA570" s="168" t="s">
        <v>184</v>
      </c>
      <c r="AB570" s="168" t="s">
        <v>191</v>
      </c>
      <c r="AC570" s="168" t="s">
        <v>162</v>
      </c>
      <c r="AD570" s="168" t="s">
        <v>163</v>
      </c>
      <c r="AE570" s="168" t="s">
        <v>163</v>
      </c>
      <c r="AF570" s="168" t="s">
        <v>163</v>
      </c>
      <c r="AG570" s="168" t="s">
        <v>163</v>
      </c>
      <c r="AH570" s="168" t="str">
        <f t="shared" si="49"/>
        <v>Refrigerator-Bottom Freezer-Automatic-No-No-No-No</v>
      </c>
      <c r="AI570" s="168">
        <v>5</v>
      </c>
      <c r="AJ570" s="168">
        <v>8.85</v>
      </c>
      <c r="AK570" s="169">
        <v>317</v>
      </c>
      <c r="AL570" s="169">
        <f t="shared" si="50"/>
        <v>441.78499999999997</v>
      </c>
      <c r="AM570" s="168">
        <f t="shared" si="51"/>
        <v>442</v>
      </c>
      <c r="AN570" s="168">
        <f t="shared" si="52"/>
        <v>353</v>
      </c>
      <c r="AO570" s="164" t="str">
        <f t="shared" si="53"/>
        <v>Yes</v>
      </c>
      <c r="AP570" s="164">
        <f t="shared" si="54"/>
        <v>89</v>
      </c>
    </row>
    <row r="571" spans="2:42">
      <c r="B571" s="164">
        <v>2208211</v>
      </c>
      <c r="C571" s="164" t="s">
        <v>177</v>
      </c>
      <c r="D571" s="164" t="s">
        <v>1526</v>
      </c>
      <c r="E571" s="164"/>
      <c r="F571" s="164" t="s">
        <v>191</v>
      </c>
      <c r="G571" s="164" t="s">
        <v>162</v>
      </c>
      <c r="H571" s="164" t="s">
        <v>163</v>
      </c>
      <c r="I571" s="164" t="s">
        <v>163</v>
      </c>
      <c r="J571" s="164" t="s">
        <v>163</v>
      </c>
      <c r="K571" s="164" t="s">
        <v>182</v>
      </c>
      <c r="L571" s="164" t="s">
        <v>163</v>
      </c>
      <c r="M571" s="164">
        <v>68.900000000000006</v>
      </c>
      <c r="N571" s="164">
        <v>32.6</v>
      </c>
      <c r="O571" s="165">
        <v>22.2</v>
      </c>
      <c r="P571" s="165">
        <v>27</v>
      </c>
      <c r="Q571" s="164">
        <v>577</v>
      </c>
      <c r="R571" s="164">
        <v>640</v>
      </c>
      <c r="S571" s="166">
        <v>0.1</v>
      </c>
      <c r="T571" s="164" t="s">
        <v>163</v>
      </c>
      <c r="U571" s="164"/>
      <c r="V571" s="167">
        <v>41575</v>
      </c>
      <c r="W571" s="167">
        <v>41726</v>
      </c>
      <c r="X571" s="164" t="s">
        <v>387</v>
      </c>
      <c r="Y571" s="164" t="s">
        <v>1527</v>
      </c>
      <c r="Z571" s="164" t="s">
        <v>163</v>
      </c>
      <c r="AA571" s="168" t="s">
        <v>184</v>
      </c>
      <c r="AB571" s="168" t="s">
        <v>191</v>
      </c>
      <c r="AC571" s="168" t="s">
        <v>162</v>
      </c>
      <c r="AD571" s="168" t="s">
        <v>163</v>
      </c>
      <c r="AE571" s="168" t="s">
        <v>163</v>
      </c>
      <c r="AF571" s="168" t="s">
        <v>163</v>
      </c>
      <c r="AG571" s="168" t="s">
        <v>182</v>
      </c>
      <c r="AH571" s="168" t="str">
        <f t="shared" si="49"/>
        <v>Refrigerator-Bottom Freezer-Automatic-No-No-No-Yes</v>
      </c>
      <c r="AI571" s="168" t="s">
        <v>261</v>
      </c>
      <c r="AJ571" s="168">
        <v>8.85</v>
      </c>
      <c r="AK571" s="169">
        <v>401</v>
      </c>
      <c r="AL571" s="169">
        <f t="shared" si="50"/>
        <v>639.95000000000005</v>
      </c>
      <c r="AM571" s="168">
        <f t="shared" si="51"/>
        <v>640</v>
      </c>
      <c r="AN571" s="168">
        <f t="shared" si="52"/>
        <v>577</v>
      </c>
      <c r="AO571" s="164" t="str">
        <f t="shared" si="53"/>
        <v>Yes</v>
      </c>
      <c r="AP571" s="164">
        <f t="shared" si="54"/>
        <v>63</v>
      </c>
    </row>
    <row r="572" spans="2:42">
      <c r="B572" s="164">
        <v>2208212</v>
      </c>
      <c r="C572" s="164" t="s">
        <v>177</v>
      </c>
      <c r="D572" s="164" t="s">
        <v>1528</v>
      </c>
      <c r="E572" s="164"/>
      <c r="F572" s="164" t="s">
        <v>191</v>
      </c>
      <c r="G572" s="164" t="s">
        <v>162</v>
      </c>
      <c r="H572" s="164" t="s">
        <v>163</v>
      </c>
      <c r="I572" s="164" t="s">
        <v>163</v>
      </c>
      <c r="J572" s="164" t="s">
        <v>163</v>
      </c>
      <c r="K572" s="164" t="s">
        <v>182</v>
      </c>
      <c r="L572" s="164" t="s">
        <v>163</v>
      </c>
      <c r="M572" s="164">
        <v>68.900000000000006</v>
      </c>
      <c r="N572" s="164">
        <v>32.6</v>
      </c>
      <c r="O572" s="165">
        <v>22.2</v>
      </c>
      <c r="P572" s="165">
        <v>27</v>
      </c>
      <c r="Q572" s="164">
        <v>577</v>
      </c>
      <c r="R572" s="164">
        <v>640</v>
      </c>
      <c r="S572" s="166">
        <v>0.1</v>
      </c>
      <c r="T572" s="164" t="s">
        <v>163</v>
      </c>
      <c r="U572" s="164"/>
      <c r="V572" s="167">
        <v>41575</v>
      </c>
      <c r="W572" s="167">
        <v>41726</v>
      </c>
      <c r="X572" s="164" t="s">
        <v>387</v>
      </c>
      <c r="Y572" s="164" t="s">
        <v>1529</v>
      </c>
      <c r="Z572" s="164" t="s">
        <v>163</v>
      </c>
      <c r="AA572" s="168" t="s">
        <v>184</v>
      </c>
      <c r="AB572" s="168" t="s">
        <v>191</v>
      </c>
      <c r="AC572" s="168" t="s">
        <v>162</v>
      </c>
      <c r="AD572" s="168" t="s">
        <v>163</v>
      </c>
      <c r="AE572" s="168" t="s">
        <v>163</v>
      </c>
      <c r="AF572" s="168" t="s">
        <v>163</v>
      </c>
      <c r="AG572" s="168" t="s">
        <v>182</v>
      </c>
      <c r="AH572" s="168" t="str">
        <f t="shared" si="49"/>
        <v>Refrigerator-Bottom Freezer-Automatic-No-No-No-Yes</v>
      </c>
      <c r="AI572" s="168" t="s">
        <v>261</v>
      </c>
      <c r="AJ572" s="168">
        <v>8.85</v>
      </c>
      <c r="AK572" s="169">
        <v>401</v>
      </c>
      <c r="AL572" s="169">
        <f t="shared" si="50"/>
        <v>639.95000000000005</v>
      </c>
      <c r="AM572" s="168">
        <f t="shared" si="51"/>
        <v>640</v>
      </c>
      <c r="AN572" s="168">
        <f t="shared" si="52"/>
        <v>577</v>
      </c>
      <c r="AO572" s="164" t="str">
        <f t="shared" si="53"/>
        <v>Yes</v>
      </c>
      <c r="AP572" s="164">
        <f t="shared" si="54"/>
        <v>63</v>
      </c>
    </row>
    <row r="573" spans="2:42">
      <c r="B573" s="164">
        <v>2208214</v>
      </c>
      <c r="C573" s="164" t="s">
        <v>177</v>
      </c>
      <c r="D573" s="164" t="s">
        <v>1530</v>
      </c>
      <c r="E573" s="164"/>
      <c r="F573" s="164" t="s">
        <v>191</v>
      </c>
      <c r="G573" s="164" t="s">
        <v>162</v>
      </c>
      <c r="H573" s="164" t="s">
        <v>163</v>
      </c>
      <c r="I573" s="164" t="s">
        <v>163</v>
      </c>
      <c r="J573" s="164" t="s">
        <v>163</v>
      </c>
      <c r="K573" s="164" t="s">
        <v>182</v>
      </c>
      <c r="L573" s="164" t="s">
        <v>163</v>
      </c>
      <c r="M573" s="164">
        <v>68.900000000000006</v>
      </c>
      <c r="N573" s="164">
        <v>35.6</v>
      </c>
      <c r="O573" s="165">
        <v>25.2</v>
      </c>
      <c r="P573" s="165">
        <v>30.8</v>
      </c>
      <c r="Q573" s="164">
        <v>607</v>
      </c>
      <c r="R573" s="164">
        <v>674</v>
      </c>
      <c r="S573" s="166">
        <v>0.1</v>
      </c>
      <c r="T573" s="164" t="s">
        <v>163</v>
      </c>
      <c r="U573" s="164"/>
      <c r="V573" s="167">
        <v>41473</v>
      </c>
      <c r="W573" s="167">
        <v>41726</v>
      </c>
      <c r="X573" s="164" t="s">
        <v>387</v>
      </c>
      <c r="Y573" s="164" t="s">
        <v>1531</v>
      </c>
      <c r="Z573" s="164" t="s">
        <v>163</v>
      </c>
      <c r="AA573" s="168" t="s">
        <v>184</v>
      </c>
      <c r="AB573" s="168" t="s">
        <v>191</v>
      </c>
      <c r="AC573" s="168" t="s">
        <v>162</v>
      </c>
      <c r="AD573" s="168" t="s">
        <v>163</v>
      </c>
      <c r="AE573" s="168" t="s">
        <v>163</v>
      </c>
      <c r="AF573" s="168" t="s">
        <v>163</v>
      </c>
      <c r="AG573" s="168" t="s">
        <v>182</v>
      </c>
      <c r="AH573" s="168" t="str">
        <f t="shared" si="49"/>
        <v>Refrigerator-Bottom Freezer-Automatic-No-No-No-Yes</v>
      </c>
      <c r="AI573" s="168" t="s">
        <v>261</v>
      </c>
      <c r="AJ573" s="168">
        <v>8.85</v>
      </c>
      <c r="AK573" s="169">
        <v>401</v>
      </c>
      <c r="AL573" s="169">
        <f t="shared" si="50"/>
        <v>673.57999999999993</v>
      </c>
      <c r="AM573" s="168">
        <f t="shared" si="51"/>
        <v>674</v>
      </c>
      <c r="AN573" s="168">
        <f t="shared" si="52"/>
        <v>607</v>
      </c>
      <c r="AO573" s="164" t="str">
        <f t="shared" si="53"/>
        <v>Yes</v>
      </c>
      <c r="AP573" s="164">
        <f t="shared" si="54"/>
        <v>67</v>
      </c>
    </row>
    <row r="574" spans="2:42">
      <c r="B574" s="164">
        <v>2208201</v>
      </c>
      <c r="C574" s="164" t="s">
        <v>177</v>
      </c>
      <c r="D574" s="164" t="s">
        <v>1532</v>
      </c>
      <c r="E574" s="164"/>
      <c r="F574" s="164" t="s">
        <v>191</v>
      </c>
      <c r="G574" s="164" t="s">
        <v>162</v>
      </c>
      <c r="H574" s="164" t="s">
        <v>163</v>
      </c>
      <c r="I574" s="164" t="s">
        <v>163</v>
      </c>
      <c r="J574" s="164" t="s">
        <v>163</v>
      </c>
      <c r="K574" s="164" t="s">
        <v>182</v>
      </c>
      <c r="L574" s="164" t="s">
        <v>163</v>
      </c>
      <c r="M574" s="164">
        <v>68.900000000000006</v>
      </c>
      <c r="N574" s="164">
        <v>35.6</v>
      </c>
      <c r="O574" s="165">
        <v>25.2</v>
      </c>
      <c r="P574" s="165">
        <v>30.8</v>
      </c>
      <c r="Q574" s="164">
        <v>607</v>
      </c>
      <c r="R574" s="164">
        <v>674</v>
      </c>
      <c r="S574" s="166">
        <v>0.1</v>
      </c>
      <c r="T574" s="164" t="s">
        <v>163</v>
      </c>
      <c r="U574" s="164"/>
      <c r="V574" s="167">
        <v>41729</v>
      </c>
      <c r="W574" s="167">
        <v>41726</v>
      </c>
      <c r="X574" s="164" t="s">
        <v>387</v>
      </c>
      <c r="Y574" s="164" t="s">
        <v>1533</v>
      </c>
      <c r="Z574" s="164" t="s">
        <v>163</v>
      </c>
      <c r="AA574" s="168" t="s">
        <v>184</v>
      </c>
      <c r="AB574" s="168" t="s">
        <v>191</v>
      </c>
      <c r="AC574" s="168" t="s">
        <v>162</v>
      </c>
      <c r="AD574" s="168" t="s">
        <v>163</v>
      </c>
      <c r="AE574" s="168" t="s">
        <v>163</v>
      </c>
      <c r="AF574" s="168" t="s">
        <v>163</v>
      </c>
      <c r="AG574" s="168" t="s">
        <v>182</v>
      </c>
      <c r="AH574" s="168" t="str">
        <f t="shared" si="49"/>
        <v>Refrigerator-Bottom Freezer-Automatic-No-No-No-Yes</v>
      </c>
      <c r="AI574" s="168" t="s">
        <v>261</v>
      </c>
      <c r="AJ574" s="168">
        <v>8.85</v>
      </c>
      <c r="AK574" s="169">
        <v>401</v>
      </c>
      <c r="AL574" s="169">
        <f t="shared" si="50"/>
        <v>673.57999999999993</v>
      </c>
      <c r="AM574" s="168">
        <f t="shared" si="51"/>
        <v>674</v>
      </c>
      <c r="AN574" s="168">
        <f t="shared" si="52"/>
        <v>607</v>
      </c>
      <c r="AO574" s="164" t="str">
        <f t="shared" si="53"/>
        <v>Yes</v>
      </c>
      <c r="AP574" s="164">
        <f t="shared" si="54"/>
        <v>67</v>
      </c>
    </row>
    <row r="575" spans="2:42">
      <c r="B575" s="164">
        <v>2208206</v>
      </c>
      <c r="C575" s="164" t="s">
        <v>177</v>
      </c>
      <c r="D575" s="164" t="s">
        <v>1534</v>
      </c>
      <c r="E575" s="164"/>
      <c r="F575" s="164" t="s">
        <v>191</v>
      </c>
      <c r="G575" s="164" t="s">
        <v>162</v>
      </c>
      <c r="H575" s="164" t="s">
        <v>163</v>
      </c>
      <c r="I575" s="164" t="s">
        <v>163</v>
      </c>
      <c r="J575" s="164" t="s">
        <v>163</v>
      </c>
      <c r="K575" s="164" t="s">
        <v>182</v>
      </c>
      <c r="L575" s="164" t="s">
        <v>182</v>
      </c>
      <c r="M575" s="164">
        <v>68.5</v>
      </c>
      <c r="N575" s="164">
        <v>35.6</v>
      </c>
      <c r="O575" s="165">
        <v>20</v>
      </c>
      <c r="P575" s="165">
        <v>24.3</v>
      </c>
      <c r="Q575" s="164">
        <v>555</v>
      </c>
      <c r="R575" s="164">
        <v>616</v>
      </c>
      <c r="S575" s="166">
        <v>0.1</v>
      </c>
      <c r="T575" s="164" t="s">
        <v>163</v>
      </c>
      <c r="U575" s="164"/>
      <c r="V575" s="167">
        <v>41736</v>
      </c>
      <c r="W575" s="167">
        <v>41726</v>
      </c>
      <c r="X575" s="164" t="s">
        <v>387</v>
      </c>
      <c r="Y575" s="164" t="s">
        <v>1535</v>
      </c>
      <c r="Z575" s="164" t="s">
        <v>163</v>
      </c>
      <c r="AA575" s="168" t="s">
        <v>184</v>
      </c>
      <c r="AB575" s="168" t="s">
        <v>191</v>
      </c>
      <c r="AC575" s="168" t="s">
        <v>162</v>
      </c>
      <c r="AD575" s="168" t="s">
        <v>163</v>
      </c>
      <c r="AE575" s="168" t="s">
        <v>163</v>
      </c>
      <c r="AF575" s="168" t="s">
        <v>163</v>
      </c>
      <c r="AG575" s="168" t="s">
        <v>182</v>
      </c>
      <c r="AH575" s="168" t="str">
        <f t="shared" si="49"/>
        <v>Refrigerator-Bottom Freezer-Automatic-No-No-No-Yes</v>
      </c>
      <c r="AI575" s="168" t="s">
        <v>261</v>
      </c>
      <c r="AJ575" s="168">
        <v>8.85</v>
      </c>
      <c r="AK575" s="169">
        <v>401</v>
      </c>
      <c r="AL575" s="169">
        <f t="shared" si="50"/>
        <v>616.05500000000006</v>
      </c>
      <c r="AM575" s="168">
        <f t="shared" si="51"/>
        <v>616</v>
      </c>
      <c r="AN575" s="168">
        <f t="shared" si="52"/>
        <v>555</v>
      </c>
      <c r="AO575" s="164" t="str">
        <f t="shared" si="53"/>
        <v>Yes</v>
      </c>
      <c r="AP575" s="164">
        <f t="shared" si="54"/>
        <v>61</v>
      </c>
    </row>
    <row r="576" spans="2:42">
      <c r="B576" s="164">
        <v>2217245</v>
      </c>
      <c r="C576" s="164" t="s">
        <v>177</v>
      </c>
      <c r="D576" s="164" t="s">
        <v>1536</v>
      </c>
      <c r="E576" s="164"/>
      <c r="F576" s="164" t="s">
        <v>191</v>
      </c>
      <c r="G576" s="164" t="s">
        <v>162</v>
      </c>
      <c r="H576" s="164" t="s">
        <v>163</v>
      </c>
      <c r="I576" s="164" t="s">
        <v>163</v>
      </c>
      <c r="J576" s="164" t="s">
        <v>182</v>
      </c>
      <c r="K576" s="164" t="s">
        <v>182</v>
      </c>
      <c r="L576" s="164" t="s">
        <v>163</v>
      </c>
      <c r="M576" s="164">
        <v>70.099999999999994</v>
      </c>
      <c r="N576" s="164">
        <v>35.700000000000003</v>
      </c>
      <c r="O576" s="165">
        <v>24.7</v>
      </c>
      <c r="P576" s="165">
        <v>29.8</v>
      </c>
      <c r="Q576" s="164">
        <v>677</v>
      </c>
      <c r="R576" s="164">
        <v>751</v>
      </c>
      <c r="S576" s="166">
        <v>0.1</v>
      </c>
      <c r="T576" s="164" t="s">
        <v>163</v>
      </c>
      <c r="U576" s="164"/>
      <c r="V576" s="167">
        <v>41039</v>
      </c>
      <c r="W576" s="167">
        <v>41863</v>
      </c>
      <c r="X576" s="164" t="s">
        <v>387</v>
      </c>
      <c r="Y576" s="164" t="s">
        <v>1537</v>
      </c>
      <c r="Z576" s="164" t="s">
        <v>163</v>
      </c>
      <c r="AA576" s="168" t="s">
        <v>184</v>
      </c>
      <c r="AB576" s="168" t="s">
        <v>191</v>
      </c>
      <c r="AC576" s="168" t="s">
        <v>162</v>
      </c>
      <c r="AD576" s="168" t="s">
        <v>163</v>
      </c>
      <c r="AE576" s="168" t="s">
        <v>163</v>
      </c>
      <c r="AF576" s="168" t="s">
        <v>182</v>
      </c>
      <c r="AG576" s="168" t="s">
        <v>182</v>
      </c>
      <c r="AH576" s="168" t="str">
        <f t="shared" si="49"/>
        <v>Refrigerator-Bottom Freezer-Automatic-No-No-Yes-Yes</v>
      </c>
      <c r="AI576" s="168" t="s">
        <v>269</v>
      </c>
      <c r="AJ576" s="168">
        <v>9.25</v>
      </c>
      <c r="AK576" s="169">
        <v>475.4</v>
      </c>
      <c r="AL576" s="169">
        <f t="shared" si="50"/>
        <v>751.05</v>
      </c>
      <c r="AM576" s="168">
        <f t="shared" si="51"/>
        <v>751</v>
      </c>
      <c r="AN576" s="168">
        <f t="shared" si="52"/>
        <v>677</v>
      </c>
      <c r="AO576" s="164" t="str">
        <f t="shared" si="53"/>
        <v>Yes</v>
      </c>
      <c r="AP576" s="164">
        <f t="shared" si="54"/>
        <v>74</v>
      </c>
    </row>
    <row r="577" spans="2:42">
      <c r="B577" s="164">
        <v>2218985</v>
      </c>
      <c r="C577" s="164" t="s">
        <v>177</v>
      </c>
      <c r="D577" s="164" t="s">
        <v>1538</v>
      </c>
      <c r="E577" s="164"/>
      <c r="F577" s="164" t="s">
        <v>192</v>
      </c>
      <c r="G577" s="164" t="s">
        <v>162</v>
      </c>
      <c r="H577" s="164" t="s">
        <v>163</v>
      </c>
      <c r="I577" s="164" t="s">
        <v>163</v>
      </c>
      <c r="J577" s="164" t="s">
        <v>182</v>
      </c>
      <c r="K577" s="164" t="s">
        <v>182</v>
      </c>
      <c r="L577" s="164" t="s">
        <v>163</v>
      </c>
      <c r="M577" s="164">
        <v>69</v>
      </c>
      <c r="N577" s="164">
        <v>35.5</v>
      </c>
      <c r="O577" s="165">
        <v>25.6</v>
      </c>
      <c r="P577" s="165">
        <v>32.4</v>
      </c>
      <c r="Q577" s="164">
        <v>639</v>
      </c>
      <c r="R577" s="164">
        <v>709</v>
      </c>
      <c r="S577" s="166">
        <v>0.1</v>
      </c>
      <c r="T577" s="164" t="s">
        <v>163</v>
      </c>
      <c r="U577" s="164"/>
      <c r="V577" s="167">
        <v>41897</v>
      </c>
      <c r="W577" s="167">
        <v>41891</v>
      </c>
      <c r="X577" s="164" t="s">
        <v>387</v>
      </c>
      <c r="Y577" s="164" t="s">
        <v>1539</v>
      </c>
      <c r="Z577" s="164" t="s">
        <v>163</v>
      </c>
      <c r="AA577" s="168" t="s">
        <v>184</v>
      </c>
      <c r="AB577" s="168" t="s">
        <v>192</v>
      </c>
      <c r="AC577" s="168" t="s">
        <v>162</v>
      </c>
      <c r="AD577" s="168" t="s">
        <v>163</v>
      </c>
      <c r="AE577" s="168" t="s">
        <v>163</v>
      </c>
      <c r="AF577" s="168" t="s">
        <v>182</v>
      </c>
      <c r="AG577" s="168" t="s">
        <v>182</v>
      </c>
      <c r="AH577" s="168" t="str">
        <f t="shared" si="49"/>
        <v>Refrigerator-Side-by-Side-Automatic-No-No-Yes-Yes</v>
      </c>
      <c r="AI577" s="168">
        <v>7</v>
      </c>
      <c r="AJ577" s="168">
        <v>8.5399999999999991</v>
      </c>
      <c r="AK577" s="169">
        <v>432.8</v>
      </c>
      <c r="AL577" s="169">
        <f t="shared" si="50"/>
        <v>709.49599999999998</v>
      </c>
      <c r="AM577" s="168">
        <f t="shared" si="51"/>
        <v>709</v>
      </c>
      <c r="AN577" s="168">
        <f t="shared" si="52"/>
        <v>639</v>
      </c>
      <c r="AO577" s="164" t="str">
        <f t="shared" si="53"/>
        <v>Yes</v>
      </c>
      <c r="AP577" s="164">
        <f t="shared" si="54"/>
        <v>70</v>
      </c>
    </row>
    <row r="578" spans="2:42">
      <c r="B578" s="164">
        <v>2218986</v>
      </c>
      <c r="C578" s="164" t="s">
        <v>177</v>
      </c>
      <c r="D578" s="164" t="s">
        <v>1540</v>
      </c>
      <c r="E578" s="164"/>
      <c r="F578" s="164" t="s">
        <v>192</v>
      </c>
      <c r="G578" s="164" t="s">
        <v>162</v>
      </c>
      <c r="H578" s="164" t="s">
        <v>163</v>
      </c>
      <c r="I578" s="164" t="s">
        <v>163</v>
      </c>
      <c r="J578" s="164" t="s">
        <v>182</v>
      </c>
      <c r="K578" s="164" t="s">
        <v>182</v>
      </c>
      <c r="L578" s="164" t="s">
        <v>163</v>
      </c>
      <c r="M578" s="164">
        <v>69</v>
      </c>
      <c r="N578" s="164">
        <v>35.5</v>
      </c>
      <c r="O578" s="165">
        <v>25.6</v>
      </c>
      <c r="P578" s="165">
        <v>32.4</v>
      </c>
      <c r="Q578" s="164">
        <v>639</v>
      </c>
      <c r="R578" s="164">
        <v>709</v>
      </c>
      <c r="S578" s="166">
        <v>0.1</v>
      </c>
      <c r="T578" s="164" t="s">
        <v>163</v>
      </c>
      <c r="U578" s="164"/>
      <c r="V578" s="167">
        <v>41897</v>
      </c>
      <c r="W578" s="167">
        <v>41891</v>
      </c>
      <c r="X578" s="164" t="s">
        <v>387</v>
      </c>
      <c r="Y578" s="164" t="s">
        <v>1541</v>
      </c>
      <c r="Z578" s="164" t="s">
        <v>163</v>
      </c>
      <c r="AA578" s="168" t="s">
        <v>184</v>
      </c>
      <c r="AB578" s="168" t="s">
        <v>192</v>
      </c>
      <c r="AC578" s="168" t="s">
        <v>162</v>
      </c>
      <c r="AD578" s="168" t="s">
        <v>163</v>
      </c>
      <c r="AE578" s="168" t="s">
        <v>163</v>
      </c>
      <c r="AF578" s="168" t="s">
        <v>182</v>
      </c>
      <c r="AG578" s="168" t="s">
        <v>182</v>
      </c>
      <c r="AH578" s="168" t="str">
        <f t="shared" si="49"/>
        <v>Refrigerator-Side-by-Side-Automatic-No-No-Yes-Yes</v>
      </c>
      <c r="AI578" s="168">
        <v>7</v>
      </c>
      <c r="AJ578" s="168">
        <v>8.5399999999999991</v>
      </c>
      <c r="AK578" s="169">
        <v>432.8</v>
      </c>
      <c r="AL578" s="169">
        <f t="shared" si="50"/>
        <v>709.49599999999998</v>
      </c>
      <c r="AM578" s="168">
        <f t="shared" si="51"/>
        <v>709</v>
      </c>
      <c r="AN578" s="168">
        <f t="shared" si="52"/>
        <v>639</v>
      </c>
      <c r="AO578" s="164" t="str">
        <f t="shared" si="53"/>
        <v>Yes</v>
      </c>
      <c r="AP578" s="164">
        <f t="shared" si="54"/>
        <v>70</v>
      </c>
    </row>
    <row r="579" spans="2:42">
      <c r="B579" s="164">
        <v>2214627</v>
      </c>
      <c r="C579" s="164" t="s">
        <v>177</v>
      </c>
      <c r="D579" s="164" t="s">
        <v>1542</v>
      </c>
      <c r="E579" s="164"/>
      <c r="F579" s="164" t="s">
        <v>193</v>
      </c>
      <c r="G579" s="164" t="s">
        <v>162</v>
      </c>
      <c r="H579" s="164" t="s">
        <v>163</v>
      </c>
      <c r="I579" s="164" t="s">
        <v>163</v>
      </c>
      <c r="J579" s="164" t="s">
        <v>163</v>
      </c>
      <c r="K579" s="164" t="s">
        <v>163</v>
      </c>
      <c r="L579" s="164" t="s">
        <v>163</v>
      </c>
      <c r="M579" s="164">
        <v>65.900000000000006</v>
      </c>
      <c r="N579" s="164">
        <v>28</v>
      </c>
      <c r="O579" s="165">
        <v>14.4</v>
      </c>
      <c r="P579" s="165">
        <v>17.3</v>
      </c>
      <c r="Q579" s="164">
        <v>336</v>
      </c>
      <c r="R579" s="164">
        <v>373</v>
      </c>
      <c r="S579" s="166">
        <v>0.1</v>
      </c>
      <c r="T579" s="164" t="s">
        <v>163</v>
      </c>
      <c r="U579" s="164"/>
      <c r="V579" s="167">
        <v>41897</v>
      </c>
      <c r="W579" s="167">
        <v>41824</v>
      </c>
      <c r="X579" s="164" t="s">
        <v>387</v>
      </c>
      <c r="Y579" s="164" t="s">
        <v>1543</v>
      </c>
      <c r="Z579" s="164" t="s">
        <v>163</v>
      </c>
      <c r="AA579" s="168" t="s">
        <v>184</v>
      </c>
      <c r="AB579" s="168" t="s">
        <v>193</v>
      </c>
      <c r="AC579" s="168" t="s">
        <v>162</v>
      </c>
      <c r="AD579" s="168" t="s">
        <v>163</v>
      </c>
      <c r="AE579" s="168" t="s">
        <v>163</v>
      </c>
      <c r="AF579" s="168" t="s">
        <v>163</v>
      </c>
      <c r="AG579" s="168" t="s">
        <v>163</v>
      </c>
      <c r="AH579" s="168" t="str">
        <f t="shared" si="49"/>
        <v>Refrigerator-Top Freezer-Automatic-No-No-No-No</v>
      </c>
      <c r="AI579" s="168">
        <v>3</v>
      </c>
      <c r="AJ579" s="168">
        <v>8.07</v>
      </c>
      <c r="AK579" s="169">
        <v>233.7</v>
      </c>
      <c r="AL579" s="169">
        <f t="shared" si="50"/>
        <v>373.31100000000004</v>
      </c>
      <c r="AM579" s="168">
        <f t="shared" si="51"/>
        <v>373</v>
      </c>
      <c r="AN579" s="168">
        <f t="shared" si="52"/>
        <v>336</v>
      </c>
      <c r="AO579" s="164" t="str">
        <f t="shared" si="53"/>
        <v>Yes</v>
      </c>
      <c r="AP579" s="164">
        <f t="shared" si="54"/>
        <v>37</v>
      </c>
    </row>
    <row r="580" spans="2:42">
      <c r="B580" s="164">
        <v>2218137</v>
      </c>
      <c r="C580" s="164" t="s">
        <v>177</v>
      </c>
      <c r="D580" s="164" t="s">
        <v>1544</v>
      </c>
      <c r="E580" s="164"/>
      <c r="F580" s="164" t="s">
        <v>193</v>
      </c>
      <c r="G580" s="164" t="s">
        <v>162</v>
      </c>
      <c r="H580" s="164" t="s">
        <v>163</v>
      </c>
      <c r="I580" s="164" t="s">
        <v>163</v>
      </c>
      <c r="J580" s="164" t="s">
        <v>163</v>
      </c>
      <c r="K580" s="164" t="s">
        <v>163</v>
      </c>
      <c r="L580" s="164" t="s">
        <v>163</v>
      </c>
      <c r="M580" s="164">
        <v>65.400000000000006</v>
      </c>
      <c r="N580" s="164">
        <v>29.8</v>
      </c>
      <c r="O580" s="165">
        <v>18.2</v>
      </c>
      <c r="P580" s="165">
        <v>22.1</v>
      </c>
      <c r="Q580" s="164">
        <v>371</v>
      </c>
      <c r="R580" s="164">
        <v>412</v>
      </c>
      <c r="S580" s="166">
        <v>0.1</v>
      </c>
      <c r="T580" s="164" t="s">
        <v>163</v>
      </c>
      <c r="U580" s="164"/>
      <c r="V580" s="167">
        <v>41897</v>
      </c>
      <c r="W580" s="167">
        <v>41879</v>
      </c>
      <c r="X580" s="164" t="s">
        <v>387</v>
      </c>
      <c r="Y580" s="164" t="s">
        <v>1545</v>
      </c>
      <c r="Z580" s="164" t="s">
        <v>163</v>
      </c>
      <c r="AA580" s="168" t="s">
        <v>184</v>
      </c>
      <c r="AB580" s="168" t="s">
        <v>193</v>
      </c>
      <c r="AC580" s="168" t="s">
        <v>162</v>
      </c>
      <c r="AD580" s="168" t="s">
        <v>163</v>
      </c>
      <c r="AE580" s="168" t="s">
        <v>163</v>
      </c>
      <c r="AF580" s="168" t="s">
        <v>163</v>
      </c>
      <c r="AG580" s="168" t="s">
        <v>163</v>
      </c>
      <c r="AH580" s="168" t="str">
        <f t="shared" si="49"/>
        <v>Refrigerator-Top Freezer-Automatic-No-No-No-No</v>
      </c>
      <c r="AI580" s="168">
        <v>3</v>
      </c>
      <c r="AJ580" s="168">
        <v>8.07</v>
      </c>
      <c r="AK580" s="169">
        <v>233.7</v>
      </c>
      <c r="AL580" s="169">
        <f t="shared" si="50"/>
        <v>412.04700000000003</v>
      </c>
      <c r="AM580" s="168">
        <f t="shared" si="51"/>
        <v>412</v>
      </c>
      <c r="AN580" s="168">
        <f t="shared" si="52"/>
        <v>371</v>
      </c>
      <c r="AO580" s="164" t="str">
        <f t="shared" si="53"/>
        <v>Yes</v>
      </c>
      <c r="AP580" s="164">
        <f t="shared" si="54"/>
        <v>41</v>
      </c>
    </row>
    <row r="581" spans="2:42">
      <c r="B581" s="164">
        <v>2218138</v>
      </c>
      <c r="C581" s="164" t="s">
        <v>177</v>
      </c>
      <c r="D581" s="164" t="s">
        <v>1546</v>
      </c>
      <c r="E581" s="164"/>
      <c r="F581" s="164" t="s">
        <v>193</v>
      </c>
      <c r="G581" s="164" t="s">
        <v>162</v>
      </c>
      <c r="H581" s="164" t="s">
        <v>163</v>
      </c>
      <c r="I581" s="164" t="s">
        <v>163</v>
      </c>
      <c r="J581" s="164" t="s">
        <v>163</v>
      </c>
      <c r="K581" s="164" t="s">
        <v>163</v>
      </c>
      <c r="L581" s="164" t="s">
        <v>163</v>
      </c>
      <c r="M581" s="164">
        <v>65.400000000000006</v>
      </c>
      <c r="N581" s="164">
        <v>29.8</v>
      </c>
      <c r="O581" s="165">
        <v>18.2</v>
      </c>
      <c r="P581" s="165">
        <v>22.1</v>
      </c>
      <c r="Q581" s="164">
        <v>371</v>
      </c>
      <c r="R581" s="164">
        <v>412</v>
      </c>
      <c r="S581" s="166">
        <v>0.1</v>
      </c>
      <c r="T581" s="164" t="s">
        <v>163</v>
      </c>
      <c r="U581" s="164"/>
      <c r="V581" s="167">
        <v>41897</v>
      </c>
      <c r="W581" s="167">
        <v>41879</v>
      </c>
      <c r="X581" s="164" t="s">
        <v>387</v>
      </c>
      <c r="Y581" s="164" t="s">
        <v>1547</v>
      </c>
      <c r="Z581" s="164" t="s">
        <v>163</v>
      </c>
      <c r="AA581" s="168" t="s">
        <v>184</v>
      </c>
      <c r="AB581" s="168" t="s">
        <v>193</v>
      </c>
      <c r="AC581" s="168" t="s">
        <v>162</v>
      </c>
      <c r="AD581" s="168" t="s">
        <v>163</v>
      </c>
      <c r="AE581" s="168" t="s">
        <v>163</v>
      </c>
      <c r="AF581" s="168" t="s">
        <v>163</v>
      </c>
      <c r="AG581" s="168" t="s">
        <v>163</v>
      </c>
      <c r="AH581" s="168" t="str">
        <f t="shared" si="49"/>
        <v>Refrigerator-Top Freezer-Automatic-No-No-No-No</v>
      </c>
      <c r="AI581" s="168">
        <v>3</v>
      </c>
      <c r="AJ581" s="168">
        <v>8.07</v>
      </c>
      <c r="AK581" s="169">
        <v>233.7</v>
      </c>
      <c r="AL581" s="169">
        <f t="shared" si="50"/>
        <v>412.04700000000003</v>
      </c>
      <c r="AM581" s="168">
        <f t="shared" si="51"/>
        <v>412</v>
      </c>
      <c r="AN581" s="168">
        <f t="shared" si="52"/>
        <v>371</v>
      </c>
      <c r="AO581" s="164" t="str">
        <f t="shared" si="53"/>
        <v>Yes</v>
      </c>
      <c r="AP581" s="164">
        <f t="shared" si="54"/>
        <v>41</v>
      </c>
    </row>
    <row r="582" spans="2:42">
      <c r="B582" s="164">
        <v>2218136</v>
      </c>
      <c r="C582" s="164" t="s">
        <v>177</v>
      </c>
      <c r="D582" s="164" t="s">
        <v>1548</v>
      </c>
      <c r="E582" s="164"/>
      <c r="F582" s="164" t="s">
        <v>193</v>
      </c>
      <c r="G582" s="164" t="s">
        <v>162</v>
      </c>
      <c r="H582" s="164" t="s">
        <v>163</v>
      </c>
      <c r="I582" s="164" t="s">
        <v>163</v>
      </c>
      <c r="J582" s="164" t="s">
        <v>163</v>
      </c>
      <c r="K582" s="164" t="s">
        <v>163</v>
      </c>
      <c r="L582" s="164" t="s">
        <v>163</v>
      </c>
      <c r="M582" s="164">
        <v>64.8</v>
      </c>
      <c r="N582" s="164">
        <v>32.5</v>
      </c>
      <c r="O582" s="165">
        <v>21.3</v>
      </c>
      <c r="P582" s="165">
        <v>26</v>
      </c>
      <c r="Q582" s="164">
        <v>399</v>
      </c>
      <c r="R582" s="164">
        <v>444</v>
      </c>
      <c r="S582" s="166">
        <v>0.1</v>
      </c>
      <c r="T582" s="164" t="s">
        <v>163</v>
      </c>
      <c r="U582" s="164"/>
      <c r="V582" s="167">
        <v>41885</v>
      </c>
      <c r="W582" s="167">
        <v>41879</v>
      </c>
      <c r="X582" s="164" t="s">
        <v>387</v>
      </c>
      <c r="Y582" s="164" t="s">
        <v>1549</v>
      </c>
      <c r="Z582" s="164" t="s">
        <v>163</v>
      </c>
      <c r="AA582" s="168" t="s">
        <v>184</v>
      </c>
      <c r="AB582" s="168" t="s">
        <v>193</v>
      </c>
      <c r="AC582" s="168" t="s">
        <v>162</v>
      </c>
      <c r="AD582" s="168" t="s">
        <v>163</v>
      </c>
      <c r="AE582" s="168" t="s">
        <v>163</v>
      </c>
      <c r="AF582" s="168" t="s">
        <v>163</v>
      </c>
      <c r="AG582" s="168" t="s">
        <v>163</v>
      </c>
      <c r="AH582" s="168" t="str">
        <f t="shared" si="49"/>
        <v>Refrigerator-Top Freezer-Automatic-No-No-No-No</v>
      </c>
      <c r="AI582" s="168">
        <v>3</v>
      </c>
      <c r="AJ582" s="168">
        <v>8.07</v>
      </c>
      <c r="AK582" s="169">
        <v>233.7</v>
      </c>
      <c r="AL582" s="169">
        <f t="shared" si="50"/>
        <v>443.52</v>
      </c>
      <c r="AM582" s="168">
        <f t="shared" si="51"/>
        <v>444</v>
      </c>
      <c r="AN582" s="168">
        <f t="shared" si="52"/>
        <v>399</v>
      </c>
      <c r="AO582" s="164" t="str">
        <f t="shared" si="53"/>
        <v>Yes</v>
      </c>
      <c r="AP582" s="164">
        <f t="shared" si="54"/>
        <v>45</v>
      </c>
    </row>
    <row r="583" spans="2:42">
      <c r="B583" s="164">
        <v>2218984</v>
      </c>
      <c r="C583" s="164" t="s">
        <v>177</v>
      </c>
      <c r="D583" s="164" t="s">
        <v>1550</v>
      </c>
      <c r="E583" s="164"/>
      <c r="F583" s="164" t="s">
        <v>193</v>
      </c>
      <c r="G583" s="164" t="s">
        <v>162</v>
      </c>
      <c r="H583" s="164" t="s">
        <v>163</v>
      </c>
      <c r="I583" s="164" t="s">
        <v>163</v>
      </c>
      <c r="J583" s="164" t="s">
        <v>163</v>
      </c>
      <c r="K583" s="164" t="s">
        <v>163</v>
      </c>
      <c r="L583" s="164" t="s">
        <v>163</v>
      </c>
      <c r="M583" s="164">
        <v>65.400000000000006</v>
      </c>
      <c r="N583" s="164">
        <v>29.8</v>
      </c>
      <c r="O583" s="165">
        <v>19.3</v>
      </c>
      <c r="P583" s="165">
        <v>23.1</v>
      </c>
      <c r="Q583" s="164">
        <v>378</v>
      </c>
      <c r="R583" s="164">
        <v>420</v>
      </c>
      <c r="S583" s="166">
        <v>0.1</v>
      </c>
      <c r="T583" s="164" t="s">
        <v>163</v>
      </c>
      <c r="U583" s="164"/>
      <c r="V583" s="167">
        <v>41897</v>
      </c>
      <c r="W583" s="167">
        <v>41891</v>
      </c>
      <c r="X583" s="164" t="s">
        <v>387</v>
      </c>
      <c r="Y583" s="164" t="s">
        <v>1551</v>
      </c>
      <c r="Z583" s="164" t="s">
        <v>163</v>
      </c>
      <c r="AA583" s="168" t="s">
        <v>184</v>
      </c>
      <c r="AB583" s="168" t="s">
        <v>193</v>
      </c>
      <c r="AC583" s="168" t="s">
        <v>162</v>
      </c>
      <c r="AD583" s="168" t="s">
        <v>163</v>
      </c>
      <c r="AE583" s="168" t="s">
        <v>163</v>
      </c>
      <c r="AF583" s="168" t="s">
        <v>163</v>
      </c>
      <c r="AG583" s="168" t="s">
        <v>163</v>
      </c>
      <c r="AH583" s="168" t="str">
        <f t="shared" si="49"/>
        <v>Refrigerator-Top Freezer-Automatic-No-No-No-No</v>
      </c>
      <c r="AI583" s="168">
        <v>3</v>
      </c>
      <c r="AJ583" s="168">
        <v>8.07</v>
      </c>
      <c r="AK583" s="169">
        <v>233.7</v>
      </c>
      <c r="AL583" s="169">
        <f t="shared" si="50"/>
        <v>420.11700000000002</v>
      </c>
      <c r="AM583" s="168">
        <f t="shared" si="51"/>
        <v>420</v>
      </c>
      <c r="AN583" s="168">
        <f t="shared" si="52"/>
        <v>378</v>
      </c>
      <c r="AO583" s="164" t="str">
        <f t="shared" si="53"/>
        <v>Yes</v>
      </c>
      <c r="AP583" s="164">
        <f t="shared" si="54"/>
        <v>42</v>
      </c>
    </row>
    <row r="584" spans="2:42">
      <c r="B584" s="164">
        <v>2210426</v>
      </c>
      <c r="C584" s="164" t="s">
        <v>1552</v>
      </c>
      <c r="D584" s="164" t="s">
        <v>1553</v>
      </c>
      <c r="E584" s="164"/>
      <c r="F584" s="164" t="s">
        <v>194</v>
      </c>
      <c r="G584" s="164" t="s">
        <v>188</v>
      </c>
      <c r="H584" s="164" t="s">
        <v>182</v>
      </c>
      <c r="I584" s="164" t="s">
        <v>163</v>
      </c>
      <c r="J584" s="164" t="s">
        <v>163</v>
      </c>
      <c r="K584" s="164" t="s">
        <v>163</v>
      </c>
      <c r="L584" s="164" t="s">
        <v>163</v>
      </c>
      <c r="M584" s="164">
        <v>19.399999999999999</v>
      </c>
      <c r="N584" s="164">
        <v>18.600000000000001</v>
      </c>
      <c r="O584" s="165">
        <v>1.6</v>
      </c>
      <c r="P584" s="165">
        <v>1.6</v>
      </c>
      <c r="Q584" s="164">
        <v>207</v>
      </c>
      <c r="R584" s="164">
        <v>267</v>
      </c>
      <c r="S584" s="166">
        <v>0.22</v>
      </c>
      <c r="T584" s="164" t="s">
        <v>163</v>
      </c>
      <c r="U584" s="164"/>
      <c r="V584" s="167">
        <v>41713</v>
      </c>
      <c r="W584" s="167">
        <v>41718</v>
      </c>
      <c r="X584" s="164" t="s">
        <v>506</v>
      </c>
      <c r="Y584" s="164" t="s">
        <v>1554</v>
      </c>
      <c r="Z584" s="164" t="s">
        <v>163</v>
      </c>
      <c r="AA584" s="168" t="s">
        <v>184</v>
      </c>
      <c r="AB584" s="168" t="s">
        <v>194</v>
      </c>
      <c r="AC584" s="168" t="s">
        <v>188</v>
      </c>
      <c r="AD584" s="168" t="s">
        <v>182</v>
      </c>
      <c r="AE584" s="168" t="s">
        <v>163</v>
      </c>
      <c r="AF584" s="168" t="s">
        <v>163</v>
      </c>
      <c r="AG584" s="168" t="s">
        <v>163</v>
      </c>
      <c r="AH584" s="168" t="str">
        <f t="shared" si="49"/>
        <v>Refrigerator-Compact-Manual-Yes-No-No-No</v>
      </c>
      <c r="AI584" s="168" t="s">
        <v>315</v>
      </c>
      <c r="AJ584" s="168">
        <v>7.84</v>
      </c>
      <c r="AK584" s="169">
        <v>219.1</v>
      </c>
      <c r="AL584" s="169">
        <f t="shared" si="50"/>
        <v>231.64400000000001</v>
      </c>
      <c r="AM584" s="168">
        <f t="shared" si="51"/>
        <v>267</v>
      </c>
      <c r="AN584" s="168">
        <f t="shared" si="52"/>
        <v>207</v>
      </c>
      <c r="AO584" s="164" t="str">
        <f t="shared" si="53"/>
        <v>Yes</v>
      </c>
      <c r="AP584" s="164">
        <f t="shared" si="54"/>
        <v>60</v>
      </c>
    </row>
    <row r="585" spans="2:42">
      <c r="B585" s="164">
        <v>2210427</v>
      </c>
      <c r="C585" s="164" t="s">
        <v>1552</v>
      </c>
      <c r="D585" s="164" t="s">
        <v>1555</v>
      </c>
      <c r="E585" s="164"/>
      <c r="F585" s="164" t="s">
        <v>194</v>
      </c>
      <c r="G585" s="164" t="s">
        <v>188</v>
      </c>
      <c r="H585" s="164" t="s">
        <v>182</v>
      </c>
      <c r="I585" s="164" t="s">
        <v>163</v>
      </c>
      <c r="J585" s="164" t="s">
        <v>163</v>
      </c>
      <c r="K585" s="164" t="s">
        <v>163</v>
      </c>
      <c r="L585" s="164" t="s">
        <v>163</v>
      </c>
      <c r="M585" s="164">
        <v>33.9</v>
      </c>
      <c r="N585" s="164">
        <v>19.7</v>
      </c>
      <c r="O585" s="165">
        <v>4.4000000000000004</v>
      </c>
      <c r="P585" s="165">
        <v>4.4000000000000004</v>
      </c>
      <c r="Q585" s="164">
        <v>226</v>
      </c>
      <c r="R585" s="164">
        <v>292</v>
      </c>
      <c r="S585" s="166">
        <v>0.23</v>
      </c>
      <c r="T585" s="164" t="s">
        <v>163</v>
      </c>
      <c r="U585" s="164"/>
      <c r="V585" s="167">
        <v>41713</v>
      </c>
      <c r="W585" s="167">
        <v>41718</v>
      </c>
      <c r="X585" s="164" t="s">
        <v>506</v>
      </c>
      <c r="Y585" s="164" t="s">
        <v>1556</v>
      </c>
      <c r="Z585" s="164" t="s">
        <v>163</v>
      </c>
      <c r="AA585" s="168" t="s">
        <v>184</v>
      </c>
      <c r="AB585" s="168" t="s">
        <v>194</v>
      </c>
      <c r="AC585" s="168" t="s">
        <v>188</v>
      </c>
      <c r="AD585" s="168" t="s">
        <v>182</v>
      </c>
      <c r="AE585" s="168" t="s">
        <v>163</v>
      </c>
      <c r="AF585" s="168" t="s">
        <v>163</v>
      </c>
      <c r="AG585" s="168" t="s">
        <v>163</v>
      </c>
      <c r="AH585" s="168" t="str">
        <f t="shared" si="49"/>
        <v>Refrigerator-Compact-Manual-Yes-No-No-No</v>
      </c>
      <c r="AI585" s="168" t="s">
        <v>315</v>
      </c>
      <c r="AJ585" s="168">
        <v>7.84</v>
      </c>
      <c r="AK585" s="169">
        <v>219.1</v>
      </c>
      <c r="AL585" s="169">
        <f t="shared" si="50"/>
        <v>253.596</v>
      </c>
      <c r="AM585" s="168">
        <f t="shared" si="51"/>
        <v>292</v>
      </c>
      <c r="AN585" s="168">
        <f t="shared" si="52"/>
        <v>226</v>
      </c>
      <c r="AO585" s="164" t="str">
        <f t="shared" si="53"/>
        <v>Yes</v>
      </c>
      <c r="AP585" s="164">
        <f t="shared" si="54"/>
        <v>66</v>
      </c>
    </row>
    <row r="586" spans="2:42">
      <c r="B586" s="164">
        <v>2210428</v>
      </c>
      <c r="C586" s="164" t="s">
        <v>1552</v>
      </c>
      <c r="D586" s="164" t="s">
        <v>1557</v>
      </c>
      <c r="E586" s="164"/>
      <c r="F586" s="164" t="s">
        <v>194</v>
      </c>
      <c r="G586" s="164" t="s">
        <v>188</v>
      </c>
      <c r="H586" s="164" t="s">
        <v>182</v>
      </c>
      <c r="I586" s="164" t="s">
        <v>163</v>
      </c>
      <c r="J586" s="164" t="s">
        <v>163</v>
      </c>
      <c r="K586" s="164" t="s">
        <v>163</v>
      </c>
      <c r="L586" s="164" t="s">
        <v>163</v>
      </c>
      <c r="M586" s="164">
        <v>33.9</v>
      </c>
      <c r="N586" s="164">
        <v>19.7</v>
      </c>
      <c r="O586" s="165">
        <v>4.4000000000000004</v>
      </c>
      <c r="P586" s="165">
        <v>4.4000000000000004</v>
      </c>
      <c r="Q586" s="164">
        <v>226</v>
      </c>
      <c r="R586" s="164">
        <v>292</v>
      </c>
      <c r="S586" s="166">
        <v>0.23</v>
      </c>
      <c r="T586" s="164" t="s">
        <v>163</v>
      </c>
      <c r="U586" s="164"/>
      <c r="V586" s="167">
        <v>41713</v>
      </c>
      <c r="W586" s="167">
        <v>41718</v>
      </c>
      <c r="X586" s="164" t="s">
        <v>506</v>
      </c>
      <c r="Y586" s="164" t="s">
        <v>1558</v>
      </c>
      <c r="Z586" s="164" t="s">
        <v>163</v>
      </c>
      <c r="AA586" s="168" t="s">
        <v>184</v>
      </c>
      <c r="AB586" s="168" t="s">
        <v>194</v>
      </c>
      <c r="AC586" s="168" t="s">
        <v>188</v>
      </c>
      <c r="AD586" s="168" t="s">
        <v>182</v>
      </c>
      <c r="AE586" s="168" t="s">
        <v>163</v>
      </c>
      <c r="AF586" s="168" t="s">
        <v>163</v>
      </c>
      <c r="AG586" s="168" t="s">
        <v>163</v>
      </c>
      <c r="AH586" s="168" t="str">
        <f t="shared" si="49"/>
        <v>Refrigerator-Compact-Manual-Yes-No-No-No</v>
      </c>
      <c r="AI586" s="168" t="s">
        <v>315</v>
      </c>
      <c r="AJ586" s="168">
        <v>7.84</v>
      </c>
      <c r="AK586" s="169">
        <v>219.1</v>
      </c>
      <c r="AL586" s="169">
        <f t="shared" si="50"/>
        <v>253.596</v>
      </c>
      <c r="AM586" s="168">
        <f t="shared" si="51"/>
        <v>292</v>
      </c>
      <c r="AN586" s="168">
        <f t="shared" si="52"/>
        <v>226</v>
      </c>
      <c r="AO586" s="164" t="str">
        <f t="shared" si="53"/>
        <v>Yes</v>
      </c>
      <c r="AP586" s="164">
        <f t="shared" si="54"/>
        <v>66</v>
      </c>
    </row>
  </sheetData>
  <conditionalFormatting sqref="AO12:AO586">
    <cfRule type="cellIs" dxfId="1" priority="4" operator="equal">
      <formula>"Yes"</formula>
    </cfRule>
    <cfRule type="cellIs" dxfId="0" priority="5" operator="equal">
      <formula>"No"</formula>
    </cfRule>
  </conditionalFormatting>
  <conditionalFormatting sqref="AP12:AP586">
    <cfRule type="colorScale" priority="3">
      <colorScale>
        <cfvo type="min" val="0"/>
        <cfvo type="percentile" val="50"/>
        <cfvo type="max" val="0"/>
        <color rgb="FFF8696B"/>
        <color rgb="FFFFEB84"/>
        <color rgb="FF63BE7B"/>
      </colorScale>
    </cfRule>
  </conditionalFormatting>
  <conditionalFormatting sqref="AS12:AS22">
    <cfRule type="colorScale" priority="1">
      <colorScale>
        <cfvo type="min" val="0"/>
        <cfvo type="max" val="0"/>
        <color rgb="FFFCFCFF"/>
        <color rgb="FF63BE7B"/>
      </colorScale>
    </cfRule>
    <cfRule type="colorScale" priority="2">
      <colorScale>
        <cfvo type="min" val="0"/>
        <cfvo type="percentile" val="50"/>
        <cfvo type="max" val="0"/>
        <color rgb="FFF8696B"/>
        <color rgb="FFFFEB84"/>
        <color rgb="FF63BE7B"/>
      </colorScale>
    </cfRule>
  </conditionalFormatting>
  <dataValidations count="7">
    <dataValidation type="list" allowBlank="1" showInputMessage="1" showErrorMessage="1" sqref="AG12:AG586">
      <formula1>$AG$2:$AG$3</formula1>
    </dataValidation>
    <dataValidation type="list" allowBlank="1" showInputMessage="1" showErrorMessage="1" sqref="AF12:AF586">
      <formula1>$AF$2:$AF$3</formula1>
    </dataValidation>
    <dataValidation type="list" allowBlank="1" showInputMessage="1" showErrorMessage="1" sqref="AE12:AE586">
      <formula1>$AE$2:$AE$3</formula1>
    </dataValidation>
    <dataValidation type="list" allowBlank="1" showInputMessage="1" showErrorMessage="1" sqref="AD12:AD586">
      <formula1>$AD$2:$AD$3</formula1>
    </dataValidation>
    <dataValidation type="list" allowBlank="1" showInputMessage="1" showErrorMessage="1" sqref="AC12:AC586">
      <formula1>$AC$2:$AC$3</formula1>
    </dataValidation>
    <dataValidation type="list" allowBlank="1" showInputMessage="1" showErrorMessage="1" sqref="AB12:AB586">
      <formula1>$AB$2:$AB$8</formula1>
    </dataValidation>
    <dataValidation type="list" allowBlank="1" showInputMessage="1" showErrorMessage="1" sqref="AA12:AA586">
      <formula1>$AA$2:$AA$3</formula1>
    </dataValidation>
  </dataValidation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sheetPr codeName="Sheet3"/>
  <dimension ref="A1:P110"/>
  <sheetViews>
    <sheetView zoomScale="115" zoomScaleNormal="115" workbookViewId="0">
      <selection activeCell="N9" sqref="N9:N17"/>
    </sheetView>
  </sheetViews>
  <sheetFormatPr defaultRowHeight="12.75"/>
  <cols>
    <col min="1" max="1" width="3.85546875" customWidth="1"/>
    <col min="2" max="2" width="2.28515625" customWidth="1"/>
    <col min="3" max="3" width="64.85546875" customWidth="1"/>
    <col min="4" max="4" width="18.28515625" customWidth="1"/>
    <col min="5" max="5" width="18.42578125" customWidth="1"/>
    <col min="6" max="6" width="26.5703125" customWidth="1"/>
    <col min="7" max="7" width="15.85546875" customWidth="1"/>
    <col min="8" max="8" width="11.42578125" customWidth="1"/>
    <col min="9" max="9" width="10.7109375" customWidth="1"/>
    <col min="11" max="13" width="11.42578125" customWidth="1"/>
    <col min="14" max="14" width="7.140625" customWidth="1"/>
  </cols>
  <sheetData>
    <row r="1" spans="1:16">
      <c r="B1" s="265" t="s">
        <v>4048</v>
      </c>
    </row>
    <row r="2" spans="1:16">
      <c r="C2" s="266" t="s">
        <v>185</v>
      </c>
    </row>
    <row r="3" spans="1:16">
      <c r="G3" t="s">
        <v>195</v>
      </c>
    </row>
    <row r="5" spans="1:16" ht="15">
      <c r="A5" s="90" t="s">
        <v>196</v>
      </c>
      <c r="C5" s="89"/>
      <c r="D5" s="89"/>
      <c r="E5" s="89"/>
      <c r="F5" s="89"/>
      <c r="G5" s="89"/>
    </row>
    <row r="7" spans="1:16" ht="15.75">
      <c r="C7" s="558" t="s">
        <v>183</v>
      </c>
      <c r="D7" s="560" t="s">
        <v>197</v>
      </c>
      <c r="E7" s="561"/>
    </row>
    <row r="8" spans="1:16" ht="19.5" thickBot="1">
      <c r="C8" s="559"/>
      <c r="D8" s="91" t="s">
        <v>4049</v>
      </c>
      <c r="E8" s="92" t="s">
        <v>198</v>
      </c>
      <c r="F8" t="s">
        <v>199</v>
      </c>
      <c r="G8" t="s">
        <v>161</v>
      </c>
      <c r="H8" t="s">
        <v>200</v>
      </c>
      <c r="I8" t="s">
        <v>194</v>
      </c>
      <c r="J8" t="s">
        <v>201</v>
      </c>
      <c r="K8" t="s">
        <v>202</v>
      </c>
      <c r="L8" t="s">
        <v>203</v>
      </c>
      <c r="M8" t="s">
        <v>204</v>
      </c>
      <c r="N8" t="s">
        <v>205</v>
      </c>
      <c r="O8" t="s">
        <v>206</v>
      </c>
      <c r="P8" t="s">
        <v>207</v>
      </c>
    </row>
    <row r="9" spans="1:16" ht="26.25" thickBot="1">
      <c r="A9" s="93">
        <v>1</v>
      </c>
      <c r="C9" s="94" t="s">
        <v>208</v>
      </c>
      <c r="D9" s="95" t="s">
        <v>209</v>
      </c>
      <c r="E9" s="96" t="s">
        <v>210</v>
      </c>
      <c r="F9" s="97" t="s">
        <v>184</v>
      </c>
      <c r="G9" s="97"/>
      <c r="H9" s="97" t="s">
        <v>188</v>
      </c>
      <c r="I9" s="97" t="s">
        <v>163</v>
      </c>
      <c r="J9" s="97" t="s">
        <v>163</v>
      </c>
      <c r="K9" s="97"/>
      <c r="L9" s="97"/>
      <c r="M9" s="97"/>
      <c r="N9" s="98" t="str">
        <f>TEXT(A9,"0")</f>
        <v>1</v>
      </c>
      <c r="O9" s="99">
        <f>VALUE(LEFT(D9,FIND("A",D9,1)-1))</f>
        <v>7.99</v>
      </c>
      <c r="P9" s="99">
        <f t="shared" ref="P9:P50" si="0">VALUE(RIGHT(D9,LEN(D9)-FIND("+",D9,1)))</f>
        <v>225</v>
      </c>
    </row>
    <row r="10" spans="1:16" ht="15.75" thickBot="1">
      <c r="A10" s="93" t="s">
        <v>211</v>
      </c>
      <c r="C10" s="100" t="s">
        <v>212</v>
      </c>
      <c r="D10" s="95" t="s">
        <v>213</v>
      </c>
      <c r="E10" s="96" t="s">
        <v>214</v>
      </c>
      <c r="F10" s="97" t="s">
        <v>184</v>
      </c>
      <c r="G10" s="97"/>
      <c r="H10" s="97" t="s">
        <v>188</v>
      </c>
      <c r="I10" s="97" t="s">
        <v>163</v>
      </c>
      <c r="J10" s="97" t="s">
        <v>163</v>
      </c>
      <c r="K10" s="97"/>
      <c r="L10" s="97"/>
      <c r="M10" s="97"/>
      <c r="N10" s="98" t="str">
        <f t="shared" ref="N10:N50" si="1">TEXT(A10,"0")</f>
        <v>1A</v>
      </c>
      <c r="O10" s="99">
        <f t="shared" ref="O10:O50" si="2">VALUE(LEFT(D10,FIND("A",D10,1)-1))</f>
        <v>6.79</v>
      </c>
      <c r="P10" s="99">
        <f t="shared" si="0"/>
        <v>193.6</v>
      </c>
    </row>
    <row r="11" spans="1:16" ht="15.75" thickBot="1">
      <c r="A11" s="93">
        <v>2</v>
      </c>
      <c r="B11" s="87"/>
      <c r="C11" s="100" t="s">
        <v>215</v>
      </c>
      <c r="D11" s="95" t="s">
        <v>209</v>
      </c>
      <c r="E11" s="96" t="s">
        <v>210</v>
      </c>
      <c r="F11" s="101" t="s">
        <v>184</v>
      </c>
      <c r="G11" s="101"/>
      <c r="H11" s="101" t="s">
        <v>162</v>
      </c>
      <c r="I11" s="101" t="s">
        <v>163</v>
      </c>
      <c r="J11" s="101" t="s">
        <v>163</v>
      </c>
      <c r="K11" s="101"/>
      <c r="L11" s="101"/>
      <c r="M11" s="101"/>
      <c r="N11" s="102" t="str">
        <f t="shared" si="1"/>
        <v>2</v>
      </c>
      <c r="O11" s="103">
        <f t="shared" si="2"/>
        <v>7.99</v>
      </c>
      <c r="P11" s="103">
        <f t="shared" si="0"/>
        <v>225</v>
      </c>
    </row>
    <row r="12" spans="1:16" ht="26.25" thickBot="1">
      <c r="A12" s="93">
        <v>3</v>
      </c>
      <c r="C12" s="100" t="s">
        <v>216</v>
      </c>
      <c r="D12" s="95" t="s">
        <v>217</v>
      </c>
      <c r="E12" s="96" t="s">
        <v>218</v>
      </c>
      <c r="F12" s="104" t="s">
        <v>184</v>
      </c>
      <c r="G12" s="105" t="s">
        <v>193</v>
      </c>
      <c r="H12" s="105" t="s">
        <v>162</v>
      </c>
      <c r="I12" s="105" t="s">
        <v>163</v>
      </c>
      <c r="J12" s="105" t="s">
        <v>163</v>
      </c>
      <c r="K12" s="105" t="s">
        <v>163</v>
      </c>
      <c r="L12" s="105" t="s">
        <v>163</v>
      </c>
      <c r="M12" s="105" t="str">
        <f>CONCATENATE(F12,"-",G12,"-",H12,"-",I12,"-",J12,"-",K12,"-",L12)</f>
        <v>Refrigerator-Top Freezer-Automatic-No-No-No-No</v>
      </c>
      <c r="N12" s="106" t="str">
        <f t="shared" si="1"/>
        <v>3</v>
      </c>
      <c r="O12" s="107">
        <f t="shared" si="2"/>
        <v>8.07</v>
      </c>
      <c r="P12" s="108">
        <f t="shared" si="0"/>
        <v>233.7</v>
      </c>
    </row>
    <row r="13" spans="1:16" ht="26.25" thickBot="1">
      <c r="A13" s="93" t="s">
        <v>219</v>
      </c>
      <c r="C13" s="100" t="s">
        <v>220</v>
      </c>
      <c r="D13" s="95" t="s">
        <v>221</v>
      </c>
      <c r="E13" s="96" t="s">
        <v>222</v>
      </c>
      <c r="F13" s="109" t="s">
        <v>184</v>
      </c>
      <c r="G13" s="110" t="s">
        <v>193</v>
      </c>
      <c r="H13" s="110" t="s">
        <v>162</v>
      </c>
      <c r="I13" s="110" t="s">
        <v>163</v>
      </c>
      <c r="J13" s="110" t="s">
        <v>182</v>
      </c>
      <c r="K13" s="110" t="s">
        <v>163</v>
      </c>
      <c r="L13" s="110" t="s">
        <v>163</v>
      </c>
      <c r="M13" s="110" t="str">
        <f t="shared" ref="M13:M50" si="3">CONCATENATE(F13,"-",G13,"-",H13,"-",I13,"-",J13,"-",K13,"-",L13)</f>
        <v>Refrigerator-Top Freezer-Automatic-No-Yes-No-No</v>
      </c>
      <c r="N13" s="111" t="str">
        <f t="shared" si="1"/>
        <v>3-BI</v>
      </c>
      <c r="O13" s="99">
        <f t="shared" si="2"/>
        <v>9.15</v>
      </c>
      <c r="P13" s="112">
        <f t="shared" si="0"/>
        <v>264.89999999999998</v>
      </c>
    </row>
    <row r="14" spans="1:16" ht="26.25" thickBot="1">
      <c r="A14" s="93" t="s">
        <v>223</v>
      </c>
      <c r="C14" s="100" t="s">
        <v>224</v>
      </c>
      <c r="D14" s="95" t="s">
        <v>225</v>
      </c>
      <c r="E14" s="96" t="s">
        <v>226</v>
      </c>
      <c r="F14" s="109" t="s">
        <v>184</v>
      </c>
      <c r="G14" s="110" t="s">
        <v>193</v>
      </c>
      <c r="H14" s="110" t="s">
        <v>162</v>
      </c>
      <c r="I14" s="110" t="s">
        <v>163</v>
      </c>
      <c r="J14" s="110" t="s">
        <v>163</v>
      </c>
      <c r="K14" s="110" t="s">
        <v>163</v>
      </c>
      <c r="L14" s="110" t="s">
        <v>182</v>
      </c>
      <c r="M14" s="110" t="str">
        <f t="shared" si="3"/>
        <v>Refrigerator-Top Freezer-Automatic-No-No-No-Yes</v>
      </c>
      <c r="N14" s="111" t="str">
        <f t="shared" si="1"/>
        <v>3I</v>
      </c>
      <c r="O14" s="99">
        <f t="shared" si="2"/>
        <v>8.07</v>
      </c>
      <c r="P14" s="112">
        <f t="shared" si="0"/>
        <v>317.7</v>
      </c>
    </row>
    <row r="15" spans="1:16" ht="26.25" thickBot="1">
      <c r="A15" s="93" t="s">
        <v>227</v>
      </c>
      <c r="C15" s="100" t="s">
        <v>228</v>
      </c>
      <c r="D15" s="95" t="s">
        <v>229</v>
      </c>
      <c r="E15" s="96" t="s">
        <v>230</v>
      </c>
      <c r="F15" s="113" t="s">
        <v>184</v>
      </c>
      <c r="G15" s="114" t="s">
        <v>193</v>
      </c>
      <c r="H15" s="114" t="s">
        <v>162</v>
      </c>
      <c r="I15" s="114" t="s">
        <v>163</v>
      </c>
      <c r="J15" s="114" t="s">
        <v>182</v>
      </c>
      <c r="K15" s="114" t="s">
        <v>163</v>
      </c>
      <c r="L15" s="114" t="s">
        <v>182</v>
      </c>
      <c r="M15" s="114" t="str">
        <f t="shared" si="3"/>
        <v>Refrigerator-Top Freezer-Automatic-No-Yes-No-Yes</v>
      </c>
      <c r="N15" s="115" t="str">
        <f t="shared" si="1"/>
        <v>3I-BI</v>
      </c>
      <c r="O15" s="116">
        <f t="shared" si="2"/>
        <v>9.15</v>
      </c>
      <c r="P15" s="117">
        <f t="shared" si="0"/>
        <v>348.9</v>
      </c>
    </row>
    <row r="16" spans="1:16" ht="15.75" thickBot="1">
      <c r="A16" s="93" t="s">
        <v>231</v>
      </c>
      <c r="C16" s="100" t="s">
        <v>232</v>
      </c>
      <c r="D16" s="95" t="s">
        <v>233</v>
      </c>
      <c r="E16" s="96" t="s">
        <v>234</v>
      </c>
      <c r="F16" s="118" t="s">
        <v>184</v>
      </c>
      <c r="G16" s="118"/>
      <c r="H16" s="118" t="s">
        <v>162</v>
      </c>
      <c r="I16" s="118" t="s">
        <v>163</v>
      </c>
      <c r="J16" s="118" t="s">
        <v>163</v>
      </c>
      <c r="K16" s="118"/>
      <c r="L16" s="118"/>
      <c r="M16" s="118"/>
      <c r="N16" s="119" t="str">
        <f t="shared" si="1"/>
        <v>3A</v>
      </c>
      <c r="O16" s="120">
        <f t="shared" si="2"/>
        <v>7.07</v>
      </c>
      <c r="P16" s="120">
        <f t="shared" si="0"/>
        <v>201.6</v>
      </c>
    </row>
    <row r="17" spans="1:16" ht="15.75" thickBot="1">
      <c r="A17" s="93" t="s">
        <v>235</v>
      </c>
      <c r="C17" s="100" t="s">
        <v>236</v>
      </c>
      <c r="D17" s="95" t="s">
        <v>237</v>
      </c>
      <c r="E17" s="96" t="s">
        <v>238</v>
      </c>
      <c r="F17" s="101" t="s">
        <v>184</v>
      </c>
      <c r="G17" s="101"/>
      <c r="H17" s="101" t="s">
        <v>162</v>
      </c>
      <c r="I17" s="101" t="s">
        <v>163</v>
      </c>
      <c r="J17" s="101" t="s">
        <v>182</v>
      </c>
      <c r="K17" s="101"/>
      <c r="L17" s="101"/>
      <c r="M17" s="101"/>
      <c r="N17" s="102" t="str">
        <f t="shared" si="1"/>
        <v>3A-BI</v>
      </c>
      <c r="O17" s="103">
        <f t="shared" si="2"/>
        <v>8.02</v>
      </c>
      <c r="P17" s="103">
        <f t="shared" si="0"/>
        <v>228.5</v>
      </c>
    </row>
    <row r="18" spans="1:16" ht="26.25" thickBot="1">
      <c r="A18" s="93">
        <v>4</v>
      </c>
      <c r="C18" s="100" t="s">
        <v>239</v>
      </c>
      <c r="D18" s="95" t="s">
        <v>240</v>
      </c>
      <c r="E18" s="96" t="s">
        <v>241</v>
      </c>
      <c r="F18" s="104" t="s">
        <v>184</v>
      </c>
      <c r="G18" s="105" t="s">
        <v>192</v>
      </c>
      <c r="H18" s="105" t="s">
        <v>162</v>
      </c>
      <c r="I18" s="105" t="s">
        <v>163</v>
      </c>
      <c r="J18" s="105" t="s">
        <v>163</v>
      </c>
      <c r="K18" s="105" t="s">
        <v>163</v>
      </c>
      <c r="L18" s="105" t="s">
        <v>163</v>
      </c>
      <c r="M18" s="105" t="str">
        <f t="shared" si="3"/>
        <v>Refrigerator-Side-by-Side-Automatic-No-No-No-No</v>
      </c>
      <c r="N18" s="106" t="str">
        <f t="shared" si="1"/>
        <v>4</v>
      </c>
      <c r="O18" s="107">
        <f t="shared" si="2"/>
        <v>8.51</v>
      </c>
      <c r="P18" s="108">
        <f t="shared" si="0"/>
        <v>297.8</v>
      </c>
    </row>
    <row r="19" spans="1:16" ht="26.25" thickBot="1">
      <c r="A19" s="93" t="s">
        <v>242</v>
      </c>
      <c r="C19" s="100" t="s">
        <v>243</v>
      </c>
      <c r="D19" s="95" t="s">
        <v>244</v>
      </c>
      <c r="E19" s="96" t="s">
        <v>245</v>
      </c>
      <c r="F19" s="109" t="s">
        <v>184</v>
      </c>
      <c r="G19" s="110" t="s">
        <v>192</v>
      </c>
      <c r="H19" s="110" t="s">
        <v>162</v>
      </c>
      <c r="I19" s="110" t="s">
        <v>163</v>
      </c>
      <c r="J19" s="110" t="s">
        <v>182</v>
      </c>
      <c r="K19" s="110" t="s">
        <v>163</v>
      </c>
      <c r="L19" s="110" t="s">
        <v>163</v>
      </c>
      <c r="M19" s="110" t="str">
        <f t="shared" si="3"/>
        <v>Refrigerator-Side-by-Side-Automatic-No-Yes-No-No</v>
      </c>
      <c r="N19" s="111" t="str">
        <f t="shared" si="1"/>
        <v>4-BI</v>
      </c>
      <c r="O19" s="99">
        <f t="shared" si="2"/>
        <v>10.220000000000001</v>
      </c>
      <c r="P19" s="112">
        <f t="shared" si="0"/>
        <v>357.4</v>
      </c>
    </row>
    <row r="20" spans="1:16" ht="26.25" thickBot="1">
      <c r="A20" s="93" t="s">
        <v>246</v>
      </c>
      <c r="C20" s="100" t="s">
        <v>247</v>
      </c>
      <c r="D20" s="95" t="s">
        <v>248</v>
      </c>
      <c r="E20" s="96" t="s">
        <v>249</v>
      </c>
      <c r="F20" s="109" t="s">
        <v>184</v>
      </c>
      <c r="G20" s="110" t="s">
        <v>192</v>
      </c>
      <c r="H20" s="110" t="s">
        <v>162</v>
      </c>
      <c r="I20" s="110" t="s">
        <v>163</v>
      </c>
      <c r="J20" s="110" t="s">
        <v>163</v>
      </c>
      <c r="K20" s="110" t="s">
        <v>163</v>
      </c>
      <c r="L20" s="110" t="s">
        <v>182</v>
      </c>
      <c r="M20" s="110" t="str">
        <f t="shared" si="3"/>
        <v>Refrigerator-Side-by-Side-Automatic-No-No-No-Yes</v>
      </c>
      <c r="N20" s="111" t="str">
        <f t="shared" si="1"/>
        <v>4I</v>
      </c>
      <c r="O20" s="99">
        <f t="shared" si="2"/>
        <v>8.51</v>
      </c>
      <c r="P20" s="112">
        <f t="shared" si="0"/>
        <v>381.8</v>
      </c>
    </row>
    <row r="21" spans="1:16" ht="26.25" thickBot="1">
      <c r="A21" s="93" t="s">
        <v>250</v>
      </c>
      <c r="C21" s="100" t="s">
        <v>251</v>
      </c>
      <c r="D21" s="95" t="s">
        <v>252</v>
      </c>
      <c r="E21" s="96" t="s">
        <v>253</v>
      </c>
      <c r="F21" s="113" t="s">
        <v>184</v>
      </c>
      <c r="G21" s="114" t="s">
        <v>192</v>
      </c>
      <c r="H21" s="114" t="s">
        <v>162</v>
      </c>
      <c r="I21" s="114" t="s">
        <v>163</v>
      </c>
      <c r="J21" s="114" t="s">
        <v>182</v>
      </c>
      <c r="K21" s="114" t="s">
        <v>163</v>
      </c>
      <c r="L21" s="114" t="s">
        <v>182</v>
      </c>
      <c r="M21" s="114" t="str">
        <f t="shared" si="3"/>
        <v>Refrigerator-Side-by-Side-Automatic-No-Yes-No-Yes</v>
      </c>
      <c r="N21" s="115" t="str">
        <f t="shared" si="1"/>
        <v>4I-BI</v>
      </c>
      <c r="O21" s="116">
        <f t="shared" si="2"/>
        <v>10.220000000000001</v>
      </c>
      <c r="P21" s="117">
        <f t="shared" si="0"/>
        <v>441.4</v>
      </c>
    </row>
    <row r="22" spans="1:16" ht="26.25" thickBot="1">
      <c r="A22" s="93">
        <v>5</v>
      </c>
      <c r="C22" s="100" t="s">
        <v>254</v>
      </c>
      <c r="D22" s="95" t="s">
        <v>255</v>
      </c>
      <c r="E22" s="96" t="s">
        <v>256</v>
      </c>
      <c r="F22" s="121" t="s">
        <v>184</v>
      </c>
      <c r="G22" s="122" t="s">
        <v>191</v>
      </c>
      <c r="H22" s="122" t="s">
        <v>162</v>
      </c>
      <c r="I22" s="122" t="s">
        <v>163</v>
      </c>
      <c r="J22" s="122" t="s">
        <v>163</v>
      </c>
      <c r="K22" s="122" t="s">
        <v>163</v>
      </c>
      <c r="L22" s="122" t="s">
        <v>163</v>
      </c>
      <c r="M22" s="122" t="str">
        <f t="shared" si="3"/>
        <v>Refrigerator-Bottom Freezer-Automatic-No-No-No-No</v>
      </c>
      <c r="N22" s="123" t="str">
        <f t="shared" si="1"/>
        <v>5</v>
      </c>
      <c r="O22" s="107">
        <f t="shared" si="2"/>
        <v>8.85</v>
      </c>
      <c r="P22" s="108">
        <f t="shared" si="0"/>
        <v>317</v>
      </c>
    </row>
    <row r="23" spans="1:16" ht="26.25" thickBot="1">
      <c r="A23" s="93" t="s">
        <v>257</v>
      </c>
      <c r="C23" s="100" t="s">
        <v>258</v>
      </c>
      <c r="D23" s="95" t="s">
        <v>259</v>
      </c>
      <c r="E23" s="96" t="s">
        <v>260</v>
      </c>
      <c r="F23" s="124" t="s">
        <v>184</v>
      </c>
      <c r="G23" s="97" t="s">
        <v>191</v>
      </c>
      <c r="H23" s="97" t="s">
        <v>162</v>
      </c>
      <c r="I23" s="97" t="s">
        <v>163</v>
      </c>
      <c r="J23" s="97" t="s">
        <v>182</v>
      </c>
      <c r="K23" s="97" t="s">
        <v>163</v>
      </c>
      <c r="L23" s="97" t="s">
        <v>163</v>
      </c>
      <c r="M23" s="97" t="str">
        <f t="shared" si="3"/>
        <v>Refrigerator-Bottom Freezer-Automatic-No-Yes-No-No</v>
      </c>
      <c r="N23" s="98" t="str">
        <f t="shared" si="1"/>
        <v>5-BI</v>
      </c>
      <c r="O23" s="99">
        <f t="shared" si="2"/>
        <v>9.4</v>
      </c>
      <c r="P23" s="112">
        <f t="shared" si="0"/>
        <v>336.9</v>
      </c>
    </row>
    <row r="24" spans="1:16" ht="26.25" thickBot="1">
      <c r="A24" s="93" t="s">
        <v>261</v>
      </c>
      <c r="C24" s="100" t="s">
        <v>262</v>
      </c>
      <c r="D24" s="95" t="s">
        <v>263</v>
      </c>
      <c r="E24" s="96" t="s">
        <v>264</v>
      </c>
      <c r="F24" s="124" t="s">
        <v>184</v>
      </c>
      <c r="G24" s="97" t="s">
        <v>191</v>
      </c>
      <c r="H24" s="97" t="s">
        <v>162</v>
      </c>
      <c r="I24" s="97" t="s">
        <v>163</v>
      </c>
      <c r="J24" s="97" t="s">
        <v>163</v>
      </c>
      <c r="K24" s="97" t="s">
        <v>163</v>
      </c>
      <c r="L24" s="97" t="s">
        <v>182</v>
      </c>
      <c r="M24" s="97" t="str">
        <f t="shared" si="3"/>
        <v>Refrigerator-Bottom Freezer-Automatic-No-No-No-Yes</v>
      </c>
      <c r="N24" s="98" t="str">
        <f t="shared" si="1"/>
        <v>5I</v>
      </c>
      <c r="O24" s="99">
        <f t="shared" si="2"/>
        <v>8.85</v>
      </c>
      <c r="P24" s="112">
        <f t="shared" si="0"/>
        <v>401</v>
      </c>
    </row>
    <row r="25" spans="1:16" ht="26.25" thickBot="1">
      <c r="A25" s="93" t="s">
        <v>265</v>
      </c>
      <c r="C25" s="100" t="s">
        <v>266</v>
      </c>
      <c r="D25" s="95" t="s">
        <v>267</v>
      </c>
      <c r="E25" s="96" t="s">
        <v>268</v>
      </c>
      <c r="F25" s="124" t="s">
        <v>184</v>
      </c>
      <c r="G25" s="97" t="s">
        <v>191</v>
      </c>
      <c r="H25" s="97" t="s">
        <v>162</v>
      </c>
      <c r="I25" s="97" t="s">
        <v>163</v>
      </c>
      <c r="J25" s="97" t="s">
        <v>182</v>
      </c>
      <c r="K25" s="97" t="s">
        <v>163</v>
      </c>
      <c r="L25" s="97" t="s">
        <v>182</v>
      </c>
      <c r="M25" s="97" t="str">
        <f t="shared" si="3"/>
        <v>Refrigerator-Bottom Freezer-Automatic-No-Yes-No-Yes</v>
      </c>
      <c r="N25" s="98" t="str">
        <f t="shared" si="1"/>
        <v>5I-BI</v>
      </c>
      <c r="O25" s="99">
        <f t="shared" si="2"/>
        <v>9.4</v>
      </c>
      <c r="P25" s="112">
        <f t="shared" si="0"/>
        <v>420.9</v>
      </c>
    </row>
    <row r="26" spans="1:16" ht="26.25" thickBot="1">
      <c r="A26" s="93" t="s">
        <v>269</v>
      </c>
      <c r="C26" s="100" t="s">
        <v>270</v>
      </c>
      <c r="D26" s="95" t="s">
        <v>271</v>
      </c>
      <c r="E26" s="96" t="s">
        <v>272</v>
      </c>
      <c r="F26" s="124" t="s">
        <v>184</v>
      </c>
      <c r="G26" s="97" t="s">
        <v>191</v>
      </c>
      <c r="H26" s="97" t="s">
        <v>162</v>
      </c>
      <c r="I26" s="97" t="s">
        <v>163</v>
      </c>
      <c r="J26" s="97" t="s">
        <v>163</v>
      </c>
      <c r="K26" s="97" t="s">
        <v>182</v>
      </c>
      <c r="L26" s="97" t="s">
        <v>182</v>
      </c>
      <c r="M26" s="97" t="str">
        <f t="shared" si="3"/>
        <v>Refrigerator-Bottom Freezer-Automatic-No-No-Yes-Yes</v>
      </c>
      <c r="N26" s="98" t="str">
        <f t="shared" si="1"/>
        <v>5A</v>
      </c>
      <c r="O26" s="99">
        <f t="shared" si="2"/>
        <v>9.25</v>
      </c>
      <c r="P26" s="112">
        <f t="shared" si="0"/>
        <v>475.4</v>
      </c>
    </row>
    <row r="27" spans="1:16" ht="26.25" thickBot="1">
      <c r="A27" s="93" t="s">
        <v>273</v>
      </c>
      <c r="C27" s="100" t="s">
        <v>274</v>
      </c>
      <c r="D27" s="95" t="s">
        <v>275</v>
      </c>
      <c r="E27" s="96" t="s">
        <v>276</v>
      </c>
      <c r="F27" s="125" t="s">
        <v>184</v>
      </c>
      <c r="G27" s="126" t="s">
        <v>191</v>
      </c>
      <c r="H27" s="126" t="s">
        <v>162</v>
      </c>
      <c r="I27" s="126" t="s">
        <v>163</v>
      </c>
      <c r="J27" s="126" t="s">
        <v>182</v>
      </c>
      <c r="K27" s="126" t="s">
        <v>182</v>
      </c>
      <c r="L27" s="126" t="s">
        <v>182</v>
      </c>
      <c r="M27" s="126" t="str">
        <f t="shared" si="3"/>
        <v>Refrigerator-Bottom Freezer-Automatic-No-Yes-Yes-Yes</v>
      </c>
      <c r="N27" s="127" t="str">
        <f t="shared" si="1"/>
        <v>5A-BI</v>
      </c>
      <c r="O27" s="116">
        <f t="shared" si="2"/>
        <v>9.83</v>
      </c>
      <c r="P27" s="117">
        <f t="shared" si="0"/>
        <v>499.9</v>
      </c>
    </row>
    <row r="28" spans="1:16" ht="26.25" thickBot="1">
      <c r="A28" s="93">
        <v>6</v>
      </c>
      <c r="C28" s="100" t="s">
        <v>277</v>
      </c>
      <c r="D28" s="95" t="s">
        <v>278</v>
      </c>
      <c r="E28" s="96" t="s">
        <v>279</v>
      </c>
      <c r="F28" s="128" t="s">
        <v>184</v>
      </c>
      <c r="G28" s="129" t="s">
        <v>193</v>
      </c>
      <c r="H28" s="129" t="s">
        <v>162</v>
      </c>
      <c r="I28" s="129" t="s">
        <v>163</v>
      </c>
      <c r="J28" s="129" t="s">
        <v>163</v>
      </c>
      <c r="K28" s="129" t="s">
        <v>182</v>
      </c>
      <c r="L28" s="129" t="s">
        <v>182</v>
      </c>
      <c r="M28" s="129" t="str">
        <f t="shared" si="3"/>
        <v>Refrigerator-Top Freezer-Automatic-No-No-Yes-Yes</v>
      </c>
      <c r="N28" s="130" t="str">
        <f t="shared" si="1"/>
        <v>6</v>
      </c>
      <c r="O28" s="131">
        <f t="shared" si="2"/>
        <v>8.4</v>
      </c>
      <c r="P28" s="132">
        <f t="shared" si="0"/>
        <v>385.4</v>
      </c>
    </row>
    <row r="29" spans="1:16" ht="26.25" thickBot="1">
      <c r="A29" s="93">
        <v>7</v>
      </c>
      <c r="C29" s="100" t="s">
        <v>280</v>
      </c>
      <c r="D29" s="95" t="s">
        <v>281</v>
      </c>
      <c r="E29" s="96" t="s">
        <v>282</v>
      </c>
      <c r="F29" s="121" t="s">
        <v>184</v>
      </c>
      <c r="G29" s="122" t="s">
        <v>192</v>
      </c>
      <c r="H29" s="122" t="s">
        <v>162</v>
      </c>
      <c r="I29" s="122" t="s">
        <v>163</v>
      </c>
      <c r="J29" s="122" t="s">
        <v>163</v>
      </c>
      <c r="K29" s="122" t="s">
        <v>182</v>
      </c>
      <c r="L29" s="122" t="s">
        <v>182</v>
      </c>
      <c r="M29" s="122" t="str">
        <f t="shared" si="3"/>
        <v>Refrigerator-Side-by-Side-Automatic-No-No-Yes-Yes</v>
      </c>
      <c r="N29" s="123" t="str">
        <f t="shared" si="1"/>
        <v>7</v>
      </c>
      <c r="O29" s="107">
        <f t="shared" si="2"/>
        <v>8.5399999999999991</v>
      </c>
      <c r="P29" s="108">
        <f t="shared" si="0"/>
        <v>432.8</v>
      </c>
    </row>
    <row r="30" spans="1:16" ht="26.25" thickBot="1">
      <c r="A30" s="93" t="s">
        <v>283</v>
      </c>
      <c r="C30" s="100" t="s">
        <v>284</v>
      </c>
      <c r="D30" s="95" t="s">
        <v>285</v>
      </c>
      <c r="E30" s="96" t="s">
        <v>286</v>
      </c>
      <c r="F30" s="125" t="s">
        <v>184</v>
      </c>
      <c r="G30" s="126" t="s">
        <v>192</v>
      </c>
      <c r="H30" s="126" t="s">
        <v>162</v>
      </c>
      <c r="I30" s="126" t="s">
        <v>163</v>
      </c>
      <c r="J30" s="126" t="s">
        <v>182</v>
      </c>
      <c r="K30" s="126" t="s">
        <v>182</v>
      </c>
      <c r="L30" s="126" t="s">
        <v>182</v>
      </c>
      <c r="M30" s="126" t="str">
        <f t="shared" si="3"/>
        <v>Refrigerator-Side-by-Side-Automatic-No-Yes-Yes-Yes</v>
      </c>
      <c r="N30" s="127" t="str">
        <f t="shared" si="1"/>
        <v>7-BI</v>
      </c>
      <c r="O30" s="116">
        <f t="shared" si="2"/>
        <v>10.25</v>
      </c>
      <c r="P30" s="117">
        <f t="shared" si="0"/>
        <v>502.6</v>
      </c>
    </row>
    <row r="31" spans="1:16" ht="30.75" customHeight="1" thickBot="1">
      <c r="A31" s="93">
        <v>8</v>
      </c>
      <c r="C31" s="100" t="s">
        <v>287</v>
      </c>
      <c r="D31" s="95" t="s">
        <v>288</v>
      </c>
      <c r="E31" s="96" t="s">
        <v>289</v>
      </c>
      <c r="F31" s="133" t="s">
        <v>189</v>
      </c>
      <c r="G31" s="134" t="s">
        <v>187</v>
      </c>
      <c r="H31" s="134" t="s">
        <v>188</v>
      </c>
      <c r="I31" s="134" t="s">
        <v>163</v>
      </c>
      <c r="J31" s="134" t="s">
        <v>163</v>
      </c>
      <c r="K31" s="134" t="s">
        <v>163</v>
      </c>
      <c r="L31" s="134" t="s">
        <v>163</v>
      </c>
      <c r="M31" s="134" t="str">
        <f t="shared" si="3"/>
        <v>Freezer-Upright Freezer-Manual-No-No-No-No</v>
      </c>
      <c r="N31" s="135" t="str">
        <f t="shared" si="1"/>
        <v>8</v>
      </c>
      <c r="O31" s="136">
        <f t="shared" si="2"/>
        <v>5.57</v>
      </c>
      <c r="P31" s="137">
        <f t="shared" si="0"/>
        <v>193.7</v>
      </c>
    </row>
    <row r="32" spans="1:16" ht="15.75" thickBot="1">
      <c r="A32" s="93">
        <v>9</v>
      </c>
      <c r="C32" s="100" t="s">
        <v>290</v>
      </c>
      <c r="D32" s="95" t="s">
        <v>291</v>
      </c>
      <c r="E32" s="96" t="s">
        <v>292</v>
      </c>
      <c r="F32" s="124" t="s">
        <v>189</v>
      </c>
      <c r="G32" s="97" t="s">
        <v>187</v>
      </c>
      <c r="H32" s="97" t="s">
        <v>162</v>
      </c>
      <c r="I32" s="97" t="s">
        <v>163</v>
      </c>
      <c r="J32" s="97" t="s">
        <v>163</v>
      </c>
      <c r="K32" s="97" t="s">
        <v>163</v>
      </c>
      <c r="L32" s="97" t="s">
        <v>163</v>
      </c>
      <c r="M32" s="97" t="str">
        <f t="shared" si="3"/>
        <v>Freezer-Upright Freezer-Automatic-No-No-No-No</v>
      </c>
      <c r="N32" s="98" t="str">
        <f t="shared" si="1"/>
        <v>9</v>
      </c>
      <c r="O32" s="99">
        <f t="shared" si="2"/>
        <v>8.6199999999999992</v>
      </c>
      <c r="P32" s="112">
        <f t="shared" si="0"/>
        <v>228.3</v>
      </c>
    </row>
    <row r="33" spans="1:16" ht="15.75" thickBot="1">
      <c r="A33" s="93" t="s">
        <v>293</v>
      </c>
      <c r="C33" s="100" t="s">
        <v>294</v>
      </c>
      <c r="D33" s="95" t="s">
        <v>295</v>
      </c>
      <c r="E33" s="96" t="s">
        <v>296</v>
      </c>
      <c r="F33" s="124" t="s">
        <v>189</v>
      </c>
      <c r="G33" s="97" t="s">
        <v>187</v>
      </c>
      <c r="H33" s="97" t="s">
        <v>162</v>
      </c>
      <c r="I33" s="97" t="s">
        <v>163</v>
      </c>
      <c r="J33" s="97" t="s">
        <v>163</v>
      </c>
      <c r="K33" s="97" t="s">
        <v>163</v>
      </c>
      <c r="L33" s="97" t="s">
        <v>182</v>
      </c>
      <c r="M33" s="97" t="str">
        <f t="shared" si="3"/>
        <v>Freezer-Upright Freezer-Automatic-No-No-No-Yes</v>
      </c>
      <c r="N33" s="98" t="str">
        <f t="shared" si="1"/>
        <v>9I</v>
      </c>
      <c r="O33" s="99">
        <f t="shared" si="2"/>
        <v>8.6199999999999992</v>
      </c>
      <c r="P33" s="112">
        <f t="shared" si="0"/>
        <v>312.3</v>
      </c>
    </row>
    <row r="34" spans="1:16" ht="26.25" thickBot="1">
      <c r="A34" s="93" t="s">
        <v>297</v>
      </c>
      <c r="C34" s="100" t="s">
        <v>298</v>
      </c>
      <c r="D34" s="95" t="s">
        <v>299</v>
      </c>
      <c r="E34" s="96" t="s">
        <v>300</v>
      </c>
      <c r="F34" s="124" t="s">
        <v>189</v>
      </c>
      <c r="G34" s="97" t="s">
        <v>187</v>
      </c>
      <c r="H34" s="97" t="s">
        <v>162</v>
      </c>
      <c r="I34" s="97" t="s">
        <v>163</v>
      </c>
      <c r="J34" s="97" t="s">
        <v>182</v>
      </c>
      <c r="K34" s="97" t="s">
        <v>163</v>
      </c>
      <c r="L34" s="97" t="s">
        <v>163</v>
      </c>
      <c r="M34" s="97" t="str">
        <f t="shared" si="3"/>
        <v>Freezer-Upright Freezer-Automatic-No-Yes-No-No</v>
      </c>
      <c r="N34" s="98" t="str">
        <f t="shared" si="1"/>
        <v>9-BI</v>
      </c>
      <c r="O34" s="99">
        <f t="shared" si="2"/>
        <v>9.86</v>
      </c>
      <c r="P34" s="112">
        <f t="shared" si="0"/>
        <v>260.89999999999998</v>
      </c>
    </row>
    <row r="35" spans="1:16" ht="30.75" customHeight="1" thickBot="1">
      <c r="A35" s="93" t="s">
        <v>301</v>
      </c>
      <c r="C35" s="100" t="s">
        <v>302</v>
      </c>
      <c r="D35" s="95" t="s">
        <v>303</v>
      </c>
      <c r="E35" s="96" t="s">
        <v>304</v>
      </c>
      <c r="F35" s="125" t="s">
        <v>189</v>
      </c>
      <c r="G35" s="126" t="s">
        <v>187</v>
      </c>
      <c r="H35" s="126" t="s">
        <v>162</v>
      </c>
      <c r="I35" s="126" t="s">
        <v>163</v>
      </c>
      <c r="J35" s="126" t="s">
        <v>182</v>
      </c>
      <c r="K35" s="126" t="s">
        <v>163</v>
      </c>
      <c r="L35" s="126" t="s">
        <v>182</v>
      </c>
      <c r="M35" s="126" t="str">
        <f t="shared" si="3"/>
        <v>Freezer-Upright Freezer-Automatic-No-Yes-No-Yes</v>
      </c>
      <c r="N35" s="127" t="str">
        <f t="shared" si="1"/>
        <v>9I-BI</v>
      </c>
      <c r="O35" s="116">
        <f t="shared" si="2"/>
        <v>9.86</v>
      </c>
      <c r="P35" s="117">
        <f t="shared" si="0"/>
        <v>344.9</v>
      </c>
    </row>
    <row r="36" spans="1:16" ht="15.75" thickBot="1">
      <c r="A36" s="93">
        <v>10</v>
      </c>
      <c r="C36" s="100" t="s">
        <v>305</v>
      </c>
      <c r="D36" s="95" t="s">
        <v>306</v>
      </c>
      <c r="E36" s="96" t="s">
        <v>307</v>
      </c>
      <c r="F36" s="138" t="s">
        <v>189</v>
      </c>
      <c r="G36" s="138" t="s">
        <v>190</v>
      </c>
      <c r="H36" s="138" t="s">
        <v>188</v>
      </c>
      <c r="I36" s="138" t="s">
        <v>163</v>
      </c>
      <c r="J36" s="138" t="s">
        <v>163</v>
      </c>
      <c r="K36" s="138" t="s">
        <v>163</v>
      </c>
      <c r="L36" s="138" t="s">
        <v>163</v>
      </c>
      <c r="M36" s="138" t="str">
        <f t="shared" si="3"/>
        <v>Freezer-Chest Freezer-Manual-No-No-No-No</v>
      </c>
      <c r="N36" s="139" t="str">
        <f t="shared" si="1"/>
        <v>10</v>
      </c>
      <c r="O36" s="120">
        <f t="shared" si="2"/>
        <v>7.29</v>
      </c>
      <c r="P36" s="120">
        <f t="shared" si="0"/>
        <v>107.8</v>
      </c>
    </row>
    <row r="37" spans="1:16" ht="15.75" thickBot="1">
      <c r="A37" s="93" t="s">
        <v>308</v>
      </c>
      <c r="B37" s="140"/>
      <c r="C37" s="100" t="s">
        <v>309</v>
      </c>
      <c r="D37" s="95" t="s">
        <v>310</v>
      </c>
      <c r="E37" s="96" t="s">
        <v>311</v>
      </c>
      <c r="F37" s="141" t="s">
        <v>189</v>
      </c>
      <c r="G37" s="141" t="s">
        <v>190</v>
      </c>
      <c r="H37" s="141" t="s">
        <v>162</v>
      </c>
      <c r="I37" s="141" t="s">
        <v>163</v>
      </c>
      <c r="J37" s="141" t="s">
        <v>163</v>
      </c>
      <c r="K37" s="141" t="s">
        <v>163</v>
      </c>
      <c r="L37" s="141" t="s">
        <v>163</v>
      </c>
      <c r="M37" s="141" t="str">
        <f t="shared" si="3"/>
        <v>Freezer-Chest Freezer-Automatic-No-No-No-No</v>
      </c>
      <c r="N37" s="142" t="str">
        <f t="shared" si="1"/>
        <v>10A</v>
      </c>
      <c r="O37" s="103">
        <f t="shared" si="2"/>
        <v>10.24</v>
      </c>
      <c r="P37" s="103">
        <f t="shared" si="0"/>
        <v>148.1</v>
      </c>
    </row>
    <row r="38" spans="1:16" ht="26.25" thickBot="1">
      <c r="A38" s="93">
        <v>11</v>
      </c>
      <c r="C38" s="100" t="s">
        <v>312</v>
      </c>
      <c r="D38" s="95" t="s">
        <v>313</v>
      </c>
      <c r="E38" s="96" t="s">
        <v>314</v>
      </c>
      <c r="F38" s="101" t="s">
        <v>184</v>
      </c>
      <c r="G38" s="101" t="s">
        <v>194</v>
      </c>
      <c r="H38" s="101" t="s">
        <v>188</v>
      </c>
      <c r="I38" s="101" t="s">
        <v>182</v>
      </c>
      <c r="J38" s="101" t="s">
        <v>163</v>
      </c>
      <c r="K38" s="101" t="s">
        <v>163</v>
      </c>
      <c r="L38" s="101" t="s">
        <v>163</v>
      </c>
      <c r="M38" s="101"/>
      <c r="N38" s="102" t="str">
        <f t="shared" si="1"/>
        <v>11</v>
      </c>
      <c r="O38" s="103">
        <f t="shared" si="2"/>
        <v>9.0299999999999994</v>
      </c>
      <c r="P38" s="103">
        <f t="shared" si="0"/>
        <v>252.3</v>
      </c>
    </row>
    <row r="39" spans="1:16" ht="15.75" thickBot="1">
      <c r="A39" s="93" t="s">
        <v>315</v>
      </c>
      <c r="C39" s="100" t="s">
        <v>316</v>
      </c>
      <c r="D39" s="95" t="s">
        <v>317</v>
      </c>
      <c r="E39" s="96" t="s">
        <v>318</v>
      </c>
      <c r="F39" s="128" t="s">
        <v>184</v>
      </c>
      <c r="G39" s="129" t="s">
        <v>194</v>
      </c>
      <c r="H39" s="129" t="s">
        <v>188</v>
      </c>
      <c r="I39" s="129" t="s">
        <v>182</v>
      </c>
      <c r="J39" s="129" t="s">
        <v>163</v>
      </c>
      <c r="K39" s="129" t="s">
        <v>163</v>
      </c>
      <c r="L39" s="129" t="s">
        <v>163</v>
      </c>
      <c r="M39" s="129" t="str">
        <f t="shared" si="3"/>
        <v>Refrigerator-Compact-Manual-Yes-No-No-No</v>
      </c>
      <c r="N39" s="130" t="str">
        <f t="shared" si="1"/>
        <v>11A</v>
      </c>
      <c r="O39" s="131">
        <f t="shared" si="2"/>
        <v>7.84</v>
      </c>
      <c r="P39" s="132">
        <f t="shared" si="0"/>
        <v>219.1</v>
      </c>
    </row>
    <row r="40" spans="1:16" ht="15.75" thickBot="1">
      <c r="A40" s="93">
        <v>12</v>
      </c>
      <c r="C40" s="100" t="s">
        <v>319</v>
      </c>
      <c r="D40" s="95" t="s">
        <v>320</v>
      </c>
      <c r="E40" s="96" t="s">
        <v>321</v>
      </c>
      <c r="F40" s="118" t="s">
        <v>184</v>
      </c>
      <c r="G40" s="118" t="s">
        <v>194</v>
      </c>
      <c r="H40" s="118" t="s">
        <v>162</v>
      </c>
      <c r="I40" s="118" t="s">
        <v>182</v>
      </c>
      <c r="J40" s="118" t="s">
        <v>163</v>
      </c>
      <c r="K40" s="118" t="s">
        <v>163</v>
      </c>
      <c r="L40" s="118" t="s">
        <v>163</v>
      </c>
      <c r="M40" s="118"/>
      <c r="N40" s="119" t="str">
        <f t="shared" si="1"/>
        <v>12</v>
      </c>
      <c r="O40" s="120">
        <f t="shared" si="2"/>
        <v>5.91</v>
      </c>
      <c r="P40" s="120">
        <f t="shared" si="0"/>
        <v>335.8</v>
      </c>
    </row>
    <row r="41" spans="1:16" ht="26.25" thickBot="1">
      <c r="A41" s="93">
        <v>13</v>
      </c>
      <c r="C41" s="100" t="s">
        <v>322</v>
      </c>
      <c r="D41" s="95" t="s">
        <v>323</v>
      </c>
      <c r="E41" s="96" t="s">
        <v>324</v>
      </c>
      <c r="F41" s="118" t="s">
        <v>184</v>
      </c>
      <c r="G41" s="118" t="s">
        <v>194</v>
      </c>
      <c r="H41" s="118" t="s">
        <v>162</v>
      </c>
      <c r="I41" s="118" t="s">
        <v>182</v>
      </c>
      <c r="J41" s="118" t="s">
        <v>163</v>
      </c>
      <c r="K41" s="118" t="s">
        <v>163</v>
      </c>
      <c r="L41" s="118" t="s">
        <v>163</v>
      </c>
      <c r="M41" s="118"/>
      <c r="N41" s="119" t="str">
        <f t="shared" si="1"/>
        <v>13</v>
      </c>
      <c r="O41" s="120">
        <f t="shared" si="2"/>
        <v>11.8</v>
      </c>
      <c r="P41" s="120">
        <f t="shared" si="0"/>
        <v>339.2</v>
      </c>
    </row>
    <row r="42" spans="1:16" ht="26.25" thickBot="1">
      <c r="A42" s="93" t="s">
        <v>325</v>
      </c>
      <c r="C42" s="100" t="s">
        <v>326</v>
      </c>
      <c r="D42" s="95" t="s">
        <v>327</v>
      </c>
      <c r="E42" s="96" t="s">
        <v>328</v>
      </c>
      <c r="F42" s="101" t="s">
        <v>184</v>
      </c>
      <c r="G42" s="101" t="s">
        <v>194</v>
      </c>
      <c r="H42" s="101" t="s">
        <v>162</v>
      </c>
      <c r="I42" s="101" t="s">
        <v>182</v>
      </c>
      <c r="J42" s="101" t="s">
        <v>163</v>
      </c>
      <c r="K42" s="101" t="s">
        <v>163</v>
      </c>
      <c r="L42" s="101" t="s">
        <v>182</v>
      </c>
      <c r="M42" s="101"/>
      <c r="N42" s="102" t="str">
        <f t="shared" si="1"/>
        <v>13I</v>
      </c>
      <c r="O42" s="103">
        <f t="shared" si="2"/>
        <v>11.8</v>
      </c>
      <c r="P42" s="103">
        <f t="shared" si="0"/>
        <v>423.2</v>
      </c>
    </row>
    <row r="43" spans="1:16" ht="15.75" thickBot="1">
      <c r="A43" s="93" t="s">
        <v>329</v>
      </c>
      <c r="C43" s="100" t="s">
        <v>330</v>
      </c>
      <c r="D43" s="95" t="s">
        <v>331</v>
      </c>
      <c r="E43" s="96" t="s">
        <v>332</v>
      </c>
      <c r="F43" s="128" t="s">
        <v>184</v>
      </c>
      <c r="G43" s="129" t="s">
        <v>194</v>
      </c>
      <c r="H43" s="129" t="s">
        <v>162</v>
      </c>
      <c r="I43" s="129" t="s">
        <v>182</v>
      </c>
      <c r="J43" s="129" t="s">
        <v>163</v>
      </c>
      <c r="K43" s="129" t="s">
        <v>163</v>
      </c>
      <c r="L43" s="129" t="s">
        <v>163</v>
      </c>
      <c r="M43" s="129" t="str">
        <f t="shared" si="3"/>
        <v>Refrigerator-Compact-Automatic-Yes-No-No-No</v>
      </c>
      <c r="N43" s="130" t="str">
        <f t="shared" si="1"/>
        <v>13A</v>
      </c>
      <c r="O43" s="143">
        <f t="shared" si="2"/>
        <v>9.17</v>
      </c>
      <c r="P43" s="144">
        <f t="shared" si="0"/>
        <v>259.3</v>
      </c>
    </row>
    <row r="44" spans="1:16" ht="26.25" thickBot="1">
      <c r="A44" s="93">
        <v>14</v>
      </c>
      <c r="C44" s="100" t="s">
        <v>333</v>
      </c>
      <c r="D44" s="95" t="s">
        <v>334</v>
      </c>
      <c r="E44" s="96" t="s">
        <v>335</v>
      </c>
      <c r="F44" s="118" t="s">
        <v>184</v>
      </c>
      <c r="G44" s="118" t="s">
        <v>194</v>
      </c>
      <c r="H44" s="118" t="s">
        <v>162</v>
      </c>
      <c r="I44" s="118" t="s">
        <v>182</v>
      </c>
      <c r="J44" s="118" t="s">
        <v>163</v>
      </c>
      <c r="K44" s="118" t="s">
        <v>163</v>
      </c>
      <c r="L44" s="118" t="s">
        <v>163</v>
      </c>
      <c r="M44" s="118"/>
      <c r="N44" s="119" t="str">
        <f t="shared" si="1"/>
        <v>14</v>
      </c>
      <c r="O44" s="120">
        <f t="shared" si="2"/>
        <v>6.82</v>
      </c>
      <c r="P44" s="120">
        <f t="shared" si="0"/>
        <v>456.9</v>
      </c>
    </row>
    <row r="45" spans="1:16" ht="26.25" thickBot="1">
      <c r="A45" s="93" t="s">
        <v>336</v>
      </c>
      <c r="C45" s="100" t="s">
        <v>337</v>
      </c>
      <c r="D45" s="95" t="s">
        <v>338</v>
      </c>
      <c r="E45" s="96" t="s">
        <v>339</v>
      </c>
      <c r="F45" s="97" t="s">
        <v>184</v>
      </c>
      <c r="G45" s="97" t="s">
        <v>194</v>
      </c>
      <c r="H45" s="97" t="s">
        <v>162</v>
      </c>
      <c r="I45" s="97" t="s">
        <v>182</v>
      </c>
      <c r="J45" s="97" t="s">
        <v>163</v>
      </c>
      <c r="K45" s="97" t="s">
        <v>163</v>
      </c>
      <c r="L45" s="97" t="s">
        <v>182</v>
      </c>
      <c r="M45" s="97"/>
      <c r="N45" s="98" t="str">
        <f t="shared" si="1"/>
        <v>14I</v>
      </c>
      <c r="O45" s="99">
        <f t="shared" si="2"/>
        <v>6.82</v>
      </c>
      <c r="P45" s="99">
        <f t="shared" si="0"/>
        <v>540.9</v>
      </c>
    </row>
    <row r="46" spans="1:16" ht="26.25" thickBot="1">
      <c r="A46" s="93">
        <v>15</v>
      </c>
      <c r="C46" s="100" t="s">
        <v>340</v>
      </c>
      <c r="D46" s="95" t="s">
        <v>323</v>
      </c>
      <c r="E46" s="96" t="s">
        <v>324</v>
      </c>
      <c r="F46" s="97" t="s">
        <v>184</v>
      </c>
      <c r="G46" s="97" t="s">
        <v>194</v>
      </c>
      <c r="H46" s="97" t="s">
        <v>162</v>
      </c>
      <c r="I46" s="97" t="s">
        <v>182</v>
      </c>
      <c r="J46" s="97" t="s">
        <v>163</v>
      </c>
      <c r="K46" s="97" t="s">
        <v>163</v>
      </c>
      <c r="L46" s="97" t="s">
        <v>163</v>
      </c>
      <c r="M46" s="97"/>
      <c r="N46" s="98" t="str">
        <f t="shared" si="1"/>
        <v>15</v>
      </c>
      <c r="O46" s="99">
        <f t="shared" si="2"/>
        <v>11.8</v>
      </c>
      <c r="P46" s="99">
        <f t="shared" si="0"/>
        <v>339.2</v>
      </c>
    </row>
    <row r="47" spans="1:16" ht="26.25" thickBot="1">
      <c r="A47" s="93" t="s">
        <v>341</v>
      </c>
      <c r="C47" s="100" t="s">
        <v>342</v>
      </c>
      <c r="D47" s="95" t="s">
        <v>327</v>
      </c>
      <c r="E47" s="96" t="s">
        <v>328</v>
      </c>
      <c r="F47" s="101" t="s">
        <v>184</v>
      </c>
      <c r="G47" s="101" t="s">
        <v>194</v>
      </c>
      <c r="H47" s="101" t="s">
        <v>162</v>
      </c>
      <c r="I47" s="101" t="s">
        <v>182</v>
      </c>
      <c r="J47" s="101" t="s">
        <v>163</v>
      </c>
      <c r="K47" s="101" t="s">
        <v>163</v>
      </c>
      <c r="L47" s="101" t="s">
        <v>182</v>
      </c>
      <c r="M47" s="101"/>
      <c r="N47" s="102" t="str">
        <f t="shared" si="1"/>
        <v>15I</v>
      </c>
      <c r="O47" s="103">
        <f t="shared" si="2"/>
        <v>11.8</v>
      </c>
      <c r="P47" s="103">
        <f t="shared" si="0"/>
        <v>423.2</v>
      </c>
    </row>
    <row r="48" spans="1:16" ht="15.75" thickBot="1">
      <c r="A48" s="93">
        <v>16</v>
      </c>
      <c r="C48" s="100" t="s">
        <v>343</v>
      </c>
      <c r="D48" s="95" t="s">
        <v>344</v>
      </c>
      <c r="E48" s="96" t="s">
        <v>345</v>
      </c>
      <c r="F48" s="104" t="s">
        <v>189</v>
      </c>
      <c r="G48" s="105" t="s">
        <v>187</v>
      </c>
      <c r="H48" s="105" t="s">
        <v>188</v>
      </c>
      <c r="I48" s="105" t="s">
        <v>182</v>
      </c>
      <c r="J48" s="105" t="s">
        <v>163</v>
      </c>
      <c r="K48" s="105" t="s">
        <v>163</v>
      </c>
      <c r="L48" s="105" t="s">
        <v>163</v>
      </c>
      <c r="M48" s="105" t="str">
        <f t="shared" si="3"/>
        <v>Freezer-Upright Freezer-Manual-Yes-No-No-No</v>
      </c>
      <c r="N48" s="106" t="str">
        <f t="shared" si="1"/>
        <v>16</v>
      </c>
      <c r="O48" s="145">
        <f t="shared" si="2"/>
        <v>8.65</v>
      </c>
      <c r="P48" s="146">
        <f t="shared" si="0"/>
        <v>225.7</v>
      </c>
    </row>
    <row r="49" spans="1:16" ht="15.75" thickBot="1">
      <c r="A49" s="93">
        <v>17</v>
      </c>
      <c r="C49" s="100" t="s">
        <v>346</v>
      </c>
      <c r="D49" s="95" t="s">
        <v>347</v>
      </c>
      <c r="E49" s="96" t="s">
        <v>348</v>
      </c>
      <c r="F49" s="113" t="s">
        <v>189</v>
      </c>
      <c r="G49" s="114" t="s">
        <v>187</v>
      </c>
      <c r="H49" s="114" t="s">
        <v>162</v>
      </c>
      <c r="I49" s="114" t="s">
        <v>182</v>
      </c>
      <c r="J49" s="114" t="s">
        <v>163</v>
      </c>
      <c r="K49" s="114" t="s">
        <v>163</v>
      </c>
      <c r="L49" s="114" t="s">
        <v>163</v>
      </c>
      <c r="M49" s="114" t="str">
        <f t="shared" si="3"/>
        <v>Freezer-Upright Freezer-Automatic-Yes-No-No-No</v>
      </c>
      <c r="N49" s="115" t="str">
        <f t="shared" si="1"/>
        <v>17</v>
      </c>
      <c r="O49" s="147">
        <f t="shared" si="2"/>
        <v>10.17</v>
      </c>
      <c r="P49" s="148">
        <f t="shared" si="0"/>
        <v>351.9</v>
      </c>
    </row>
    <row r="50" spans="1:16" ht="15.75" thickBot="1">
      <c r="A50" s="93">
        <v>18</v>
      </c>
      <c r="C50" s="100" t="s">
        <v>349</v>
      </c>
      <c r="D50" s="95" t="s">
        <v>350</v>
      </c>
      <c r="E50" s="96" t="s">
        <v>351</v>
      </c>
      <c r="F50" s="149" t="s">
        <v>189</v>
      </c>
      <c r="G50" s="150" t="s">
        <v>190</v>
      </c>
      <c r="H50" s="150" t="s">
        <v>188</v>
      </c>
      <c r="I50" s="150" t="s">
        <v>182</v>
      </c>
      <c r="J50" s="150" t="s">
        <v>163</v>
      </c>
      <c r="K50" s="150" t="s">
        <v>163</v>
      </c>
      <c r="L50" s="150" t="s">
        <v>163</v>
      </c>
      <c r="M50" s="150" t="str">
        <f t="shared" si="3"/>
        <v>Freezer-Chest Freezer-Manual-Yes-No-No-No</v>
      </c>
      <c r="N50" s="151" t="str">
        <f t="shared" si="1"/>
        <v>18</v>
      </c>
      <c r="O50" s="131">
        <f t="shared" si="2"/>
        <v>9.25</v>
      </c>
      <c r="P50" s="132">
        <f t="shared" si="0"/>
        <v>136.80000000000001</v>
      </c>
    </row>
    <row r="51" spans="1:16">
      <c r="C51" s="562" t="s">
        <v>352</v>
      </c>
      <c r="D51" s="562"/>
      <c r="E51" s="152"/>
      <c r="G51" s="153"/>
    </row>
    <row r="52" spans="1:16">
      <c r="C52" s="562" t="s">
        <v>353</v>
      </c>
      <c r="D52" s="562"/>
      <c r="E52" s="152"/>
      <c r="G52" s="153"/>
    </row>
    <row r="53" spans="1:16">
      <c r="C53" s="562" t="s">
        <v>354</v>
      </c>
      <c r="D53" s="562"/>
      <c r="E53" s="154"/>
      <c r="G53" s="153"/>
    </row>
    <row r="54" spans="1:16" ht="25.5">
      <c r="C54" s="155" t="s">
        <v>355</v>
      </c>
      <c r="D54" s="155"/>
      <c r="E54" s="154"/>
      <c r="G54" s="153"/>
    </row>
    <row r="55" spans="1:16">
      <c r="C55" s="155" t="s">
        <v>356</v>
      </c>
      <c r="D55" s="155"/>
      <c r="E55" s="154"/>
      <c r="G55" s="153"/>
    </row>
    <row r="57" spans="1:16" ht="15">
      <c r="A57" s="89"/>
      <c r="B57" s="89"/>
      <c r="C57" s="90" t="s">
        <v>4050</v>
      </c>
      <c r="D57" s="89"/>
      <c r="E57" s="89"/>
      <c r="F57" s="89"/>
      <c r="G57" s="89"/>
    </row>
    <row r="58" spans="1:16">
      <c r="C58" s="267" t="s">
        <v>4051</v>
      </c>
    </row>
    <row r="109" spans="3:3">
      <c r="C109" s="9" t="s">
        <v>3958</v>
      </c>
    </row>
    <row r="110" spans="3:3">
      <c r="C110" s="195" t="s">
        <v>3959</v>
      </c>
    </row>
  </sheetData>
  <mergeCells count="5">
    <mergeCell ref="C7:C8"/>
    <mergeCell ref="D7:E7"/>
    <mergeCell ref="C51:D51"/>
    <mergeCell ref="C52:D52"/>
    <mergeCell ref="C53:D53"/>
  </mergeCells>
  <dataValidations count="2">
    <dataValidation type="list" allowBlank="1" showInputMessage="1" showErrorMessage="1" sqref="G9:G50">
      <formula1>$G$3:$G$3</formula1>
    </dataValidation>
    <dataValidation type="list" allowBlank="1" showInputMessage="1" showErrorMessage="1" sqref="F9:F50 H9:L50">
      <formula1>#REF!</formula1>
    </dataValidation>
  </dataValidations>
  <hyperlinks>
    <hyperlink ref="C110" r:id="rId1" location="!documentDetail;D=EERE-2008-BT-STD-0012-0128"/>
  </hyperlinks>
  <pageMargins left="0.7" right="0.7" top="0.75" bottom="0.75" header="0.3" footer="0.3"/>
  <drawing r:id="rId2"/>
  <legacyDrawing r:id="rId3"/>
</worksheet>
</file>

<file path=xl/worksheets/sheet21.xml><?xml version="1.0" encoding="utf-8"?>
<worksheet xmlns="http://schemas.openxmlformats.org/spreadsheetml/2006/main" xmlns:r="http://schemas.openxmlformats.org/officeDocument/2006/relationships">
  <sheetPr codeName="Sheet26"/>
  <dimension ref="A1:F16"/>
  <sheetViews>
    <sheetView workbookViewId="0">
      <selection activeCell="C22" sqref="C22"/>
    </sheetView>
  </sheetViews>
  <sheetFormatPr defaultRowHeight="12.75"/>
  <cols>
    <col min="1" max="1" width="14.28515625" style="9" customWidth="1"/>
    <col min="2" max="5" width="14.7109375" style="9" customWidth="1"/>
    <col min="6" max="16384" width="9.140625" style="9"/>
  </cols>
  <sheetData>
    <row r="1" spans="1:6">
      <c r="A1" s="185" t="s">
        <v>3942</v>
      </c>
    </row>
    <row r="2" spans="1:6">
      <c r="A2" s="185" t="s">
        <v>3943</v>
      </c>
    </row>
    <row r="3" spans="1:6">
      <c r="A3" s="185"/>
    </row>
    <row r="4" spans="1:6">
      <c r="A4" s="186" t="s">
        <v>3944</v>
      </c>
      <c r="B4" s="187"/>
      <c r="C4" s="187"/>
      <c r="D4" s="187"/>
      <c r="E4" s="187"/>
    </row>
    <row r="5" spans="1:6" ht="63.75">
      <c r="A5" s="188"/>
      <c r="B5" s="189" t="s">
        <v>3945</v>
      </c>
      <c r="C5" s="189" t="s">
        <v>3946</v>
      </c>
      <c r="D5" s="189" t="s">
        <v>3947</v>
      </c>
      <c r="E5" s="189" t="s">
        <v>3948</v>
      </c>
    </row>
    <row r="6" spans="1:6">
      <c r="A6" s="190" t="s">
        <v>3949</v>
      </c>
      <c r="B6" s="191">
        <v>17.100000000000001</v>
      </c>
      <c r="C6" s="191">
        <v>22.7</v>
      </c>
      <c r="D6" s="191">
        <v>5.62</v>
      </c>
      <c r="E6" s="191">
        <v>7.46</v>
      </c>
    </row>
    <row r="7" spans="1:6">
      <c r="A7" s="192" t="s">
        <v>3950</v>
      </c>
      <c r="B7" s="193">
        <f>B10+(B11-50)*(1/(B11-B13))</f>
        <v>15.18</v>
      </c>
      <c r="C7" s="193">
        <f>C10+(C11-50)*(1/(C11-C13))</f>
        <v>21.73469387755102</v>
      </c>
      <c r="D7" s="193">
        <f>D10+(D11-50)*(1/(D11-D13))</f>
        <v>4.6742424242424248</v>
      </c>
      <c r="E7" s="193">
        <f>E10+(E11-50)*(1/(E11-E13))</f>
        <v>6.5377358490566042</v>
      </c>
      <c r="F7" s="181" t="s">
        <v>3951</v>
      </c>
    </row>
    <row r="8" spans="1:6">
      <c r="A8" s="185"/>
      <c r="B8" s="38"/>
      <c r="C8" s="38"/>
      <c r="D8" s="38"/>
      <c r="E8" s="38"/>
    </row>
    <row r="9" spans="1:6">
      <c r="A9" s="194" t="s">
        <v>3952</v>
      </c>
      <c r="B9" s="38"/>
      <c r="C9" s="38"/>
      <c r="D9" s="38"/>
      <c r="E9" s="38"/>
    </row>
    <row r="10" spans="1:6">
      <c r="A10" s="52" t="s">
        <v>3953</v>
      </c>
      <c r="B10" s="9">
        <v>15</v>
      </c>
      <c r="C10" s="9">
        <v>21</v>
      </c>
      <c r="D10" s="9">
        <v>4</v>
      </c>
      <c r="E10" s="9">
        <v>6</v>
      </c>
    </row>
    <row r="11" spans="1:6">
      <c r="A11" s="52" t="s">
        <v>3954</v>
      </c>
      <c r="B11" s="9">
        <v>50.9</v>
      </c>
      <c r="C11" s="9">
        <v>53.6</v>
      </c>
      <c r="D11" s="9">
        <v>58.9</v>
      </c>
      <c r="E11" s="9">
        <v>55.7</v>
      </c>
    </row>
    <row r="12" spans="1:6">
      <c r="A12" s="52" t="s">
        <v>3955</v>
      </c>
      <c r="B12" s="9">
        <v>16</v>
      </c>
      <c r="C12" s="9">
        <v>22</v>
      </c>
      <c r="D12" s="9">
        <v>5</v>
      </c>
      <c r="E12" s="9">
        <v>7</v>
      </c>
    </row>
    <row r="13" spans="1:6">
      <c r="A13" s="52" t="s">
        <v>3956</v>
      </c>
      <c r="B13" s="9">
        <v>45.9</v>
      </c>
      <c r="C13" s="9">
        <v>48.7</v>
      </c>
      <c r="D13" s="9">
        <v>45.7</v>
      </c>
      <c r="E13" s="9">
        <v>45.1</v>
      </c>
    </row>
    <row r="16" spans="1:6">
      <c r="E16" s="194" t="s">
        <v>3957</v>
      </c>
    </row>
  </sheetData>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sheetPr codeName="Sheet9"/>
  <dimension ref="A1:AA2577"/>
  <sheetViews>
    <sheetView workbookViewId="0">
      <selection activeCell="A7" sqref="A7"/>
    </sheetView>
  </sheetViews>
  <sheetFormatPr defaultRowHeight="12.75"/>
  <cols>
    <col min="1" max="1" width="9.140625" style="9"/>
    <col min="2" max="2" width="17.28515625" style="9" customWidth="1"/>
    <col min="3" max="3" width="15.5703125" style="9" customWidth="1"/>
    <col min="4" max="4" width="12.5703125" style="9" customWidth="1"/>
    <col min="5" max="19" width="9.140625" style="9"/>
    <col min="20" max="20" width="19.28515625" style="9" customWidth="1"/>
    <col min="21" max="16384" width="9.140625" style="9"/>
  </cols>
  <sheetData>
    <row r="1" spans="1:4">
      <c r="A1" s="52" t="s">
        <v>1559</v>
      </c>
    </row>
    <row r="2" spans="1:4" ht="51">
      <c r="B2" s="173" t="s">
        <v>1560</v>
      </c>
      <c r="C2" s="173" t="s">
        <v>4709</v>
      </c>
      <c r="D2" s="173" t="s">
        <v>1561</v>
      </c>
    </row>
    <row r="3" spans="1:4">
      <c r="A3" s="9" t="s">
        <v>4984</v>
      </c>
      <c r="B3" s="174">
        <f>W23</f>
        <v>0.87832484436898695</v>
      </c>
      <c r="C3" s="175">
        <f>B3*$C$12</f>
        <v>0.12296547821165818</v>
      </c>
      <c r="D3" s="176">
        <f>$D$12*B3</f>
        <v>8.6471663882417612E-3</v>
      </c>
    </row>
    <row r="4" spans="1:4">
      <c r="A4" s="9" t="s">
        <v>4985</v>
      </c>
      <c r="B4" s="174">
        <f t="shared" ref="B4:B6" si="0">W24</f>
        <v>0.45702005730659023</v>
      </c>
      <c r="C4" s="175">
        <f t="shared" ref="C4:C6" si="1">B4*$C$12</f>
        <v>6.3982808022922638E-2</v>
      </c>
      <c r="D4" s="176">
        <f t="shared" ref="D4:D6" si="2">$D$12*B4</f>
        <v>4.4993927971296839E-3</v>
      </c>
    </row>
    <row r="5" spans="1:4">
      <c r="A5" s="27" t="s">
        <v>189</v>
      </c>
      <c r="B5" s="174">
        <f t="shared" si="0"/>
        <v>0.77142857142857146</v>
      </c>
      <c r="C5" s="175">
        <f t="shared" si="1"/>
        <v>0.10800000000000001</v>
      </c>
      <c r="D5" s="176">
        <f t="shared" si="2"/>
        <v>7.5947654863149153E-3</v>
      </c>
    </row>
    <row r="6" spans="1:4">
      <c r="A6" s="27" t="s">
        <v>4986</v>
      </c>
      <c r="B6" s="174">
        <f t="shared" si="0"/>
        <v>0.43333333333333335</v>
      </c>
      <c r="C6" s="175">
        <f t="shared" si="1"/>
        <v>6.0666666666666674E-2</v>
      </c>
      <c r="D6" s="176">
        <f t="shared" si="2"/>
        <v>4.2661954274978847E-3</v>
      </c>
    </row>
    <row r="10" spans="1:4">
      <c r="A10" s="52" t="s">
        <v>1562</v>
      </c>
    </row>
    <row r="11" spans="1:4" ht="63.75">
      <c r="B11" s="177" t="s">
        <v>4692</v>
      </c>
      <c r="C11" s="177" t="s">
        <v>4693</v>
      </c>
      <c r="D11" s="177" t="s">
        <v>4694</v>
      </c>
    </row>
    <row r="12" spans="1:4" ht="38.25">
      <c r="B12" s="178" t="s">
        <v>4695</v>
      </c>
      <c r="C12" s="179">
        <v>0.14000000000000001</v>
      </c>
      <c r="D12" s="180">
        <v>9.8450663711489635E-3</v>
      </c>
    </row>
    <row r="17" spans="1:27">
      <c r="A17" s="52" t="s">
        <v>1563</v>
      </c>
    </row>
    <row r="18" spans="1:27">
      <c r="A18" s="9" t="s">
        <v>1564</v>
      </c>
    </row>
    <row r="19" spans="1:27">
      <c r="Z19" s="181" t="s">
        <v>1565</v>
      </c>
    </row>
    <row r="20" spans="1:27">
      <c r="A20" s="182" t="s">
        <v>1566</v>
      </c>
      <c r="B20" s="182"/>
      <c r="C20" s="182"/>
      <c r="D20" s="182"/>
      <c r="E20" s="182"/>
      <c r="F20" s="182"/>
      <c r="G20" s="182"/>
      <c r="H20" s="182"/>
      <c r="I20" s="182"/>
      <c r="J20" s="182"/>
      <c r="K20" s="182"/>
      <c r="L20" s="182"/>
      <c r="M20" s="182"/>
      <c r="O20" s="183" t="s">
        <v>1567</v>
      </c>
      <c r="P20" s="183"/>
      <c r="Q20" s="183"/>
      <c r="R20" s="183"/>
      <c r="S20" s="183"/>
      <c r="T20" s="183"/>
      <c r="U20" s="183"/>
      <c r="V20" s="183"/>
      <c r="W20" s="183"/>
      <c r="X20" s="183"/>
      <c r="Z20" s="52" t="s">
        <v>1568</v>
      </c>
      <c r="AA20" s="52" t="s">
        <v>1569</v>
      </c>
    </row>
    <row r="21" spans="1:27">
      <c r="A21" s="52" t="s">
        <v>1570</v>
      </c>
      <c r="B21" s="52" t="s">
        <v>1571</v>
      </c>
      <c r="C21" s="52" t="s">
        <v>1572</v>
      </c>
      <c r="D21" s="52" t="s">
        <v>1573</v>
      </c>
      <c r="E21" s="52" t="s">
        <v>1574</v>
      </c>
      <c r="F21" s="52" t="s">
        <v>1575</v>
      </c>
      <c r="G21" s="52" t="s">
        <v>1576</v>
      </c>
      <c r="H21" s="52" t="s">
        <v>1577</v>
      </c>
      <c r="I21" s="52" t="s">
        <v>1578</v>
      </c>
      <c r="J21" s="52" t="s">
        <v>1579</v>
      </c>
      <c r="K21" s="52" t="s">
        <v>1580</v>
      </c>
      <c r="L21" s="52" t="s">
        <v>1581</v>
      </c>
      <c r="M21" s="52" t="s">
        <v>1582</v>
      </c>
      <c r="O21" s="52" t="s">
        <v>1583</v>
      </c>
      <c r="P21" s="52" t="s">
        <v>1584</v>
      </c>
      <c r="Q21" s="52" t="s">
        <v>1585</v>
      </c>
      <c r="U21" s="52" t="s">
        <v>1586</v>
      </c>
      <c r="Z21" s="9" t="s">
        <v>1587</v>
      </c>
      <c r="AA21" s="9" t="s">
        <v>1588</v>
      </c>
    </row>
    <row r="22" spans="1:27">
      <c r="A22" s="9">
        <v>10002</v>
      </c>
      <c r="B22" s="9">
        <v>1</v>
      </c>
      <c r="C22" s="9" t="s">
        <v>1589</v>
      </c>
      <c r="D22" s="9" t="s">
        <v>1590</v>
      </c>
      <c r="E22" s="9" t="s">
        <v>1591</v>
      </c>
      <c r="F22" s="9" t="s">
        <v>1589</v>
      </c>
      <c r="G22" s="9" t="s">
        <v>1592</v>
      </c>
      <c r="H22" s="9" t="s">
        <v>1552</v>
      </c>
      <c r="I22" s="9" t="s">
        <v>1593</v>
      </c>
      <c r="J22" s="9" t="s">
        <v>1587</v>
      </c>
      <c r="K22" s="9">
        <v>1</v>
      </c>
      <c r="L22" s="9">
        <v>18</v>
      </c>
      <c r="M22" s="9">
        <v>2008</v>
      </c>
      <c r="O22" s="9" t="str">
        <f>IF(L22&lt;7.75,"YES","NO")</f>
        <v>NO</v>
      </c>
      <c r="P22" s="9" t="str">
        <f>VLOOKUP(J22,$Z$21:$AA$27,2,FALSE)</f>
        <v>YES</v>
      </c>
      <c r="Q22" s="9" t="str">
        <f>G22</f>
        <v>Conditioned</v>
      </c>
      <c r="S22" s="52" t="s">
        <v>194</v>
      </c>
      <c r="T22" s="52" t="s">
        <v>1594</v>
      </c>
      <c r="U22" s="52" t="s">
        <v>1592</v>
      </c>
      <c r="V22" s="52" t="s">
        <v>1595</v>
      </c>
      <c r="W22" s="52" t="s">
        <v>1596</v>
      </c>
      <c r="Z22" s="9" t="s">
        <v>1597</v>
      </c>
      <c r="AA22" s="9" t="s">
        <v>1598</v>
      </c>
    </row>
    <row r="23" spans="1:27">
      <c r="A23" s="9">
        <v>10002</v>
      </c>
      <c r="B23" s="9">
        <v>2</v>
      </c>
      <c r="C23" s="9" t="s">
        <v>1589</v>
      </c>
      <c r="D23" s="9" t="s">
        <v>1590</v>
      </c>
      <c r="E23" s="9" t="s">
        <v>1591</v>
      </c>
      <c r="F23" s="9" t="s">
        <v>1589</v>
      </c>
      <c r="G23" s="9" t="s">
        <v>1592</v>
      </c>
      <c r="H23" s="9" t="s">
        <v>1599</v>
      </c>
      <c r="I23" s="9" t="s">
        <v>1600</v>
      </c>
      <c r="J23" s="9" t="s">
        <v>1597</v>
      </c>
      <c r="K23" s="9">
        <v>1</v>
      </c>
      <c r="L23" s="9">
        <v>18</v>
      </c>
      <c r="M23" s="9">
        <v>1995</v>
      </c>
      <c r="O23" s="9" t="str">
        <f t="shared" ref="O23:O86" si="3">IF(L23&lt;7.75,"YES","NO")</f>
        <v>NO</v>
      </c>
      <c r="P23" s="9" t="str">
        <f t="shared" ref="P23:P86" si="4">VLOOKUP(J23,$Z$21:$AA$27,2,FALSE)</f>
        <v>NO</v>
      </c>
      <c r="Q23" s="9" t="str">
        <f t="shared" ref="Q23:Q86" si="5">G23</f>
        <v>Conditioned</v>
      </c>
      <c r="S23" s="9" t="s">
        <v>1598</v>
      </c>
      <c r="T23" s="9" t="s">
        <v>1598</v>
      </c>
      <c r="U23" s="9">
        <f>COUNTIFS($O$22:$O$2577,S23,$P$22:$P$2577,T23,$Q$22:$Q$2577,U$22)</f>
        <v>1552</v>
      </c>
      <c r="V23" s="9">
        <f>COUNTIFS($O$22:$O$2577,S23,$P$22:$P$2577,T23)</f>
        <v>1767</v>
      </c>
      <c r="W23" s="184">
        <f>U23/V23</f>
        <v>0.87832484436898695</v>
      </c>
      <c r="Z23" s="9" t="s">
        <v>1601</v>
      </c>
      <c r="AA23" s="9" t="s">
        <v>1598</v>
      </c>
    </row>
    <row r="24" spans="1:27">
      <c r="A24" s="9">
        <v>10005</v>
      </c>
      <c r="B24" s="9">
        <v>1</v>
      </c>
      <c r="C24" s="9" t="s">
        <v>1589</v>
      </c>
      <c r="D24" s="9" t="s">
        <v>1590</v>
      </c>
      <c r="E24" s="9" t="s">
        <v>1602</v>
      </c>
      <c r="F24" s="9" t="s">
        <v>1603</v>
      </c>
      <c r="G24" s="9" t="s">
        <v>1592</v>
      </c>
      <c r="H24" s="9" t="s">
        <v>170</v>
      </c>
      <c r="I24" s="9" t="s">
        <v>1604</v>
      </c>
      <c r="J24" s="9" t="s">
        <v>1601</v>
      </c>
      <c r="K24" s="9">
        <v>1</v>
      </c>
      <c r="L24" s="9">
        <v>23</v>
      </c>
      <c r="M24" s="9">
        <v>2005</v>
      </c>
      <c r="O24" s="9" t="str">
        <f t="shared" si="3"/>
        <v>NO</v>
      </c>
      <c r="P24" s="9" t="str">
        <f t="shared" si="4"/>
        <v>NO</v>
      </c>
      <c r="Q24" s="9" t="str">
        <f t="shared" si="5"/>
        <v>Conditioned</v>
      </c>
      <c r="S24" s="9" t="s">
        <v>1598</v>
      </c>
      <c r="T24" s="9" t="s">
        <v>1588</v>
      </c>
      <c r="U24" s="9">
        <f>COUNTIFS($O$22:$O$2577,S24,$P$22:$P$2577,T24,$Q$22:$Q$2577,U$22)</f>
        <v>319</v>
      </c>
      <c r="V24" s="9">
        <f>COUNTIFS($O$22:$O$2577,S24,$P$22:$P$2577,T24)</f>
        <v>698</v>
      </c>
      <c r="W24" s="184">
        <f t="shared" ref="W24:W26" si="6">U24/V24</f>
        <v>0.45702005730659023</v>
      </c>
      <c r="Z24" s="9" t="s">
        <v>1605</v>
      </c>
      <c r="AA24" s="9" t="s">
        <v>1588</v>
      </c>
    </row>
    <row r="25" spans="1:27">
      <c r="A25" s="9">
        <v>10005</v>
      </c>
      <c r="B25" s="9">
        <v>2</v>
      </c>
      <c r="C25" s="9" t="s">
        <v>1589</v>
      </c>
      <c r="D25" s="9" t="s">
        <v>1590</v>
      </c>
      <c r="E25" s="9" t="s">
        <v>1591</v>
      </c>
      <c r="F25" s="9" t="s">
        <v>1589</v>
      </c>
      <c r="G25" s="9" t="s">
        <v>1606</v>
      </c>
      <c r="H25" s="9" t="s">
        <v>1589</v>
      </c>
      <c r="I25" s="9" t="s">
        <v>1607</v>
      </c>
      <c r="J25" s="9" t="s">
        <v>1605</v>
      </c>
      <c r="K25" s="9">
        <v>1</v>
      </c>
      <c r="L25" s="9">
        <v>13</v>
      </c>
      <c r="O25" s="9" t="str">
        <f t="shared" si="3"/>
        <v>NO</v>
      </c>
      <c r="P25" s="9" t="str">
        <f t="shared" si="4"/>
        <v>YES</v>
      </c>
      <c r="Q25" s="9" t="str">
        <f t="shared" si="5"/>
        <v>Unconditioned</v>
      </c>
      <c r="S25" s="9" t="s">
        <v>1588</v>
      </c>
      <c r="T25" s="9" t="s">
        <v>1598</v>
      </c>
      <c r="U25" s="9">
        <f>COUNTIFS($O$22:$O$2577,S25,$P$22:$P$2577,T25,$Q$22:$Q$2577,U$22)</f>
        <v>27</v>
      </c>
      <c r="V25" s="9">
        <f>COUNTIFS($O$22:$O$2577,S25,$P$22:$P$2577,T25)</f>
        <v>35</v>
      </c>
      <c r="W25" s="184">
        <f t="shared" si="6"/>
        <v>0.77142857142857146</v>
      </c>
      <c r="Z25" s="9" t="s">
        <v>1608</v>
      </c>
      <c r="AA25" s="9" t="s">
        <v>1598</v>
      </c>
    </row>
    <row r="26" spans="1:27">
      <c r="A26" s="9">
        <v>10011</v>
      </c>
      <c r="B26" s="9">
        <v>1</v>
      </c>
      <c r="C26" s="9" t="s">
        <v>1589</v>
      </c>
      <c r="D26" s="9" t="s">
        <v>1590</v>
      </c>
      <c r="E26" s="9" t="s">
        <v>1602</v>
      </c>
      <c r="F26" s="9" t="s">
        <v>1603</v>
      </c>
      <c r="G26" s="9" t="s">
        <v>1592</v>
      </c>
      <c r="H26" s="9" t="s">
        <v>174</v>
      </c>
      <c r="I26" s="9" t="s">
        <v>1609</v>
      </c>
      <c r="J26" s="9" t="s">
        <v>1601</v>
      </c>
      <c r="K26" s="9">
        <v>1</v>
      </c>
      <c r="L26" s="9">
        <v>25</v>
      </c>
      <c r="M26" s="9">
        <v>1999</v>
      </c>
      <c r="O26" s="9" t="str">
        <f t="shared" si="3"/>
        <v>NO</v>
      </c>
      <c r="P26" s="9" t="str">
        <f t="shared" si="4"/>
        <v>NO</v>
      </c>
      <c r="Q26" s="9" t="str">
        <f t="shared" si="5"/>
        <v>Conditioned</v>
      </c>
      <c r="S26" s="9" t="s">
        <v>1588</v>
      </c>
      <c r="T26" s="9" t="s">
        <v>1588</v>
      </c>
      <c r="U26" s="9">
        <f>COUNTIFS($O$22:$O$2577,S26,$P$22:$P$2577,T26,$Q$22:$Q$2577,U$22)</f>
        <v>13</v>
      </c>
      <c r="V26" s="9">
        <f>COUNTIFS($O$22:$O$2577,S26,$P$22:$P$2577,T26)</f>
        <v>30</v>
      </c>
      <c r="W26" s="184">
        <f t="shared" si="6"/>
        <v>0.43333333333333335</v>
      </c>
      <c r="Z26" s="9" t="s">
        <v>1610</v>
      </c>
      <c r="AA26" s="9" t="s">
        <v>1598</v>
      </c>
    </row>
    <row r="27" spans="1:27">
      <c r="A27" s="9">
        <v>10016</v>
      </c>
      <c r="B27" s="9">
        <v>1</v>
      </c>
      <c r="C27" s="9" t="s">
        <v>1589</v>
      </c>
      <c r="D27" s="9" t="s">
        <v>1590</v>
      </c>
      <c r="E27" s="9" t="s">
        <v>1602</v>
      </c>
      <c r="F27" s="9" t="s">
        <v>1603</v>
      </c>
      <c r="G27" s="9" t="s">
        <v>1592</v>
      </c>
      <c r="H27" s="9" t="s">
        <v>170</v>
      </c>
      <c r="I27" s="9" t="s">
        <v>1611</v>
      </c>
      <c r="J27" s="9" t="s">
        <v>1608</v>
      </c>
      <c r="K27" s="9">
        <v>1</v>
      </c>
      <c r="L27" s="9">
        <v>24</v>
      </c>
      <c r="M27" s="9">
        <v>2010</v>
      </c>
      <c r="O27" s="9" t="str">
        <f t="shared" si="3"/>
        <v>NO</v>
      </c>
      <c r="P27" s="9" t="str">
        <f t="shared" si="4"/>
        <v>NO</v>
      </c>
      <c r="Q27" s="9" t="str">
        <f t="shared" si="5"/>
        <v>Conditioned</v>
      </c>
      <c r="Z27" s="9" t="s">
        <v>1612</v>
      </c>
      <c r="AA27" s="9" t="s">
        <v>1598</v>
      </c>
    </row>
    <row r="28" spans="1:27">
      <c r="A28" s="9">
        <v>10016</v>
      </c>
      <c r="B28" s="9">
        <v>2</v>
      </c>
      <c r="C28" s="9" t="s">
        <v>1589</v>
      </c>
      <c r="D28" s="9" t="s">
        <v>1590</v>
      </c>
      <c r="E28" s="9" t="s">
        <v>1613</v>
      </c>
      <c r="F28" s="9" t="s">
        <v>1590</v>
      </c>
      <c r="G28" s="9" t="s">
        <v>1592</v>
      </c>
      <c r="H28" s="9" t="s">
        <v>170</v>
      </c>
      <c r="I28" s="9" t="s">
        <v>1614</v>
      </c>
      <c r="J28" s="9" t="s">
        <v>1597</v>
      </c>
      <c r="K28" s="9">
        <v>1</v>
      </c>
      <c r="L28" s="9">
        <v>22</v>
      </c>
      <c r="M28" s="9">
        <v>2003</v>
      </c>
      <c r="O28" s="9" t="str">
        <f t="shared" si="3"/>
        <v>NO</v>
      </c>
      <c r="P28" s="9" t="str">
        <f t="shared" si="4"/>
        <v>NO</v>
      </c>
      <c r="Q28" s="9" t="str">
        <f t="shared" si="5"/>
        <v>Conditioned</v>
      </c>
      <c r="Z28" s="9" t="s">
        <v>1589</v>
      </c>
    </row>
    <row r="29" spans="1:27">
      <c r="A29" s="9">
        <v>10021</v>
      </c>
      <c r="B29" s="9">
        <v>1</v>
      </c>
      <c r="C29" s="9" t="s">
        <v>1589</v>
      </c>
      <c r="D29" s="9" t="s">
        <v>1590</v>
      </c>
      <c r="E29" s="9" t="s">
        <v>1591</v>
      </c>
      <c r="F29" s="9" t="s">
        <v>1589</v>
      </c>
      <c r="G29" s="9" t="s">
        <v>1592</v>
      </c>
      <c r="H29" s="9" t="s">
        <v>170</v>
      </c>
      <c r="I29" s="9" t="s">
        <v>1615</v>
      </c>
      <c r="J29" s="9" t="s">
        <v>1608</v>
      </c>
      <c r="K29" s="9">
        <v>1</v>
      </c>
      <c r="L29" s="9">
        <v>21</v>
      </c>
      <c r="M29" s="9">
        <v>1994</v>
      </c>
      <c r="O29" s="9" t="str">
        <f t="shared" si="3"/>
        <v>NO</v>
      </c>
      <c r="P29" s="9" t="str">
        <f t="shared" si="4"/>
        <v>NO</v>
      </c>
      <c r="Q29" s="9" t="str">
        <f t="shared" si="5"/>
        <v>Conditioned</v>
      </c>
    </row>
    <row r="30" spans="1:27">
      <c r="A30" s="9">
        <v>10030</v>
      </c>
      <c r="B30" s="9">
        <v>1</v>
      </c>
      <c r="C30" s="9" t="s">
        <v>1589</v>
      </c>
      <c r="D30" s="9" t="s">
        <v>1590</v>
      </c>
      <c r="E30" s="9" t="s">
        <v>1591</v>
      </c>
      <c r="F30" s="9" t="s">
        <v>1589</v>
      </c>
      <c r="G30" s="9" t="s">
        <v>1592</v>
      </c>
      <c r="H30" s="9" t="s">
        <v>169</v>
      </c>
      <c r="I30" s="9" t="s">
        <v>1616</v>
      </c>
      <c r="J30" s="9" t="s">
        <v>1605</v>
      </c>
      <c r="K30" s="9">
        <v>1</v>
      </c>
      <c r="L30" s="9">
        <v>19</v>
      </c>
      <c r="M30" s="9">
        <v>2007</v>
      </c>
      <c r="O30" s="9" t="str">
        <f t="shared" si="3"/>
        <v>NO</v>
      </c>
      <c r="P30" s="9" t="str">
        <f t="shared" si="4"/>
        <v>YES</v>
      </c>
      <c r="Q30" s="9" t="str">
        <f t="shared" si="5"/>
        <v>Conditioned</v>
      </c>
    </row>
    <row r="31" spans="1:27">
      <c r="A31" s="9">
        <v>10030</v>
      </c>
      <c r="B31" s="9">
        <v>2</v>
      </c>
      <c r="C31" s="9" t="s">
        <v>1589</v>
      </c>
      <c r="D31" s="9" t="s">
        <v>1590</v>
      </c>
      <c r="E31" s="9" t="s">
        <v>1591</v>
      </c>
      <c r="F31" s="9" t="s">
        <v>1589</v>
      </c>
      <c r="G31" s="9" t="s">
        <v>1592</v>
      </c>
      <c r="H31" s="9" t="s">
        <v>174</v>
      </c>
      <c r="I31" s="9" t="s">
        <v>1617</v>
      </c>
      <c r="J31" s="9" t="s">
        <v>1608</v>
      </c>
      <c r="K31" s="9">
        <v>1</v>
      </c>
      <c r="L31" s="9">
        <v>30</v>
      </c>
      <c r="M31" s="9">
        <v>2011</v>
      </c>
      <c r="O31" s="9" t="str">
        <f t="shared" si="3"/>
        <v>NO</v>
      </c>
      <c r="P31" s="9" t="str">
        <f t="shared" si="4"/>
        <v>NO</v>
      </c>
      <c r="Q31" s="9" t="str">
        <f t="shared" si="5"/>
        <v>Conditioned</v>
      </c>
    </row>
    <row r="32" spans="1:27">
      <c r="A32" s="9">
        <v>10040</v>
      </c>
      <c r="B32" s="9">
        <v>1</v>
      </c>
      <c r="C32" s="9" t="s">
        <v>1589</v>
      </c>
      <c r="D32" s="9" t="s">
        <v>1603</v>
      </c>
      <c r="E32" s="9" t="s">
        <v>1591</v>
      </c>
      <c r="F32" s="9" t="s">
        <v>1589</v>
      </c>
      <c r="G32" s="9" t="s">
        <v>1606</v>
      </c>
      <c r="H32" s="9" t="s">
        <v>170</v>
      </c>
      <c r="I32" s="9" t="s">
        <v>1618</v>
      </c>
      <c r="J32" s="9" t="s">
        <v>1605</v>
      </c>
      <c r="K32" s="9">
        <v>1</v>
      </c>
      <c r="L32" s="9">
        <v>16</v>
      </c>
      <c r="M32" s="9">
        <v>1997</v>
      </c>
      <c r="O32" s="9" t="str">
        <f t="shared" si="3"/>
        <v>NO</v>
      </c>
      <c r="P32" s="9" t="str">
        <f t="shared" si="4"/>
        <v>YES</v>
      </c>
      <c r="Q32" s="9" t="str">
        <f t="shared" si="5"/>
        <v>Unconditioned</v>
      </c>
    </row>
    <row r="33" spans="1:17">
      <c r="A33" s="9">
        <v>10040</v>
      </c>
      <c r="B33" s="9">
        <v>2</v>
      </c>
      <c r="C33" s="9" t="s">
        <v>1589</v>
      </c>
      <c r="D33" s="9" t="s">
        <v>1603</v>
      </c>
      <c r="E33" s="9" t="s">
        <v>1591</v>
      </c>
      <c r="F33" s="9" t="s">
        <v>1589</v>
      </c>
      <c r="G33" s="9" t="s">
        <v>1592</v>
      </c>
      <c r="H33" s="9" t="s">
        <v>170</v>
      </c>
      <c r="I33" s="9" t="s">
        <v>1619</v>
      </c>
      <c r="J33" s="9" t="s">
        <v>1608</v>
      </c>
      <c r="K33" s="9">
        <v>1</v>
      </c>
      <c r="L33" s="9">
        <v>17</v>
      </c>
      <c r="M33" s="9">
        <v>1994</v>
      </c>
      <c r="O33" s="9" t="str">
        <f t="shared" si="3"/>
        <v>NO</v>
      </c>
      <c r="P33" s="9" t="str">
        <f t="shared" si="4"/>
        <v>NO</v>
      </c>
      <c r="Q33" s="9" t="str">
        <f t="shared" si="5"/>
        <v>Conditioned</v>
      </c>
    </row>
    <row r="34" spans="1:17">
      <c r="A34" s="9">
        <v>10044</v>
      </c>
      <c r="B34" s="9">
        <v>1</v>
      </c>
      <c r="C34" s="9" t="s">
        <v>1589</v>
      </c>
      <c r="D34" s="9" t="s">
        <v>1590</v>
      </c>
      <c r="E34" s="9" t="s">
        <v>1591</v>
      </c>
      <c r="F34" s="9" t="s">
        <v>1589</v>
      </c>
      <c r="G34" s="9" t="s">
        <v>1606</v>
      </c>
      <c r="H34" s="9" t="s">
        <v>1589</v>
      </c>
      <c r="I34" s="9" t="s">
        <v>1589</v>
      </c>
      <c r="J34" s="9" t="s">
        <v>1587</v>
      </c>
      <c r="K34" s="9">
        <v>1</v>
      </c>
      <c r="L34" s="9">
        <v>27</v>
      </c>
      <c r="O34" s="9" t="str">
        <f t="shared" si="3"/>
        <v>NO</v>
      </c>
      <c r="P34" s="9" t="str">
        <f t="shared" si="4"/>
        <v>YES</v>
      </c>
      <c r="Q34" s="9" t="str">
        <f t="shared" si="5"/>
        <v>Unconditioned</v>
      </c>
    </row>
    <row r="35" spans="1:17">
      <c r="A35" s="9">
        <v>10044</v>
      </c>
      <c r="B35" s="9">
        <v>2</v>
      </c>
      <c r="C35" s="9" t="s">
        <v>1589</v>
      </c>
      <c r="D35" s="9" t="s">
        <v>1590</v>
      </c>
      <c r="E35" s="9" t="s">
        <v>1613</v>
      </c>
      <c r="F35" s="9" t="s">
        <v>1603</v>
      </c>
      <c r="G35" s="9" t="s">
        <v>1592</v>
      </c>
      <c r="H35" s="9" t="s">
        <v>173</v>
      </c>
      <c r="I35" s="9" t="s">
        <v>1620</v>
      </c>
      <c r="J35" s="9" t="s">
        <v>1601</v>
      </c>
      <c r="K35" s="9">
        <v>1</v>
      </c>
      <c r="L35" s="9">
        <v>27</v>
      </c>
      <c r="M35" s="9">
        <v>2004</v>
      </c>
      <c r="O35" s="9" t="str">
        <f t="shared" si="3"/>
        <v>NO</v>
      </c>
      <c r="P35" s="9" t="str">
        <f t="shared" si="4"/>
        <v>NO</v>
      </c>
      <c r="Q35" s="9" t="str">
        <f t="shared" si="5"/>
        <v>Conditioned</v>
      </c>
    </row>
    <row r="36" spans="1:17">
      <c r="A36" s="9">
        <v>10052</v>
      </c>
      <c r="B36" s="9">
        <v>1</v>
      </c>
      <c r="C36" s="9" t="s">
        <v>1589</v>
      </c>
      <c r="D36" s="9" t="s">
        <v>1590</v>
      </c>
      <c r="E36" s="9" t="s">
        <v>1613</v>
      </c>
      <c r="F36" s="9" t="s">
        <v>1603</v>
      </c>
      <c r="G36" s="9" t="s">
        <v>1592</v>
      </c>
      <c r="H36" s="9" t="s">
        <v>173</v>
      </c>
      <c r="I36" s="9" t="s">
        <v>1621</v>
      </c>
      <c r="J36" s="9" t="s">
        <v>1610</v>
      </c>
      <c r="K36" s="9">
        <v>1</v>
      </c>
      <c r="L36" s="9">
        <v>25</v>
      </c>
      <c r="M36" s="9">
        <v>2007</v>
      </c>
      <c r="O36" s="9" t="str">
        <f t="shared" si="3"/>
        <v>NO</v>
      </c>
      <c r="P36" s="9" t="str">
        <f t="shared" si="4"/>
        <v>NO</v>
      </c>
      <c r="Q36" s="9" t="str">
        <f t="shared" si="5"/>
        <v>Conditioned</v>
      </c>
    </row>
    <row r="37" spans="1:17">
      <c r="A37" s="9">
        <v>10052</v>
      </c>
      <c r="B37" s="9">
        <v>2</v>
      </c>
      <c r="C37" s="9" t="s">
        <v>1589</v>
      </c>
      <c r="D37" s="9" t="s">
        <v>1590</v>
      </c>
      <c r="E37" s="9" t="s">
        <v>1591</v>
      </c>
      <c r="F37" s="9" t="s">
        <v>1589</v>
      </c>
      <c r="G37" s="9" t="s">
        <v>1606</v>
      </c>
      <c r="H37" s="9" t="s">
        <v>172</v>
      </c>
      <c r="I37" s="9" t="s">
        <v>1622</v>
      </c>
      <c r="J37" s="9" t="s">
        <v>1597</v>
      </c>
      <c r="K37" s="9">
        <v>1</v>
      </c>
      <c r="L37" s="9">
        <v>18</v>
      </c>
      <c r="M37" s="9">
        <v>1990</v>
      </c>
      <c r="O37" s="9" t="str">
        <f t="shared" si="3"/>
        <v>NO</v>
      </c>
      <c r="P37" s="9" t="str">
        <f t="shared" si="4"/>
        <v>NO</v>
      </c>
      <c r="Q37" s="9" t="str">
        <f t="shared" si="5"/>
        <v>Unconditioned</v>
      </c>
    </row>
    <row r="38" spans="1:17">
      <c r="A38" s="9">
        <v>10055</v>
      </c>
      <c r="B38" s="9">
        <v>1</v>
      </c>
      <c r="C38" s="9" t="s">
        <v>1589</v>
      </c>
      <c r="D38" s="9" t="s">
        <v>1590</v>
      </c>
      <c r="E38" s="9" t="s">
        <v>1602</v>
      </c>
      <c r="F38" s="9" t="s">
        <v>1603</v>
      </c>
      <c r="G38" s="9" t="s">
        <v>1592</v>
      </c>
      <c r="H38" s="9" t="s">
        <v>174</v>
      </c>
      <c r="I38" s="9" t="s">
        <v>1623</v>
      </c>
      <c r="J38" s="9" t="s">
        <v>1601</v>
      </c>
      <c r="K38" s="9">
        <v>1</v>
      </c>
      <c r="L38" s="9">
        <v>22</v>
      </c>
      <c r="M38" s="9">
        <v>1995</v>
      </c>
      <c r="O38" s="9" t="str">
        <f t="shared" si="3"/>
        <v>NO</v>
      </c>
      <c r="P38" s="9" t="str">
        <f t="shared" si="4"/>
        <v>NO</v>
      </c>
      <c r="Q38" s="9" t="str">
        <f t="shared" si="5"/>
        <v>Conditioned</v>
      </c>
    </row>
    <row r="39" spans="1:17">
      <c r="A39" s="9">
        <v>10055</v>
      </c>
      <c r="B39" s="9">
        <v>2</v>
      </c>
      <c r="C39" s="9" t="s">
        <v>1589</v>
      </c>
      <c r="D39" s="9" t="s">
        <v>1590</v>
      </c>
      <c r="E39" s="9" t="s">
        <v>1589</v>
      </c>
      <c r="F39" s="9" t="s">
        <v>1589</v>
      </c>
      <c r="G39" s="9" t="s">
        <v>1592</v>
      </c>
      <c r="H39" s="9" t="s">
        <v>1624</v>
      </c>
      <c r="I39" s="9" t="s">
        <v>1625</v>
      </c>
      <c r="J39" s="9" t="s">
        <v>1605</v>
      </c>
      <c r="K39" s="9">
        <v>1</v>
      </c>
      <c r="L39" s="9">
        <v>18</v>
      </c>
      <c r="M39" s="9">
        <v>2000</v>
      </c>
      <c r="O39" s="9" t="str">
        <f t="shared" si="3"/>
        <v>NO</v>
      </c>
      <c r="P39" s="9" t="str">
        <f t="shared" si="4"/>
        <v>YES</v>
      </c>
      <c r="Q39" s="9" t="str">
        <f t="shared" si="5"/>
        <v>Conditioned</v>
      </c>
    </row>
    <row r="40" spans="1:17">
      <c r="A40" s="9">
        <v>10062</v>
      </c>
      <c r="B40" s="9">
        <v>1</v>
      </c>
      <c r="C40" s="9" t="s">
        <v>1589</v>
      </c>
      <c r="D40" s="9" t="s">
        <v>1590</v>
      </c>
      <c r="E40" s="9" t="s">
        <v>1602</v>
      </c>
      <c r="F40" s="9" t="s">
        <v>1603</v>
      </c>
      <c r="G40" s="9" t="s">
        <v>1592</v>
      </c>
      <c r="H40" s="9" t="s">
        <v>170</v>
      </c>
      <c r="I40" s="9" t="s">
        <v>1626</v>
      </c>
      <c r="J40" s="9" t="s">
        <v>1601</v>
      </c>
      <c r="K40" s="9">
        <v>1</v>
      </c>
      <c r="L40" s="9">
        <v>20</v>
      </c>
      <c r="M40" s="9">
        <v>2002</v>
      </c>
      <c r="O40" s="9" t="str">
        <f t="shared" si="3"/>
        <v>NO</v>
      </c>
      <c r="P40" s="9" t="str">
        <f t="shared" si="4"/>
        <v>NO</v>
      </c>
      <c r="Q40" s="9" t="str">
        <f t="shared" si="5"/>
        <v>Conditioned</v>
      </c>
    </row>
    <row r="41" spans="1:17">
      <c r="A41" s="9">
        <v>10062</v>
      </c>
      <c r="B41" s="9">
        <v>2</v>
      </c>
      <c r="C41" s="9" t="s">
        <v>1589</v>
      </c>
      <c r="D41" s="9" t="s">
        <v>1590</v>
      </c>
      <c r="E41" s="9" t="s">
        <v>1591</v>
      </c>
      <c r="F41" s="9" t="s">
        <v>1589</v>
      </c>
      <c r="G41" s="9" t="s">
        <v>1592</v>
      </c>
      <c r="H41" s="9" t="s">
        <v>172</v>
      </c>
      <c r="I41" s="9" t="s">
        <v>1627</v>
      </c>
      <c r="J41" s="9" t="s">
        <v>1597</v>
      </c>
      <c r="K41" s="9">
        <v>1</v>
      </c>
      <c r="L41" s="9">
        <v>18</v>
      </c>
      <c r="M41" s="9">
        <v>1998</v>
      </c>
      <c r="O41" s="9" t="str">
        <f t="shared" si="3"/>
        <v>NO</v>
      </c>
      <c r="P41" s="9" t="str">
        <f t="shared" si="4"/>
        <v>NO</v>
      </c>
      <c r="Q41" s="9" t="str">
        <f t="shared" si="5"/>
        <v>Conditioned</v>
      </c>
    </row>
    <row r="42" spans="1:17">
      <c r="A42" s="9">
        <v>10068</v>
      </c>
      <c r="B42" s="9">
        <v>1</v>
      </c>
      <c r="C42" s="9" t="s">
        <v>1589</v>
      </c>
      <c r="D42" s="9" t="s">
        <v>1603</v>
      </c>
      <c r="E42" s="9" t="s">
        <v>1602</v>
      </c>
      <c r="F42" s="9" t="s">
        <v>1603</v>
      </c>
      <c r="G42" s="9" t="s">
        <v>1592</v>
      </c>
      <c r="H42" s="9" t="s">
        <v>170</v>
      </c>
      <c r="I42" s="9" t="s">
        <v>1628</v>
      </c>
      <c r="J42" s="9" t="s">
        <v>1601</v>
      </c>
      <c r="K42" s="9">
        <v>1</v>
      </c>
      <c r="L42" s="9">
        <v>26</v>
      </c>
      <c r="M42" s="9">
        <v>2004</v>
      </c>
      <c r="O42" s="9" t="str">
        <f t="shared" si="3"/>
        <v>NO</v>
      </c>
      <c r="P42" s="9" t="str">
        <f t="shared" si="4"/>
        <v>NO</v>
      </c>
      <c r="Q42" s="9" t="str">
        <f t="shared" si="5"/>
        <v>Conditioned</v>
      </c>
    </row>
    <row r="43" spans="1:17">
      <c r="A43" s="9">
        <v>10079</v>
      </c>
      <c r="B43" s="9">
        <v>1</v>
      </c>
      <c r="C43" s="9" t="s">
        <v>1589</v>
      </c>
      <c r="D43" s="9" t="s">
        <v>1590</v>
      </c>
      <c r="E43" s="9" t="s">
        <v>1602</v>
      </c>
      <c r="F43" s="9" t="s">
        <v>1590</v>
      </c>
      <c r="G43" s="9" t="s">
        <v>1592</v>
      </c>
      <c r="H43" s="9" t="s">
        <v>170</v>
      </c>
      <c r="I43" s="9" t="s">
        <v>1629</v>
      </c>
      <c r="J43" s="9" t="s">
        <v>1601</v>
      </c>
      <c r="K43" s="9">
        <v>1</v>
      </c>
      <c r="L43" s="9">
        <v>22</v>
      </c>
      <c r="M43" s="9">
        <v>1999</v>
      </c>
      <c r="O43" s="9" t="str">
        <f t="shared" si="3"/>
        <v>NO</v>
      </c>
      <c r="P43" s="9" t="str">
        <f t="shared" si="4"/>
        <v>NO</v>
      </c>
      <c r="Q43" s="9" t="str">
        <f t="shared" si="5"/>
        <v>Conditioned</v>
      </c>
    </row>
    <row r="44" spans="1:17">
      <c r="A44" s="9">
        <v>10082</v>
      </c>
      <c r="B44" s="9">
        <v>1</v>
      </c>
      <c r="C44" s="9" t="s">
        <v>1589</v>
      </c>
      <c r="D44" s="9" t="s">
        <v>1590</v>
      </c>
      <c r="E44" s="9" t="s">
        <v>1591</v>
      </c>
      <c r="F44" s="9" t="s">
        <v>1589</v>
      </c>
      <c r="G44" s="9" t="s">
        <v>1592</v>
      </c>
      <c r="H44" s="9" t="s">
        <v>170</v>
      </c>
      <c r="I44" s="9" t="s">
        <v>1630</v>
      </c>
      <c r="J44" s="9" t="s">
        <v>1597</v>
      </c>
      <c r="K44" s="9">
        <v>1</v>
      </c>
      <c r="L44" s="9">
        <v>21</v>
      </c>
      <c r="M44" s="9">
        <v>1989</v>
      </c>
      <c r="O44" s="9" t="str">
        <f t="shared" si="3"/>
        <v>NO</v>
      </c>
      <c r="P44" s="9" t="str">
        <f t="shared" si="4"/>
        <v>NO</v>
      </c>
      <c r="Q44" s="9" t="str">
        <f t="shared" si="5"/>
        <v>Conditioned</v>
      </c>
    </row>
    <row r="45" spans="1:17">
      <c r="A45" s="9">
        <v>10083</v>
      </c>
      <c r="B45" s="9">
        <v>1</v>
      </c>
      <c r="C45" s="9" t="s">
        <v>1589</v>
      </c>
      <c r="D45" s="9" t="s">
        <v>1590</v>
      </c>
      <c r="E45" s="9" t="s">
        <v>1602</v>
      </c>
      <c r="F45" s="9" t="s">
        <v>1603</v>
      </c>
      <c r="G45" s="9" t="s">
        <v>1592</v>
      </c>
      <c r="H45" s="9" t="s">
        <v>177</v>
      </c>
      <c r="I45" s="9" t="s">
        <v>1631</v>
      </c>
      <c r="J45" s="9" t="s">
        <v>1601</v>
      </c>
      <c r="K45" s="9">
        <v>1</v>
      </c>
      <c r="L45" s="9">
        <v>18</v>
      </c>
      <c r="M45" s="9">
        <v>1994</v>
      </c>
      <c r="O45" s="9" t="str">
        <f t="shared" si="3"/>
        <v>NO</v>
      </c>
      <c r="P45" s="9" t="str">
        <f t="shared" si="4"/>
        <v>NO</v>
      </c>
      <c r="Q45" s="9" t="str">
        <f t="shared" si="5"/>
        <v>Conditioned</v>
      </c>
    </row>
    <row r="46" spans="1:17">
      <c r="A46" s="9">
        <v>10083</v>
      </c>
      <c r="B46" s="9">
        <v>2</v>
      </c>
      <c r="C46" s="9" t="s">
        <v>1589</v>
      </c>
      <c r="D46" s="9" t="s">
        <v>1590</v>
      </c>
      <c r="E46" s="9" t="s">
        <v>1591</v>
      </c>
      <c r="F46" s="9" t="s">
        <v>1589</v>
      </c>
      <c r="G46" s="9" t="s">
        <v>1606</v>
      </c>
      <c r="H46" s="9" t="s">
        <v>1632</v>
      </c>
      <c r="I46" s="9" t="s">
        <v>1633</v>
      </c>
      <c r="J46" s="9" t="s">
        <v>1605</v>
      </c>
      <c r="K46" s="9">
        <v>1</v>
      </c>
      <c r="L46" s="9">
        <v>21</v>
      </c>
      <c r="M46" s="9">
        <v>1995</v>
      </c>
      <c r="O46" s="9" t="str">
        <f t="shared" si="3"/>
        <v>NO</v>
      </c>
      <c r="P46" s="9" t="str">
        <f t="shared" si="4"/>
        <v>YES</v>
      </c>
      <c r="Q46" s="9" t="str">
        <f t="shared" si="5"/>
        <v>Unconditioned</v>
      </c>
    </row>
    <row r="47" spans="1:17">
      <c r="A47" s="9">
        <v>10087</v>
      </c>
      <c r="B47" s="9">
        <v>1</v>
      </c>
      <c r="C47" s="9" t="s">
        <v>1589</v>
      </c>
      <c r="D47" s="9" t="s">
        <v>1590</v>
      </c>
      <c r="E47" s="9" t="s">
        <v>1591</v>
      </c>
      <c r="F47" s="9" t="s">
        <v>1589</v>
      </c>
      <c r="G47" s="9" t="s">
        <v>1592</v>
      </c>
      <c r="H47" s="9" t="s">
        <v>172</v>
      </c>
      <c r="I47" s="9" t="s">
        <v>1634</v>
      </c>
      <c r="J47" s="9" t="s">
        <v>1601</v>
      </c>
      <c r="K47" s="9">
        <v>1</v>
      </c>
      <c r="L47" s="9">
        <v>20</v>
      </c>
      <c r="M47" s="9">
        <v>2000</v>
      </c>
      <c r="O47" s="9" t="str">
        <f t="shared" si="3"/>
        <v>NO</v>
      </c>
      <c r="P47" s="9" t="str">
        <f t="shared" si="4"/>
        <v>NO</v>
      </c>
      <c r="Q47" s="9" t="str">
        <f t="shared" si="5"/>
        <v>Conditioned</v>
      </c>
    </row>
    <row r="48" spans="1:17">
      <c r="A48" s="9">
        <v>10087</v>
      </c>
      <c r="B48" s="9">
        <v>2</v>
      </c>
      <c r="C48" s="9" t="s">
        <v>1589</v>
      </c>
      <c r="D48" s="9" t="s">
        <v>1590</v>
      </c>
      <c r="E48" s="9" t="s">
        <v>1591</v>
      </c>
      <c r="F48" s="9" t="s">
        <v>1589</v>
      </c>
      <c r="G48" s="9" t="s">
        <v>1592</v>
      </c>
      <c r="H48" s="9" t="s">
        <v>170</v>
      </c>
      <c r="I48" s="9" t="s">
        <v>1589</v>
      </c>
      <c r="J48" s="9" t="s">
        <v>1605</v>
      </c>
      <c r="K48" s="9">
        <v>1</v>
      </c>
      <c r="L48" s="9">
        <v>10</v>
      </c>
      <c r="M48" s="9">
        <v>1997</v>
      </c>
      <c r="O48" s="9" t="str">
        <f t="shared" si="3"/>
        <v>NO</v>
      </c>
      <c r="P48" s="9" t="str">
        <f t="shared" si="4"/>
        <v>YES</v>
      </c>
      <c r="Q48" s="9" t="str">
        <f t="shared" si="5"/>
        <v>Conditioned</v>
      </c>
    </row>
    <row r="49" spans="1:17">
      <c r="A49" s="9">
        <v>10087</v>
      </c>
      <c r="B49" s="9">
        <v>3</v>
      </c>
      <c r="C49" s="9" t="s">
        <v>1589</v>
      </c>
      <c r="D49" s="9" t="s">
        <v>1590</v>
      </c>
      <c r="E49" s="9" t="s">
        <v>1591</v>
      </c>
      <c r="F49" s="9" t="s">
        <v>1589</v>
      </c>
      <c r="G49" s="9" t="s">
        <v>1592</v>
      </c>
      <c r="H49" s="9" t="s">
        <v>1624</v>
      </c>
      <c r="I49" s="9" t="s">
        <v>1635</v>
      </c>
      <c r="J49" s="9" t="s">
        <v>1605</v>
      </c>
      <c r="K49" s="9">
        <v>0.5</v>
      </c>
      <c r="L49" s="9">
        <v>10</v>
      </c>
      <c r="M49" s="9">
        <v>2003</v>
      </c>
      <c r="O49" s="9" t="str">
        <f t="shared" si="3"/>
        <v>NO</v>
      </c>
      <c r="P49" s="9" t="str">
        <f t="shared" si="4"/>
        <v>YES</v>
      </c>
      <c r="Q49" s="9" t="str">
        <f t="shared" si="5"/>
        <v>Conditioned</v>
      </c>
    </row>
    <row r="50" spans="1:17">
      <c r="A50" s="9">
        <v>10096</v>
      </c>
      <c r="B50" s="9">
        <v>1</v>
      </c>
      <c r="C50" s="9" t="s">
        <v>1589</v>
      </c>
      <c r="D50" s="9" t="s">
        <v>1590</v>
      </c>
      <c r="E50" s="9" t="s">
        <v>1613</v>
      </c>
      <c r="F50" s="9" t="s">
        <v>1603</v>
      </c>
      <c r="G50" s="9" t="s">
        <v>1592</v>
      </c>
      <c r="H50" s="9" t="s">
        <v>170</v>
      </c>
      <c r="I50" s="9" t="s">
        <v>1636</v>
      </c>
      <c r="J50" s="9" t="s">
        <v>1597</v>
      </c>
      <c r="K50" s="9">
        <v>1</v>
      </c>
      <c r="L50" s="9">
        <v>22</v>
      </c>
      <c r="M50" s="9">
        <v>2002</v>
      </c>
      <c r="O50" s="9" t="str">
        <f t="shared" si="3"/>
        <v>NO</v>
      </c>
      <c r="P50" s="9" t="str">
        <f t="shared" si="4"/>
        <v>NO</v>
      </c>
      <c r="Q50" s="9" t="str">
        <f t="shared" si="5"/>
        <v>Conditioned</v>
      </c>
    </row>
    <row r="51" spans="1:17">
      <c r="A51" s="9">
        <v>10100</v>
      </c>
      <c r="B51" s="9">
        <v>1</v>
      </c>
      <c r="C51" s="9" t="s">
        <v>1589</v>
      </c>
      <c r="D51" s="9" t="s">
        <v>1590</v>
      </c>
      <c r="E51" s="9" t="s">
        <v>1613</v>
      </c>
      <c r="F51" s="9" t="s">
        <v>1603</v>
      </c>
      <c r="G51" s="9" t="s">
        <v>1606</v>
      </c>
      <c r="H51" s="9" t="s">
        <v>177</v>
      </c>
      <c r="I51" s="9" t="s">
        <v>1637</v>
      </c>
      <c r="J51" s="9" t="s">
        <v>1608</v>
      </c>
      <c r="K51" s="9">
        <v>1</v>
      </c>
      <c r="L51" s="9">
        <v>22</v>
      </c>
      <c r="M51" s="9">
        <v>2010</v>
      </c>
      <c r="O51" s="9" t="str">
        <f t="shared" si="3"/>
        <v>NO</v>
      </c>
      <c r="P51" s="9" t="str">
        <f t="shared" si="4"/>
        <v>NO</v>
      </c>
      <c r="Q51" s="9" t="str">
        <f t="shared" si="5"/>
        <v>Unconditioned</v>
      </c>
    </row>
    <row r="52" spans="1:17">
      <c r="A52" s="9">
        <v>10100</v>
      </c>
      <c r="B52" s="9">
        <v>2</v>
      </c>
      <c r="C52" s="9" t="s">
        <v>1589</v>
      </c>
      <c r="D52" s="9" t="s">
        <v>1590</v>
      </c>
      <c r="E52" s="9" t="s">
        <v>1591</v>
      </c>
      <c r="F52" s="9" t="s">
        <v>1589</v>
      </c>
      <c r="G52" s="9" t="s">
        <v>1592</v>
      </c>
      <c r="H52" s="9" t="s">
        <v>1638</v>
      </c>
      <c r="I52" s="9" t="s">
        <v>1639</v>
      </c>
      <c r="J52" s="9" t="s">
        <v>1605</v>
      </c>
      <c r="K52" s="9">
        <v>1</v>
      </c>
      <c r="L52" s="9">
        <v>13</v>
      </c>
      <c r="M52" s="9">
        <v>2003</v>
      </c>
      <c r="O52" s="9" t="str">
        <f t="shared" si="3"/>
        <v>NO</v>
      </c>
      <c r="P52" s="9" t="str">
        <f t="shared" si="4"/>
        <v>YES</v>
      </c>
      <c r="Q52" s="9" t="str">
        <f t="shared" si="5"/>
        <v>Conditioned</v>
      </c>
    </row>
    <row r="53" spans="1:17">
      <c r="A53" s="9">
        <v>10100</v>
      </c>
      <c r="B53" s="9">
        <v>3</v>
      </c>
      <c r="C53" s="9" t="s">
        <v>1589</v>
      </c>
      <c r="D53" s="9" t="s">
        <v>1590</v>
      </c>
      <c r="E53" s="9" t="s">
        <v>1602</v>
      </c>
      <c r="F53" s="9" t="s">
        <v>1603</v>
      </c>
      <c r="G53" s="9" t="s">
        <v>1592</v>
      </c>
      <c r="H53" s="9" t="s">
        <v>172</v>
      </c>
      <c r="I53" s="9" t="s">
        <v>1640</v>
      </c>
      <c r="J53" s="9" t="s">
        <v>1601</v>
      </c>
      <c r="K53" s="9">
        <v>1</v>
      </c>
      <c r="L53" s="9">
        <v>24</v>
      </c>
      <c r="M53" s="9">
        <v>1995</v>
      </c>
      <c r="O53" s="9" t="str">
        <f t="shared" si="3"/>
        <v>NO</v>
      </c>
      <c r="P53" s="9" t="str">
        <f t="shared" si="4"/>
        <v>NO</v>
      </c>
      <c r="Q53" s="9" t="str">
        <f t="shared" si="5"/>
        <v>Conditioned</v>
      </c>
    </row>
    <row r="54" spans="1:17">
      <c r="A54" s="9">
        <v>10134</v>
      </c>
      <c r="B54" s="9">
        <v>1</v>
      </c>
      <c r="C54" s="9" t="s">
        <v>1589</v>
      </c>
      <c r="D54" s="9" t="s">
        <v>1603</v>
      </c>
      <c r="E54" s="9" t="s">
        <v>1602</v>
      </c>
      <c r="F54" s="9" t="s">
        <v>1603</v>
      </c>
      <c r="G54" s="9" t="s">
        <v>1592</v>
      </c>
      <c r="H54" s="9" t="s">
        <v>1017</v>
      </c>
      <c r="I54" s="9" t="s">
        <v>1641</v>
      </c>
      <c r="J54" s="9" t="s">
        <v>1608</v>
      </c>
      <c r="K54" s="9">
        <v>1</v>
      </c>
      <c r="L54" s="9">
        <v>25</v>
      </c>
      <c r="M54" s="9">
        <v>2010</v>
      </c>
      <c r="O54" s="9" t="str">
        <f t="shared" si="3"/>
        <v>NO</v>
      </c>
      <c r="P54" s="9" t="str">
        <f t="shared" si="4"/>
        <v>NO</v>
      </c>
      <c r="Q54" s="9" t="str">
        <f t="shared" si="5"/>
        <v>Conditioned</v>
      </c>
    </row>
    <row r="55" spans="1:17">
      <c r="A55" s="9">
        <v>10141</v>
      </c>
      <c r="B55" s="9">
        <v>1</v>
      </c>
      <c r="C55" s="9" t="s">
        <v>1589</v>
      </c>
      <c r="D55" s="9" t="s">
        <v>1590</v>
      </c>
      <c r="E55" s="9" t="s">
        <v>1591</v>
      </c>
      <c r="F55" s="9" t="s">
        <v>1589</v>
      </c>
      <c r="G55" s="9" t="s">
        <v>1592</v>
      </c>
      <c r="H55" s="9" t="s">
        <v>174</v>
      </c>
      <c r="I55" s="9" t="s">
        <v>1642</v>
      </c>
      <c r="J55" s="9" t="s">
        <v>1597</v>
      </c>
      <c r="K55" s="9">
        <v>1</v>
      </c>
      <c r="L55" s="9">
        <v>24</v>
      </c>
      <c r="M55" s="9">
        <v>2001</v>
      </c>
      <c r="O55" s="9" t="str">
        <f t="shared" si="3"/>
        <v>NO</v>
      </c>
      <c r="P55" s="9" t="str">
        <f t="shared" si="4"/>
        <v>NO</v>
      </c>
      <c r="Q55" s="9" t="str">
        <f t="shared" si="5"/>
        <v>Conditioned</v>
      </c>
    </row>
    <row r="56" spans="1:17">
      <c r="A56" s="9">
        <v>10141</v>
      </c>
      <c r="B56" s="9">
        <v>2</v>
      </c>
      <c r="C56" s="9" t="s">
        <v>1589</v>
      </c>
      <c r="D56" s="9" t="s">
        <v>1590</v>
      </c>
      <c r="E56" s="9" t="s">
        <v>1591</v>
      </c>
      <c r="F56" s="9" t="s">
        <v>1589</v>
      </c>
      <c r="G56" s="9" t="s">
        <v>1606</v>
      </c>
      <c r="H56" s="9" t="s">
        <v>177</v>
      </c>
      <c r="I56" s="9" t="s">
        <v>1589</v>
      </c>
      <c r="J56" s="9" t="s">
        <v>1597</v>
      </c>
      <c r="K56" s="9">
        <v>1</v>
      </c>
      <c r="L56" s="9">
        <v>22</v>
      </c>
      <c r="O56" s="9" t="str">
        <f t="shared" si="3"/>
        <v>NO</v>
      </c>
      <c r="P56" s="9" t="str">
        <f t="shared" si="4"/>
        <v>NO</v>
      </c>
      <c r="Q56" s="9" t="str">
        <f t="shared" si="5"/>
        <v>Unconditioned</v>
      </c>
    </row>
    <row r="57" spans="1:17">
      <c r="A57" s="9">
        <v>10141</v>
      </c>
      <c r="B57" s="9">
        <v>3</v>
      </c>
      <c r="C57" s="9" t="s">
        <v>1589</v>
      </c>
      <c r="D57" s="9" t="s">
        <v>1590</v>
      </c>
      <c r="E57" s="9" t="s">
        <v>1591</v>
      </c>
      <c r="F57" s="9" t="s">
        <v>1589</v>
      </c>
      <c r="G57" s="9" t="s">
        <v>1606</v>
      </c>
      <c r="H57" s="9" t="s">
        <v>1624</v>
      </c>
      <c r="I57" s="9" t="s">
        <v>1643</v>
      </c>
      <c r="J57" s="9" t="s">
        <v>1605</v>
      </c>
      <c r="K57" s="9">
        <v>1</v>
      </c>
      <c r="L57" s="9">
        <v>17</v>
      </c>
      <c r="M57" s="9">
        <v>1984</v>
      </c>
      <c r="O57" s="9" t="str">
        <f t="shared" si="3"/>
        <v>NO</v>
      </c>
      <c r="P57" s="9" t="str">
        <f t="shared" si="4"/>
        <v>YES</v>
      </c>
      <c r="Q57" s="9" t="str">
        <f t="shared" si="5"/>
        <v>Unconditioned</v>
      </c>
    </row>
    <row r="58" spans="1:17">
      <c r="A58" s="9">
        <v>10144</v>
      </c>
      <c r="B58" s="9">
        <v>1</v>
      </c>
      <c r="C58" s="9" t="s">
        <v>1589</v>
      </c>
      <c r="D58" s="9" t="s">
        <v>1590</v>
      </c>
      <c r="E58" s="9" t="s">
        <v>1613</v>
      </c>
      <c r="F58" s="9" t="s">
        <v>1603</v>
      </c>
      <c r="G58" s="9" t="s">
        <v>1592</v>
      </c>
      <c r="H58" s="9" t="s">
        <v>177</v>
      </c>
      <c r="I58" s="9" t="s">
        <v>1644</v>
      </c>
      <c r="J58" s="9" t="s">
        <v>1597</v>
      </c>
      <c r="K58" s="9">
        <v>1</v>
      </c>
      <c r="L58" s="9">
        <v>21</v>
      </c>
      <c r="M58" s="9">
        <v>2001</v>
      </c>
      <c r="O58" s="9" t="str">
        <f t="shared" si="3"/>
        <v>NO</v>
      </c>
      <c r="P58" s="9" t="str">
        <f t="shared" si="4"/>
        <v>NO</v>
      </c>
      <c r="Q58" s="9" t="str">
        <f t="shared" si="5"/>
        <v>Conditioned</v>
      </c>
    </row>
    <row r="59" spans="1:17">
      <c r="A59" s="9">
        <v>10144</v>
      </c>
      <c r="B59" s="9">
        <v>2</v>
      </c>
      <c r="C59" s="9" t="s">
        <v>1589</v>
      </c>
      <c r="D59" s="9" t="s">
        <v>1590</v>
      </c>
      <c r="E59" s="9" t="s">
        <v>1591</v>
      </c>
      <c r="F59" s="9" t="s">
        <v>1589</v>
      </c>
      <c r="G59" s="9" t="s">
        <v>1606</v>
      </c>
      <c r="H59" s="9" t="s">
        <v>1552</v>
      </c>
      <c r="I59" s="9" t="s">
        <v>1645</v>
      </c>
      <c r="J59" s="9" t="s">
        <v>1587</v>
      </c>
      <c r="K59" s="9">
        <v>1</v>
      </c>
      <c r="L59" s="9">
        <v>10</v>
      </c>
      <c r="M59" s="9">
        <v>1997</v>
      </c>
      <c r="O59" s="9" t="str">
        <f t="shared" si="3"/>
        <v>NO</v>
      </c>
      <c r="P59" s="9" t="str">
        <f t="shared" si="4"/>
        <v>YES</v>
      </c>
      <c r="Q59" s="9" t="str">
        <f t="shared" si="5"/>
        <v>Unconditioned</v>
      </c>
    </row>
    <row r="60" spans="1:17">
      <c r="A60" s="9">
        <v>10150</v>
      </c>
      <c r="B60" s="9">
        <v>1</v>
      </c>
      <c r="C60" s="9" t="s">
        <v>1589</v>
      </c>
      <c r="D60" s="9" t="s">
        <v>1590</v>
      </c>
      <c r="E60" s="9" t="s">
        <v>1591</v>
      </c>
      <c r="F60" s="9" t="s">
        <v>1589</v>
      </c>
      <c r="G60" s="9" t="s">
        <v>1592</v>
      </c>
      <c r="H60" s="9" t="s">
        <v>174</v>
      </c>
      <c r="I60" s="9" t="s">
        <v>1646</v>
      </c>
      <c r="J60" s="9" t="s">
        <v>1597</v>
      </c>
      <c r="K60" s="9">
        <v>1</v>
      </c>
      <c r="L60" s="9">
        <v>21</v>
      </c>
      <c r="M60" s="9">
        <v>1997</v>
      </c>
      <c r="O60" s="9" t="str">
        <f t="shared" si="3"/>
        <v>NO</v>
      </c>
      <c r="P60" s="9" t="str">
        <f t="shared" si="4"/>
        <v>NO</v>
      </c>
      <c r="Q60" s="9" t="str">
        <f t="shared" si="5"/>
        <v>Conditioned</v>
      </c>
    </row>
    <row r="61" spans="1:17">
      <c r="A61" s="9">
        <v>10172</v>
      </c>
      <c r="B61" s="9">
        <v>1</v>
      </c>
      <c r="C61" s="9" t="s">
        <v>1589</v>
      </c>
      <c r="D61" s="9" t="s">
        <v>1590</v>
      </c>
      <c r="E61" s="9" t="s">
        <v>1591</v>
      </c>
      <c r="F61" s="9" t="s">
        <v>1589</v>
      </c>
      <c r="G61" s="9" t="s">
        <v>1592</v>
      </c>
      <c r="H61" s="9" t="s">
        <v>1638</v>
      </c>
      <c r="I61" s="9" t="s">
        <v>1647</v>
      </c>
      <c r="J61" s="9" t="s">
        <v>1597</v>
      </c>
      <c r="K61" s="9">
        <v>1</v>
      </c>
      <c r="L61" s="9">
        <v>13</v>
      </c>
      <c r="M61" s="9">
        <v>2007</v>
      </c>
      <c r="O61" s="9" t="str">
        <f t="shared" si="3"/>
        <v>NO</v>
      </c>
      <c r="P61" s="9" t="str">
        <f t="shared" si="4"/>
        <v>NO</v>
      </c>
      <c r="Q61" s="9" t="str">
        <f t="shared" si="5"/>
        <v>Conditioned</v>
      </c>
    </row>
    <row r="62" spans="1:17">
      <c r="A62" s="9">
        <v>10174</v>
      </c>
      <c r="B62" s="9">
        <v>1</v>
      </c>
      <c r="C62" s="9" t="s">
        <v>1589</v>
      </c>
      <c r="D62" s="9" t="s">
        <v>1590</v>
      </c>
      <c r="E62" s="9" t="s">
        <v>1613</v>
      </c>
      <c r="F62" s="9" t="s">
        <v>1603</v>
      </c>
      <c r="G62" s="9" t="s">
        <v>1592</v>
      </c>
      <c r="H62" s="9" t="s">
        <v>177</v>
      </c>
      <c r="I62" s="9" t="s">
        <v>1648</v>
      </c>
      <c r="J62" s="9" t="s">
        <v>1597</v>
      </c>
      <c r="K62" s="9">
        <v>1</v>
      </c>
      <c r="L62" s="9">
        <v>22</v>
      </c>
      <c r="M62" s="9">
        <v>2004</v>
      </c>
      <c r="O62" s="9" t="str">
        <f t="shared" si="3"/>
        <v>NO</v>
      </c>
      <c r="P62" s="9" t="str">
        <f t="shared" si="4"/>
        <v>NO</v>
      </c>
      <c r="Q62" s="9" t="str">
        <f t="shared" si="5"/>
        <v>Conditioned</v>
      </c>
    </row>
    <row r="63" spans="1:17">
      <c r="A63" s="9">
        <v>10174</v>
      </c>
      <c r="B63" s="9">
        <v>2</v>
      </c>
      <c r="C63" s="9" t="s">
        <v>1589</v>
      </c>
      <c r="D63" s="9" t="s">
        <v>1590</v>
      </c>
      <c r="E63" s="9" t="s">
        <v>1591</v>
      </c>
      <c r="F63" s="9" t="s">
        <v>1589</v>
      </c>
      <c r="G63" s="9" t="s">
        <v>1606</v>
      </c>
      <c r="H63" s="9" t="s">
        <v>1638</v>
      </c>
      <c r="I63" s="9" t="s">
        <v>1649</v>
      </c>
      <c r="J63" s="9" t="s">
        <v>1612</v>
      </c>
      <c r="K63" s="9">
        <v>1</v>
      </c>
      <c r="L63" s="9">
        <v>10</v>
      </c>
      <c r="M63" s="9">
        <v>1995</v>
      </c>
      <c r="O63" s="9" t="str">
        <f t="shared" si="3"/>
        <v>NO</v>
      </c>
      <c r="P63" s="9" t="str">
        <f t="shared" si="4"/>
        <v>NO</v>
      </c>
      <c r="Q63" s="9" t="str">
        <f t="shared" si="5"/>
        <v>Unconditioned</v>
      </c>
    </row>
    <row r="64" spans="1:17">
      <c r="A64" s="9">
        <v>10174</v>
      </c>
      <c r="B64" s="9">
        <v>3</v>
      </c>
      <c r="C64" s="9" t="s">
        <v>1589</v>
      </c>
      <c r="D64" s="9" t="s">
        <v>1590</v>
      </c>
      <c r="E64" s="9" t="s">
        <v>1591</v>
      </c>
      <c r="F64" s="9" t="s">
        <v>1589</v>
      </c>
      <c r="G64" s="9" t="s">
        <v>1606</v>
      </c>
      <c r="H64" s="9" t="s">
        <v>1552</v>
      </c>
      <c r="I64" s="9" t="s">
        <v>1589</v>
      </c>
      <c r="J64" s="9" t="s">
        <v>1605</v>
      </c>
      <c r="K64" s="9">
        <v>1</v>
      </c>
      <c r="O64" s="9" t="str">
        <f t="shared" si="3"/>
        <v>YES</v>
      </c>
      <c r="P64" s="9" t="str">
        <f t="shared" si="4"/>
        <v>YES</v>
      </c>
      <c r="Q64" s="9" t="str">
        <f t="shared" si="5"/>
        <v>Unconditioned</v>
      </c>
    </row>
    <row r="65" spans="1:17">
      <c r="A65" s="9">
        <v>10176</v>
      </c>
      <c r="B65" s="9">
        <v>1</v>
      </c>
      <c r="C65" s="9" t="s">
        <v>1589</v>
      </c>
      <c r="D65" s="9" t="s">
        <v>1590</v>
      </c>
      <c r="E65" s="9" t="s">
        <v>1591</v>
      </c>
      <c r="F65" s="9" t="s">
        <v>1589</v>
      </c>
      <c r="G65" s="9" t="s">
        <v>1606</v>
      </c>
      <c r="H65" s="9" t="s">
        <v>1638</v>
      </c>
      <c r="I65" s="9" t="s">
        <v>1650</v>
      </c>
      <c r="J65" s="9" t="s">
        <v>1587</v>
      </c>
      <c r="K65" s="9">
        <v>1</v>
      </c>
      <c r="L65" s="9">
        <v>12</v>
      </c>
      <c r="M65" s="9">
        <v>1991</v>
      </c>
      <c r="O65" s="9" t="str">
        <f t="shared" si="3"/>
        <v>NO</v>
      </c>
      <c r="P65" s="9" t="str">
        <f t="shared" si="4"/>
        <v>YES</v>
      </c>
      <c r="Q65" s="9" t="str">
        <f t="shared" si="5"/>
        <v>Unconditioned</v>
      </c>
    </row>
    <row r="66" spans="1:17">
      <c r="A66" s="9">
        <v>10176</v>
      </c>
      <c r="B66" s="9">
        <v>2</v>
      </c>
      <c r="C66" s="9" t="s">
        <v>1589</v>
      </c>
      <c r="D66" s="9" t="s">
        <v>1590</v>
      </c>
      <c r="E66" s="9" t="s">
        <v>1591</v>
      </c>
      <c r="F66" s="9" t="s">
        <v>1589</v>
      </c>
      <c r="G66" s="9" t="s">
        <v>1592</v>
      </c>
      <c r="H66" s="9" t="s">
        <v>1638</v>
      </c>
      <c r="I66" s="9" t="s">
        <v>1651</v>
      </c>
      <c r="J66" s="9" t="s">
        <v>1597</v>
      </c>
      <c r="K66" s="9">
        <v>1</v>
      </c>
      <c r="L66" s="9">
        <v>18</v>
      </c>
      <c r="M66" s="9">
        <v>1980</v>
      </c>
      <c r="O66" s="9" t="str">
        <f t="shared" si="3"/>
        <v>NO</v>
      </c>
      <c r="P66" s="9" t="str">
        <f t="shared" si="4"/>
        <v>NO</v>
      </c>
      <c r="Q66" s="9" t="str">
        <f t="shared" si="5"/>
        <v>Conditioned</v>
      </c>
    </row>
    <row r="67" spans="1:17">
      <c r="A67" s="9">
        <v>10178</v>
      </c>
      <c r="B67" s="9">
        <v>1</v>
      </c>
      <c r="C67" s="9" t="s">
        <v>1589</v>
      </c>
      <c r="D67" s="9" t="s">
        <v>1590</v>
      </c>
      <c r="E67" s="9" t="s">
        <v>1602</v>
      </c>
      <c r="F67" s="9" t="s">
        <v>1603</v>
      </c>
      <c r="G67" s="9" t="s">
        <v>1592</v>
      </c>
      <c r="H67" s="9" t="s">
        <v>169</v>
      </c>
      <c r="I67" s="9" t="s">
        <v>1652</v>
      </c>
      <c r="J67" s="9" t="s">
        <v>1601</v>
      </c>
      <c r="K67" s="9">
        <v>1</v>
      </c>
      <c r="L67" s="9">
        <v>25</v>
      </c>
      <c r="M67" s="9">
        <v>2004</v>
      </c>
      <c r="O67" s="9" t="str">
        <f t="shared" si="3"/>
        <v>NO</v>
      </c>
      <c r="P67" s="9" t="str">
        <f t="shared" si="4"/>
        <v>NO</v>
      </c>
      <c r="Q67" s="9" t="str">
        <f t="shared" si="5"/>
        <v>Conditioned</v>
      </c>
    </row>
    <row r="68" spans="1:17">
      <c r="A68" s="9">
        <v>10186</v>
      </c>
      <c r="B68" s="9">
        <v>1</v>
      </c>
      <c r="C68" s="9" t="s">
        <v>1589</v>
      </c>
      <c r="D68" s="9" t="s">
        <v>1603</v>
      </c>
      <c r="E68" s="9" t="s">
        <v>1613</v>
      </c>
      <c r="F68" s="9" t="s">
        <v>1603</v>
      </c>
      <c r="G68" s="9" t="s">
        <v>1592</v>
      </c>
      <c r="H68" s="9" t="s">
        <v>171</v>
      </c>
      <c r="I68" s="9" t="s">
        <v>1653</v>
      </c>
      <c r="J68" s="9" t="s">
        <v>1608</v>
      </c>
      <c r="K68" s="9">
        <v>1</v>
      </c>
      <c r="L68" s="9">
        <v>18</v>
      </c>
      <c r="M68" s="9">
        <v>2007</v>
      </c>
      <c r="O68" s="9" t="str">
        <f t="shared" si="3"/>
        <v>NO</v>
      </c>
      <c r="P68" s="9" t="str">
        <f t="shared" si="4"/>
        <v>NO</v>
      </c>
      <c r="Q68" s="9" t="str">
        <f t="shared" si="5"/>
        <v>Conditioned</v>
      </c>
    </row>
    <row r="69" spans="1:17">
      <c r="A69" s="9">
        <v>10191</v>
      </c>
      <c r="B69" s="9">
        <v>1</v>
      </c>
      <c r="C69" s="9" t="s">
        <v>1589</v>
      </c>
      <c r="D69" s="9" t="s">
        <v>1603</v>
      </c>
      <c r="E69" s="9" t="s">
        <v>1613</v>
      </c>
      <c r="F69" s="9" t="s">
        <v>1603</v>
      </c>
      <c r="G69" s="9" t="s">
        <v>1592</v>
      </c>
      <c r="H69" s="9" t="s">
        <v>1599</v>
      </c>
      <c r="I69" s="9" t="s">
        <v>1654</v>
      </c>
      <c r="J69" s="9" t="s">
        <v>1610</v>
      </c>
      <c r="K69" s="9">
        <v>1</v>
      </c>
      <c r="L69" s="9">
        <v>21</v>
      </c>
      <c r="M69" s="9">
        <v>2008</v>
      </c>
      <c r="O69" s="9" t="str">
        <f t="shared" si="3"/>
        <v>NO</v>
      </c>
      <c r="P69" s="9" t="str">
        <f t="shared" si="4"/>
        <v>NO</v>
      </c>
      <c r="Q69" s="9" t="str">
        <f t="shared" si="5"/>
        <v>Conditioned</v>
      </c>
    </row>
    <row r="70" spans="1:17">
      <c r="A70" s="9">
        <v>10192</v>
      </c>
      <c r="B70" s="9">
        <v>1</v>
      </c>
      <c r="C70" s="9" t="s">
        <v>1589</v>
      </c>
      <c r="D70" s="9" t="s">
        <v>1603</v>
      </c>
      <c r="E70" s="9" t="s">
        <v>1591</v>
      </c>
      <c r="F70" s="9" t="s">
        <v>1589</v>
      </c>
      <c r="G70" s="9" t="s">
        <v>1592</v>
      </c>
      <c r="H70" s="9" t="s">
        <v>174</v>
      </c>
      <c r="I70" s="9" t="s">
        <v>1655</v>
      </c>
      <c r="J70" s="9" t="s">
        <v>1608</v>
      </c>
      <c r="K70" s="9">
        <v>1</v>
      </c>
      <c r="L70" s="9">
        <v>21</v>
      </c>
      <c r="M70" s="9">
        <v>1996</v>
      </c>
      <c r="O70" s="9" t="str">
        <f t="shared" si="3"/>
        <v>NO</v>
      </c>
      <c r="P70" s="9" t="str">
        <f t="shared" si="4"/>
        <v>NO</v>
      </c>
      <c r="Q70" s="9" t="str">
        <f t="shared" si="5"/>
        <v>Conditioned</v>
      </c>
    </row>
    <row r="71" spans="1:17">
      <c r="A71" s="9">
        <v>10192</v>
      </c>
      <c r="B71" s="9">
        <v>2</v>
      </c>
      <c r="C71" s="9" t="s">
        <v>1589</v>
      </c>
      <c r="D71" s="9" t="s">
        <v>1590</v>
      </c>
      <c r="E71" s="9" t="s">
        <v>1591</v>
      </c>
      <c r="F71" s="9" t="s">
        <v>1589</v>
      </c>
      <c r="G71" s="9" t="s">
        <v>1592</v>
      </c>
      <c r="H71" s="9" t="s">
        <v>1552</v>
      </c>
      <c r="I71" s="9" t="s">
        <v>1656</v>
      </c>
      <c r="J71" s="9" t="s">
        <v>1597</v>
      </c>
      <c r="K71" s="9">
        <v>1</v>
      </c>
      <c r="L71" s="9">
        <v>23</v>
      </c>
      <c r="M71" s="9">
        <v>1999</v>
      </c>
      <c r="O71" s="9" t="str">
        <f t="shared" si="3"/>
        <v>NO</v>
      </c>
      <c r="P71" s="9" t="str">
        <f t="shared" si="4"/>
        <v>NO</v>
      </c>
      <c r="Q71" s="9" t="str">
        <f t="shared" si="5"/>
        <v>Conditioned</v>
      </c>
    </row>
    <row r="72" spans="1:17">
      <c r="A72" s="9">
        <v>10211</v>
      </c>
      <c r="B72" s="9">
        <v>1</v>
      </c>
      <c r="C72" s="9" t="s">
        <v>1589</v>
      </c>
      <c r="D72" s="9" t="s">
        <v>1590</v>
      </c>
      <c r="E72" s="9" t="s">
        <v>1591</v>
      </c>
      <c r="F72" s="9" t="s">
        <v>1589</v>
      </c>
      <c r="G72" s="9" t="s">
        <v>1592</v>
      </c>
      <c r="H72" s="9" t="s">
        <v>1599</v>
      </c>
      <c r="I72" s="9" t="s">
        <v>1657</v>
      </c>
      <c r="J72" s="9" t="s">
        <v>1597</v>
      </c>
      <c r="K72" s="9">
        <v>1</v>
      </c>
      <c r="L72" s="9">
        <v>18</v>
      </c>
      <c r="M72" s="9">
        <v>2011</v>
      </c>
      <c r="O72" s="9" t="str">
        <f t="shared" si="3"/>
        <v>NO</v>
      </c>
      <c r="P72" s="9" t="str">
        <f t="shared" si="4"/>
        <v>NO</v>
      </c>
      <c r="Q72" s="9" t="str">
        <f t="shared" si="5"/>
        <v>Conditioned</v>
      </c>
    </row>
    <row r="73" spans="1:17">
      <c r="A73" s="9">
        <v>10229</v>
      </c>
      <c r="B73" s="9">
        <v>1</v>
      </c>
      <c r="C73" s="9" t="s">
        <v>1589</v>
      </c>
      <c r="D73" s="9" t="s">
        <v>1590</v>
      </c>
      <c r="E73" s="9" t="s">
        <v>1591</v>
      </c>
      <c r="F73" s="9" t="s">
        <v>1589</v>
      </c>
      <c r="G73" s="9" t="s">
        <v>1592</v>
      </c>
      <c r="H73" s="9" t="s">
        <v>170</v>
      </c>
      <c r="I73" s="9" t="s">
        <v>1658</v>
      </c>
      <c r="J73" s="9" t="s">
        <v>1597</v>
      </c>
      <c r="K73" s="9">
        <v>1</v>
      </c>
      <c r="L73" s="9">
        <v>22</v>
      </c>
      <c r="M73" s="9">
        <v>2002</v>
      </c>
      <c r="O73" s="9" t="str">
        <f t="shared" si="3"/>
        <v>NO</v>
      </c>
      <c r="P73" s="9" t="str">
        <f t="shared" si="4"/>
        <v>NO</v>
      </c>
      <c r="Q73" s="9" t="str">
        <f t="shared" si="5"/>
        <v>Conditioned</v>
      </c>
    </row>
    <row r="74" spans="1:17">
      <c r="A74" s="9">
        <v>10229</v>
      </c>
      <c r="B74" s="9">
        <v>2</v>
      </c>
      <c r="C74" s="9" t="s">
        <v>1589</v>
      </c>
      <c r="D74" s="9" t="s">
        <v>1590</v>
      </c>
      <c r="E74" s="9" t="s">
        <v>1591</v>
      </c>
      <c r="F74" s="9" t="s">
        <v>1589</v>
      </c>
      <c r="G74" s="9" t="s">
        <v>1592</v>
      </c>
      <c r="H74" s="9" t="s">
        <v>170</v>
      </c>
      <c r="I74" s="9" t="s">
        <v>1659</v>
      </c>
      <c r="J74" s="9" t="s">
        <v>1597</v>
      </c>
      <c r="K74" s="9">
        <v>1</v>
      </c>
      <c r="L74" s="9">
        <v>22</v>
      </c>
      <c r="M74" s="9">
        <v>2002</v>
      </c>
      <c r="O74" s="9" t="str">
        <f t="shared" si="3"/>
        <v>NO</v>
      </c>
      <c r="P74" s="9" t="str">
        <f t="shared" si="4"/>
        <v>NO</v>
      </c>
      <c r="Q74" s="9" t="str">
        <f t="shared" si="5"/>
        <v>Conditioned</v>
      </c>
    </row>
    <row r="75" spans="1:17">
      <c r="A75" s="9">
        <v>10230</v>
      </c>
      <c r="B75" s="9">
        <v>1</v>
      </c>
      <c r="C75" s="9" t="s">
        <v>1589</v>
      </c>
      <c r="D75" s="9" t="s">
        <v>1590</v>
      </c>
      <c r="E75" s="9" t="s">
        <v>1602</v>
      </c>
      <c r="F75" s="9" t="s">
        <v>1603</v>
      </c>
      <c r="G75" s="9" t="s">
        <v>1592</v>
      </c>
      <c r="H75" s="9" t="s">
        <v>1638</v>
      </c>
      <c r="I75" s="9" t="s">
        <v>1660</v>
      </c>
      <c r="J75" s="9" t="s">
        <v>1601</v>
      </c>
      <c r="K75" s="9">
        <v>1</v>
      </c>
      <c r="L75" s="9">
        <v>20</v>
      </c>
      <c r="M75" s="9">
        <v>2004</v>
      </c>
      <c r="O75" s="9" t="str">
        <f t="shared" si="3"/>
        <v>NO</v>
      </c>
      <c r="P75" s="9" t="str">
        <f t="shared" si="4"/>
        <v>NO</v>
      </c>
      <c r="Q75" s="9" t="str">
        <f t="shared" si="5"/>
        <v>Conditioned</v>
      </c>
    </row>
    <row r="76" spans="1:17">
      <c r="A76" s="9">
        <v>10230</v>
      </c>
      <c r="B76" s="9">
        <v>2</v>
      </c>
      <c r="C76" s="9" t="s">
        <v>1589</v>
      </c>
      <c r="D76" s="9" t="s">
        <v>1590</v>
      </c>
      <c r="E76" s="9" t="s">
        <v>1591</v>
      </c>
      <c r="F76" s="9" t="s">
        <v>1589</v>
      </c>
      <c r="G76" s="9" t="s">
        <v>1592</v>
      </c>
      <c r="H76" s="9" t="s">
        <v>170</v>
      </c>
      <c r="I76" s="9" t="s">
        <v>1661</v>
      </c>
      <c r="J76" s="9" t="s">
        <v>1597</v>
      </c>
      <c r="K76" s="9">
        <v>1</v>
      </c>
      <c r="L76" s="9">
        <v>18</v>
      </c>
      <c r="M76" s="9">
        <v>1996</v>
      </c>
      <c r="O76" s="9" t="str">
        <f t="shared" si="3"/>
        <v>NO</v>
      </c>
      <c r="P76" s="9" t="str">
        <f t="shared" si="4"/>
        <v>NO</v>
      </c>
      <c r="Q76" s="9" t="str">
        <f t="shared" si="5"/>
        <v>Conditioned</v>
      </c>
    </row>
    <row r="77" spans="1:17">
      <c r="A77" s="9">
        <v>10231</v>
      </c>
      <c r="B77" s="9">
        <v>1</v>
      </c>
      <c r="C77" s="9" t="s">
        <v>1589</v>
      </c>
      <c r="D77" s="9" t="s">
        <v>1603</v>
      </c>
      <c r="E77" s="9" t="s">
        <v>1613</v>
      </c>
      <c r="F77" s="9" t="s">
        <v>1603</v>
      </c>
      <c r="G77" s="9" t="s">
        <v>1592</v>
      </c>
      <c r="H77" s="9" t="s">
        <v>1638</v>
      </c>
      <c r="I77" s="9" t="s">
        <v>1662</v>
      </c>
      <c r="J77" s="9" t="s">
        <v>1597</v>
      </c>
      <c r="K77" s="9">
        <v>1</v>
      </c>
      <c r="L77" s="9">
        <v>23</v>
      </c>
      <c r="M77" s="9">
        <v>2008</v>
      </c>
      <c r="O77" s="9" t="str">
        <f t="shared" si="3"/>
        <v>NO</v>
      </c>
      <c r="P77" s="9" t="str">
        <f t="shared" si="4"/>
        <v>NO</v>
      </c>
      <c r="Q77" s="9" t="str">
        <f t="shared" si="5"/>
        <v>Conditioned</v>
      </c>
    </row>
    <row r="78" spans="1:17">
      <c r="A78" s="9">
        <v>10231</v>
      </c>
      <c r="B78" s="9">
        <v>2</v>
      </c>
      <c r="C78" s="9" t="s">
        <v>1589</v>
      </c>
      <c r="D78" s="9" t="s">
        <v>1590</v>
      </c>
      <c r="E78" s="9" t="s">
        <v>1591</v>
      </c>
      <c r="F78" s="9" t="s">
        <v>1589</v>
      </c>
      <c r="G78" s="9" t="s">
        <v>1592</v>
      </c>
      <c r="H78" s="9" t="s">
        <v>172</v>
      </c>
      <c r="I78" s="9" t="s">
        <v>1663</v>
      </c>
      <c r="J78" s="9" t="s">
        <v>1597</v>
      </c>
      <c r="K78" s="9">
        <v>1</v>
      </c>
      <c r="L78" s="9">
        <v>21</v>
      </c>
      <c r="M78" s="9">
        <v>1999</v>
      </c>
      <c r="O78" s="9" t="str">
        <f t="shared" si="3"/>
        <v>NO</v>
      </c>
      <c r="P78" s="9" t="str">
        <f t="shared" si="4"/>
        <v>NO</v>
      </c>
      <c r="Q78" s="9" t="str">
        <f t="shared" si="5"/>
        <v>Conditioned</v>
      </c>
    </row>
    <row r="79" spans="1:17">
      <c r="A79" s="9">
        <v>10235</v>
      </c>
      <c r="B79" s="9">
        <v>1</v>
      </c>
      <c r="C79" s="9" t="s">
        <v>1589</v>
      </c>
      <c r="D79" s="9" t="s">
        <v>1590</v>
      </c>
      <c r="E79" s="9" t="s">
        <v>1591</v>
      </c>
      <c r="F79" s="9" t="s">
        <v>1589</v>
      </c>
      <c r="G79" s="9" t="s">
        <v>1592</v>
      </c>
      <c r="H79" s="9" t="s">
        <v>177</v>
      </c>
      <c r="I79" s="9" t="s">
        <v>1664</v>
      </c>
      <c r="J79" s="9" t="s">
        <v>1597</v>
      </c>
      <c r="K79" s="9">
        <v>1</v>
      </c>
      <c r="L79" s="9">
        <v>20</v>
      </c>
      <c r="M79" s="9">
        <v>1992</v>
      </c>
      <c r="O79" s="9" t="str">
        <f t="shared" si="3"/>
        <v>NO</v>
      </c>
      <c r="P79" s="9" t="str">
        <f t="shared" si="4"/>
        <v>NO</v>
      </c>
      <c r="Q79" s="9" t="str">
        <f t="shared" si="5"/>
        <v>Conditioned</v>
      </c>
    </row>
    <row r="80" spans="1:17">
      <c r="A80" s="9">
        <v>10235</v>
      </c>
      <c r="B80" s="9">
        <v>2</v>
      </c>
      <c r="C80" s="9" t="s">
        <v>1589</v>
      </c>
      <c r="D80" s="9" t="s">
        <v>1590</v>
      </c>
      <c r="E80" s="9" t="s">
        <v>1591</v>
      </c>
      <c r="F80" s="9" t="s">
        <v>1589</v>
      </c>
      <c r="G80" s="9" t="s">
        <v>1606</v>
      </c>
      <c r="H80" s="9" t="s">
        <v>1638</v>
      </c>
      <c r="I80" s="9" t="s">
        <v>1589</v>
      </c>
      <c r="J80" s="9" t="s">
        <v>1587</v>
      </c>
      <c r="K80" s="9">
        <v>1</v>
      </c>
      <c r="L80" s="9">
        <v>14</v>
      </c>
      <c r="M80" s="9">
        <v>2000</v>
      </c>
      <c r="O80" s="9" t="str">
        <f t="shared" si="3"/>
        <v>NO</v>
      </c>
      <c r="P80" s="9" t="str">
        <f t="shared" si="4"/>
        <v>YES</v>
      </c>
      <c r="Q80" s="9" t="str">
        <f t="shared" si="5"/>
        <v>Unconditioned</v>
      </c>
    </row>
    <row r="81" spans="1:17">
      <c r="A81" s="9">
        <v>10244</v>
      </c>
      <c r="B81" s="9">
        <v>1</v>
      </c>
      <c r="C81" s="9" t="s">
        <v>1589</v>
      </c>
      <c r="D81" s="9" t="s">
        <v>1590</v>
      </c>
      <c r="E81" s="9" t="s">
        <v>1591</v>
      </c>
      <c r="F81" s="9" t="s">
        <v>1589</v>
      </c>
      <c r="G81" s="9" t="s">
        <v>1592</v>
      </c>
      <c r="H81" s="9" t="s">
        <v>177</v>
      </c>
      <c r="I81" s="9" t="s">
        <v>1665</v>
      </c>
      <c r="J81" s="9" t="s">
        <v>1597</v>
      </c>
      <c r="K81" s="9">
        <v>1</v>
      </c>
      <c r="L81" s="9">
        <v>19</v>
      </c>
      <c r="M81" s="9">
        <v>1993</v>
      </c>
      <c r="O81" s="9" t="str">
        <f t="shared" si="3"/>
        <v>NO</v>
      </c>
      <c r="P81" s="9" t="str">
        <f t="shared" si="4"/>
        <v>NO</v>
      </c>
      <c r="Q81" s="9" t="str">
        <f t="shared" si="5"/>
        <v>Conditioned</v>
      </c>
    </row>
    <row r="82" spans="1:17">
      <c r="A82" s="9">
        <v>10244</v>
      </c>
      <c r="B82" s="9">
        <v>2</v>
      </c>
      <c r="C82" s="9" t="s">
        <v>1589</v>
      </c>
      <c r="D82" s="9" t="s">
        <v>1590</v>
      </c>
      <c r="E82" s="9" t="s">
        <v>1591</v>
      </c>
      <c r="F82" s="9" t="s">
        <v>1589</v>
      </c>
      <c r="G82" s="9" t="s">
        <v>1606</v>
      </c>
      <c r="H82" s="9" t="s">
        <v>169</v>
      </c>
      <c r="I82" s="9" t="s">
        <v>1666</v>
      </c>
      <c r="J82" s="9" t="s">
        <v>1605</v>
      </c>
      <c r="K82" s="9">
        <v>1</v>
      </c>
      <c r="L82" s="9">
        <v>15</v>
      </c>
      <c r="M82" s="9">
        <v>2009</v>
      </c>
      <c r="O82" s="9" t="str">
        <f t="shared" si="3"/>
        <v>NO</v>
      </c>
      <c r="P82" s="9" t="str">
        <f t="shared" si="4"/>
        <v>YES</v>
      </c>
      <c r="Q82" s="9" t="str">
        <f t="shared" si="5"/>
        <v>Unconditioned</v>
      </c>
    </row>
    <row r="83" spans="1:17">
      <c r="A83" s="9">
        <v>10245</v>
      </c>
      <c r="B83" s="9">
        <v>1</v>
      </c>
      <c r="C83" s="9" t="s">
        <v>1589</v>
      </c>
      <c r="D83" s="9" t="s">
        <v>1590</v>
      </c>
      <c r="E83" s="9" t="s">
        <v>1602</v>
      </c>
      <c r="F83" s="9" t="s">
        <v>1603</v>
      </c>
      <c r="G83" s="9" t="s">
        <v>1592</v>
      </c>
      <c r="H83" s="9" t="s">
        <v>1638</v>
      </c>
      <c r="I83" s="9" t="s">
        <v>1667</v>
      </c>
      <c r="J83" s="9" t="s">
        <v>1601</v>
      </c>
      <c r="K83" s="9">
        <v>1</v>
      </c>
      <c r="L83" s="9">
        <v>26</v>
      </c>
      <c r="M83" s="9">
        <v>2000</v>
      </c>
      <c r="O83" s="9" t="str">
        <f t="shared" si="3"/>
        <v>NO</v>
      </c>
      <c r="P83" s="9" t="str">
        <f t="shared" si="4"/>
        <v>NO</v>
      </c>
      <c r="Q83" s="9" t="str">
        <f t="shared" si="5"/>
        <v>Conditioned</v>
      </c>
    </row>
    <row r="84" spans="1:17">
      <c r="A84" s="9">
        <v>10245</v>
      </c>
      <c r="B84" s="9">
        <v>2</v>
      </c>
      <c r="C84" s="9" t="s">
        <v>1589</v>
      </c>
      <c r="D84" s="9" t="s">
        <v>1590</v>
      </c>
      <c r="E84" s="9" t="s">
        <v>1591</v>
      </c>
      <c r="F84" s="9" t="s">
        <v>1589</v>
      </c>
      <c r="G84" s="9" t="s">
        <v>1606</v>
      </c>
      <c r="H84" s="9" t="s">
        <v>1624</v>
      </c>
      <c r="I84" s="9" t="s">
        <v>1668</v>
      </c>
      <c r="J84" s="9" t="s">
        <v>1605</v>
      </c>
      <c r="K84" s="9">
        <v>1</v>
      </c>
      <c r="L84" s="9">
        <v>20</v>
      </c>
      <c r="O84" s="9" t="str">
        <f t="shared" si="3"/>
        <v>NO</v>
      </c>
      <c r="P84" s="9" t="str">
        <f t="shared" si="4"/>
        <v>YES</v>
      </c>
      <c r="Q84" s="9" t="str">
        <f t="shared" si="5"/>
        <v>Unconditioned</v>
      </c>
    </row>
    <row r="85" spans="1:17">
      <c r="A85" s="9">
        <v>10245</v>
      </c>
      <c r="B85" s="9">
        <v>3</v>
      </c>
      <c r="C85" s="9" t="s">
        <v>1589</v>
      </c>
      <c r="D85" s="9" t="s">
        <v>1590</v>
      </c>
      <c r="E85" s="9" t="s">
        <v>1591</v>
      </c>
      <c r="F85" s="9" t="s">
        <v>1589</v>
      </c>
      <c r="G85" s="9" t="s">
        <v>1592</v>
      </c>
      <c r="H85" s="9" t="s">
        <v>172</v>
      </c>
      <c r="I85" s="9" t="s">
        <v>1669</v>
      </c>
      <c r="J85" s="9" t="s">
        <v>1597</v>
      </c>
      <c r="K85" s="9">
        <v>1</v>
      </c>
      <c r="L85" s="9">
        <v>14</v>
      </c>
      <c r="M85" s="9">
        <v>1992</v>
      </c>
      <c r="O85" s="9" t="str">
        <f t="shared" si="3"/>
        <v>NO</v>
      </c>
      <c r="P85" s="9" t="str">
        <f t="shared" si="4"/>
        <v>NO</v>
      </c>
      <c r="Q85" s="9" t="str">
        <f t="shared" si="5"/>
        <v>Conditioned</v>
      </c>
    </row>
    <row r="86" spans="1:17">
      <c r="A86" s="9">
        <v>10254</v>
      </c>
      <c r="B86" s="9">
        <v>1</v>
      </c>
      <c r="C86" s="9" t="s">
        <v>1589</v>
      </c>
      <c r="D86" s="9" t="s">
        <v>1590</v>
      </c>
      <c r="E86" s="9" t="s">
        <v>1602</v>
      </c>
      <c r="F86" s="9" t="s">
        <v>1603</v>
      </c>
      <c r="G86" s="9" t="s">
        <v>1592</v>
      </c>
      <c r="H86" s="9" t="s">
        <v>1017</v>
      </c>
      <c r="I86" s="9" t="s">
        <v>1670</v>
      </c>
      <c r="J86" s="9" t="s">
        <v>1608</v>
      </c>
      <c r="K86" s="9">
        <v>1</v>
      </c>
      <c r="L86" s="9">
        <v>25</v>
      </c>
      <c r="M86" s="9">
        <v>2008</v>
      </c>
      <c r="O86" s="9" t="str">
        <f t="shared" si="3"/>
        <v>NO</v>
      </c>
      <c r="P86" s="9" t="str">
        <f t="shared" si="4"/>
        <v>NO</v>
      </c>
      <c r="Q86" s="9" t="str">
        <f t="shared" si="5"/>
        <v>Conditioned</v>
      </c>
    </row>
    <row r="87" spans="1:17">
      <c r="A87" s="9">
        <v>10254</v>
      </c>
      <c r="B87" s="9">
        <v>2</v>
      </c>
      <c r="C87" s="9" t="s">
        <v>1589</v>
      </c>
      <c r="D87" s="9" t="s">
        <v>1590</v>
      </c>
      <c r="E87" s="9" t="s">
        <v>1591</v>
      </c>
      <c r="F87" s="9" t="s">
        <v>1589</v>
      </c>
      <c r="G87" s="9" t="s">
        <v>1606</v>
      </c>
      <c r="H87" s="9" t="s">
        <v>174</v>
      </c>
      <c r="I87" s="9" t="s">
        <v>1671</v>
      </c>
      <c r="J87" s="9" t="s">
        <v>1597</v>
      </c>
      <c r="K87" s="9">
        <v>1</v>
      </c>
      <c r="L87" s="9">
        <v>22</v>
      </c>
      <c r="M87" s="9">
        <v>1974</v>
      </c>
      <c r="O87" s="9" t="str">
        <f t="shared" ref="O87:O150" si="7">IF(L87&lt;7.75,"YES","NO")</f>
        <v>NO</v>
      </c>
      <c r="P87" s="9" t="str">
        <f t="shared" ref="P87:P150" si="8">VLOOKUP(J87,$Z$21:$AA$27,2,FALSE)</f>
        <v>NO</v>
      </c>
      <c r="Q87" s="9" t="str">
        <f t="shared" ref="Q87:Q150" si="9">G87</f>
        <v>Unconditioned</v>
      </c>
    </row>
    <row r="88" spans="1:17">
      <c r="A88" s="9">
        <v>10259</v>
      </c>
      <c r="B88" s="9">
        <v>1</v>
      </c>
      <c r="C88" s="9" t="s">
        <v>1672</v>
      </c>
      <c r="D88" s="9" t="s">
        <v>1590</v>
      </c>
      <c r="E88" s="9" t="s">
        <v>1591</v>
      </c>
      <c r="F88" s="9" t="s">
        <v>1589</v>
      </c>
      <c r="G88" s="9" t="s">
        <v>1592</v>
      </c>
      <c r="H88" s="9" t="s">
        <v>170</v>
      </c>
      <c r="I88" s="9" t="s">
        <v>1673</v>
      </c>
      <c r="J88" s="9" t="s">
        <v>1597</v>
      </c>
      <c r="K88" s="9">
        <v>1</v>
      </c>
      <c r="L88" s="9">
        <v>14</v>
      </c>
      <c r="O88" s="9" t="str">
        <f t="shared" si="7"/>
        <v>NO</v>
      </c>
      <c r="P88" s="9" t="str">
        <f t="shared" si="8"/>
        <v>NO</v>
      </c>
      <c r="Q88" s="9" t="str">
        <f t="shared" si="9"/>
        <v>Conditioned</v>
      </c>
    </row>
    <row r="89" spans="1:17">
      <c r="A89" s="9">
        <v>10265</v>
      </c>
      <c r="B89" s="9">
        <v>1</v>
      </c>
      <c r="C89" s="9" t="s">
        <v>1589</v>
      </c>
      <c r="D89" s="9" t="s">
        <v>1590</v>
      </c>
      <c r="E89" s="9" t="s">
        <v>1602</v>
      </c>
      <c r="F89" s="9" t="s">
        <v>1603</v>
      </c>
      <c r="G89" s="9" t="s">
        <v>1592</v>
      </c>
      <c r="H89" s="9" t="s">
        <v>170</v>
      </c>
      <c r="I89" s="9" t="s">
        <v>1674</v>
      </c>
      <c r="J89" s="9" t="s">
        <v>1601</v>
      </c>
      <c r="K89" s="9">
        <v>1</v>
      </c>
      <c r="L89" s="9">
        <v>20</v>
      </c>
      <c r="M89" s="9">
        <v>2002</v>
      </c>
      <c r="O89" s="9" t="str">
        <f t="shared" si="7"/>
        <v>NO</v>
      </c>
      <c r="P89" s="9" t="str">
        <f t="shared" si="8"/>
        <v>NO</v>
      </c>
      <c r="Q89" s="9" t="str">
        <f t="shared" si="9"/>
        <v>Conditioned</v>
      </c>
    </row>
    <row r="90" spans="1:17">
      <c r="A90" s="9">
        <v>10265</v>
      </c>
      <c r="B90" s="9">
        <v>2</v>
      </c>
      <c r="C90" s="9" t="s">
        <v>1589</v>
      </c>
      <c r="D90" s="9" t="s">
        <v>1590</v>
      </c>
      <c r="E90" s="9" t="s">
        <v>1591</v>
      </c>
      <c r="F90" s="9" t="s">
        <v>1589</v>
      </c>
      <c r="G90" s="9" t="s">
        <v>1606</v>
      </c>
      <c r="H90" s="9" t="s">
        <v>170</v>
      </c>
      <c r="I90" s="9" t="s">
        <v>1633</v>
      </c>
      <c r="J90" s="9" t="s">
        <v>1587</v>
      </c>
      <c r="K90" s="9">
        <v>1</v>
      </c>
      <c r="L90" s="9">
        <v>24</v>
      </c>
      <c r="M90" s="9">
        <v>2009</v>
      </c>
      <c r="O90" s="9" t="str">
        <f t="shared" si="7"/>
        <v>NO</v>
      </c>
      <c r="P90" s="9" t="str">
        <f t="shared" si="8"/>
        <v>YES</v>
      </c>
      <c r="Q90" s="9" t="str">
        <f t="shared" si="9"/>
        <v>Unconditioned</v>
      </c>
    </row>
    <row r="91" spans="1:17">
      <c r="A91" s="9">
        <v>10268</v>
      </c>
      <c r="B91" s="9">
        <v>1</v>
      </c>
      <c r="C91" s="9" t="s">
        <v>1589</v>
      </c>
      <c r="D91" s="9" t="s">
        <v>1590</v>
      </c>
      <c r="E91" s="9" t="s">
        <v>1602</v>
      </c>
      <c r="F91" s="9" t="s">
        <v>1603</v>
      </c>
      <c r="G91" s="9" t="s">
        <v>1592</v>
      </c>
      <c r="H91" s="9" t="s">
        <v>169</v>
      </c>
      <c r="I91" s="9" t="s">
        <v>1675</v>
      </c>
      <c r="J91" s="9" t="s">
        <v>1601</v>
      </c>
      <c r="K91" s="9">
        <v>1</v>
      </c>
      <c r="L91" s="9">
        <v>22</v>
      </c>
      <c r="M91" s="9">
        <v>2007</v>
      </c>
      <c r="O91" s="9" t="str">
        <f t="shared" si="7"/>
        <v>NO</v>
      </c>
      <c r="P91" s="9" t="str">
        <f t="shared" si="8"/>
        <v>NO</v>
      </c>
      <c r="Q91" s="9" t="str">
        <f t="shared" si="9"/>
        <v>Conditioned</v>
      </c>
    </row>
    <row r="92" spans="1:17">
      <c r="A92" s="9">
        <v>10282</v>
      </c>
      <c r="B92" s="9">
        <v>1</v>
      </c>
      <c r="C92" s="9" t="s">
        <v>1589</v>
      </c>
      <c r="D92" s="9" t="s">
        <v>1590</v>
      </c>
      <c r="E92" s="9" t="s">
        <v>1591</v>
      </c>
      <c r="F92" s="9" t="s">
        <v>1589</v>
      </c>
      <c r="G92" s="9" t="s">
        <v>1592</v>
      </c>
      <c r="H92" s="9" t="s">
        <v>1463</v>
      </c>
      <c r="I92" s="9" t="s">
        <v>1676</v>
      </c>
      <c r="J92" s="9" t="s">
        <v>1601</v>
      </c>
      <c r="K92" s="9">
        <v>1</v>
      </c>
      <c r="L92" s="9">
        <v>22</v>
      </c>
      <c r="M92" s="9">
        <v>1980</v>
      </c>
      <c r="O92" s="9" t="str">
        <f t="shared" si="7"/>
        <v>NO</v>
      </c>
      <c r="P92" s="9" t="str">
        <f t="shared" si="8"/>
        <v>NO</v>
      </c>
      <c r="Q92" s="9" t="str">
        <f t="shared" si="9"/>
        <v>Conditioned</v>
      </c>
    </row>
    <row r="93" spans="1:17">
      <c r="A93" s="9">
        <v>10282</v>
      </c>
      <c r="B93" s="9">
        <v>2</v>
      </c>
      <c r="C93" s="9" t="s">
        <v>1677</v>
      </c>
      <c r="D93" s="9" t="s">
        <v>1590</v>
      </c>
      <c r="E93" s="9" t="s">
        <v>1591</v>
      </c>
      <c r="F93" s="9" t="s">
        <v>1589</v>
      </c>
      <c r="G93" s="9" t="s">
        <v>1606</v>
      </c>
      <c r="H93" s="9" t="s">
        <v>1678</v>
      </c>
      <c r="I93" s="9" t="s">
        <v>1589</v>
      </c>
      <c r="J93" s="9" t="s">
        <v>1605</v>
      </c>
      <c r="K93" s="9">
        <v>1</v>
      </c>
      <c r="L93" s="9">
        <v>20</v>
      </c>
      <c r="O93" s="9" t="str">
        <f t="shared" si="7"/>
        <v>NO</v>
      </c>
      <c r="P93" s="9" t="str">
        <f t="shared" si="8"/>
        <v>YES</v>
      </c>
      <c r="Q93" s="9" t="str">
        <f t="shared" si="9"/>
        <v>Unconditioned</v>
      </c>
    </row>
    <row r="94" spans="1:17">
      <c r="A94" s="9">
        <v>10288</v>
      </c>
      <c r="B94" s="9">
        <v>1</v>
      </c>
      <c r="C94" s="9" t="s">
        <v>1589</v>
      </c>
      <c r="D94" s="9" t="s">
        <v>1590</v>
      </c>
      <c r="E94" s="9" t="s">
        <v>1613</v>
      </c>
      <c r="F94" s="9" t="s">
        <v>1590</v>
      </c>
      <c r="G94" s="9" t="s">
        <v>1592</v>
      </c>
      <c r="H94" s="9" t="s">
        <v>170</v>
      </c>
      <c r="I94" s="9" t="s">
        <v>1679</v>
      </c>
      <c r="J94" s="9" t="s">
        <v>1597</v>
      </c>
      <c r="K94" s="9">
        <v>1</v>
      </c>
      <c r="L94" s="9">
        <v>25</v>
      </c>
      <c r="M94" s="9">
        <v>2008</v>
      </c>
      <c r="O94" s="9" t="str">
        <f t="shared" si="7"/>
        <v>NO</v>
      </c>
      <c r="P94" s="9" t="str">
        <f t="shared" si="8"/>
        <v>NO</v>
      </c>
      <c r="Q94" s="9" t="str">
        <f t="shared" si="9"/>
        <v>Conditioned</v>
      </c>
    </row>
    <row r="95" spans="1:17">
      <c r="A95" s="9">
        <v>10289</v>
      </c>
      <c r="B95" s="9">
        <v>1</v>
      </c>
      <c r="C95" s="9" t="s">
        <v>1589</v>
      </c>
      <c r="D95" s="9" t="s">
        <v>1590</v>
      </c>
      <c r="E95" s="9" t="s">
        <v>1591</v>
      </c>
      <c r="F95" s="9" t="s">
        <v>1589</v>
      </c>
      <c r="G95" s="9" t="s">
        <v>1592</v>
      </c>
      <c r="H95" s="9" t="s">
        <v>177</v>
      </c>
      <c r="I95" s="9" t="s">
        <v>1680</v>
      </c>
      <c r="J95" s="9" t="s">
        <v>1601</v>
      </c>
      <c r="K95" s="9">
        <v>1</v>
      </c>
      <c r="L95" s="9">
        <v>22</v>
      </c>
      <c r="M95" s="9">
        <v>1995</v>
      </c>
      <c r="O95" s="9" t="str">
        <f t="shared" si="7"/>
        <v>NO</v>
      </c>
      <c r="P95" s="9" t="str">
        <f t="shared" si="8"/>
        <v>NO</v>
      </c>
      <c r="Q95" s="9" t="str">
        <f t="shared" si="9"/>
        <v>Conditioned</v>
      </c>
    </row>
    <row r="96" spans="1:17">
      <c r="A96" s="9">
        <v>10292</v>
      </c>
      <c r="B96" s="9">
        <v>1</v>
      </c>
      <c r="C96" s="9" t="s">
        <v>1589</v>
      </c>
      <c r="D96" s="9" t="s">
        <v>1590</v>
      </c>
      <c r="E96" s="9" t="s">
        <v>1613</v>
      </c>
      <c r="F96" s="9" t="s">
        <v>1603</v>
      </c>
      <c r="G96" s="9" t="s">
        <v>1592</v>
      </c>
      <c r="H96" s="9" t="s">
        <v>177</v>
      </c>
      <c r="I96" s="9" t="s">
        <v>1681</v>
      </c>
      <c r="J96" s="9" t="s">
        <v>1597</v>
      </c>
      <c r="K96" s="9">
        <v>1</v>
      </c>
      <c r="L96" s="9">
        <v>20</v>
      </c>
      <c r="M96" s="9">
        <v>2005</v>
      </c>
      <c r="O96" s="9" t="str">
        <f t="shared" si="7"/>
        <v>NO</v>
      </c>
      <c r="P96" s="9" t="str">
        <f t="shared" si="8"/>
        <v>NO</v>
      </c>
      <c r="Q96" s="9" t="str">
        <f t="shared" si="9"/>
        <v>Conditioned</v>
      </c>
    </row>
    <row r="97" spans="1:17">
      <c r="A97" s="9">
        <v>10292</v>
      </c>
      <c r="B97" s="9">
        <v>2</v>
      </c>
      <c r="C97" s="9" t="s">
        <v>1589</v>
      </c>
      <c r="D97" s="9" t="s">
        <v>1590</v>
      </c>
      <c r="E97" s="9" t="s">
        <v>1591</v>
      </c>
      <c r="F97" s="9" t="s">
        <v>1589</v>
      </c>
      <c r="G97" s="9" t="s">
        <v>1592</v>
      </c>
      <c r="H97" s="9" t="s">
        <v>1638</v>
      </c>
      <c r="I97" s="9" t="s">
        <v>1682</v>
      </c>
      <c r="J97" s="9" t="s">
        <v>1597</v>
      </c>
      <c r="K97" s="9">
        <v>1</v>
      </c>
      <c r="L97" s="9">
        <v>18</v>
      </c>
      <c r="M97" s="9">
        <v>1996</v>
      </c>
      <c r="O97" s="9" t="str">
        <f t="shared" si="7"/>
        <v>NO</v>
      </c>
      <c r="P97" s="9" t="str">
        <f t="shared" si="8"/>
        <v>NO</v>
      </c>
      <c r="Q97" s="9" t="str">
        <f t="shared" si="9"/>
        <v>Conditioned</v>
      </c>
    </row>
    <row r="98" spans="1:17">
      <c r="A98" s="9">
        <v>10298</v>
      </c>
      <c r="B98" s="9">
        <v>1</v>
      </c>
      <c r="C98" s="9" t="s">
        <v>1589</v>
      </c>
      <c r="D98" s="9" t="s">
        <v>1590</v>
      </c>
      <c r="E98" s="9" t="s">
        <v>1591</v>
      </c>
      <c r="F98" s="9" t="s">
        <v>1589</v>
      </c>
      <c r="G98" s="9" t="s">
        <v>1592</v>
      </c>
      <c r="H98" s="9" t="s">
        <v>1599</v>
      </c>
      <c r="I98" s="9" t="s">
        <v>1683</v>
      </c>
      <c r="J98" s="9" t="s">
        <v>1597</v>
      </c>
      <c r="K98" s="9">
        <v>1</v>
      </c>
      <c r="L98" s="9">
        <v>18</v>
      </c>
      <c r="M98" s="9">
        <v>1996</v>
      </c>
      <c r="O98" s="9" t="str">
        <f t="shared" si="7"/>
        <v>NO</v>
      </c>
      <c r="P98" s="9" t="str">
        <f t="shared" si="8"/>
        <v>NO</v>
      </c>
      <c r="Q98" s="9" t="str">
        <f t="shared" si="9"/>
        <v>Conditioned</v>
      </c>
    </row>
    <row r="99" spans="1:17">
      <c r="A99" s="9">
        <v>10299</v>
      </c>
      <c r="B99" s="9">
        <v>1</v>
      </c>
      <c r="C99" s="9" t="s">
        <v>1589</v>
      </c>
      <c r="D99" s="9" t="s">
        <v>1590</v>
      </c>
      <c r="E99" s="9" t="s">
        <v>1613</v>
      </c>
      <c r="F99" s="9" t="s">
        <v>1603</v>
      </c>
      <c r="G99" s="9" t="s">
        <v>1592</v>
      </c>
      <c r="H99" s="9" t="s">
        <v>174</v>
      </c>
      <c r="I99" s="9" t="s">
        <v>1684</v>
      </c>
      <c r="J99" s="9" t="s">
        <v>1608</v>
      </c>
      <c r="K99" s="9">
        <v>1</v>
      </c>
      <c r="L99" s="9">
        <v>25</v>
      </c>
      <c r="M99" s="9">
        <v>2004</v>
      </c>
      <c r="O99" s="9" t="str">
        <f t="shared" si="7"/>
        <v>NO</v>
      </c>
      <c r="P99" s="9" t="str">
        <f t="shared" si="8"/>
        <v>NO</v>
      </c>
      <c r="Q99" s="9" t="str">
        <f t="shared" si="9"/>
        <v>Conditioned</v>
      </c>
    </row>
    <row r="100" spans="1:17">
      <c r="A100" s="9">
        <v>10305</v>
      </c>
      <c r="B100" s="9">
        <v>1</v>
      </c>
      <c r="C100" s="9" t="s">
        <v>1589</v>
      </c>
      <c r="D100" s="9" t="s">
        <v>1603</v>
      </c>
      <c r="E100" s="9" t="s">
        <v>1602</v>
      </c>
      <c r="F100" s="9" t="s">
        <v>1603</v>
      </c>
      <c r="G100" s="9" t="s">
        <v>1592</v>
      </c>
      <c r="H100" s="9" t="s">
        <v>1599</v>
      </c>
      <c r="I100" s="9" t="s">
        <v>1685</v>
      </c>
      <c r="J100" s="9" t="s">
        <v>1610</v>
      </c>
      <c r="K100" s="9">
        <v>0.75</v>
      </c>
      <c r="L100" s="9">
        <v>25</v>
      </c>
      <c r="M100" s="9">
        <v>2010</v>
      </c>
      <c r="O100" s="9" t="str">
        <f t="shared" si="7"/>
        <v>NO</v>
      </c>
      <c r="P100" s="9" t="str">
        <f t="shared" si="8"/>
        <v>NO</v>
      </c>
      <c r="Q100" s="9" t="str">
        <f t="shared" si="9"/>
        <v>Conditioned</v>
      </c>
    </row>
    <row r="101" spans="1:17">
      <c r="A101" s="9">
        <v>10306</v>
      </c>
      <c r="B101" s="9">
        <v>1</v>
      </c>
      <c r="C101" s="9" t="s">
        <v>1589</v>
      </c>
      <c r="D101" s="9" t="s">
        <v>1590</v>
      </c>
      <c r="E101" s="9" t="s">
        <v>1613</v>
      </c>
      <c r="F101" s="9" t="s">
        <v>1603</v>
      </c>
      <c r="G101" s="9" t="s">
        <v>1592</v>
      </c>
      <c r="H101" s="9" t="s">
        <v>173</v>
      </c>
      <c r="I101" s="9" t="s">
        <v>1686</v>
      </c>
      <c r="J101" s="9" t="s">
        <v>1610</v>
      </c>
      <c r="K101" s="9">
        <v>1</v>
      </c>
      <c r="L101" s="9">
        <v>25</v>
      </c>
      <c r="M101" s="9">
        <v>2008</v>
      </c>
      <c r="O101" s="9" t="str">
        <f t="shared" si="7"/>
        <v>NO</v>
      </c>
      <c r="P101" s="9" t="str">
        <f t="shared" si="8"/>
        <v>NO</v>
      </c>
      <c r="Q101" s="9" t="str">
        <f t="shared" si="9"/>
        <v>Conditioned</v>
      </c>
    </row>
    <row r="102" spans="1:17">
      <c r="A102" s="9">
        <v>10309</v>
      </c>
      <c r="B102" s="9">
        <v>1</v>
      </c>
      <c r="C102" s="9" t="s">
        <v>1589</v>
      </c>
      <c r="D102" s="9" t="s">
        <v>1590</v>
      </c>
      <c r="E102" s="9" t="s">
        <v>1591</v>
      </c>
      <c r="F102" s="9" t="s">
        <v>1589</v>
      </c>
      <c r="G102" s="9" t="s">
        <v>1592</v>
      </c>
      <c r="H102" s="9" t="s">
        <v>174</v>
      </c>
      <c r="I102" s="9" t="s">
        <v>1687</v>
      </c>
      <c r="J102" s="9" t="s">
        <v>1608</v>
      </c>
      <c r="K102" s="9">
        <v>1</v>
      </c>
      <c r="L102" s="9">
        <v>22</v>
      </c>
      <c r="M102" s="9">
        <v>2002</v>
      </c>
      <c r="O102" s="9" t="str">
        <f t="shared" si="7"/>
        <v>NO</v>
      </c>
      <c r="P102" s="9" t="str">
        <f t="shared" si="8"/>
        <v>NO</v>
      </c>
      <c r="Q102" s="9" t="str">
        <f t="shared" si="9"/>
        <v>Conditioned</v>
      </c>
    </row>
    <row r="103" spans="1:17">
      <c r="A103" s="9">
        <v>10313</v>
      </c>
      <c r="B103" s="9">
        <v>1</v>
      </c>
      <c r="C103" s="9" t="s">
        <v>1589</v>
      </c>
      <c r="D103" s="9" t="s">
        <v>1590</v>
      </c>
      <c r="E103" s="9" t="s">
        <v>1613</v>
      </c>
      <c r="F103" s="9" t="s">
        <v>1603</v>
      </c>
      <c r="G103" s="9" t="s">
        <v>1592</v>
      </c>
      <c r="H103" s="9" t="s">
        <v>176</v>
      </c>
      <c r="I103" s="9" t="s">
        <v>1688</v>
      </c>
      <c r="J103" s="9" t="s">
        <v>1608</v>
      </c>
      <c r="K103" s="9">
        <v>1</v>
      </c>
      <c r="L103" s="9">
        <v>26</v>
      </c>
      <c r="M103" s="9">
        <v>2011</v>
      </c>
      <c r="O103" s="9" t="str">
        <f t="shared" si="7"/>
        <v>NO</v>
      </c>
      <c r="P103" s="9" t="str">
        <f t="shared" si="8"/>
        <v>NO</v>
      </c>
      <c r="Q103" s="9" t="str">
        <f t="shared" si="9"/>
        <v>Conditioned</v>
      </c>
    </row>
    <row r="104" spans="1:17">
      <c r="A104" s="9">
        <v>10318</v>
      </c>
      <c r="B104" s="9">
        <v>1</v>
      </c>
      <c r="C104" s="9" t="s">
        <v>1589</v>
      </c>
      <c r="D104" s="9" t="s">
        <v>1590</v>
      </c>
      <c r="E104" s="9" t="s">
        <v>1591</v>
      </c>
      <c r="F104" s="9" t="s">
        <v>1589</v>
      </c>
      <c r="G104" s="9" t="s">
        <v>1592</v>
      </c>
      <c r="H104" s="9" t="s">
        <v>174</v>
      </c>
      <c r="I104" s="9" t="s">
        <v>1689</v>
      </c>
      <c r="J104" s="9" t="s">
        <v>1597</v>
      </c>
      <c r="K104" s="9">
        <v>1</v>
      </c>
      <c r="L104" s="9">
        <v>22</v>
      </c>
      <c r="M104" s="9">
        <v>2002</v>
      </c>
      <c r="O104" s="9" t="str">
        <f t="shared" si="7"/>
        <v>NO</v>
      </c>
      <c r="P104" s="9" t="str">
        <f t="shared" si="8"/>
        <v>NO</v>
      </c>
      <c r="Q104" s="9" t="str">
        <f t="shared" si="9"/>
        <v>Conditioned</v>
      </c>
    </row>
    <row r="105" spans="1:17">
      <c r="A105" s="9">
        <v>10318</v>
      </c>
      <c r="B105" s="9">
        <v>2</v>
      </c>
      <c r="C105" s="9" t="s">
        <v>1589</v>
      </c>
      <c r="D105" s="9" t="s">
        <v>1590</v>
      </c>
      <c r="E105" s="9" t="s">
        <v>1591</v>
      </c>
      <c r="F105" s="9" t="s">
        <v>1589</v>
      </c>
      <c r="G105" s="9" t="s">
        <v>1592</v>
      </c>
      <c r="H105" s="9" t="s">
        <v>1638</v>
      </c>
      <c r="I105" s="9" t="s">
        <v>1690</v>
      </c>
      <c r="J105" s="9" t="s">
        <v>1612</v>
      </c>
      <c r="K105" s="9">
        <v>1</v>
      </c>
      <c r="L105" s="9">
        <v>10</v>
      </c>
      <c r="M105" s="9">
        <v>1996</v>
      </c>
      <c r="O105" s="9" t="str">
        <f t="shared" si="7"/>
        <v>NO</v>
      </c>
      <c r="P105" s="9" t="str">
        <f t="shared" si="8"/>
        <v>NO</v>
      </c>
      <c r="Q105" s="9" t="str">
        <f t="shared" si="9"/>
        <v>Conditioned</v>
      </c>
    </row>
    <row r="106" spans="1:17">
      <c r="A106" s="9">
        <v>10319</v>
      </c>
      <c r="B106" s="9">
        <v>1</v>
      </c>
      <c r="C106" s="9" t="s">
        <v>1589</v>
      </c>
      <c r="D106" s="9" t="s">
        <v>1603</v>
      </c>
      <c r="E106" s="9" t="s">
        <v>1602</v>
      </c>
      <c r="F106" s="9" t="s">
        <v>1603</v>
      </c>
      <c r="G106" s="9" t="s">
        <v>1592</v>
      </c>
      <c r="H106" s="9" t="s">
        <v>1638</v>
      </c>
      <c r="I106" s="9" t="s">
        <v>1691</v>
      </c>
      <c r="J106" s="9" t="s">
        <v>1610</v>
      </c>
      <c r="K106" s="9">
        <v>1</v>
      </c>
      <c r="L106" s="9">
        <v>25</v>
      </c>
      <c r="M106" s="9">
        <v>2010</v>
      </c>
      <c r="O106" s="9" t="str">
        <f t="shared" si="7"/>
        <v>NO</v>
      </c>
      <c r="P106" s="9" t="str">
        <f t="shared" si="8"/>
        <v>NO</v>
      </c>
      <c r="Q106" s="9" t="str">
        <f t="shared" si="9"/>
        <v>Conditioned</v>
      </c>
    </row>
    <row r="107" spans="1:17">
      <c r="A107" s="9">
        <v>10319</v>
      </c>
      <c r="B107" s="9">
        <v>2</v>
      </c>
      <c r="C107" s="9" t="s">
        <v>1589</v>
      </c>
      <c r="D107" s="9" t="s">
        <v>1590</v>
      </c>
      <c r="E107" s="9" t="s">
        <v>1591</v>
      </c>
      <c r="F107" s="9" t="s">
        <v>1589</v>
      </c>
      <c r="G107" s="9" t="s">
        <v>1592</v>
      </c>
      <c r="H107" s="9" t="s">
        <v>170</v>
      </c>
      <c r="I107" s="9" t="s">
        <v>1692</v>
      </c>
      <c r="J107" s="9" t="s">
        <v>1608</v>
      </c>
      <c r="K107" s="9">
        <v>1</v>
      </c>
      <c r="L107" s="9">
        <v>22</v>
      </c>
      <c r="M107" s="9">
        <v>2010</v>
      </c>
      <c r="O107" s="9" t="str">
        <f t="shared" si="7"/>
        <v>NO</v>
      </c>
      <c r="P107" s="9" t="str">
        <f t="shared" si="8"/>
        <v>NO</v>
      </c>
      <c r="Q107" s="9" t="str">
        <f t="shared" si="9"/>
        <v>Conditioned</v>
      </c>
    </row>
    <row r="108" spans="1:17">
      <c r="A108" s="9">
        <v>10322</v>
      </c>
      <c r="B108" s="9">
        <v>1</v>
      </c>
      <c r="C108" s="9" t="s">
        <v>1589</v>
      </c>
      <c r="D108" s="9" t="s">
        <v>1590</v>
      </c>
      <c r="E108" s="9" t="s">
        <v>1591</v>
      </c>
      <c r="F108" s="9" t="s">
        <v>1589</v>
      </c>
      <c r="G108" s="9" t="s">
        <v>1592</v>
      </c>
      <c r="H108" s="9" t="s">
        <v>1638</v>
      </c>
      <c r="I108" s="9" t="s">
        <v>1693</v>
      </c>
      <c r="J108" s="9" t="s">
        <v>1597</v>
      </c>
      <c r="K108" s="9">
        <v>1</v>
      </c>
      <c r="L108" s="9">
        <v>20</v>
      </c>
      <c r="M108" s="9">
        <v>1999</v>
      </c>
      <c r="O108" s="9" t="str">
        <f t="shared" si="7"/>
        <v>NO</v>
      </c>
      <c r="P108" s="9" t="str">
        <f t="shared" si="8"/>
        <v>NO</v>
      </c>
      <c r="Q108" s="9" t="str">
        <f t="shared" si="9"/>
        <v>Conditioned</v>
      </c>
    </row>
    <row r="109" spans="1:17">
      <c r="A109" s="9">
        <v>10325</v>
      </c>
      <c r="B109" s="9">
        <v>1</v>
      </c>
      <c r="C109" s="9" t="s">
        <v>1589</v>
      </c>
      <c r="D109" s="9" t="s">
        <v>1590</v>
      </c>
      <c r="E109" s="9" t="s">
        <v>1613</v>
      </c>
      <c r="F109" s="9" t="s">
        <v>1603</v>
      </c>
      <c r="G109" s="9" t="s">
        <v>1592</v>
      </c>
      <c r="H109" s="9" t="s">
        <v>176</v>
      </c>
      <c r="I109" s="9" t="s">
        <v>1694</v>
      </c>
      <c r="J109" s="9" t="s">
        <v>1601</v>
      </c>
      <c r="K109" s="9">
        <v>0.75</v>
      </c>
      <c r="L109" s="9">
        <v>18</v>
      </c>
      <c r="M109" s="9">
        <v>2006</v>
      </c>
      <c r="O109" s="9" t="str">
        <f t="shared" si="7"/>
        <v>NO</v>
      </c>
      <c r="P109" s="9" t="str">
        <f t="shared" si="8"/>
        <v>NO</v>
      </c>
      <c r="Q109" s="9" t="str">
        <f t="shared" si="9"/>
        <v>Conditioned</v>
      </c>
    </row>
    <row r="110" spans="1:17">
      <c r="A110" s="9">
        <v>10332</v>
      </c>
      <c r="B110" s="9">
        <v>1</v>
      </c>
      <c r="C110" s="9" t="s">
        <v>1589</v>
      </c>
      <c r="D110" s="9" t="s">
        <v>1590</v>
      </c>
      <c r="E110" s="9" t="s">
        <v>1602</v>
      </c>
      <c r="F110" s="9" t="s">
        <v>1603</v>
      </c>
      <c r="G110" s="9" t="s">
        <v>1592</v>
      </c>
      <c r="H110" s="9" t="s">
        <v>170</v>
      </c>
      <c r="I110" s="9" t="s">
        <v>1695</v>
      </c>
      <c r="J110" s="9" t="s">
        <v>1601</v>
      </c>
      <c r="K110" s="9">
        <v>1</v>
      </c>
      <c r="L110" s="9">
        <v>20</v>
      </c>
      <c r="M110" s="9">
        <v>1994</v>
      </c>
      <c r="O110" s="9" t="str">
        <f t="shared" si="7"/>
        <v>NO</v>
      </c>
      <c r="P110" s="9" t="str">
        <f t="shared" si="8"/>
        <v>NO</v>
      </c>
      <c r="Q110" s="9" t="str">
        <f t="shared" si="9"/>
        <v>Conditioned</v>
      </c>
    </row>
    <row r="111" spans="1:17">
      <c r="A111" s="9">
        <v>10334</v>
      </c>
      <c r="B111" s="9">
        <v>1</v>
      </c>
      <c r="C111" s="9" t="s">
        <v>1589</v>
      </c>
      <c r="D111" s="9" t="s">
        <v>1590</v>
      </c>
      <c r="E111" s="9" t="s">
        <v>1602</v>
      </c>
      <c r="F111" s="9" t="s">
        <v>1603</v>
      </c>
      <c r="G111" s="9" t="s">
        <v>1592</v>
      </c>
      <c r="H111" s="9" t="s">
        <v>177</v>
      </c>
      <c r="I111" s="9" t="s">
        <v>1696</v>
      </c>
      <c r="J111" s="9" t="s">
        <v>1601</v>
      </c>
      <c r="K111" s="9">
        <v>1</v>
      </c>
      <c r="L111" s="9">
        <v>25</v>
      </c>
      <c r="M111" s="9">
        <v>2000</v>
      </c>
      <c r="O111" s="9" t="str">
        <f t="shared" si="7"/>
        <v>NO</v>
      </c>
      <c r="P111" s="9" t="str">
        <f t="shared" si="8"/>
        <v>NO</v>
      </c>
      <c r="Q111" s="9" t="str">
        <f t="shared" si="9"/>
        <v>Conditioned</v>
      </c>
    </row>
    <row r="112" spans="1:17">
      <c r="A112" s="9">
        <v>10334</v>
      </c>
      <c r="B112" s="9">
        <v>2</v>
      </c>
      <c r="C112" s="9" t="s">
        <v>1589</v>
      </c>
      <c r="D112" s="9" t="s">
        <v>1590</v>
      </c>
      <c r="E112" s="9" t="s">
        <v>1591</v>
      </c>
      <c r="F112" s="9" t="s">
        <v>1589</v>
      </c>
      <c r="G112" s="9" t="s">
        <v>1606</v>
      </c>
      <c r="H112" s="9" t="s">
        <v>174</v>
      </c>
      <c r="I112" s="9" t="s">
        <v>1589</v>
      </c>
      <c r="J112" s="9" t="s">
        <v>1597</v>
      </c>
      <c r="K112" s="9">
        <v>1</v>
      </c>
      <c r="L112" s="9">
        <v>18</v>
      </c>
      <c r="M112" s="9">
        <v>1999</v>
      </c>
      <c r="O112" s="9" t="str">
        <f t="shared" si="7"/>
        <v>NO</v>
      </c>
      <c r="P112" s="9" t="str">
        <f t="shared" si="8"/>
        <v>NO</v>
      </c>
      <c r="Q112" s="9" t="str">
        <f t="shared" si="9"/>
        <v>Unconditioned</v>
      </c>
    </row>
    <row r="113" spans="1:17">
      <c r="A113" s="9">
        <v>10334</v>
      </c>
      <c r="B113" s="9">
        <v>3</v>
      </c>
      <c r="C113" s="9" t="s">
        <v>1589</v>
      </c>
      <c r="D113" s="9" t="s">
        <v>1590</v>
      </c>
      <c r="E113" s="9" t="s">
        <v>1591</v>
      </c>
      <c r="F113" s="9" t="s">
        <v>1589</v>
      </c>
      <c r="G113" s="9" t="s">
        <v>1606</v>
      </c>
      <c r="H113" s="9" t="s">
        <v>170</v>
      </c>
      <c r="I113" s="9" t="s">
        <v>1589</v>
      </c>
      <c r="J113" s="9" t="s">
        <v>1605</v>
      </c>
      <c r="K113" s="9">
        <v>1</v>
      </c>
      <c r="L113" s="9">
        <v>20</v>
      </c>
      <c r="M113" s="9">
        <v>1994</v>
      </c>
      <c r="O113" s="9" t="str">
        <f t="shared" si="7"/>
        <v>NO</v>
      </c>
      <c r="P113" s="9" t="str">
        <f t="shared" si="8"/>
        <v>YES</v>
      </c>
      <c r="Q113" s="9" t="str">
        <f t="shared" si="9"/>
        <v>Unconditioned</v>
      </c>
    </row>
    <row r="114" spans="1:17">
      <c r="A114" s="9">
        <v>10335</v>
      </c>
      <c r="B114" s="9">
        <v>1</v>
      </c>
      <c r="C114" s="9" t="s">
        <v>1589</v>
      </c>
      <c r="D114" s="9" t="s">
        <v>1590</v>
      </c>
      <c r="E114" s="9" t="s">
        <v>1591</v>
      </c>
      <c r="F114" s="9" t="s">
        <v>1589</v>
      </c>
      <c r="G114" s="9" t="s">
        <v>1592</v>
      </c>
      <c r="H114" s="9" t="s">
        <v>177</v>
      </c>
      <c r="I114" s="9" t="s">
        <v>1697</v>
      </c>
      <c r="J114" s="9" t="s">
        <v>1597</v>
      </c>
      <c r="K114" s="9">
        <v>1</v>
      </c>
      <c r="L114" s="9">
        <v>18</v>
      </c>
      <c r="M114" s="9">
        <v>1998</v>
      </c>
      <c r="O114" s="9" t="str">
        <f t="shared" si="7"/>
        <v>NO</v>
      </c>
      <c r="P114" s="9" t="str">
        <f t="shared" si="8"/>
        <v>NO</v>
      </c>
      <c r="Q114" s="9" t="str">
        <f t="shared" si="9"/>
        <v>Conditioned</v>
      </c>
    </row>
    <row r="115" spans="1:17">
      <c r="A115" s="9">
        <v>10337</v>
      </c>
      <c r="B115" s="9">
        <v>1</v>
      </c>
      <c r="C115" s="9" t="s">
        <v>1589</v>
      </c>
      <c r="D115" s="9" t="s">
        <v>1590</v>
      </c>
      <c r="E115" s="9" t="s">
        <v>1602</v>
      </c>
      <c r="F115" s="9" t="s">
        <v>1603</v>
      </c>
      <c r="G115" s="9" t="s">
        <v>1592</v>
      </c>
      <c r="H115" s="9" t="s">
        <v>170</v>
      </c>
      <c r="I115" s="9" t="s">
        <v>1698</v>
      </c>
      <c r="J115" s="9" t="s">
        <v>1601</v>
      </c>
      <c r="K115" s="9">
        <v>1</v>
      </c>
      <c r="L115" s="9">
        <v>22</v>
      </c>
      <c r="M115" s="9">
        <v>2007</v>
      </c>
      <c r="O115" s="9" t="str">
        <f t="shared" si="7"/>
        <v>NO</v>
      </c>
      <c r="P115" s="9" t="str">
        <f t="shared" si="8"/>
        <v>NO</v>
      </c>
      <c r="Q115" s="9" t="str">
        <f t="shared" si="9"/>
        <v>Conditioned</v>
      </c>
    </row>
    <row r="116" spans="1:17">
      <c r="A116" s="9">
        <v>10338</v>
      </c>
      <c r="B116" s="9">
        <v>1</v>
      </c>
      <c r="C116" s="9" t="s">
        <v>1589</v>
      </c>
      <c r="D116" s="9" t="s">
        <v>1590</v>
      </c>
      <c r="E116" s="9" t="s">
        <v>1613</v>
      </c>
      <c r="F116" s="9" t="s">
        <v>1590</v>
      </c>
      <c r="G116" s="9" t="s">
        <v>1592</v>
      </c>
      <c r="H116" s="9" t="s">
        <v>1624</v>
      </c>
      <c r="I116" s="9" t="s">
        <v>1699</v>
      </c>
      <c r="J116" s="9" t="s">
        <v>1597</v>
      </c>
      <c r="K116" s="9">
        <v>1</v>
      </c>
      <c r="L116" s="9">
        <v>18</v>
      </c>
      <c r="M116" s="9">
        <v>1997</v>
      </c>
      <c r="O116" s="9" t="str">
        <f t="shared" si="7"/>
        <v>NO</v>
      </c>
      <c r="P116" s="9" t="str">
        <f t="shared" si="8"/>
        <v>NO</v>
      </c>
      <c r="Q116" s="9" t="str">
        <f t="shared" si="9"/>
        <v>Conditioned</v>
      </c>
    </row>
    <row r="117" spans="1:17">
      <c r="A117" s="9">
        <v>10338</v>
      </c>
      <c r="B117" s="9">
        <v>2</v>
      </c>
      <c r="C117" s="9" t="s">
        <v>1589</v>
      </c>
      <c r="D117" s="9" t="s">
        <v>1590</v>
      </c>
      <c r="E117" s="9" t="s">
        <v>1591</v>
      </c>
      <c r="F117" s="9" t="s">
        <v>1589</v>
      </c>
      <c r="G117" s="9" t="s">
        <v>1606</v>
      </c>
      <c r="H117" s="9" t="s">
        <v>170</v>
      </c>
      <c r="I117" s="9" t="s">
        <v>1589</v>
      </c>
      <c r="J117" s="9" t="s">
        <v>1587</v>
      </c>
      <c r="K117" s="9">
        <v>1</v>
      </c>
      <c r="L117" s="9">
        <v>10</v>
      </c>
      <c r="O117" s="9" t="str">
        <f t="shared" si="7"/>
        <v>NO</v>
      </c>
      <c r="P117" s="9" t="str">
        <f t="shared" si="8"/>
        <v>YES</v>
      </c>
      <c r="Q117" s="9" t="str">
        <f t="shared" si="9"/>
        <v>Unconditioned</v>
      </c>
    </row>
    <row r="118" spans="1:17">
      <c r="A118" s="9">
        <v>10348</v>
      </c>
      <c r="B118" s="9">
        <v>1</v>
      </c>
      <c r="C118" s="9" t="s">
        <v>1589</v>
      </c>
      <c r="D118" s="9" t="s">
        <v>1590</v>
      </c>
      <c r="E118" s="9" t="s">
        <v>1602</v>
      </c>
      <c r="F118" s="9" t="s">
        <v>1603</v>
      </c>
      <c r="G118" s="9" t="s">
        <v>1592</v>
      </c>
      <c r="H118" s="9" t="s">
        <v>169</v>
      </c>
      <c r="I118" s="9" t="s">
        <v>1700</v>
      </c>
      <c r="J118" s="9" t="s">
        <v>1601</v>
      </c>
      <c r="K118" s="9">
        <v>1</v>
      </c>
      <c r="L118" s="9">
        <v>22</v>
      </c>
      <c r="M118" s="9">
        <v>2001</v>
      </c>
      <c r="O118" s="9" t="str">
        <f t="shared" si="7"/>
        <v>NO</v>
      </c>
      <c r="P118" s="9" t="str">
        <f t="shared" si="8"/>
        <v>NO</v>
      </c>
      <c r="Q118" s="9" t="str">
        <f t="shared" si="9"/>
        <v>Conditioned</v>
      </c>
    </row>
    <row r="119" spans="1:17">
      <c r="A119" s="9">
        <v>10352</v>
      </c>
      <c r="B119" s="9">
        <v>1</v>
      </c>
      <c r="C119" s="9" t="s">
        <v>1589</v>
      </c>
      <c r="D119" s="9" t="s">
        <v>1590</v>
      </c>
      <c r="E119" s="9" t="s">
        <v>1602</v>
      </c>
      <c r="F119" s="9" t="s">
        <v>1603</v>
      </c>
      <c r="G119" s="9" t="s">
        <v>1592</v>
      </c>
      <c r="H119" s="9" t="s">
        <v>1599</v>
      </c>
      <c r="I119" s="9" t="s">
        <v>1701</v>
      </c>
      <c r="J119" s="9" t="s">
        <v>1601</v>
      </c>
      <c r="K119" s="9">
        <v>0.75</v>
      </c>
      <c r="L119" s="9">
        <v>24</v>
      </c>
      <c r="M119" s="9">
        <v>2004</v>
      </c>
      <c r="O119" s="9" t="str">
        <f t="shared" si="7"/>
        <v>NO</v>
      </c>
      <c r="P119" s="9" t="str">
        <f t="shared" si="8"/>
        <v>NO</v>
      </c>
      <c r="Q119" s="9" t="str">
        <f t="shared" si="9"/>
        <v>Conditioned</v>
      </c>
    </row>
    <row r="120" spans="1:17">
      <c r="A120" s="9">
        <v>10369</v>
      </c>
      <c r="B120" s="9">
        <v>1</v>
      </c>
      <c r="C120" s="9" t="s">
        <v>1589</v>
      </c>
      <c r="D120" s="9" t="s">
        <v>1590</v>
      </c>
      <c r="E120" s="9" t="s">
        <v>1591</v>
      </c>
      <c r="F120" s="9" t="s">
        <v>1589</v>
      </c>
      <c r="G120" s="9" t="s">
        <v>1606</v>
      </c>
      <c r="H120" s="9" t="s">
        <v>1624</v>
      </c>
      <c r="I120" s="9" t="s">
        <v>1589</v>
      </c>
      <c r="J120" s="9" t="s">
        <v>1605</v>
      </c>
      <c r="K120" s="9">
        <v>1</v>
      </c>
      <c r="L120" s="9">
        <v>16</v>
      </c>
      <c r="M120" s="9">
        <v>1980</v>
      </c>
      <c r="O120" s="9" t="str">
        <f t="shared" si="7"/>
        <v>NO</v>
      </c>
      <c r="P120" s="9" t="str">
        <f t="shared" si="8"/>
        <v>YES</v>
      </c>
      <c r="Q120" s="9" t="str">
        <f t="shared" si="9"/>
        <v>Unconditioned</v>
      </c>
    </row>
    <row r="121" spans="1:17">
      <c r="A121" s="9">
        <v>10369</v>
      </c>
      <c r="B121" s="9">
        <v>2</v>
      </c>
      <c r="C121" s="9" t="s">
        <v>1589</v>
      </c>
      <c r="D121" s="9" t="s">
        <v>1590</v>
      </c>
      <c r="E121" s="9" t="s">
        <v>1613</v>
      </c>
      <c r="F121" s="9" t="s">
        <v>1603</v>
      </c>
      <c r="G121" s="9" t="s">
        <v>1592</v>
      </c>
      <c r="H121" s="9" t="s">
        <v>1599</v>
      </c>
      <c r="I121" s="9" t="s">
        <v>1702</v>
      </c>
      <c r="J121" s="9" t="s">
        <v>1608</v>
      </c>
      <c r="K121" s="9">
        <v>1</v>
      </c>
      <c r="L121" s="9">
        <v>22</v>
      </c>
      <c r="M121" s="9">
        <v>2010</v>
      </c>
      <c r="O121" s="9" t="str">
        <f t="shared" si="7"/>
        <v>NO</v>
      </c>
      <c r="P121" s="9" t="str">
        <f t="shared" si="8"/>
        <v>NO</v>
      </c>
      <c r="Q121" s="9" t="str">
        <f t="shared" si="9"/>
        <v>Conditioned</v>
      </c>
    </row>
    <row r="122" spans="1:17">
      <c r="A122" s="9">
        <v>10384</v>
      </c>
      <c r="B122" s="9">
        <v>1</v>
      </c>
      <c r="C122" s="9" t="s">
        <v>1589</v>
      </c>
      <c r="D122" s="9" t="s">
        <v>1590</v>
      </c>
      <c r="E122" s="9" t="s">
        <v>1591</v>
      </c>
      <c r="F122" s="9" t="s">
        <v>1589</v>
      </c>
      <c r="G122" s="9" t="s">
        <v>1592</v>
      </c>
      <c r="H122" s="9" t="s">
        <v>1632</v>
      </c>
      <c r="I122" s="9" t="s">
        <v>1703</v>
      </c>
      <c r="J122" s="9" t="s">
        <v>1597</v>
      </c>
      <c r="K122" s="9">
        <v>1</v>
      </c>
      <c r="L122" s="9">
        <v>22</v>
      </c>
      <c r="M122" s="9">
        <v>1996</v>
      </c>
      <c r="O122" s="9" t="str">
        <f t="shared" si="7"/>
        <v>NO</v>
      </c>
      <c r="P122" s="9" t="str">
        <f t="shared" si="8"/>
        <v>NO</v>
      </c>
      <c r="Q122" s="9" t="str">
        <f t="shared" si="9"/>
        <v>Conditioned</v>
      </c>
    </row>
    <row r="123" spans="1:17">
      <c r="A123" s="9">
        <v>10388</v>
      </c>
      <c r="B123" s="9">
        <v>1</v>
      </c>
      <c r="C123" s="9" t="s">
        <v>1589</v>
      </c>
      <c r="D123" s="9" t="s">
        <v>1590</v>
      </c>
      <c r="E123" s="9" t="s">
        <v>1613</v>
      </c>
      <c r="F123" s="9" t="s">
        <v>1603</v>
      </c>
      <c r="G123" s="9" t="s">
        <v>1592</v>
      </c>
      <c r="H123" s="9" t="s">
        <v>177</v>
      </c>
      <c r="I123" s="9" t="s">
        <v>1704</v>
      </c>
      <c r="J123" s="9" t="s">
        <v>1597</v>
      </c>
      <c r="K123" s="9">
        <v>1</v>
      </c>
      <c r="L123" s="9">
        <v>18</v>
      </c>
      <c r="M123" s="9">
        <v>2009</v>
      </c>
      <c r="O123" s="9" t="str">
        <f t="shared" si="7"/>
        <v>NO</v>
      </c>
      <c r="P123" s="9" t="str">
        <f t="shared" si="8"/>
        <v>NO</v>
      </c>
      <c r="Q123" s="9" t="str">
        <f t="shared" si="9"/>
        <v>Conditioned</v>
      </c>
    </row>
    <row r="124" spans="1:17">
      <c r="A124" s="9">
        <v>10388</v>
      </c>
      <c r="B124" s="9">
        <v>2</v>
      </c>
      <c r="C124" s="9" t="s">
        <v>1589</v>
      </c>
      <c r="D124" s="9" t="s">
        <v>1590</v>
      </c>
      <c r="E124" s="9" t="s">
        <v>1591</v>
      </c>
      <c r="F124" s="9" t="s">
        <v>1589</v>
      </c>
      <c r="G124" s="9" t="s">
        <v>1592</v>
      </c>
      <c r="H124" s="9" t="s">
        <v>169</v>
      </c>
      <c r="I124" s="9" t="s">
        <v>1705</v>
      </c>
      <c r="J124" s="9" t="s">
        <v>1587</v>
      </c>
      <c r="K124" s="9">
        <v>1</v>
      </c>
      <c r="L124" s="9">
        <v>10</v>
      </c>
      <c r="M124" s="9">
        <v>2011</v>
      </c>
      <c r="O124" s="9" t="str">
        <f t="shared" si="7"/>
        <v>NO</v>
      </c>
      <c r="P124" s="9" t="str">
        <f t="shared" si="8"/>
        <v>YES</v>
      </c>
      <c r="Q124" s="9" t="str">
        <f t="shared" si="9"/>
        <v>Conditioned</v>
      </c>
    </row>
    <row r="125" spans="1:17">
      <c r="A125" s="9">
        <v>10398</v>
      </c>
      <c r="B125" s="9">
        <v>1</v>
      </c>
      <c r="C125" s="9" t="s">
        <v>1589</v>
      </c>
      <c r="D125" s="9" t="s">
        <v>1590</v>
      </c>
      <c r="E125" s="9" t="s">
        <v>1602</v>
      </c>
      <c r="F125" s="9" t="s">
        <v>1603</v>
      </c>
      <c r="G125" s="9" t="s">
        <v>1592</v>
      </c>
      <c r="H125" s="9" t="s">
        <v>1599</v>
      </c>
      <c r="I125" s="9" t="s">
        <v>1706</v>
      </c>
      <c r="J125" s="9" t="s">
        <v>1601</v>
      </c>
      <c r="K125" s="9">
        <v>1</v>
      </c>
      <c r="L125" s="9">
        <v>36</v>
      </c>
      <c r="M125" s="9">
        <v>2006</v>
      </c>
      <c r="O125" s="9" t="str">
        <f t="shared" si="7"/>
        <v>NO</v>
      </c>
      <c r="P125" s="9" t="str">
        <f t="shared" si="8"/>
        <v>NO</v>
      </c>
      <c r="Q125" s="9" t="str">
        <f t="shared" si="9"/>
        <v>Conditioned</v>
      </c>
    </row>
    <row r="126" spans="1:17">
      <c r="A126" s="9">
        <v>10398</v>
      </c>
      <c r="B126" s="9">
        <v>2</v>
      </c>
      <c r="C126" s="9" t="s">
        <v>1589</v>
      </c>
      <c r="D126" s="9" t="s">
        <v>1590</v>
      </c>
      <c r="E126" s="9" t="s">
        <v>1591</v>
      </c>
      <c r="F126" s="9" t="s">
        <v>1589</v>
      </c>
      <c r="G126" s="9" t="s">
        <v>1592</v>
      </c>
      <c r="H126" s="9" t="s">
        <v>1707</v>
      </c>
      <c r="I126" s="9" t="s">
        <v>1708</v>
      </c>
      <c r="J126" s="9" t="s">
        <v>1589</v>
      </c>
      <c r="K126" s="9">
        <v>1</v>
      </c>
      <c r="L126" s="9">
        <v>12</v>
      </c>
      <c r="M126" s="9">
        <v>2006</v>
      </c>
      <c r="O126" s="9" t="str">
        <f t="shared" si="7"/>
        <v>NO</v>
      </c>
      <c r="P126" s="9" t="e">
        <f t="shared" si="8"/>
        <v>#N/A</v>
      </c>
      <c r="Q126" s="9" t="str">
        <f t="shared" si="9"/>
        <v>Conditioned</v>
      </c>
    </row>
    <row r="127" spans="1:17">
      <c r="A127" s="9">
        <v>10401</v>
      </c>
      <c r="B127" s="9">
        <v>1</v>
      </c>
      <c r="C127" s="9" t="s">
        <v>1589</v>
      </c>
      <c r="D127" s="9" t="s">
        <v>1590</v>
      </c>
      <c r="E127" s="9" t="s">
        <v>1591</v>
      </c>
      <c r="F127" s="9" t="s">
        <v>1589</v>
      </c>
      <c r="G127" s="9" t="s">
        <v>1592</v>
      </c>
      <c r="H127" s="9" t="s">
        <v>1599</v>
      </c>
      <c r="I127" s="9" t="s">
        <v>1709</v>
      </c>
      <c r="J127" s="9" t="s">
        <v>1597</v>
      </c>
      <c r="K127" s="9">
        <v>1</v>
      </c>
      <c r="L127" s="9">
        <v>16</v>
      </c>
      <c r="M127" s="9">
        <v>2004</v>
      </c>
      <c r="O127" s="9" t="str">
        <f t="shared" si="7"/>
        <v>NO</v>
      </c>
      <c r="P127" s="9" t="str">
        <f t="shared" si="8"/>
        <v>NO</v>
      </c>
      <c r="Q127" s="9" t="str">
        <f t="shared" si="9"/>
        <v>Conditioned</v>
      </c>
    </row>
    <row r="128" spans="1:17">
      <c r="A128" s="9">
        <v>10401</v>
      </c>
      <c r="B128" s="9">
        <v>2</v>
      </c>
      <c r="C128" s="9" t="s">
        <v>1589</v>
      </c>
      <c r="D128" s="9" t="s">
        <v>1590</v>
      </c>
      <c r="E128" s="9" t="s">
        <v>1591</v>
      </c>
      <c r="F128" s="9" t="s">
        <v>1589</v>
      </c>
      <c r="G128" s="9" t="s">
        <v>1592</v>
      </c>
      <c r="H128" s="9" t="s">
        <v>1624</v>
      </c>
      <c r="I128" s="9" t="s">
        <v>1589</v>
      </c>
      <c r="J128" s="9" t="s">
        <v>1605</v>
      </c>
      <c r="K128" s="9">
        <v>1</v>
      </c>
      <c r="L128" s="9">
        <v>10</v>
      </c>
      <c r="M128" s="9">
        <v>1960</v>
      </c>
      <c r="O128" s="9" t="str">
        <f t="shared" si="7"/>
        <v>NO</v>
      </c>
      <c r="P128" s="9" t="str">
        <f t="shared" si="8"/>
        <v>YES</v>
      </c>
      <c r="Q128" s="9" t="str">
        <f t="shared" si="9"/>
        <v>Conditioned</v>
      </c>
    </row>
    <row r="129" spans="1:17">
      <c r="A129" s="9">
        <v>10408</v>
      </c>
      <c r="B129" s="9">
        <v>1</v>
      </c>
      <c r="C129" s="9" t="s">
        <v>1589</v>
      </c>
      <c r="D129" s="9" t="s">
        <v>1590</v>
      </c>
      <c r="E129" s="9" t="s">
        <v>1591</v>
      </c>
      <c r="F129" s="9" t="s">
        <v>1589</v>
      </c>
      <c r="G129" s="9" t="s">
        <v>1592</v>
      </c>
      <c r="H129" s="9" t="s">
        <v>177</v>
      </c>
      <c r="I129" s="9" t="s">
        <v>1710</v>
      </c>
      <c r="J129" s="9" t="s">
        <v>1597</v>
      </c>
      <c r="K129" s="9">
        <v>1</v>
      </c>
      <c r="L129" s="9">
        <v>16</v>
      </c>
      <c r="M129" s="9">
        <v>2004</v>
      </c>
      <c r="O129" s="9" t="str">
        <f t="shared" si="7"/>
        <v>NO</v>
      </c>
      <c r="P129" s="9" t="str">
        <f t="shared" si="8"/>
        <v>NO</v>
      </c>
      <c r="Q129" s="9" t="str">
        <f t="shared" si="9"/>
        <v>Conditioned</v>
      </c>
    </row>
    <row r="130" spans="1:17">
      <c r="A130" s="9">
        <v>10408</v>
      </c>
      <c r="B130" s="9">
        <v>2</v>
      </c>
      <c r="C130" s="9" t="s">
        <v>1589</v>
      </c>
      <c r="D130" s="9" t="s">
        <v>1590</v>
      </c>
      <c r="E130" s="9" t="s">
        <v>1591</v>
      </c>
      <c r="F130" s="9" t="s">
        <v>1589</v>
      </c>
      <c r="G130" s="9" t="s">
        <v>1592</v>
      </c>
      <c r="H130" s="9" t="s">
        <v>1711</v>
      </c>
      <c r="I130" s="9" t="s">
        <v>1633</v>
      </c>
      <c r="J130" s="9" t="s">
        <v>1612</v>
      </c>
      <c r="K130" s="9">
        <v>1</v>
      </c>
      <c r="L130" s="9">
        <v>10</v>
      </c>
      <c r="M130" s="9">
        <v>2010</v>
      </c>
      <c r="O130" s="9" t="str">
        <f t="shared" si="7"/>
        <v>NO</v>
      </c>
      <c r="P130" s="9" t="str">
        <f t="shared" si="8"/>
        <v>NO</v>
      </c>
      <c r="Q130" s="9" t="str">
        <f t="shared" si="9"/>
        <v>Conditioned</v>
      </c>
    </row>
    <row r="131" spans="1:17">
      <c r="A131" s="9">
        <v>10411</v>
      </c>
      <c r="B131" s="9">
        <v>1</v>
      </c>
      <c r="C131" s="9" t="s">
        <v>1589</v>
      </c>
      <c r="D131" s="9" t="s">
        <v>1590</v>
      </c>
      <c r="E131" s="9" t="s">
        <v>1591</v>
      </c>
      <c r="F131" s="9" t="s">
        <v>1589</v>
      </c>
      <c r="G131" s="9" t="s">
        <v>1606</v>
      </c>
      <c r="H131" s="9" t="s">
        <v>170</v>
      </c>
      <c r="I131" s="9" t="s">
        <v>1712</v>
      </c>
      <c r="J131" s="9" t="s">
        <v>1605</v>
      </c>
      <c r="K131" s="9">
        <v>1</v>
      </c>
      <c r="L131" s="9">
        <v>18</v>
      </c>
      <c r="M131" s="9">
        <v>1998</v>
      </c>
      <c r="O131" s="9" t="str">
        <f t="shared" si="7"/>
        <v>NO</v>
      </c>
      <c r="P131" s="9" t="str">
        <f t="shared" si="8"/>
        <v>YES</v>
      </c>
      <c r="Q131" s="9" t="str">
        <f t="shared" si="9"/>
        <v>Unconditioned</v>
      </c>
    </row>
    <row r="132" spans="1:17">
      <c r="A132" s="9">
        <v>10411</v>
      </c>
      <c r="B132" s="9">
        <v>2</v>
      </c>
      <c r="C132" s="9" t="s">
        <v>1713</v>
      </c>
      <c r="D132" s="9" t="s">
        <v>1590</v>
      </c>
      <c r="E132" s="9" t="s">
        <v>1613</v>
      </c>
      <c r="F132" s="9" t="s">
        <v>1590</v>
      </c>
      <c r="G132" s="9" t="s">
        <v>1592</v>
      </c>
      <c r="H132" s="9" t="s">
        <v>176</v>
      </c>
      <c r="I132" s="9" t="s">
        <v>1714</v>
      </c>
      <c r="J132" s="9" t="s">
        <v>1610</v>
      </c>
      <c r="K132" s="9">
        <v>1</v>
      </c>
      <c r="L132" s="9">
        <v>26</v>
      </c>
      <c r="O132" s="9" t="str">
        <f t="shared" si="7"/>
        <v>NO</v>
      </c>
      <c r="P132" s="9" t="str">
        <f t="shared" si="8"/>
        <v>NO</v>
      </c>
      <c r="Q132" s="9" t="str">
        <f t="shared" si="9"/>
        <v>Conditioned</v>
      </c>
    </row>
    <row r="133" spans="1:17">
      <c r="A133" s="9">
        <v>10413</v>
      </c>
      <c r="B133" s="9">
        <v>1</v>
      </c>
      <c r="C133" s="9" t="s">
        <v>1715</v>
      </c>
      <c r="D133" s="9" t="s">
        <v>1590</v>
      </c>
      <c r="E133" s="9" t="s">
        <v>1591</v>
      </c>
      <c r="F133" s="9" t="s">
        <v>1589</v>
      </c>
      <c r="G133" s="9" t="s">
        <v>1592</v>
      </c>
      <c r="H133" s="9" t="s">
        <v>170</v>
      </c>
      <c r="I133" s="9" t="s">
        <v>1716</v>
      </c>
      <c r="J133" s="9" t="s">
        <v>1597</v>
      </c>
      <c r="K133" s="9">
        <v>1</v>
      </c>
      <c r="L133" s="9">
        <v>19</v>
      </c>
      <c r="M133" s="9">
        <v>2003</v>
      </c>
      <c r="O133" s="9" t="str">
        <f t="shared" si="7"/>
        <v>NO</v>
      </c>
      <c r="P133" s="9" t="str">
        <f t="shared" si="8"/>
        <v>NO</v>
      </c>
      <c r="Q133" s="9" t="str">
        <f t="shared" si="9"/>
        <v>Conditioned</v>
      </c>
    </row>
    <row r="134" spans="1:17">
      <c r="A134" s="9">
        <v>10421</v>
      </c>
      <c r="B134" s="9">
        <v>1</v>
      </c>
      <c r="C134" s="9" t="s">
        <v>1589</v>
      </c>
      <c r="D134" s="9" t="s">
        <v>1590</v>
      </c>
      <c r="E134" s="9" t="s">
        <v>1591</v>
      </c>
      <c r="F134" s="9" t="s">
        <v>1589</v>
      </c>
      <c r="G134" s="9" t="s">
        <v>1592</v>
      </c>
      <c r="H134" s="9" t="s">
        <v>172</v>
      </c>
      <c r="I134" s="9" t="s">
        <v>1717</v>
      </c>
      <c r="J134" s="9" t="s">
        <v>1597</v>
      </c>
      <c r="K134" s="9">
        <v>1</v>
      </c>
      <c r="L134" s="9">
        <v>21</v>
      </c>
      <c r="M134" s="9">
        <v>2002</v>
      </c>
      <c r="O134" s="9" t="str">
        <f t="shared" si="7"/>
        <v>NO</v>
      </c>
      <c r="P134" s="9" t="str">
        <f t="shared" si="8"/>
        <v>NO</v>
      </c>
      <c r="Q134" s="9" t="str">
        <f t="shared" si="9"/>
        <v>Conditioned</v>
      </c>
    </row>
    <row r="135" spans="1:17">
      <c r="A135" s="9">
        <v>10425</v>
      </c>
      <c r="B135" s="9">
        <v>1</v>
      </c>
      <c r="C135" s="9" t="s">
        <v>1589</v>
      </c>
      <c r="D135" s="9" t="s">
        <v>1590</v>
      </c>
      <c r="E135" s="9" t="s">
        <v>1602</v>
      </c>
      <c r="F135" s="9" t="s">
        <v>1603</v>
      </c>
      <c r="G135" s="9" t="s">
        <v>1592</v>
      </c>
      <c r="H135" s="9" t="s">
        <v>170</v>
      </c>
      <c r="I135" s="9" t="s">
        <v>1718</v>
      </c>
      <c r="J135" s="9" t="s">
        <v>1601</v>
      </c>
      <c r="K135" s="9">
        <v>1</v>
      </c>
      <c r="L135" s="9">
        <v>25</v>
      </c>
      <c r="M135" s="9">
        <v>2000</v>
      </c>
      <c r="O135" s="9" t="str">
        <f t="shared" si="7"/>
        <v>NO</v>
      </c>
      <c r="P135" s="9" t="str">
        <f t="shared" si="8"/>
        <v>NO</v>
      </c>
      <c r="Q135" s="9" t="str">
        <f t="shared" si="9"/>
        <v>Conditioned</v>
      </c>
    </row>
    <row r="136" spans="1:17">
      <c r="A136" s="9">
        <v>10425</v>
      </c>
      <c r="B136" s="9">
        <v>2</v>
      </c>
      <c r="C136" s="9" t="s">
        <v>1589</v>
      </c>
      <c r="D136" s="9" t="s">
        <v>1590</v>
      </c>
      <c r="E136" s="9" t="s">
        <v>1591</v>
      </c>
      <c r="F136" s="9" t="s">
        <v>1589</v>
      </c>
      <c r="G136" s="9" t="s">
        <v>1592</v>
      </c>
      <c r="H136" s="9" t="s">
        <v>170</v>
      </c>
      <c r="I136" s="9" t="s">
        <v>1719</v>
      </c>
      <c r="J136" s="9" t="s">
        <v>1597</v>
      </c>
      <c r="K136" s="9">
        <v>1</v>
      </c>
      <c r="L136" s="9">
        <v>21</v>
      </c>
      <c r="M136" s="9">
        <v>1995</v>
      </c>
      <c r="O136" s="9" t="str">
        <f t="shared" si="7"/>
        <v>NO</v>
      </c>
      <c r="P136" s="9" t="str">
        <f t="shared" si="8"/>
        <v>NO</v>
      </c>
      <c r="Q136" s="9" t="str">
        <f t="shared" si="9"/>
        <v>Conditioned</v>
      </c>
    </row>
    <row r="137" spans="1:17">
      <c r="A137" s="9">
        <v>10430</v>
      </c>
      <c r="B137" s="9">
        <v>1</v>
      </c>
      <c r="C137" s="9" t="s">
        <v>1589</v>
      </c>
      <c r="D137" s="9" t="s">
        <v>1603</v>
      </c>
      <c r="E137" s="9" t="s">
        <v>1602</v>
      </c>
      <c r="F137" s="9" t="s">
        <v>1603</v>
      </c>
      <c r="G137" s="9" t="s">
        <v>1592</v>
      </c>
      <c r="H137" s="9" t="s">
        <v>178</v>
      </c>
      <c r="I137" s="9" t="s">
        <v>1720</v>
      </c>
      <c r="J137" s="9" t="s">
        <v>1601</v>
      </c>
      <c r="K137" s="9">
        <v>1</v>
      </c>
      <c r="L137" s="9">
        <v>23</v>
      </c>
      <c r="M137" s="9">
        <v>2010</v>
      </c>
      <c r="O137" s="9" t="str">
        <f t="shared" si="7"/>
        <v>NO</v>
      </c>
      <c r="P137" s="9" t="str">
        <f t="shared" si="8"/>
        <v>NO</v>
      </c>
      <c r="Q137" s="9" t="str">
        <f t="shared" si="9"/>
        <v>Conditioned</v>
      </c>
    </row>
    <row r="138" spans="1:17">
      <c r="A138" s="9">
        <v>10430</v>
      </c>
      <c r="B138" s="9">
        <v>2</v>
      </c>
      <c r="C138" s="9" t="s">
        <v>1589</v>
      </c>
      <c r="D138" s="9" t="s">
        <v>1590</v>
      </c>
      <c r="E138" s="9" t="s">
        <v>1591</v>
      </c>
      <c r="F138" s="9" t="s">
        <v>1589</v>
      </c>
      <c r="G138" s="9" t="s">
        <v>1606</v>
      </c>
      <c r="H138" s="9" t="s">
        <v>169</v>
      </c>
      <c r="I138" s="9" t="s">
        <v>1721</v>
      </c>
      <c r="J138" s="9" t="s">
        <v>1597</v>
      </c>
      <c r="K138" s="9">
        <v>1</v>
      </c>
      <c r="L138" s="9">
        <v>18</v>
      </c>
      <c r="M138" s="9">
        <v>1996</v>
      </c>
      <c r="O138" s="9" t="str">
        <f t="shared" si="7"/>
        <v>NO</v>
      </c>
      <c r="P138" s="9" t="str">
        <f t="shared" si="8"/>
        <v>NO</v>
      </c>
      <c r="Q138" s="9" t="str">
        <f t="shared" si="9"/>
        <v>Unconditioned</v>
      </c>
    </row>
    <row r="139" spans="1:17">
      <c r="A139" s="9">
        <v>10430</v>
      </c>
      <c r="B139" s="9">
        <v>3</v>
      </c>
      <c r="C139" s="9" t="s">
        <v>1589</v>
      </c>
      <c r="D139" s="9" t="s">
        <v>1590</v>
      </c>
      <c r="E139" s="9" t="s">
        <v>1591</v>
      </c>
      <c r="F139" s="9" t="s">
        <v>1589</v>
      </c>
      <c r="G139" s="9" t="s">
        <v>1606</v>
      </c>
      <c r="H139" s="9" t="s">
        <v>169</v>
      </c>
      <c r="I139" s="9" t="s">
        <v>1589</v>
      </c>
      <c r="J139" s="9" t="s">
        <v>1605</v>
      </c>
      <c r="K139" s="9">
        <v>1</v>
      </c>
      <c r="L139" s="9">
        <v>20</v>
      </c>
      <c r="M139" s="9">
        <v>1996</v>
      </c>
      <c r="O139" s="9" t="str">
        <f t="shared" si="7"/>
        <v>NO</v>
      </c>
      <c r="P139" s="9" t="str">
        <f t="shared" si="8"/>
        <v>YES</v>
      </c>
      <c r="Q139" s="9" t="str">
        <f t="shared" si="9"/>
        <v>Unconditioned</v>
      </c>
    </row>
    <row r="140" spans="1:17">
      <c r="A140" s="9">
        <v>10435</v>
      </c>
      <c r="B140" s="9">
        <v>1</v>
      </c>
      <c r="C140" s="9" t="s">
        <v>1589</v>
      </c>
      <c r="D140" s="9" t="s">
        <v>1590</v>
      </c>
      <c r="E140" s="9" t="s">
        <v>1591</v>
      </c>
      <c r="F140" s="9" t="s">
        <v>1589</v>
      </c>
      <c r="G140" s="9" t="s">
        <v>1592</v>
      </c>
      <c r="H140" s="9" t="s">
        <v>170</v>
      </c>
      <c r="I140" s="9" t="s">
        <v>1722</v>
      </c>
      <c r="J140" s="9" t="s">
        <v>1597</v>
      </c>
      <c r="K140" s="9">
        <v>1</v>
      </c>
      <c r="L140" s="9">
        <v>36</v>
      </c>
      <c r="M140" s="9">
        <v>2004</v>
      </c>
      <c r="O140" s="9" t="str">
        <f t="shared" si="7"/>
        <v>NO</v>
      </c>
      <c r="P140" s="9" t="str">
        <f t="shared" si="8"/>
        <v>NO</v>
      </c>
      <c r="Q140" s="9" t="str">
        <f t="shared" si="9"/>
        <v>Conditioned</v>
      </c>
    </row>
    <row r="141" spans="1:17">
      <c r="A141" s="9">
        <v>10435</v>
      </c>
      <c r="B141" s="9">
        <v>2</v>
      </c>
      <c r="C141" s="9" t="s">
        <v>1589</v>
      </c>
      <c r="D141" s="9" t="s">
        <v>1590</v>
      </c>
      <c r="E141" s="9" t="s">
        <v>1591</v>
      </c>
      <c r="F141" s="9" t="s">
        <v>1589</v>
      </c>
      <c r="G141" s="9" t="s">
        <v>1592</v>
      </c>
      <c r="H141" s="9" t="s">
        <v>172</v>
      </c>
      <c r="I141" s="9" t="s">
        <v>1723</v>
      </c>
      <c r="J141" s="9" t="s">
        <v>1610</v>
      </c>
      <c r="K141" s="9">
        <v>1</v>
      </c>
      <c r="L141" s="9">
        <v>21</v>
      </c>
      <c r="M141" s="9">
        <v>2009</v>
      </c>
      <c r="O141" s="9" t="str">
        <f t="shared" si="7"/>
        <v>NO</v>
      </c>
      <c r="P141" s="9" t="str">
        <f t="shared" si="8"/>
        <v>NO</v>
      </c>
      <c r="Q141" s="9" t="str">
        <f t="shared" si="9"/>
        <v>Conditioned</v>
      </c>
    </row>
    <row r="142" spans="1:17">
      <c r="A142" s="9">
        <v>10459</v>
      </c>
      <c r="B142" s="9">
        <v>1</v>
      </c>
      <c r="C142" s="9" t="s">
        <v>1589</v>
      </c>
      <c r="D142" s="9" t="s">
        <v>1590</v>
      </c>
      <c r="E142" s="9" t="s">
        <v>1602</v>
      </c>
      <c r="F142" s="9" t="s">
        <v>1603</v>
      </c>
      <c r="G142" s="9" t="s">
        <v>1592</v>
      </c>
      <c r="H142" s="9" t="s">
        <v>170</v>
      </c>
      <c r="I142" s="9" t="s">
        <v>1724</v>
      </c>
      <c r="J142" s="9" t="s">
        <v>1601</v>
      </c>
      <c r="K142" s="9">
        <v>1</v>
      </c>
      <c r="L142" s="9">
        <v>22</v>
      </c>
      <c r="O142" s="9" t="str">
        <f t="shared" si="7"/>
        <v>NO</v>
      </c>
      <c r="P142" s="9" t="str">
        <f t="shared" si="8"/>
        <v>NO</v>
      </c>
      <c r="Q142" s="9" t="str">
        <f t="shared" si="9"/>
        <v>Conditioned</v>
      </c>
    </row>
    <row r="143" spans="1:17">
      <c r="A143" s="9">
        <v>10459</v>
      </c>
      <c r="B143" s="9">
        <v>2</v>
      </c>
      <c r="C143" s="9" t="s">
        <v>1589</v>
      </c>
      <c r="D143" s="9" t="s">
        <v>1590</v>
      </c>
      <c r="E143" s="9" t="s">
        <v>1591</v>
      </c>
      <c r="F143" s="9" t="s">
        <v>1589</v>
      </c>
      <c r="G143" s="9" t="s">
        <v>1592</v>
      </c>
      <c r="H143" s="9" t="s">
        <v>169</v>
      </c>
      <c r="I143" s="9" t="s">
        <v>1725</v>
      </c>
      <c r="J143" s="9" t="s">
        <v>1605</v>
      </c>
      <c r="K143" s="9">
        <v>1</v>
      </c>
      <c r="L143" s="9">
        <v>14</v>
      </c>
      <c r="M143" s="9">
        <v>2009</v>
      </c>
      <c r="O143" s="9" t="str">
        <f t="shared" si="7"/>
        <v>NO</v>
      </c>
      <c r="P143" s="9" t="str">
        <f t="shared" si="8"/>
        <v>YES</v>
      </c>
      <c r="Q143" s="9" t="str">
        <f t="shared" si="9"/>
        <v>Conditioned</v>
      </c>
    </row>
    <row r="144" spans="1:17">
      <c r="A144" s="9">
        <v>10462</v>
      </c>
      <c r="B144" s="9">
        <v>1</v>
      </c>
      <c r="C144" s="9" t="s">
        <v>1589</v>
      </c>
      <c r="D144" s="9" t="s">
        <v>1590</v>
      </c>
      <c r="E144" s="9" t="s">
        <v>1613</v>
      </c>
      <c r="F144" s="9" t="s">
        <v>1603</v>
      </c>
      <c r="G144" s="9" t="s">
        <v>1592</v>
      </c>
      <c r="H144" s="9" t="s">
        <v>170</v>
      </c>
      <c r="I144" s="9" t="s">
        <v>1726</v>
      </c>
      <c r="J144" s="9" t="s">
        <v>1597</v>
      </c>
      <c r="K144" s="9">
        <v>1</v>
      </c>
      <c r="L144" s="9">
        <v>20</v>
      </c>
      <c r="M144" s="9">
        <v>2007</v>
      </c>
      <c r="O144" s="9" t="str">
        <f t="shared" si="7"/>
        <v>NO</v>
      </c>
      <c r="P144" s="9" t="str">
        <f t="shared" si="8"/>
        <v>NO</v>
      </c>
      <c r="Q144" s="9" t="str">
        <f t="shared" si="9"/>
        <v>Conditioned</v>
      </c>
    </row>
    <row r="145" spans="1:17">
      <c r="A145" s="9">
        <v>10466</v>
      </c>
      <c r="B145" s="9">
        <v>1</v>
      </c>
      <c r="C145" s="9" t="s">
        <v>1589</v>
      </c>
      <c r="D145" s="9" t="s">
        <v>1590</v>
      </c>
      <c r="E145" s="9" t="s">
        <v>1591</v>
      </c>
      <c r="F145" s="9" t="s">
        <v>1589</v>
      </c>
      <c r="G145" s="9" t="s">
        <v>1592</v>
      </c>
      <c r="H145" s="9" t="s">
        <v>172</v>
      </c>
      <c r="I145" s="9" t="s">
        <v>1727</v>
      </c>
      <c r="J145" s="9" t="s">
        <v>1601</v>
      </c>
      <c r="K145" s="9">
        <v>1</v>
      </c>
      <c r="L145" s="9">
        <v>21</v>
      </c>
      <c r="M145" s="9">
        <v>2000</v>
      </c>
      <c r="O145" s="9" t="str">
        <f t="shared" si="7"/>
        <v>NO</v>
      </c>
      <c r="P145" s="9" t="str">
        <f t="shared" si="8"/>
        <v>NO</v>
      </c>
      <c r="Q145" s="9" t="str">
        <f t="shared" si="9"/>
        <v>Conditioned</v>
      </c>
    </row>
    <row r="146" spans="1:17">
      <c r="A146" s="9">
        <v>10476</v>
      </c>
      <c r="B146" s="9">
        <v>1</v>
      </c>
      <c r="C146" s="9" t="s">
        <v>1589</v>
      </c>
      <c r="D146" s="9" t="s">
        <v>1590</v>
      </c>
      <c r="E146" s="9" t="s">
        <v>1591</v>
      </c>
      <c r="F146" s="9" t="s">
        <v>1589</v>
      </c>
      <c r="G146" s="9" t="s">
        <v>1606</v>
      </c>
      <c r="H146" s="9" t="s">
        <v>174</v>
      </c>
      <c r="I146" s="9" t="s">
        <v>1728</v>
      </c>
      <c r="J146" s="9" t="s">
        <v>1608</v>
      </c>
      <c r="K146" s="9">
        <v>1</v>
      </c>
      <c r="L146" s="9">
        <v>22</v>
      </c>
      <c r="M146" s="9">
        <v>2010</v>
      </c>
      <c r="O146" s="9" t="str">
        <f t="shared" si="7"/>
        <v>NO</v>
      </c>
      <c r="P146" s="9" t="str">
        <f t="shared" si="8"/>
        <v>NO</v>
      </c>
      <c r="Q146" s="9" t="str">
        <f t="shared" si="9"/>
        <v>Unconditioned</v>
      </c>
    </row>
    <row r="147" spans="1:17">
      <c r="A147" s="9">
        <v>10486</v>
      </c>
      <c r="B147" s="9">
        <v>1</v>
      </c>
      <c r="C147" s="9" t="s">
        <v>1589</v>
      </c>
      <c r="D147" s="9" t="s">
        <v>1590</v>
      </c>
      <c r="E147" s="9" t="s">
        <v>1591</v>
      </c>
      <c r="F147" s="9" t="s">
        <v>1589</v>
      </c>
      <c r="G147" s="9" t="s">
        <v>1592</v>
      </c>
      <c r="H147" s="9" t="s">
        <v>169</v>
      </c>
      <c r="I147" s="9" t="s">
        <v>1729</v>
      </c>
      <c r="J147" s="9" t="s">
        <v>1597</v>
      </c>
      <c r="K147" s="9">
        <v>1</v>
      </c>
      <c r="L147" s="9">
        <v>15</v>
      </c>
      <c r="M147" s="9">
        <v>1998</v>
      </c>
      <c r="O147" s="9" t="str">
        <f t="shared" si="7"/>
        <v>NO</v>
      </c>
      <c r="P147" s="9" t="str">
        <f t="shared" si="8"/>
        <v>NO</v>
      </c>
      <c r="Q147" s="9" t="str">
        <f t="shared" si="9"/>
        <v>Conditioned</v>
      </c>
    </row>
    <row r="148" spans="1:17">
      <c r="A148" s="9">
        <v>10486</v>
      </c>
      <c r="B148" s="9">
        <v>2</v>
      </c>
      <c r="C148" s="9" t="s">
        <v>1589</v>
      </c>
      <c r="D148" s="9" t="s">
        <v>1590</v>
      </c>
      <c r="E148" s="9" t="s">
        <v>1591</v>
      </c>
      <c r="F148" s="9" t="s">
        <v>1589</v>
      </c>
      <c r="G148" s="9" t="s">
        <v>1592</v>
      </c>
      <c r="H148" s="9" t="s">
        <v>1552</v>
      </c>
      <c r="I148" s="9" t="s">
        <v>1589</v>
      </c>
      <c r="J148" s="9" t="s">
        <v>1587</v>
      </c>
      <c r="K148" s="9">
        <v>1</v>
      </c>
      <c r="L148" s="9">
        <v>12</v>
      </c>
      <c r="O148" s="9" t="str">
        <f t="shared" si="7"/>
        <v>NO</v>
      </c>
      <c r="P148" s="9" t="str">
        <f t="shared" si="8"/>
        <v>YES</v>
      </c>
      <c r="Q148" s="9" t="str">
        <f t="shared" si="9"/>
        <v>Conditioned</v>
      </c>
    </row>
    <row r="149" spans="1:17">
      <c r="A149" s="9">
        <v>10490</v>
      </c>
      <c r="B149" s="9">
        <v>1</v>
      </c>
      <c r="C149" s="9" t="s">
        <v>1589</v>
      </c>
      <c r="D149" s="9" t="s">
        <v>1590</v>
      </c>
      <c r="E149" s="9" t="s">
        <v>1591</v>
      </c>
      <c r="F149" s="9" t="s">
        <v>1589</v>
      </c>
      <c r="G149" s="9" t="s">
        <v>1592</v>
      </c>
      <c r="H149" s="9" t="s">
        <v>177</v>
      </c>
      <c r="I149" s="9" t="s">
        <v>1730</v>
      </c>
      <c r="J149" s="9" t="s">
        <v>1597</v>
      </c>
      <c r="K149" s="9">
        <v>1</v>
      </c>
      <c r="L149" s="9">
        <v>14</v>
      </c>
      <c r="M149" s="9">
        <v>2002</v>
      </c>
      <c r="O149" s="9" t="str">
        <f t="shared" si="7"/>
        <v>NO</v>
      </c>
      <c r="P149" s="9" t="str">
        <f t="shared" si="8"/>
        <v>NO</v>
      </c>
      <c r="Q149" s="9" t="str">
        <f t="shared" si="9"/>
        <v>Conditioned</v>
      </c>
    </row>
    <row r="150" spans="1:17">
      <c r="A150" s="9">
        <v>10491</v>
      </c>
      <c r="B150" s="9">
        <v>1</v>
      </c>
      <c r="C150" s="9" t="s">
        <v>1589</v>
      </c>
      <c r="D150" s="9" t="s">
        <v>1590</v>
      </c>
      <c r="E150" s="9" t="s">
        <v>1591</v>
      </c>
      <c r="F150" s="9" t="s">
        <v>1589</v>
      </c>
      <c r="G150" s="9" t="s">
        <v>1592</v>
      </c>
      <c r="H150" s="9" t="s">
        <v>170</v>
      </c>
      <c r="I150" s="9" t="s">
        <v>1731</v>
      </c>
      <c r="J150" s="9" t="s">
        <v>1597</v>
      </c>
      <c r="K150" s="9">
        <v>1</v>
      </c>
      <c r="L150" s="9">
        <v>19</v>
      </c>
      <c r="O150" s="9" t="str">
        <f t="shared" si="7"/>
        <v>NO</v>
      </c>
      <c r="P150" s="9" t="str">
        <f t="shared" si="8"/>
        <v>NO</v>
      </c>
      <c r="Q150" s="9" t="str">
        <f t="shared" si="9"/>
        <v>Conditioned</v>
      </c>
    </row>
    <row r="151" spans="1:17">
      <c r="A151" s="9">
        <v>10493</v>
      </c>
      <c r="B151" s="9">
        <v>1</v>
      </c>
      <c r="C151" s="9" t="s">
        <v>1589</v>
      </c>
      <c r="D151" s="9" t="s">
        <v>1590</v>
      </c>
      <c r="E151" s="9" t="s">
        <v>1591</v>
      </c>
      <c r="F151" s="9" t="s">
        <v>1589</v>
      </c>
      <c r="G151" s="9" t="s">
        <v>1592</v>
      </c>
      <c r="H151" s="9" t="s">
        <v>174</v>
      </c>
      <c r="I151" s="9" t="s">
        <v>1732</v>
      </c>
      <c r="J151" s="9" t="s">
        <v>1597</v>
      </c>
      <c r="K151" s="9">
        <v>1</v>
      </c>
      <c r="L151" s="9">
        <v>24</v>
      </c>
      <c r="M151" s="9">
        <v>1991</v>
      </c>
      <c r="O151" s="9" t="str">
        <f t="shared" ref="O151:O214" si="10">IF(L151&lt;7.75,"YES","NO")</f>
        <v>NO</v>
      </c>
      <c r="P151" s="9" t="str">
        <f t="shared" ref="P151:P214" si="11">VLOOKUP(J151,$Z$21:$AA$27,2,FALSE)</f>
        <v>NO</v>
      </c>
      <c r="Q151" s="9" t="str">
        <f t="shared" ref="Q151:Q214" si="12">G151</f>
        <v>Conditioned</v>
      </c>
    </row>
    <row r="152" spans="1:17">
      <c r="A152" s="9">
        <v>10496</v>
      </c>
      <c r="B152" s="9">
        <v>1</v>
      </c>
      <c r="C152" s="9" t="s">
        <v>1589</v>
      </c>
      <c r="D152" s="9" t="s">
        <v>1590</v>
      </c>
      <c r="E152" s="9" t="s">
        <v>1591</v>
      </c>
      <c r="F152" s="9" t="s">
        <v>1589</v>
      </c>
      <c r="G152" s="9" t="s">
        <v>1592</v>
      </c>
      <c r="H152" s="9" t="s">
        <v>170</v>
      </c>
      <c r="I152" s="9" t="s">
        <v>1733</v>
      </c>
      <c r="J152" s="9" t="s">
        <v>1597</v>
      </c>
      <c r="K152" s="9">
        <v>1</v>
      </c>
      <c r="L152" s="9">
        <v>23</v>
      </c>
      <c r="M152" s="9">
        <v>2005</v>
      </c>
      <c r="O152" s="9" t="str">
        <f t="shared" si="10"/>
        <v>NO</v>
      </c>
      <c r="P152" s="9" t="str">
        <f t="shared" si="11"/>
        <v>NO</v>
      </c>
      <c r="Q152" s="9" t="str">
        <f t="shared" si="12"/>
        <v>Conditioned</v>
      </c>
    </row>
    <row r="153" spans="1:17">
      <c r="A153" s="9">
        <v>10510</v>
      </c>
      <c r="B153" s="9">
        <v>1</v>
      </c>
      <c r="C153" s="9" t="s">
        <v>1589</v>
      </c>
      <c r="D153" s="9" t="s">
        <v>1590</v>
      </c>
      <c r="E153" s="9" t="s">
        <v>1602</v>
      </c>
      <c r="F153" s="9" t="s">
        <v>1603</v>
      </c>
      <c r="G153" s="9" t="s">
        <v>1592</v>
      </c>
      <c r="H153" s="9" t="s">
        <v>177</v>
      </c>
      <c r="I153" s="9" t="s">
        <v>1734</v>
      </c>
      <c r="J153" s="9" t="s">
        <v>1601</v>
      </c>
      <c r="K153" s="9">
        <v>1</v>
      </c>
      <c r="L153" s="9">
        <v>20</v>
      </c>
      <c r="M153" s="9">
        <v>2010</v>
      </c>
      <c r="O153" s="9" t="str">
        <f t="shared" si="10"/>
        <v>NO</v>
      </c>
      <c r="P153" s="9" t="str">
        <f t="shared" si="11"/>
        <v>NO</v>
      </c>
      <c r="Q153" s="9" t="str">
        <f t="shared" si="12"/>
        <v>Conditioned</v>
      </c>
    </row>
    <row r="154" spans="1:17">
      <c r="A154" s="9">
        <v>10510</v>
      </c>
      <c r="B154" s="9">
        <v>2</v>
      </c>
      <c r="C154" s="9" t="s">
        <v>1589</v>
      </c>
      <c r="D154" s="9" t="s">
        <v>1590</v>
      </c>
      <c r="E154" s="9" t="s">
        <v>1591</v>
      </c>
      <c r="F154" s="9" t="s">
        <v>1589</v>
      </c>
      <c r="G154" s="9" t="s">
        <v>1606</v>
      </c>
      <c r="H154" s="9" t="s">
        <v>169</v>
      </c>
      <c r="I154" s="9" t="s">
        <v>1633</v>
      </c>
      <c r="J154" s="9" t="s">
        <v>1605</v>
      </c>
      <c r="K154" s="9">
        <v>1</v>
      </c>
      <c r="L154" s="9">
        <v>20</v>
      </c>
      <c r="M154" s="9">
        <v>2000</v>
      </c>
      <c r="O154" s="9" t="str">
        <f t="shared" si="10"/>
        <v>NO</v>
      </c>
      <c r="P154" s="9" t="str">
        <f t="shared" si="11"/>
        <v>YES</v>
      </c>
      <c r="Q154" s="9" t="str">
        <f t="shared" si="12"/>
        <v>Unconditioned</v>
      </c>
    </row>
    <row r="155" spans="1:17">
      <c r="A155" s="9">
        <v>10514</v>
      </c>
      <c r="B155" s="9">
        <v>1</v>
      </c>
      <c r="C155" s="9" t="s">
        <v>1589</v>
      </c>
      <c r="D155" s="9" t="s">
        <v>1590</v>
      </c>
      <c r="E155" s="9" t="s">
        <v>1591</v>
      </c>
      <c r="F155" s="9" t="s">
        <v>1589</v>
      </c>
      <c r="G155" s="9" t="s">
        <v>1592</v>
      </c>
      <c r="H155" s="9" t="s">
        <v>177</v>
      </c>
      <c r="I155" s="9" t="s">
        <v>1735</v>
      </c>
      <c r="J155" s="9" t="s">
        <v>1597</v>
      </c>
      <c r="K155" s="9">
        <v>1</v>
      </c>
      <c r="L155" s="9">
        <v>18</v>
      </c>
      <c r="M155" s="9">
        <v>2007</v>
      </c>
      <c r="O155" s="9" t="str">
        <f t="shared" si="10"/>
        <v>NO</v>
      </c>
      <c r="P155" s="9" t="str">
        <f t="shared" si="11"/>
        <v>NO</v>
      </c>
      <c r="Q155" s="9" t="str">
        <f t="shared" si="12"/>
        <v>Conditioned</v>
      </c>
    </row>
    <row r="156" spans="1:17">
      <c r="A156" s="9">
        <v>10516</v>
      </c>
      <c r="B156" s="9">
        <v>1</v>
      </c>
      <c r="C156" s="9" t="s">
        <v>1589</v>
      </c>
      <c r="D156" s="9" t="s">
        <v>1590</v>
      </c>
      <c r="E156" s="9" t="s">
        <v>1602</v>
      </c>
      <c r="F156" s="9" t="s">
        <v>1603</v>
      </c>
      <c r="G156" s="9" t="s">
        <v>1592</v>
      </c>
      <c r="H156" s="9" t="s">
        <v>173</v>
      </c>
      <c r="I156" s="9" t="s">
        <v>1736</v>
      </c>
      <c r="J156" s="9" t="s">
        <v>1601</v>
      </c>
      <c r="K156" s="9">
        <v>1</v>
      </c>
      <c r="L156" s="9">
        <v>25</v>
      </c>
      <c r="M156" s="9">
        <v>2003</v>
      </c>
      <c r="O156" s="9" t="str">
        <f t="shared" si="10"/>
        <v>NO</v>
      </c>
      <c r="P156" s="9" t="str">
        <f t="shared" si="11"/>
        <v>NO</v>
      </c>
      <c r="Q156" s="9" t="str">
        <f t="shared" si="12"/>
        <v>Conditioned</v>
      </c>
    </row>
    <row r="157" spans="1:17">
      <c r="A157" s="9">
        <v>10516</v>
      </c>
      <c r="B157" s="9">
        <v>2</v>
      </c>
      <c r="C157" s="9" t="s">
        <v>1589</v>
      </c>
      <c r="D157" s="9" t="s">
        <v>1603</v>
      </c>
      <c r="E157" s="9" t="s">
        <v>1591</v>
      </c>
      <c r="F157" s="9" t="s">
        <v>1589</v>
      </c>
      <c r="G157" s="9" t="s">
        <v>1606</v>
      </c>
      <c r="H157" s="9" t="s">
        <v>167</v>
      </c>
      <c r="I157" s="9" t="s">
        <v>1737</v>
      </c>
      <c r="J157" s="9" t="s">
        <v>1605</v>
      </c>
      <c r="K157" s="9">
        <v>1</v>
      </c>
      <c r="L157" s="9">
        <v>21</v>
      </c>
      <c r="M157" s="9">
        <v>2008</v>
      </c>
      <c r="O157" s="9" t="str">
        <f t="shared" si="10"/>
        <v>NO</v>
      </c>
      <c r="P157" s="9" t="str">
        <f t="shared" si="11"/>
        <v>YES</v>
      </c>
      <c r="Q157" s="9" t="str">
        <f t="shared" si="12"/>
        <v>Unconditioned</v>
      </c>
    </row>
    <row r="158" spans="1:17">
      <c r="A158" s="9">
        <v>10518</v>
      </c>
      <c r="B158" s="9">
        <v>1</v>
      </c>
      <c r="C158" s="9" t="s">
        <v>1589</v>
      </c>
      <c r="D158" s="9" t="s">
        <v>1590</v>
      </c>
      <c r="E158" s="9" t="s">
        <v>1602</v>
      </c>
      <c r="F158" s="9" t="s">
        <v>1603</v>
      </c>
      <c r="G158" s="9" t="s">
        <v>1592</v>
      </c>
      <c r="H158" s="9" t="s">
        <v>1638</v>
      </c>
      <c r="I158" s="9" t="s">
        <v>1738</v>
      </c>
      <c r="J158" s="9" t="s">
        <v>1597</v>
      </c>
      <c r="K158" s="9">
        <v>1</v>
      </c>
      <c r="L158" s="9">
        <v>22</v>
      </c>
      <c r="M158" s="9">
        <v>2005</v>
      </c>
      <c r="O158" s="9" t="str">
        <f t="shared" si="10"/>
        <v>NO</v>
      </c>
      <c r="P158" s="9" t="str">
        <f t="shared" si="11"/>
        <v>NO</v>
      </c>
      <c r="Q158" s="9" t="str">
        <f t="shared" si="12"/>
        <v>Conditioned</v>
      </c>
    </row>
    <row r="159" spans="1:17">
      <c r="A159" s="9">
        <v>10518</v>
      </c>
      <c r="B159" s="9">
        <v>2</v>
      </c>
      <c r="C159" s="9" t="s">
        <v>1589</v>
      </c>
      <c r="D159" s="9" t="s">
        <v>1590</v>
      </c>
      <c r="E159" s="9" t="s">
        <v>1613</v>
      </c>
      <c r="F159" s="9" t="s">
        <v>1590</v>
      </c>
      <c r="G159" s="9" t="s">
        <v>1606</v>
      </c>
      <c r="H159" s="9" t="s">
        <v>1463</v>
      </c>
      <c r="I159" s="9" t="s">
        <v>1739</v>
      </c>
      <c r="J159" s="9" t="s">
        <v>1597</v>
      </c>
      <c r="K159" s="9">
        <v>1</v>
      </c>
      <c r="L159" s="9">
        <v>22</v>
      </c>
      <c r="M159" s="9">
        <v>2003</v>
      </c>
      <c r="O159" s="9" t="str">
        <f t="shared" si="10"/>
        <v>NO</v>
      </c>
      <c r="P159" s="9" t="str">
        <f t="shared" si="11"/>
        <v>NO</v>
      </c>
      <c r="Q159" s="9" t="str">
        <f t="shared" si="12"/>
        <v>Unconditioned</v>
      </c>
    </row>
    <row r="160" spans="1:17">
      <c r="A160" s="9">
        <v>10518</v>
      </c>
      <c r="B160" s="9">
        <v>3</v>
      </c>
      <c r="C160" s="9" t="s">
        <v>1589</v>
      </c>
      <c r="D160" s="9" t="s">
        <v>1590</v>
      </c>
      <c r="E160" s="9" t="s">
        <v>1591</v>
      </c>
      <c r="F160" s="9" t="s">
        <v>1589</v>
      </c>
      <c r="G160" s="9" t="s">
        <v>1606</v>
      </c>
      <c r="H160" s="9" t="s">
        <v>1624</v>
      </c>
      <c r="I160" s="9" t="s">
        <v>1740</v>
      </c>
      <c r="J160" s="9" t="s">
        <v>1605</v>
      </c>
      <c r="K160" s="9">
        <v>1</v>
      </c>
      <c r="L160" s="9">
        <v>12</v>
      </c>
      <c r="O160" s="9" t="str">
        <f t="shared" si="10"/>
        <v>NO</v>
      </c>
      <c r="P160" s="9" t="str">
        <f t="shared" si="11"/>
        <v>YES</v>
      </c>
      <c r="Q160" s="9" t="str">
        <f t="shared" si="12"/>
        <v>Unconditioned</v>
      </c>
    </row>
    <row r="161" spans="1:17">
      <c r="A161" s="9">
        <v>10525</v>
      </c>
      <c r="B161" s="9">
        <v>1</v>
      </c>
      <c r="C161" s="9" t="s">
        <v>1589</v>
      </c>
      <c r="D161" s="9" t="s">
        <v>1590</v>
      </c>
      <c r="E161" s="9" t="s">
        <v>1602</v>
      </c>
      <c r="F161" s="9" t="s">
        <v>1603</v>
      </c>
      <c r="G161" s="9" t="s">
        <v>1592</v>
      </c>
      <c r="H161" s="9" t="s">
        <v>169</v>
      </c>
      <c r="I161" s="9" t="s">
        <v>1741</v>
      </c>
      <c r="J161" s="9" t="s">
        <v>1601</v>
      </c>
      <c r="K161" s="9">
        <v>1</v>
      </c>
      <c r="L161" s="9">
        <v>26</v>
      </c>
      <c r="M161" s="9">
        <v>2002</v>
      </c>
      <c r="O161" s="9" t="str">
        <f t="shared" si="10"/>
        <v>NO</v>
      </c>
      <c r="P161" s="9" t="str">
        <f t="shared" si="11"/>
        <v>NO</v>
      </c>
      <c r="Q161" s="9" t="str">
        <f t="shared" si="12"/>
        <v>Conditioned</v>
      </c>
    </row>
    <row r="162" spans="1:17">
      <c r="A162" s="9">
        <v>10537</v>
      </c>
      <c r="B162" s="9">
        <v>1</v>
      </c>
      <c r="C162" s="9" t="s">
        <v>1589</v>
      </c>
      <c r="D162" s="9" t="s">
        <v>1590</v>
      </c>
      <c r="E162" s="9" t="s">
        <v>1591</v>
      </c>
      <c r="F162" s="9" t="s">
        <v>1589</v>
      </c>
      <c r="G162" s="9" t="s">
        <v>1592</v>
      </c>
      <c r="H162" s="9" t="s">
        <v>174</v>
      </c>
      <c r="I162" s="9" t="s">
        <v>1742</v>
      </c>
      <c r="J162" s="9" t="s">
        <v>1608</v>
      </c>
      <c r="K162" s="9">
        <v>1</v>
      </c>
      <c r="L162" s="9">
        <v>25</v>
      </c>
      <c r="M162" s="9">
        <v>2009</v>
      </c>
      <c r="O162" s="9" t="str">
        <f t="shared" si="10"/>
        <v>NO</v>
      </c>
      <c r="P162" s="9" t="str">
        <f t="shared" si="11"/>
        <v>NO</v>
      </c>
      <c r="Q162" s="9" t="str">
        <f t="shared" si="12"/>
        <v>Conditioned</v>
      </c>
    </row>
    <row r="163" spans="1:17">
      <c r="A163" s="9">
        <v>10540</v>
      </c>
      <c r="B163" s="9">
        <v>1</v>
      </c>
      <c r="C163" s="9" t="s">
        <v>1589</v>
      </c>
      <c r="D163" s="9" t="s">
        <v>1603</v>
      </c>
      <c r="E163" s="9" t="s">
        <v>1613</v>
      </c>
      <c r="F163" s="9" t="s">
        <v>1603</v>
      </c>
      <c r="G163" s="9" t="s">
        <v>1592</v>
      </c>
      <c r="H163" s="9" t="s">
        <v>1599</v>
      </c>
      <c r="I163" s="9" t="s">
        <v>1743</v>
      </c>
      <c r="J163" s="9" t="s">
        <v>1608</v>
      </c>
      <c r="K163" s="9">
        <v>1</v>
      </c>
      <c r="L163" s="9">
        <v>20</v>
      </c>
      <c r="M163" s="9">
        <v>2009</v>
      </c>
      <c r="O163" s="9" t="str">
        <f t="shared" si="10"/>
        <v>NO</v>
      </c>
      <c r="P163" s="9" t="str">
        <f t="shared" si="11"/>
        <v>NO</v>
      </c>
      <c r="Q163" s="9" t="str">
        <f t="shared" si="12"/>
        <v>Conditioned</v>
      </c>
    </row>
    <row r="164" spans="1:17">
      <c r="A164" s="9">
        <v>10551</v>
      </c>
      <c r="B164" s="9">
        <v>1</v>
      </c>
      <c r="C164" s="9" t="s">
        <v>1589</v>
      </c>
      <c r="D164" s="9" t="s">
        <v>1590</v>
      </c>
      <c r="E164" s="9" t="s">
        <v>1591</v>
      </c>
      <c r="F164" s="9" t="s">
        <v>1589</v>
      </c>
      <c r="G164" s="9" t="s">
        <v>1592</v>
      </c>
      <c r="H164" s="9" t="s">
        <v>1017</v>
      </c>
      <c r="I164" s="9" t="s">
        <v>1744</v>
      </c>
      <c r="J164" s="9" t="s">
        <v>1608</v>
      </c>
      <c r="K164" s="9">
        <v>1</v>
      </c>
      <c r="L164" s="9">
        <v>21</v>
      </c>
      <c r="M164" s="9">
        <v>2006</v>
      </c>
      <c r="O164" s="9" t="str">
        <f t="shared" si="10"/>
        <v>NO</v>
      </c>
      <c r="P164" s="9" t="str">
        <f t="shared" si="11"/>
        <v>NO</v>
      </c>
      <c r="Q164" s="9" t="str">
        <f t="shared" si="12"/>
        <v>Conditioned</v>
      </c>
    </row>
    <row r="165" spans="1:17">
      <c r="A165" s="9">
        <v>10552</v>
      </c>
      <c r="B165" s="9">
        <v>1</v>
      </c>
      <c r="C165" s="9" t="s">
        <v>1589</v>
      </c>
      <c r="D165" s="9" t="s">
        <v>1590</v>
      </c>
      <c r="E165" s="9" t="s">
        <v>1613</v>
      </c>
      <c r="F165" s="9" t="s">
        <v>1603</v>
      </c>
      <c r="G165" s="9" t="s">
        <v>1592</v>
      </c>
      <c r="H165" s="9" t="s">
        <v>177</v>
      </c>
      <c r="I165" s="9" t="s">
        <v>1745</v>
      </c>
      <c r="J165" s="9" t="s">
        <v>1597</v>
      </c>
      <c r="K165" s="9">
        <v>1</v>
      </c>
      <c r="L165" s="9">
        <v>18</v>
      </c>
      <c r="M165" s="9">
        <v>2007</v>
      </c>
      <c r="O165" s="9" t="str">
        <f t="shared" si="10"/>
        <v>NO</v>
      </c>
      <c r="P165" s="9" t="str">
        <f t="shared" si="11"/>
        <v>NO</v>
      </c>
      <c r="Q165" s="9" t="str">
        <f t="shared" si="12"/>
        <v>Conditioned</v>
      </c>
    </row>
    <row r="166" spans="1:17">
      <c r="A166" s="9">
        <v>10557</v>
      </c>
      <c r="B166" s="9">
        <v>1</v>
      </c>
      <c r="C166" s="9" t="s">
        <v>1589</v>
      </c>
      <c r="D166" s="9" t="s">
        <v>1590</v>
      </c>
      <c r="E166" s="9" t="s">
        <v>1591</v>
      </c>
      <c r="F166" s="9" t="s">
        <v>1589</v>
      </c>
      <c r="G166" s="9" t="s">
        <v>1592</v>
      </c>
      <c r="H166" s="9" t="s">
        <v>170</v>
      </c>
      <c r="I166" s="9" t="s">
        <v>1746</v>
      </c>
      <c r="J166" s="9" t="s">
        <v>1608</v>
      </c>
      <c r="K166" s="9">
        <v>1</v>
      </c>
      <c r="L166" s="9">
        <v>22</v>
      </c>
      <c r="M166" s="9">
        <v>1991</v>
      </c>
      <c r="O166" s="9" t="str">
        <f t="shared" si="10"/>
        <v>NO</v>
      </c>
      <c r="P166" s="9" t="str">
        <f t="shared" si="11"/>
        <v>NO</v>
      </c>
      <c r="Q166" s="9" t="str">
        <f t="shared" si="12"/>
        <v>Conditioned</v>
      </c>
    </row>
    <row r="167" spans="1:17">
      <c r="A167" s="9">
        <v>10557</v>
      </c>
      <c r="B167" s="9">
        <v>2</v>
      </c>
      <c r="C167" s="9" t="s">
        <v>1589</v>
      </c>
      <c r="D167" s="9" t="s">
        <v>1590</v>
      </c>
      <c r="E167" s="9" t="s">
        <v>1591</v>
      </c>
      <c r="F167" s="9" t="s">
        <v>1589</v>
      </c>
      <c r="G167" s="9" t="s">
        <v>1606</v>
      </c>
      <c r="H167" s="9" t="s">
        <v>170</v>
      </c>
      <c r="I167" s="9" t="s">
        <v>1747</v>
      </c>
      <c r="J167" s="9" t="s">
        <v>1605</v>
      </c>
      <c r="K167" s="9">
        <v>1</v>
      </c>
      <c r="L167" s="9">
        <v>15</v>
      </c>
      <c r="M167" s="9">
        <v>1993</v>
      </c>
      <c r="O167" s="9" t="str">
        <f t="shared" si="10"/>
        <v>NO</v>
      </c>
      <c r="P167" s="9" t="str">
        <f t="shared" si="11"/>
        <v>YES</v>
      </c>
      <c r="Q167" s="9" t="str">
        <f t="shared" si="12"/>
        <v>Unconditioned</v>
      </c>
    </row>
    <row r="168" spans="1:17">
      <c r="A168" s="9">
        <v>10561</v>
      </c>
      <c r="B168" s="9">
        <v>1</v>
      </c>
      <c r="C168" s="9" t="s">
        <v>1589</v>
      </c>
      <c r="D168" s="9" t="s">
        <v>1590</v>
      </c>
      <c r="E168" s="9" t="s">
        <v>1591</v>
      </c>
      <c r="F168" s="9" t="s">
        <v>1589</v>
      </c>
      <c r="G168" s="9" t="s">
        <v>1592</v>
      </c>
      <c r="H168" s="9" t="s">
        <v>177</v>
      </c>
      <c r="I168" s="9" t="s">
        <v>1748</v>
      </c>
      <c r="J168" s="9" t="s">
        <v>1597</v>
      </c>
      <c r="K168" s="9">
        <v>1</v>
      </c>
      <c r="L168" s="9">
        <v>18</v>
      </c>
      <c r="M168" s="9">
        <v>2002</v>
      </c>
      <c r="O168" s="9" t="str">
        <f t="shared" si="10"/>
        <v>NO</v>
      </c>
      <c r="P168" s="9" t="str">
        <f t="shared" si="11"/>
        <v>NO</v>
      </c>
      <c r="Q168" s="9" t="str">
        <f t="shared" si="12"/>
        <v>Conditioned</v>
      </c>
    </row>
    <row r="169" spans="1:17">
      <c r="A169" s="9">
        <v>10565</v>
      </c>
      <c r="B169" s="9">
        <v>1</v>
      </c>
      <c r="C169" s="9" t="s">
        <v>1589</v>
      </c>
      <c r="D169" s="9" t="s">
        <v>1590</v>
      </c>
      <c r="E169" s="9" t="s">
        <v>1602</v>
      </c>
      <c r="F169" s="9" t="s">
        <v>1603</v>
      </c>
      <c r="G169" s="9" t="s">
        <v>1592</v>
      </c>
      <c r="H169" s="9" t="s">
        <v>1638</v>
      </c>
      <c r="I169" s="9" t="s">
        <v>1749</v>
      </c>
      <c r="J169" s="9" t="s">
        <v>1601</v>
      </c>
      <c r="K169" s="9">
        <v>1</v>
      </c>
      <c r="L169" s="9">
        <v>25</v>
      </c>
      <c r="M169" s="9">
        <v>1998</v>
      </c>
      <c r="O169" s="9" t="str">
        <f t="shared" si="10"/>
        <v>NO</v>
      </c>
      <c r="P169" s="9" t="str">
        <f t="shared" si="11"/>
        <v>NO</v>
      </c>
      <c r="Q169" s="9" t="str">
        <f t="shared" si="12"/>
        <v>Conditioned</v>
      </c>
    </row>
    <row r="170" spans="1:17">
      <c r="A170" s="9">
        <v>10567</v>
      </c>
      <c r="B170" s="9">
        <v>1</v>
      </c>
      <c r="C170" s="9" t="s">
        <v>1589</v>
      </c>
      <c r="D170" s="9" t="s">
        <v>1590</v>
      </c>
      <c r="E170" s="9" t="s">
        <v>1602</v>
      </c>
      <c r="F170" s="9" t="s">
        <v>1603</v>
      </c>
      <c r="G170" s="9" t="s">
        <v>1592</v>
      </c>
      <c r="H170" s="9" t="s">
        <v>1638</v>
      </c>
      <c r="I170" s="9" t="s">
        <v>1750</v>
      </c>
      <c r="J170" s="9" t="s">
        <v>1597</v>
      </c>
      <c r="K170" s="9">
        <v>1</v>
      </c>
      <c r="L170" s="9">
        <v>22</v>
      </c>
      <c r="M170" s="9">
        <v>1997</v>
      </c>
      <c r="O170" s="9" t="str">
        <f t="shared" si="10"/>
        <v>NO</v>
      </c>
      <c r="P170" s="9" t="str">
        <f t="shared" si="11"/>
        <v>NO</v>
      </c>
      <c r="Q170" s="9" t="str">
        <f t="shared" si="12"/>
        <v>Conditioned</v>
      </c>
    </row>
    <row r="171" spans="1:17">
      <c r="A171" s="9">
        <v>10567</v>
      </c>
      <c r="B171" s="9">
        <v>2</v>
      </c>
      <c r="C171" s="9" t="s">
        <v>1589</v>
      </c>
      <c r="D171" s="9" t="s">
        <v>1590</v>
      </c>
      <c r="E171" s="9" t="s">
        <v>1591</v>
      </c>
      <c r="F171" s="9" t="s">
        <v>1589</v>
      </c>
      <c r="G171" s="9" t="s">
        <v>1606</v>
      </c>
      <c r="H171" s="9" t="s">
        <v>170</v>
      </c>
      <c r="I171" s="9" t="s">
        <v>1589</v>
      </c>
      <c r="J171" s="9" t="s">
        <v>1597</v>
      </c>
      <c r="K171" s="9">
        <v>1</v>
      </c>
      <c r="L171" s="9">
        <v>19</v>
      </c>
      <c r="M171" s="9">
        <v>1993</v>
      </c>
      <c r="O171" s="9" t="str">
        <f t="shared" si="10"/>
        <v>NO</v>
      </c>
      <c r="P171" s="9" t="str">
        <f t="shared" si="11"/>
        <v>NO</v>
      </c>
      <c r="Q171" s="9" t="str">
        <f t="shared" si="12"/>
        <v>Unconditioned</v>
      </c>
    </row>
    <row r="172" spans="1:17">
      <c r="A172" s="9">
        <v>10579</v>
      </c>
      <c r="B172" s="9">
        <v>1</v>
      </c>
      <c r="C172" s="9" t="s">
        <v>1589</v>
      </c>
      <c r="D172" s="9" t="s">
        <v>1590</v>
      </c>
      <c r="E172" s="9" t="s">
        <v>1613</v>
      </c>
      <c r="F172" s="9" t="s">
        <v>1603</v>
      </c>
      <c r="G172" s="9" t="s">
        <v>1592</v>
      </c>
      <c r="H172" s="9" t="s">
        <v>174</v>
      </c>
      <c r="I172" s="9" t="s">
        <v>1751</v>
      </c>
      <c r="J172" s="9" t="s">
        <v>1608</v>
      </c>
      <c r="K172" s="9">
        <v>1</v>
      </c>
      <c r="L172" s="9">
        <v>21</v>
      </c>
      <c r="M172" s="9">
        <v>1998</v>
      </c>
      <c r="O172" s="9" t="str">
        <f t="shared" si="10"/>
        <v>NO</v>
      </c>
      <c r="P172" s="9" t="str">
        <f t="shared" si="11"/>
        <v>NO</v>
      </c>
      <c r="Q172" s="9" t="str">
        <f t="shared" si="12"/>
        <v>Conditioned</v>
      </c>
    </row>
    <row r="173" spans="1:17">
      <c r="A173" s="9">
        <v>10579</v>
      </c>
      <c r="B173" s="9">
        <v>2</v>
      </c>
      <c r="C173" s="9" t="s">
        <v>1589</v>
      </c>
      <c r="D173" s="9" t="s">
        <v>1590</v>
      </c>
      <c r="E173" s="9" t="s">
        <v>1591</v>
      </c>
      <c r="F173" s="9" t="s">
        <v>1589</v>
      </c>
      <c r="G173" s="9" t="s">
        <v>1606</v>
      </c>
      <c r="H173" s="9" t="s">
        <v>169</v>
      </c>
      <c r="I173" s="9" t="s">
        <v>1752</v>
      </c>
      <c r="J173" s="9" t="s">
        <v>1605</v>
      </c>
      <c r="K173" s="9">
        <v>1</v>
      </c>
      <c r="L173" s="9">
        <v>18</v>
      </c>
      <c r="M173" s="9">
        <v>2007</v>
      </c>
      <c r="O173" s="9" t="str">
        <f t="shared" si="10"/>
        <v>NO</v>
      </c>
      <c r="P173" s="9" t="str">
        <f t="shared" si="11"/>
        <v>YES</v>
      </c>
      <c r="Q173" s="9" t="str">
        <f t="shared" si="12"/>
        <v>Unconditioned</v>
      </c>
    </row>
    <row r="174" spans="1:17">
      <c r="A174" s="9">
        <v>10580</v>
      </c>
      <c r="B174" s="9">
        <v>1</v>
      </c>
      <c r="C174" s="9" t="s">
        <v>1589</v>
      </c>
      <c r="D174" s="9" t="s">
        <v>1590</v>
      </c>
      <c r="E174" s="9" t="s">
        <v>1613</v>
      </c>
      <c r="F174" s="9" t="s">
        <v>1603</v>
      </c>
      <c r="G174" s="9" t="s">
        <v>1592</v>
      </c>
      <c r="H174" s="9" t="s">
        <v>170</v>
      </c>
      <c r="I174" s="9" t="s">
        <v>1753</v>
      </c>
      <c r="J174" s="9" t="s">
        <v>1608</v>
      </c>
      <c r="K174" s="9">
        <v>1</v>
      </c>
      <c r="L174" s="9">
        <v>29</v>
      </c>
      <c r="M174" s="9">
        <v>1991</v>
      </c>
      <c r="O174" s="9" t="str">
        <f t="shared" si="10"/>
        <v>NO</v>
      </c>
      <c r="P174" s="9" t="str">
        <f t="shared" si="11"/>
        <v>NO</v>
      </c>
      <c r="Q174" s="9" t="str">
        <f t="shared" si="12"/>
        <v>Conditioned</v>
      </c>
    </row>
    <row r="175" spans="1:17">
      <c r="A175" s="9">
        <v>10580</v>
      </c>
      <c r="B175" s="9">
        <v>2</v>
      </c>
      <c r="C175" s="9" t="s">
        <v>1589</v>
      </c>
      <c r="D175" s="9" t="s">
        <v>1589</v>
      </c>
      <c r="E175" s="9" t="s">
        <v>1589</v>
      </c>
      <c r="F175" s="9" t="s">
        <v>1589</v>
      </c>
      <c r="G175" s="9" t="s">
        <v>1592</v>
      </c>
      <c r="H175" s="9" t="s">
        <v>1754</v>
      </c>
      <c r="I175" s="9" t="s">
        <v>1589</v>
      </c>
      <c r="J175" s="9" t="s">
        <v>1587</v>
      </c>
      <c r="L175" s="9">
        <v>12</v>
      </c>
      <c r="O175" s="9" t="str">
        <f t="shared" si="10"/>
        <v>NO</v>
      </c>
      <c r="P175" s="9" t="str">
        <f t="shared" si="11"/>
        <v>YES</v>
      </c>
      <c r="Q175" s="9" t="str">
        <f t="shared" si="12"/>
        <v>Conditioned</v>
      </c>
    </row>
    <row r="176" spans="1:17">
      <c r="A176" s="9">
        <v>10585</v>
      </c>
      <c r="B176" s="9">
        <v>1</v>
      </c>
      <c r="C176" s="9" t="s">
        <v>1589</v>
      </c>
      <c r="D176" s="9" t="s">
        <v>1590</v>
      </c>
      <c r="E176" s="9" t="s">
        <v>1602</v>
      </c>
      <c r="F176" s="9" t="s">
        <v>1590</v>
      </c>
      <c r="G176" s="9" t="s">
        <v>1592</v>
      </c>
      <c r="H176" s="9" t="s">
        <v>170</v>
      </c>
      <c r="I176" s="9" t="s">
        <v>1755</v>
      </c>
      <c r="J176" s="9" t="s">
        <v>1601</v>
      </c>
      <c r="K176" s="9">
        <v>1</v>
      </c>
      <c r="L176" s="9">
        <v>25</v>
      </c>
      <c r="M176" s="9">
        <v>1994</v>
      </c>
      <c r="O176" s="9" t="str">
        <f t="shared" si="10"/>
        <v>NO</v>
      </c>
      <c r="P176" s="9" t="str">
        <f t="shared" si="11"/>
        <v>NO</v>
      </c>
      <c r="Q176" s="9" t="str">
        <f t="shared" si="12"/>
        <v>Conditioned</v>
      </c>
    </row>
    <row r="177" spans="1:17">
      <c r="A177" s="9">
        <v>10585</v>
      </c>
      <c r="B177" s="9">
        <v>2</v>
      </c>
      <c r="C177" s="9" t="s">
        <v>1589</v>
      </c>
      <c r="D177" s="9" t="s">
        <v>1590</v>
      </c>
      <c r="E177" s="9" t="s">
        <v>1591</v>
      </c>
      <c r="F177" s="9" t="s">
        <v>1589</v>
      </c>
      <c r="G177" s="9" t="s">
        <v>1606</v>
      </c>
      <c r="H177" s="9" t="s">
        <v>172</v>
      </c>
      <c r="I177" s="9" t="s">
        <v>1756</v>
      </c>
      <c r="J177" s="9" t="s">
        <v>1597</v>
      </c>
      <c r="K177" s="9">
        <v>1</v>
      </c>
      <c r="L177" s="9">
        <v>14</v>
      </c>
      <c r="M177" s="9">
        <v>1983</v>
      </c>
      <c r="O177" s="9" t="str">
        <f t="shared" si="10"/>
        <v>NO</v>
      </c>
      <c r="P177" s="9" t="str">
        <f t="shared" si="11"/>
        <v>NO</v>
      </c>
      <c r="Q177" s="9" t="str">
        <f t="shared" si="12"/>
        <v>Unconditioned</v>
      </c>
    </row>
    <row r="178" spans="1:17">
      <c r="A178" s="9">
        <v>10585</v>
      </c>
      <c r="B178" s="9">
        <v>3</v>
      </c>
      <c r="C178" s="9" t="s">
        <v>1589</v>
      </c>
      <c r="D178" s="9" t="s">
        <v>1590</v>
      </c>
      <c r="E178" s="9" t="s">
        <v>1591</v>
      </c>
      <c r="F178" s="9" t="s">
        <v>1589</v>
      </c>
      <c r="G178" s="9" t="s">
        <v>1606</v>
      </c>
      <c r="H178" s="9" t="s">
        <v>169</v>
      </c>
      <c r="I178" s="9" t="s">
        <v>1757</v>
      </c>
      <c r="J178" s="9" t="s">
        <v>1605</v>
      </c>
      <c r="K178" s="9">
        <v>1</v>
      </c>
      <c r="L178" s="9">
        <v>22</v>
      </c>
      <c r="M178" s="9">
        <v>2006</v>
      </c>
      <c r="O178" s="9" t="str">
        <f t="shared" si="10"/>
        <v>NO</v>
      </c>
      <c r="P178" s="9" t="str">
        <f t="shared" si="11"/>
        <v>YES</v>
      </c>
      <c r="Q178" s="9" t="str">
        <f t="shared" si="12"/>
        <v>Unconditioned</v>
      </c>
    </row>
    <row r="179" spans="1:17">
      <c r="A179" s="9">
        <v>10595</v>
      </c>
      <c r="B179" s="9">
        <v>1</v>
      </c>
      <c r="C179" s="9" t="s">
        <v>1589</v>
      </c>
      <c r="D179" s="9" t="s">
        <v>1590</v>
      </c>
      <c r="E179" s="9" t="s">
        <v>1591</v>
      </c>
      <c r="F179" s="9" t="s">
        <v>1589</v>
      </c>
      <c r="G179" s="9" t="s">
        <v>1592</v>
      </c>
      <c r="H179" s="9" t="s">
        <v>177</v>
      </c>
      <c r="I179" s="9" t="s">
        <v>1758</v>
      </c>
      <c r="J179" s="9" t="s">
        <v>1601</v>
      </c>
      <c r="K179" s="9">
        <v>1</v>
      </c>
      <c r="L179" s="9">
        <v>17</v>
      </c>
      <c r="M179" s="9">
        <v>1980</v>
      </c>
      <c r="O179" s="9" t="str">
        <f t="shared" si="10"/>
        <v>NO</v>
      </c>
      <c r="P179" s="9" t="str">
        <f t="shared" si="11"/>
        <v>NO</v>
      </c>
      <c r="Q179" s="9" t="str">
        <f t="shared" si="12"/>
        <v>Conditioned</v>
      </c>
    </row>
    <row r="180" spans="1:17">
      <c r="A180" s="9">
        <v>10605</v>
      </c>
      <c r="B180" s="9">
        <v>1</v>
      </c>
      <c r="C180" s="9" t="s">
        <v>1589</v>
      </c>
      <c r="D180" s="9" t="s">
        <v>1590</v>
      </c>
      <c r="E180" s="9" t="s">
        <v>1591</v>
      </c>
      <c r="F180" s="9" t="s">
        <v>1589</v>
      </c>
      <c r="G180" s="9" t="s">
        <v>1592</v>
      </c>
      <c r="H180" s="9" t="s">
        <v>170</v>
      </c>
      <c r="I180" s="9" t="s">
        <v>1589</v>
      </c>
      <c r="J180" s="9" t="s">
        <v>1587</v>
      </c>
      <c r="K180" s="9">
        <v>1</v>
      </c>
      <c r="L180" s="9">
        <v>22</v>
      </c>
      <c r="M180" s="9">
        <v>1995</v>
      </c>
      <c r="O180" s="9" t="str">
        <f t="shared" si="10"/>
        <v>NO</v>
      </c>
      <c r="P180" s="9" t="str">
        <f t="shared" si="11"/>
        <v>YES</v>
      </c>
      <c r="Q180" s="9" t="str">
        <f t="shared" si="12"/>
        <v>Conditioned</v>
      </c>
    </row>
    <row r="181" spans="1:17">
      <c r="A181" s="9">
        <v>10605</v>
      </c>
      <c r="B181" s="9">
        <v>2</v>
      </c>
      <c r="C181" s="9" t="s">
        <v>1589</v>
      </c>
      <c r="D181" s="9" t="s">
        <v>1603</v>
      </c>
      <c r="E181" s="9" t="s">
        <v>1602</v>
      </c>
      <c r="F181" s="9" t="s">
        <v>1603</v>
      </c>
      <c r="G181" s="9" t="s">
        <v>1592</v>
      </c>
      <c r="H181" s="9" t="s">
        <v>170</v>
      </c>
      <c r="I181" s="9" t="s">
        <v>1759</v>
      </c>
      <c r="J181" s="9" t="s">
        <v>1601</v>
      </c>
      <c r="K181" s="9">
        <v>0.75</v>
      </c>
      <c r="L181" s="9">
        <v>28</v>
      </c>
      <c r="M181" s="9">
        <v>2006</v>
      </c>
      <c r="O181" s="9" t="str">
        <f t="shared" si="10"/>
        <v>NO</v>
      </c>
      <c r="P181" s="9" t="str">
        <f t="shared" si="11"/>
        <v>NO</v>
      </c>
      <c r="Q181" s="9" t="str">
        <f t="shared" si="12"/>
        <v>Conditioned</v>
      </c>
    </row>
    <row r="182" spans="1:17">
      <c r="A182" s="9">
        <v>10612</v>
      </c>
      <c r="B182" s="9">
        <v>1</v>
      </c>
      <c r="C182" s="9" t="s">
        <v>1589</v>
      </c>
      <c r="D182" s="9" t="s">
        <v>1590</v>
      </c>
      <c r="E182" s="9" t="s">
        <v>1602</v>
      </c>
      <c r="F182" s="9" t="s">
        <v>1603</v>
      </c>
      <c r="G182" s="9" t="s">
        <v>1592</v>
      </c>
      <c r="H182" s="9" t="s">
        <v>174</v>
      </c>
      <c r="I182" s="9" t="s">
        <v>1760</v>
      </c>
      <c r="J182" s="9" t="s">
        <v>1601</v>
      </c>
      <c r="K182" s="9">
        <v>1</v>
      </c>
      <c r="L182" s="9">
        <v>25</v>
      </c>
      <c r="M182" s="9">
        <v>2001</v>
      </c>
      <c r="O182" s="9" t="str">
        <f t="shared" si="10"/>
        <v>NO</v>
      </c>
      <c r="P182" s="9" t="str">
        <f t="shared" si="11"/>
        <v>NO</v>
      </c>
      <c r="Q182" s="9" t="str">
        <f t="shared" si="12"/>
        <v>Conditioned</v>
      </c>
    </row>
    <row r="183" spans="1:17">
      <c r="A183" s="9">
        <v>10612</v>
      </c>
      <c r="B183" s="9">
        <v>2</v>
      </c>
      <c r="C183" s="9" t="s">
        <v>1589</v>
      </c>
      <c r="D183" s="9" t="s">
        <v>1590</v>
      </c>
      <c r="E183" s="9" t="s">
        <v>1591</v>
      </c>
      <c r="F183" s="9" t="s">
        <v>1589</v>
      </c>
      <c r="G183" s="9" t="s">
        <v>1606</v>
      </c>
      <c r="H183" s="9" t="s">
        <v>174</v>
      </c>
      <c r="I183" s="9" t="s">
        <v>1761</v>
      </c>
      <c r="J183" s="9" t="s">
        <v>1605</v>
      </c>
      <c r="K183" s="9">
        <v>1</v>
      </c>
      <c r="L183" s="9">
        <v>18</v>
      </c>
      <c r="M183" s="9">
        <v>1979</v>
      </c>
      <c r="O183" s="9" t="str">
        <f t="shared" si="10"/>
        <v>NO</v>
      </c>
      <c r="P183" s="9" t="str">
        <f t="shared" si="11"/>
        <v>YES</v>
      </c>
      <c r="Q183" s="9" t="str">
        <f t="shared" si="12"/>
        <v>Unconditioned</v>
      </c>
    </row>
    <row r="184" spans="1:17">
      <c r="A184" s="9">
        <v>10627</v>
      </c>
      <c r="B184" s="9">
        <v>1</v>
      </c>
      <c r="C184" s="9" t="s">
        <v>1589</v>
      </c>
      <c r="D184" s="9" t="s">
        <v>1590</v>
      </c>
      <c r="E184" s="9" t="s">
        <v>1613</v>
      </c>
      <c r="F184" s="9" t="s">
        <v>1590</v>
      </c>
      <c r="G184" s="9" t="s">
        <v>1592</v>
      </c>
      <c r="H184" s="9" t="s">
        <v>170</v>
      </c>
      <c r="I184" s="9" t="s">
        <v>1762</v>
      </c>
      <c r="J184" s="9" t="s">
        <v>1608</v>
      </c>
      <c r="K184" s="9">
        <v>1</v>
      </c>
      <c r="L184" s="9">
        <v>22</v>
      </c>
      <c r="M184" s="9">
        <v>1993</v>
      </c>
      <c r="O184" s="9" t="str">
        <f t="shared" si="10"/>
        <v>NO</v>
      </c>
      <c r="P184" s="9" t="str">
        <f t="shared" si="11"/>
        <v>NO</v>
      </c>
      <c r="Q184" s="9" t="str">
        <f t="shared" si="12"/>
        <v>Conditioned</v>
      </c>
    </row>
    <row r="185" spans="1:17">
      <c r="A185" s="9">
        <v>10629</v>
      </c>
      <c r="B185" s="9">
        <v>1</v>
      </c>
      <c r="C185" s="9" t="s">
        <v>1589</v>
      </c>
      <c r="D185" s="9" t="s">
        <v>1590</v>
      </c>
      <c r="E185" s="9" t="s">
        <v>1602</v>
      </c>
      <c r="F185" s="9" t="s">
        <v>1603</v>
      </c>
      <c r="G185" s="9" t="s">
        <v>1592</v>
      </c>
      <c r="H185" s="9" t="s">
        <v>173</v>
      </c>
      <c r="I185" s="9" t="s">
        <v>1763</v>
      </c>
      <c r="J185" s="9" t="s">
        <v>1601</v>
      </c>
      <c r="K185" s="9">
        <v>1</v>
      </c>
      <c r="L185" s="9">
        <v>22</v>
      </c>
      <c r="M185" s="9">
        <v>2001</v>
      </c>
      <c r="O185" s="9" t="str">
        <f t="shared" si="10"/>
        <v>NO</v>
      </c>
      <c r="P185" s="9" t="str">
        <f t="shared" si="11"/>
        <v>NO</v>
      </c>
      <c r="Q185" s="9" t="str">
        <f t="shared" si="12"/>
        <v>Conditioned</v>
      </c>
    </row>
    <row r="186" spans="1:17">
      <c r="A186" s="9">
        <v>10629</v>
      </c>
      <c r="B186" s="9">
        <v>2</v>
      </c>
      <c r="C186" s="9" t="s">
        <v>1589</v>
      </c>
      <c r="D186" s="9" t="s">
        <v>1590</v>
      </c>
      <c r="E186" s="9" t="s">
        <v>1591</v>
      </c>
      <c r="F186" s="9" t="s">
        <v>1589</v>
      </c>
      <c r="G186" s="9" t="s">
        <v>1592</v>
      </c>
      <c r="H186" s="9" t="s">
        <v>1638</v>
      </c>
      <c r="I186" s="9" t="s">
        <v>1764</v>
      </c>
      <c r="J186" s="9" t="s">
        <v>1605</v>
      </c>
      <c r="K186" s="9">
        <v>1</v>
      </c>
      <c r="L186" s="9">
        <v>20</v>
      </c>
      <c r="M186" s="9">
        <v>1990</v>
      </c>
      <c r="O186" s="9" t="str">
        <f t="shared" si="10"/>
        <v>NO</v>
      </c>
      <c r="P186" s="9" t="str">
        <f t="shared" si="11"/>
        <v>YES</v>
      </c>
      <c r="Q186" s="9" t="str">
        <f t="shared" si="12"/>
        <v>Conditioned</v>
      </c>
    </row>
    <row r="187" spans="1:17">
      <c r="A187" s="9">
        <v>10629</v>
      </c>
      <c r="B187" s="9">
        <v>3</v>
      </c>
      <c r="C187" s="9" t="s">
        <v>1589</v>
      </c>
      <c r="D187" s="9" t="s">
        <v>1590</v>
      </c>
      <c r="E187" s="9" t="s">
        <v>1613</v>
      </c>
      <c r="F187" s="9" t="s">
        <v>1590</v>
      </c>
      <c r="G187" s="9" t="s">
        <v>1606</v>
      </c>
      <c r="H187" s="9" t="s">
        <v>170</v>
      </c>
      <c r="I187" s="9" t="s">
        <v>1633</v>
      </c>
      <c r="J187" s="9" t="s">
        <v>1597</v>
      </c>
      <c r="K187" s="9">
        <v>1</v>
      </c>
      <c r="L187" s="9">
        <v>18</v>
      </c>
      <c r="M187" s="9">
        <v>1987</v>
      </c>
      <c r="O187" s="9" t="str">
        <f t="shared" si="10"/>
        <v>NO</v>
      </c>
      <c r="P187" s="9" t="str">
        <f t="shared" si="11"/>
        <v>NO</v>
      </c>
      <c r="Q187" s="9" t="str">
        <f t="shared" si="12"/>
        <v>Unconditioned</v>
      </c>
    </row>
    <row r="188" spans="1:17">
      <c r="A188" s="9">
        <v>10630</v>
      </c>
      <c r="B188" s="9">
        <v>1</v>
      </c>
      <c r="C188" s="9" t="s">
        <v>1589</v>
      </c>
      <c r="D188" s="9" t="s">
        <v>1590</v>
      </c>
      <c r="E188" s="9" t="s">
        <v>1591</v>
      </c>
      <c r="F188" s="9" t="s">
        <v>1589</v>
      </c>
      <c r="G188" s="9" t="s">
        <v>1592</v>
      </c>
      <c r="H188" s="9" t="s">
        <v>177</v>
      </c>
      <c r="I188" s="9" t="s">
        <v>1765</v>
      </c>
      <c r="J188" s="9" t="s">
        <v>1597</v>
      </c>
      <c r="K188" s="9">
        <v>1</v>
      </c>
      <c r="L188" s="9">
        <v>18</v>
      </c>
      <c r="M188" s="9">
        <v>2011</v>
      </c>
      <c r="O188" s="9" t="str">
        <f t="shared" si="10"/>
        <v>NO</v>
      </c>
      <c r="P188" s="9" t="str">
        <f t="shared" si="11"/>
        <v>NO</v>
      </c>
      <c r="Q188" s="9" t="str">
        <f t="shared" si="12"/>
        <v>Conditioned</v>
      </c>
    </row>
    <row r="189" spans="1:17">
      <c r="A189" s="9">
        <v>10630</v>
      </c>
      <c r="B189" s="9">
        <v>2</v>
      </c>
      <c r="C189" s="9" t="s">
        <v>1589</v>
      </c>
      <c r="D189" s="9" t="s">
        <v>1590</v>
      </c>
      <c r="E189" s="9" t="s">
        <v>1591</v>
      </c>
      <c r="F189" s="9" t="s">
        <v>1589</v>
      </c>
      <c r="G189" s="9" t="s">
        <v>1606</v>
      </c>
      <c r="H189" s="9" t="s">
        <v>1766</v>
      </c>
      <c r="I189" s="9" t="s">
        <v>1767</v>
      </c>
      <c r="J189" s="9" t="s">
        <v>1605</v>
      </c>
      <c r="K189" s="9">
        <v>1</v>
      </c>
      <c r="L189" s="9">
        <v>16</v>
      </c>
      <c r="M189" s="9">
        <v>1989</v>
      </c>
      <c r="O189" s="9" t="str">
        <f t="shared" si="10"/>
        <v>NO</v>
      </c>
      <c r="P189" s="9" t="str">
        <f t="shared" si="11"/>
        <v>YES</v>
      </c>
      <c r="Q189" s="9" t="str">
        <f t="shared" si="12"/>
        <v>Unconditioned</v>
      </c>
    </row>
    <row r="190" spans="1:17">
      <c r="A190" s="9">
        <v>10636</v>
      </c>
      <c r="B190" s="9">
        <v>1</v>
      </c>
      <c r="C190" s="9" t="s">
        <v>1589</v>
      </c>
      <c r="D190" s="9" t="s">
        <v>1590</v>
      </c>
      <c r="E190" s="9" t="s">
        <v>1591</v>
      </c>
      <c r="F190" s="9" t="s">
        <v>1589</v>
      </c>
      <c r="G190" s="9" t="s">
        <v>1592</v>
      </c>
      <c r="H190" s="9" t="s">
        <v>1638</v>
      </c>
      <c r="I190" s="9" t="s">
        <v>1768</v>
      </c>
      <c r="J190" s="9" t="s">
        <v>1608</v>
      </c>
      <c r="K190" s="9">
        <v>1</v>
      </c>
      <c r="L190" s="9">
        <v>19</v>
      </c>
      <c r="M190" s="9">
        <v>2001</v>
      </c>
      <c r="O190" s="9" t="str">
        <f t="shared" si="10"/>
        <v>NO</v>
      </c>
      <c r="P190" s="9" t="str">
        <f t="shared" si="11"/>
        <v>NO</v>
      </c>
      <c r="Q190" s="9" t="str">
        <f t="shared" si="12"/>
        <v>Conditioned</v>
      </c>
    </row>
    <row r="191" spans="1:17">
      <c r="A191" s="9">
        <v>10637</v>
      </c>
      <c r="B191" s="9">
        <v>1</v>
      </c>
      <c r="C191" s="9" t="s">
        <v>1589</v>
      </c>
      <c r="D191" s="9" t="s">
        <v>1603</v>
      </c>
      <c r="E191" s="9" t="s">
        <v>1602</v>
      </c>
      <c r="F191" s="9" t="s">
        <v>1603</v>
      </c>
      <c r="G191" s="9" t="s">
        <v>1592</v>
      </c>
      <c r="H191" s="9" t="s">
        <v>1599</v>
      </c>
      <c r="I191" s="9" t="s">
        <v>1769</v>
      </c>
      <c r="J191" s="9" t="s">
        <v>1601</v>
      </c>
      <c r="K191" s="9">
        <v>1</v>
      </c>
      <c r="L191" s="9">
        <v>25</v>
      </c>
      <c r="M191" s="9">
        <v>2008</v>
      </c>
      <c r="O191" s="9" t="str">
        <f t="shared" si="10"/>
        <v>NO</v>
      </c>
      <c r="P191" s="9" t="str">
        <f t="shared" si="11"/>
        <v>NO</v>
      </c>
      <c r="Q191" s="9" t="str">
        <f t="shared" si="12"/>
        <v>Conditioned</v>
      </c>
    </row>
    <row r="192" spans="1:17">
      <c r="A192" s="9">
        <v>10638</v>
      </c>
      <c r="B192" s="9">
        <v>1</v>
      </c>
      <c r="C192" s="9" t="s">
        <v>1589</v>
      </c>
      <c r="D192" s="9" t="s">
        <v>1590</v>
      </c>
      <c r="E192" s="9" t="s">
        <v>1591</v>
      </c>
      <c r="F192" s="9" t="s">
        <v>1589</v>
      </c>
      <c r="G192" s="9" t="s">
        <v>1592</v>
      </c>
      <c r="H192" s="9" t="s">
        <v>178</v>
      </c>
      <c r="I192" s="9" t="s">
        <v>1770</v>
      </c>
      <c r="J192" s="9" t="s">
        <v>1597</v>
      </c>
      <c r="K192" s="9">
        <v>1</v>
      </c>
      <c r="L192" s="9">
        <v>18</v>
      </c>
      <c r="M192" s="9">
        <v>2007</v>
      </c>
      <c r="O192" s="9" t="str">
        <f t="shared" si="10"/>
        <v>NO</v>
      </c>
      <c r="P192" s="9" t="str">
        <f t="shared" si="11"/>
        <v>NO</v>
      </c>
      <c r="Q192" s="9" t="str">
        <f t="shared" si="12"/>
        <v>Conditioned</v>
      </c>
    </row>
    <row r="193" spans="1:17">
      <c r="A193" s="9">
        <v>10649</v>
      </c>
      <c r="B193" s="9">
        <v>1</v>
      </c>
      <c r="C193" s="9" t="s">
        <v>1589</v>
      </c>
      <c r="D193" s="9" t="s">
        <v>1590</v>
      </c>
      <c r="E193" s="9" t="s">
        <v>1591</v>
      </c>
      <c r="F193" s="9" t="s">
        <v>1589</v>
      </c>
      <c r="G193" s="9" t="s">
        <v>1606</v>
      </c>
      <c r="H193" s="9" t="s">
        <v>169</v>
      </c>
      <c r="I193" s="9" t="s">
        <v>1771</v>
      </c>
      <c r="J193" s="9" t="s">
        <v>1605</v>
      </c>
      <c r="K193" s="9">
        <v>1</v>
      </c>
      <c r="L193" s="9">
        <v>16</v>
      </c>
      <c r="M193" s="9">
        <v>2010</v>
      </c>
      <c r="O193" s="9" t="str">
        <f t="shared" si="10"/>
        <v>NO</v>
      </c>
      <c r="P193" s="9" t="str">
        <f t="shared" si="11"/>
        <v>YES</v>
      </c>
      <c r="Q193" s="9" t="str">
        <f t="shared" si="12"/>
        <v>Unconditioned</v>
      </c>
    </row>
    <row r="194" spans="1:17">
      <c r="A194" s="9">
        <v>10649</v>
      </c>
      <c r="B194" s="9">
        <v>2</v>
      </c>
      <c r="C194" s="9" t="s">
        <v>1589</v>
      </c>
      <c r="D194" s="9" t="s">
        <v>1590</v>
      </c>
      <c r="E194" s="9" t="s">
        <v>1591</v>
      </c>
      <c r="F194" s="9" t="s">
        <v>1589</v>
      </c>
      <c r="G194" s="9" t="s">
        <v>1592</v>
      </c>
      <c r="H194" s="9" t="s">
        <v>169</v>
      </c>
      <c r="I194" s="9" t="s">
        <v>1772</v>
      </c>
      <c r="J194" s="9" t="s">
        <v>1597</v>
      </c>
      <c r="K194" s="9">
        <v>1</v>
      </c>
      <c r="L194" s="9">
        <v>18</v>
      </c>
      <c r="M194" s="9">
        <v>2007</v>
      </c>
      <c r="O194" s="9" t="str">
        <f t="shared" si="10"/>
        <v>NO</v>
      </c>
      <c r="P194" s="9" t="str">
        <f t="shared" si="11"/>
        <v>NO</v>
      </c>
      <c r="Q194" s="9" t="str">
        <f t="shared" si="12"/>
        <v>Conditioned</v>
      </c>
    </row>
    <row r="195" spans="1:17">
      <c r="A195" s="9">
        <v>10657</v>
      </c>
      <c r="B195" s="9">
        <v>1</v>
      </c>
      <c r="C195" s="9" t="s">
        <v>1589</v>
      </c>
      <c r="D195" s="9" t="s">
        <v>1590</v>
      </c>
      <c r="E195" s="9" t="s">
        <v>1591</v>
      </c>
      <c r="F195" s="9" t="s">
        <v>1589</v>
      </c>
      <c r="G195" s="9" t="s">
        <v>1592</v>
      </c>
      <c r="H195" s="9" t="s">
        <v>172</v>
      </c>
      <c r="I195" s="9" t="s">
        <v>1773</v>
      </c>
      <c r="J195" s="9" t="s">
        <v>1597</v>
      </c>
      <c r="K195" s="9">
        <v>1</v>
      </c>
      <c r="L195" s="9">
        <v>17</v>
      </c>
      <c r="M195" s="9">
        <v>2005</v>
      </c>
      <c r="O195" s="9" t="str">
        <f t="shared" si="10"/>
        <v>NO</v>
      </c>
      <c r="P195" s="9" t="str">
        <f t="shared" si="11"/>
        <v>NO</v>
      </c>
      <c r="Q195" s="9" t="str">
        <f t="shared" si="12"/>
        <v>Conditioned</v>
      </c>
    </row>
    <row r="196" spans="1:17">
      <c r="A196" s="9">
        <v>10658</v>
      </c>
      <c r="B196" s="9">
        <v>1</v>
      </c>
      <c r="C196" s="9" t="s">
        <v>1589</v>
      </c>
      <c r="D196" s="9" t="s">
        <v>1590</v>
      </c>
      <c r="E196" s="9" t="s">
        <v>1591</v>
      </c>
      <c r="F196" s="9" t="s">
        <v>1589</v>
      </c>
      <c r="G196" s="9" t="s">
        <v>1592</v>
      </c>
      <c r="H196" s="9" t="s">
        <v>174</v>
      </c>
      <c r="I196" s="9" t="s">
        <v>1774</v>
      </c>
      <c r="J196" s="9" t="s">
        <v>1608</v>
      </c>
      <c r="K196" s="9">
        <v>1</v>
      </c>
      <c r="L196" s="9">
        <v>21</v>
      </c>
      <c r="M196" s="9">
        <v>2008</v>
      </c>
      <c r="O196" s="9" t="str">
        <f t="shared" si="10"/>
        <v>NO</v>
      </c>
      <c r="P196" s="9" t="str">
        <f t="shared" si="11"/>
        <v>NO</v>
      </c>
      <c r="Q196" s="9" t="str">
        <f t="shared" si="12"/>
        <v>Conditioned</v>
      </c>
    </row>
    <row r="197" spans="1:17">
      <c r="A197" s="9">
        <v>10658</v>
      </c>
      <c r="B197" s="9">
        <v>2</v>
      </c>
      <c r="C197" s="9" t="s">
        <v>1589</v>
      </c>
      <c r="D197" s="9" t="s">
        <v>1590</v>
      </c>
      <c r="E197" s="9" t="s">
        <v>1591</v>
      </c>
      <c r="F197" s="9" t="s">
        <v>1589</v>
      </c>
      <c r="G197" s="9" t="s">
        <v>1606</v>
      </c>
      <c r="H197" s="9" t="s">
        <v>1678</v>
      </c>
      <c r="I197" s="9" t="s">
        <v>1633</v>
      </c>
      <c r="J197" s="9" t="s">
        <v>1605</v>
      </c>
      <c r="K197" s="9">
        <v>1</v>
      </c>
      <c r="L197" s="9">
        <v>16</v>
      </c>
      <c r="M197" s="9">
        <v>1995</v>
      </c>
      <c r="O197" s="9" t="str">
        <f t="shared" si="10"/>
        <v>NO</v>
      </c>
      <c r="P197" s="9" t="str">
        <f t="shared" si="11"/>
        <v>YES</v>
      </c>
      <c r="Q197" s="9" t="str">
        <f t="shared" si="12"/>
        <v>Unconditioned</v>
      </c>
    </row>
    <row r="198" spans="1:17">
      <c r="A198" s="9">
        <v>10658</v>
      </c>
      <c r="B198" s="9">
        <v>3</v>
      </c>
      <c r="C198" s="9" t="s">
        <v>1589</v>
      </c>
      <c r="D198" s="9" t="s">
        <v>1590</v>
      </c>
      <c r="E198" s="9" t="s">
        <v>1591</v>
      </c>
      <c r="F198" s="9" t="s">
        <v>1589</v>
      </c>
      <c r="G198" s="9" t="s">
        <v>1606</v>
      </c>
      <c r="H198" s="9" t="s">
        <v>170</v>
      </c>
      <c r="I198" s="9" t="s">
        <v>1633</v>
      </c>
      <c r="J198" s="9" t="s">
        <v>1601</v>
      </c>
      <c r="K198" s="9">
        <v>1</v>
      </c>
      <c r="L198" s="9">
        <v>19</v>
      </c>
      <c r="M198" s="9">
        <v>1992</v>
      </c>
      <c r="O198" s="9" t="str">
        <f t="shared" si="10"/>
        <v>NO</v>
      </c>
      <c r="P198" s="9" t="str">
        <f t="shared" si="11"/>
        <v>NO</v>
      </c>
      <c r="Q198" s="9" t="str">
        <f t="shared" si="12"/>
        <v>Unconditioned</v>
      </c>
    </row>
    <row r="199" spans="1:17">
      <c r="A199" s="9">
        <v>10661</v>
      </c>
      <c r="B199" s="9">
        <v>1</v>
      </c>
      <c r="C199" s="9" t="s">
        <v>1589</v>
      </c>
      <c r="D199" s="9" t="s">
        <v>1590</v>
      </c>
      <c r="E199" s="9" t="s">
        <v>1613</v>
      </c>
      <c r="F199" s="9" t="s">
        <v>1603</v>
      </c>
      <c r="G199" s="9" t="s">
        <v>1592</v>
      </c>
      <c r="H199" s="9" t="s">
        <v>1638</v>
      </c>
      <c r="I199" s="9" t="s">
        <v>1775</v>
      </c>
      <c r="J199" s="9" t="s">
        <v>1610</v>
      </c>
      <c r="K199" s="9">
        <v>1</v>
      </c>
      <c r="L199" s="9">
        <v>22</v>
      </c>
      <c r="M199" s="9">
        <v>2010</v>
      </c>
      <c r="O199" s="9" t="str">
        <f t="shared" si="10"/>
        <v>NO</v>
      </c>
      <c r="P199" s="9" t="str">
        <f t="shared" si="11"/>
        <v>NO</v>
      </c>
      <c r="Q199" s="9" t="str">
        <f t="shared" si="12"/>
        <v>Conditioned</v>
      </c>
    </row>
    <row r="200" spans="1:17">
      <c r="A200" s="9">
        <v>10661</v>
      </c>
      <c r="B200" s="9">
        <v>2</v>
      </c>
      <c r="C200" s="9" t="s">
        <v>1589</v>
      </c>
      <c r="D200" s="9" t="s">
        <v>1590</v>
      </c>
      <c r="E200" s="9" t="s">
        <v>1591</v>
      </c>
      <c r="F200" s="9" t="s">
        <v>1589</v>
      </c>
      <c r="G200" s="9" t="s">
        <v>1606</v>
      </c>
      <c r="H200" s="9" t="s">
        <v>172</v>
      </c>
      <c r="I200" s="9" t="s">
        <v>1776</v>
      </c>
      <c r="J200" s="9" t="s">
        <v>1597</v>
      </c>
      <c r="K200" s="9">
        <v>1</v>
      </c>
      <c r="L200" s="9">
        <v>12</v>
      </c>
      <c r="M200" s="9">
        <v>1986</v>
      </c>
      <c r="O200" s="9" t="str">
        <f t="shared" si="10"/>
        <v>NO</v>
      </c>
      <c r="P200" s="9" t="str">
        <f t="shared" si="11"/>
        <v>NO</v>
      </c>
      <c r="Q200" s="9" t="str">
        <f t="shared" si="12"/>
        <v>Unconditioned</v>
      </c>
    </row>
    <row r="201" spans="1:17">
      <c r="A201" s="9">
        <v>10664</v>
      </c>
      <c r="B201" s="9">
        <v>1</v>
      </c>
      <c r="C201" s="9" t="s">
        <v>1589</v>
      </c>
      <c r="D201" s="9" t="s">
        <v>1590</v>
      </c>
      <c r="E201" s="9" t="s">
        <v>1602</v>
      </c>
      <c r="F201" s="9" t="s">
        <v>1603</v>
      </c>
      <c r="G201" s="9" t="s">
        <v>1592</v>
      </c>
      <c r="H201" s="9" t="s">
        <v>170</v>
      </c>
      <c r="I201" s="9" t="s">
        <v>1777</v>
      </c>
      <c r="J201" s="9" t="s">
        <v>1601</v>
      </c>
      <c r="K201" s="9">
        <v>1</v>
      </c>
      <c r="L201" s="9">
        <v>22</v>
      </c>
      <c r="M201" s="9">
        <v>2010</v>
      </c>
      <c r="O201" s="9" t="str">
        <f t="shared" si="10"/>
        <v>NO</v>
      </c>
      <c r="P201" s="9" t="str">
        <f t="shared" si="11"/>
        <v>NO</v>
      </c>
      <c r="Q201" s="9" t="str">
        <f t="shared" si="12"/>
        <v>Conditioned</v>
      </c>
    </row>
    <row r="202" spans="1:17">
      <c r="A202" s="9">
        <v>10681</v>
      </c>
      <c r="B202" s="9">
        <v>1</v>
      </c>
      <c r="C202" s="9" t="s">
        <v>1589</v>
      </c>
      <c r="D202" s="9" t="s">
        <v>1590</v>
      </c>
      <c r="E202" s="9" t="s">
        <v>1602</v>
      </c>
      <c r="F202" s="9" t="s">
        <v>1603</v>
      </c>
      <c r="G202" s="9" t="s">
        <v>1592</v>
      </c>
      <c r="H202" s="9" t="s">
        <v>1638</v>
      </c>
      <c r="I202" s="9" t="s">
        <v>1778</v>
      </c>
      <c r="J202" s="9" t="s">
        <v>1597</v>
      </c>
      <c r="K202" s="9">
        <v>1</v>
      </c>
      <c r="L202" s="9">
        <v>20</v>
      </c>
      <c r="M202" s="9">
        <v>2000</v>
      </c>
      <c r="O202" s="9" t="str">
        <f t="shared" si="10"/>
        <v>NO</v>
      </c>
      <c r="P202" s="9" t="str">
        <f t="shared" si="11"/>
        <v>NO</v>
      </c>
      <c r="Q202" s="9" t="str">
        <f t="shared" si="12"/>
        <v>Conditioned</v>
      </c>
    </row>
    <row r="203" spans="1:17">
      <c r="A203" s="9">
        <v>10681</v>
      </c>
      <c r="B203" s="9">
        <v>2</v>
      </c>
      <c r="C203" s="9" t="s">
        <v>1589</v>
      </c>
      <c r="D203" s="9" t="s">
        <v>1590</v>
      </c>
      <c r="E203" s="9" t="s">
        <v>1591</v>
      </c>
      <c r="F203" s="9" t="s">
        <v>1589</v>
      </c>
      <c r="G203" s="9" t="s">
        <v>1592</v>
      </c>
      <c r="H203" s="9" t="s">
        <v>170</v>
      </c>
      <c r="I203" s="9" t="s">
        <v>1633</v>
      </c>
      <c r="J203" s="9" t="s">
        <v>1597</v>
      </c>
      <c r="K203" s="9">
        <v>1</v>
      </c>
      <c r="L203" s="9">
        <v>10</v>
      </c>
      <c r="M203" s="9">
        <v>1997</v>
      </c>
      <c r="O203" s="9" t="str">
        <f t="shared" si="10"/>
        <v>NO</v>
      </c>
      <c r="P203" s="9" t="str">
        <f t="shared" si="11"/>
        <v>NO</v>
      </c>
      <c r="Q203" s="9" t="str">
        <f t="shared" si="12"/>
        <v>Conditioned</v>
      </c>
    </row>
    <row r="204" spans="1:17">
      <c r="A204" s="9">
        <v>10688</v>
      </c>
      <c r="B204" s="9">
        <v>1</v>
      </c>
      <c r="C204" s="9" t="s">
        <v>1589</v>
      </c>
      <c r="D204" s="9" t="s">
        <v>1590</v>
      </c>
      <c r="E204" s="9" t="s">
        <v>1591</v>
      </c>
      <c r="F204" s="9" t="s">
        <v>1589</v>
      </c>
      <c r="G204" s="9" t="s">
        <v>1592</v>
      </c>
      <c r="H204" s="9" t="s">
        <v>177</v>
      </c>
      <c r="I204" s="9" t="s">
        <v>1779</v>
      </c>
      <c r="J204" s="9" t="s">
        <v>1597</v>
      </c>
      <c r="K204" s="9">
        <v>1</v>
      </c>
      <c r="L204" s="9">
        <v>20</v>
      </c>
      <c r="O204" s="9" t="str">
        <f t="shared" si="10"/>
        <v>NO</v>
      </c>
      <c r="P204" s="9" t="str">
        <f t="shared" si="11"/>
        <v>NO</v>
      </c>
      <c r="Q204" s="9" t="str">
        <f t="shared" si="12"/>
        <v>Conditioned</v>
      </c>
    </row>
    <row r="205" spans="1:17">
      <c r="A205" s="9">
        <v>10690</v>
      </c>
      <c r="B205" s="9">
        <v>1</v>
      </c>
      <c r="C205" s="9" t="s">
        <v>1780</v>
      </c>
      <c r="D205" s="9" t="s">
        <v>1590</v>
      </c>
      <c r="E205" s="9" t="s">
        <v>1591</v>
      </c>
      <c r="F205" s="9" t="s">
        <v>1589</v>
      </c>
      <c r="G205" s="9" t="s">
        <v>1592</v>
      </c>
      <c r="H205" s="9" t="s">
        <v>1638</v>
      </c>
      <c r="I205" s="9" t="s">
        <v>1589</v>
      </c>
      <c r="J205" s="9" t="s">
        <v>1597</v>
      </c>
      <c r="K205" s="9">
        <v>1</v>
      </c>
      <c r="L205" s="9">
        <v>22</v>
      </c>
      <c r="M205" s="9">
        <v>1985</v>
      </c>
      <c r="O205" s="9" t="str">
        <f t="shared" si="10"/>
        <v>NO</v>
      </c>
      <c r="P205" s="9" t="str">
        <f t="shared" si="11"/>
        <v>NO</v>
      </c>
      <c r="Q205" s="9" t="str">
        <f t="shared" si="12"/>
        <v>Conditioned</v>
      </c>
    </row>
    <row r="206" spans="1:17">
      <c r="A206" s="9">
        <v>10690</v>
      </c>
      <c r="B206" s="9">
        <v>2</v>
      </c>
      <c r="C206" s="9" t="s">
        <v>1589</v>
      </c>
      <c r="D206" s="9" t="s">
        <v>1590</v>
      </c>
      <c r="E206" s="9" t="s">
        <v>1591</v>
      </c>
      <c r="F206" s="9" t="s">
        <v>1589</v>
      </c>
      <c r="G206" s="9" t="s">
        <v>1606</v>
      </c>
      <c r="H206" s="9" t="s">
        <v>174</v>
      </c>
      <c r="I206" s="9" t="s">
        <v>1781</v>
      </c>
      <c r="J206" s="9" t="s">
        <v>1605</v>
      </c>
      <c r="K206" s="9">
        <v>1</v>
      </c>
      <c r="L206" s="9">
        <v>20</v>
      </c>
      <c r="M206" s="9">
        <v>1994</v>
      </c>
      <c r="O206" s="9" t="str">
        <f t="shared" si="10"/>
        <v>NO</v>
      </c>
      <c r="P206" s="9" t="str">
        <f t="shared" si="11"/>
        <v>YES</v>
      </c>
      <c r="Q206" s="9" t="str">
        <f t="shared" si="12"/>
        <v>Unconditioned</v>
      </c>
    </row>
    <row r="207" spans="1:17">
      <c r="A207" s="9">
        <v>10690</v>
      </c>
      <c r="B207" s="9">
        <v>3</v>
      </c>
      <c r="C207" s="9" t="s">
        <v>1782</v>
      </c>
      <c r="D207" s="9" t="s">
        <v>1590</v>
      </c>
      <c r="E207" s="9" t="s">
        <v>1591</v>
      </c>
      <c r="F207" s="9" t="s">
        <v>1589</v>
      </c>
      <c r="G207" s="9" t="s">
        <v>1606</v>
      </c>
      <c r="H207" s="9" t="s">
        <v>1589</v>
      </c>
      <c r="I207" s="9" t="s">
        <v>1589</v>
      </c>
      <c r="J207" s="9" t="s">
        <v>1605</v>
      </c>
      <c r="K207" s="9">
        <v>0.5</v>
      </c>
      <c r="L207" s="9">
        <v>21</v>
      </c>
      <c r="M207" s="9">
        <v>1970</v>
      </c>
      <c r="O207" s="9" t="str">
        <f t="shared" si="10"/>
        <v>NO</v>
      </c>
      <c r="P207" s="9" t="str">
        <f t="shared" si="11"/>
        <v>YES</v>
      </c>
      <c r="Q207" s="9" t="str">
        <f t="shared" si="12"/>
        <v>Unconditioned</v>
      </c>
    </row>
    <row r="208" spans="1:17">
      <c r="A208" s="9">
        <v>10695</v>
      </c>
      <c r="B208" s="9">
        <v>1</v>
      </c>
      <c r="C208" s="9" t="s">
        <v>1589</v>
      </c>
      <c r="D208" s="9" t="s">
        <v>1590</v>
      </c>
      <c r="E208" s="9" t="s">
        <v>1591</v>
      </c>
      <c r="F208" s="9" t="s">
        <v>1589</v>
      </c>
      <c r="G208" s="9" t="s">
        <v>1606</v>
      </c>
      <c r="H208" s="9" t="s">
        <v>170</v>
      </c>
      <c r="I208" s="9" t="s">
        <v>1783</v>
      </c>
      <c r="J208" s="9" t="s">
        <v>1597</v>
      </c>
      <c r="K208" s="9">
        <v>1</v>
      </c>
      <c r="L208" s="9">
        <v>21</v>
      </c>
      <c r="M208" s="9">
        <v>2000</v>
      </c>
      <c r="O208" s="9" t="str">
        <f t="shared" si="10"/>
        <v>NO</v>
      </c>
      <c r="P208" s="9" t="str">
        <f t="shared" si="11"/>
        <v>NO</v>
      </c>
      <c r="Q208" s="9" t="str">
        <f t="shared" si="12"/>
        <v>Unconditioned</v>
      </c>
    </row>
    <row r="209" spans="1:17">
      <c r="A209" s="9">
        <v>10696</v>
      </c>
      <c r="B209" s="9">
        <v>1</v>
      </c>
      <c r="C209" s="9" t="s">
        <v>1589</v>
      </c>
      <c r="D209" s="9" t="s">
        <v>1590</v>
      </c>
      <c r="E209" s="9" t="s">
        <v>1602</v>
      </c>
      <c r="F209" s="9" t="s">
        <v>1603</v>
      </c>
      <c r="G209" s="9" t="s">
        <v>1592</v>
      </c>
      <c r="H209" s="9" t="s">
        <v>1589</v>
      </c>
      <c r="I209" s="9" t="s">
        <v>1784</v>
      </c>
      <c r="J209" s="9" t="s">
        <v>1601</v>
      </c>
      <c r="K209" s="9">
        <v>1</v>
      </c>
      <c r="L209" s="9">
        <v>22</v>
      </c>
      <c r="M209" s="9">
        <v>1990</v>
      </c>
      <c r="O209" s="9" t="str">
        <f t="shared" si="10"/>
        <v>NO</v>
      </c>
      <c r="P209" s="9" t="str">
        <f t="shared" si="11"/>
        <v>NO</v>
      </c>
      <c r="Q209" s="9" t="str">
        <f t="shared" si="12"/>
        <v>Conditioned</v>
      </c>
    </row>
    <row r="210" spans="1:17">
      <c r="A210" s="9">
        <v>10696</v>
      </c>
      <c r="B210" s="9">
        <v>2</v>
      </c>
      <c r="C210" s="9" t="s">
        <v>1589</v>
      </c>
      <c r="D210" s="9" t="s">
        <v>1590</v>
      </c>
      <c r="E210" s="9" t="s">
        <v>1591</v>
      </c>
      <c r="F210" s="9" t="s">
        <v>1589</v>
      </c>
      <c r="G210" s="9" t="s">
        <v>1592</v>
      </c>
      <c r="H210" s="9" t="s">
        <v>172</v>
      </c>
      <c r="I210" s="9" t="s">
        <v>1785</v>
      </c>
      <c r="J210" s="9" t="s">
        <v>1597</v>
      </c>
      <c r="K210" s="9">
        <v>1</v>
      </c>
      <c r="L210" s="9">
        <v>22</v>
      </c>
      <c r="M210" s="9">
        <v>1990</v>
      </c>
      <c r="O210" s="9" t="str">
        <f t="shared" si="10"/>
        <v>NO</v>
      </c>
      <c r="P210" s="9" t="str">
        <f t="shared" si="11"/>
        <v>NO</v>
      </c>
      <c r="Q210" s="9" t="str">
        <f t="shared" si="12"/>
        <v>Conditioned</v>
      </c>
    </row>
    <row r="211" spans="1:17">
      <c r="A211" s="9">
        <v>10697</v>
      </c>
      <c r="B211" s="9">
        <v>1</v>
      </c>
      <c r="C211" s="9" t="s">
        <v>1589</v>
      </c>
      <c r="D211" s="9" t="s">
        <v>1590</v>
      </c>
      <c r="E211" s="9" t="s">
        <v>1591</v>
      </c>
      <c r="F211" s="9" t="s">
        <v>1589</v>
      </c>
      <c r="G211" s="9" t="s">
        <v>1592</v>
      </c>
      <c r="H211" s="9" t="s">
        <v>173</v>
      </c>
      <c r="I211" s="9" t="s">
        <v>1786</v>
      </c>
      <c r="J211" s="9" t="s">
        <v>1597</v>
      </c>
      <c r="K211" s="9">
        <v>1</v>
      </c>
      <c r="L211" s="9">
        <v>20</v>
      </c>
      <c r="M211" s="9">
        <v>1992</v>
      </c>
      <c r="O211" s="9" t="str">
        <f t="shared" si="10"/>
        <v>NO</v>
      </c>
      <c r="P211" s="9" t="str">
        <f t="shared" si="11"/>
        <v>NO</v>
      </c>
      <c r="Q211" s="9" t="str">
        <f t="shared" si="12"/>
        <v>Conditioned</v>
      </c>
    </row>
    <row r="212" spans="1:17">
      <c r="A212" s="9">
        <v>10699</v>
      </c>
      <c r="B212" s="9">
        <v>1</v>
      </c>
      <c r="C212" s="9" t="s">
        <v>1589</v>
      </c>
      <c r="D212" s="9" t="s">
        <v>1590</v>
      </c>
      <c r="E212" s="9" t="s">
        <v>1602</v>
      </c>
      <c r="F212" s="9" t="s">
        <v>1603</v>
      </c>
      <c r="G212" s="9" t="s">
        <v>1592</v>
      </c>
      <c r="H212" s="9" t="s">
        <v>170</v>
      </c>
      <c r="I212" s="9" t="s">
        <v>1787</v>
      </c>
      <c r="J212" s="9" t="s">
        <v>1601</v>
      </c>
      <c r="K212" s="9">
        <v>1</v>
      </c>
      <c r="L212" s="9">
        <v>25</v>
      </c>
      <c r="M212" s="9">
        <v>1995</v>
      </c>
      <c r="O212" s="9" t="str">
        <f t="shared" si="10"/>
        <v>NO</v>
      </c>
      <c r="P212" s="9" t="str">
        <f t="shared" si="11"/>
        <v>NO</v>
      </c>
      <c r="Q212" s="9" t="str">
        <f t="shared" si="12"/>
        <v>Conditioned</v>
      </c>
    </row>
    <row r="213" spans="1:17">
      <c r="A213" s="9">
        <v>10701</v>
      </c>
      <c r="B213" s="9">
        <v>1</v>
      </c>
      <c r="C213" s="9" t="s">
        <v>1589</v>
      </c>
      <c r="D213" s="9" t="s">
        <v>1590</v>
      </c>
      <c r="E213" s="9" t="s">
        <v>1591</v>
      </c>
      <c r="F213" s="9" t="s">
        <v>1589</v>
      </c>
      <c r="G213" s="9" t="s">
        <v>1606</v>
      </c>
      <c r="H213" s="9" t="s">
        <v>172</v>
      </c>
      <c r="I213" s="9" t="s">
        <v>1788</v>
      </c>
      <c r="J213" s="9" t="s">
        <v>1587</v>
      </c>
      <c r="K213" s="9">
        <v>1</v>
      </c>
      <c r="L213" s="9">
        <v>10</v>
      </c>
      <c r="M213" s="9">
        <v>1970</v>
      </c>
      <c r="O213" s="9" t="str">
        <f t="shared" si="10"/>
        <v>NO</v>
      </c>
      <c r="P213" s="9" t="str">
        <f t="shared" si="11"/>
        <v>YES</v>
      </c>
      <c r="Q213" s="9" t="str">
        <f t="shared" si="12"/>
        <v>Unconditioned</v>
      </c>
    </row>
    <row r="214" spans="1:17">
      <c r="A214" s="9">
        <v>10701</v>
      </c>
      <c r="B214" s="9">
        <v>2</v>
      </c>
      <c r="C214" s="9" t="s">
        <v>1589</v>
      </c>
      <c r="D214" s="9" t="s">
        <v>1590</v>
      </c>
      <c r="E214" s="9" t="s">
        <v>1602</v>
      </c>
      <c r="F214" s="9" t="s">
        <v>1603</v>
      </c>
      <c r="G214" s="9" t="s">
        <v>1606</v>
      </c>
      <c r="H214" s="9" t="s">
        <v>173</v>
      </c>
      <c r="I214" s="9" t="s">
        <v>1789</v>
      </c>
      <c r="J214" s="9" t="s">
        <v>1601</v>
      </c>
      <c r="K214" s="9">
        <v>1</v>
      </c>
      <c r="L214" s="9">
        <v>27</v>
      </c>
      <c r="M214" s="9">
        <v>2003</v>
      </c>
      <c r="O214" s="9" t="str">
        <f t="shared" si="10"/>
        <v>NO</v>
      </c>
      <c r="P214" s="9" t="str">
        <f t="shared" si="11"/>
        <v>NO</v>
      </c>
      <c r="Q214" s="9" t="str">
        <f t="shared" si="12"/>
        <v>Unconditioned</v>
      </c>
    </row>
    <row r="215" spans="1:17">
      <c r="A215" s="9">
        <v>10701</v>
      </c>
      <c r="B215" s="9">
        <v>3</v>
      </c>
      <c r="C215" s="9" t="s">
        <v>1589</v>
      </c>
      <c r="D215" s="9" t="s">
        <v>1590</v>
      </c>
      <c r="E215" s="9" t="s">
        <v>1591</v>
      </c>
      <c r="F215" s="9" t="s">
        <v>1589</v>
      </c>
      <c r="G215" s="9" t="s">
        <v>1606</v>
      </c>
      <c r="H215" s="9" t="s">
        <v>1678</v>
      </c>
      <c r="I215" s="9" t="s">
        <v>1790</v>
      </c>
      <c r="J215" s="9" t="s">
        <v>1597</v>
      </c>
      <c r="K215" s="9">
        <v>1</v>
      </c>
      <c r="L215" s="9">
        <v>21</v>
      </c>
      <c r="O215" s="9" t="str">
        <f t="shared" ref="O215:O278" si="13">IF(L215&lt;7.75,"YES","NO")</f>
        <v>NO</v>
      </c>
      <c r="P215" s="9" t="str">
        <f t="shared" ref="P215:P278" si="14">VLOOKUP(J215,$Z$21:$AA$27,2,FALSE)</f>
        <v>NO</v>
      </c>
      <c r="Q215" s="9" t="str">
        <f t="shared" ref="Q215:Q278" si="15">G215</f>
        <v>Unconditioned</v>
      </c>
    </row>
    <row r="216" spans="1:17">
      <c r="A216" s="9">
        <v>10705</v>
      </c>
      <c r="B216" s="9">
        <v>1</v>
      </c>
      <c r="C216" s="9" t="s">
        <v>1589</v>
      </c>
      <c r="D216" s="9" t="s">
        <v>1590</v>
      </c>
      <c r="E216" s="9" t="s">
        <v>1602</v>
      </c>
      <c r="F216" s="9" t="s">
        <v>1603</v>
      </c>
      <c r="G216" s="9" t="s">
        <v>1592</v>
      </c>
      <c r="H216" s="9" t="s">
        <v>170</v>
      </c>
      <c r="I216" s="9" t="s">
        <v>1791</v>
      </c>
      <c r="J216" s="9" t="s">
        <v>1610</v>
      </c>
      <c r="K216" s="9">
        <v>1</v>
      </c>
      <c r="L216" s="9">
        <v>23</v>
      </c>
      <c r="M216" s="9">
        <v>2010</v>
      </c>
      <c r="O216" s="9" t="str">
        <f t="shared" si="13"/>
        <v>NO</v>
      </c>
      <c r="P216" s="9" t="str">
        <f t="shared" si="14"/>
        <v>NO</v>
      </c>
      <c r="Q216" s="9" t="str">
        <f t="shared" si="15"/>
        <v>Conditioned</v>
      </c>
    </row>
    <row r="217" spans="1:17">
      <c r="A217" s="9">
        <v>10705</v>
      </c>
      <c r="B217" s="9">
        <v>2</v>
      </c>
      <c r="C217" s="9" t="s">
        <v>1792</v>
      </c>
      <c r="D217" s="9" t="s">
        <v>1590</v>
      </c>
      <c r="E217" s="9" t="s">
        <v>1591</v>
      </c>
      <c r="F217" s="9" t="s">
        <v>1589</v>
      </c>
      <c r="G217" s="9" t="s">
        <v>1592</v>
      </c>
      <c r="H217" s="9" t="s">
        <v>1793</v>
      </c>
      <c r="I217" s="9" t="s">
        <v>1794</v>
      </c>
      <c r="J217" s="9" t="s">
        <v>1597</v>
      </c>
      <c r="K217" s="9">
        <v>1</v>
      </c>
      <c r="L217" s="9">
        <v>4</v>
      </c>
      <c r="O217" s="9" t="str">
        <f t="shared" si="13"/>
        <v>YES</v>
      </c>
      <c r="P217" s="9" t="str">
        <f t="shared" si="14"/>
        <v>NO</v>
      </c>
      <c r="Q217" s="9" t="str">
        <f t="shared" si="15"/>
        <v>Conditioned</v>
      </c>
    </row>
    <row r="218" spans="1:17">
      <c r="A218" s="9">
        <v>10705</v>
      </c>
      <c r="B218" s="9">
        <v>3</v>
      </c>
      <c r="C218" s="9" t="s">
        <v>1589</v>
      </c>
      <c r="D218" s="9" t="s">
        <v>1603</v>
      </c>
      <c r="E218" s="9" t="s">
        <v>1591</v>
      </c>
      <c r="F218" s="9" t="s">
        <v>1589</v>
      </c>
      <c r="G218" s="9" t="s">
        <v>1606</v>
      </c>
      <c r="H218" s="9" t="s">
        <v>169</v>
      </c>
      <c r="I218" s="9" t="s">
        <v>1795</v>
      </c>
      <c r="J218" s="9" t="s">
        <v>1605</v>
      </c>
      <c r="K218" s="9">
        <v>1</v>
      </c>
      <c r="L218" s="9">
        <v>14</v>
      </c>
      <c r="M218" s="9">
        <v>2004</v>
      </c>
      <c r="O218" s="9" t="str">
        <f t="shared" si="13"/>
        <v>NO</v>
      </c>
      <c r="P218" s="9" t="str">
        <f t="shared" si="14"/>
        <v>YES</v>
      </c>
      <c r="Q218" s="9" t="str">
        <f t="shared" si="15"/>
        <v>Unconditioned</v>
      </c>
    </row>
    <row r="219" spans="1:17">
      <c r="A219" s="9">
        <v>10709</v>
      </c>
      <c r="B219" s="9">
        <v>1</v>
      </c>
      <c r="C219" s="9" t="s">
        <v>1589</v>
      </c>
      <c r="D219" s="9" t="s">
        <v>1590</v>
      </c>
      <c r="E219" s="9" t="s">
        <v>1613</v>
      </c>
      <c r="F219" s="9" t="s">
        <v>1603</v>
      </c>
      <c r="G219" s="9" t="s">
        <v>1592</v>
      </c>
      <c r="H219" s="9" t="s">
        <v>1638</v>
      </c>
      <c r="I219" s="9" t="s">
        <v>1796</v>
      </c>
      <c r="J219" s="9" t="s">
        <v>1610</v>
      </c>
      <c r="K219" s="9">
        <v>1</v>
      </c>
      <c r="L219" s="9">
        <v>26</v>
      </c>
      <c r="M219" s="9">
        <v>2008</v>
      </c>
      <c r="O219" s="9" t="str">
        <f t="shared" si="13"/>
        <v>NO</v>
      </c>
      <c r="P219" s="9" t="str">
        <f t="shared" si="14"/>
        <v>NO</v>
      </c>
      <c r="Q219" s="9" t="str">
        <f t="shared" si="15"/>
        <v>Conditioned</v>
      </c>
    </row>
    <row r="220" spans="1:17">
      <c r="A220" s="9">
        <v>10709</v>
      </c>
      <c r="B220" s="9">
        <v>2</v>
      </c>
      <c r="C220" s="9" t="s">
        <v>1589</v>
      </c>
      <c r="D220" s="9" t="s">
        <v>1590</v>
      </c>
      <c r="E220" s="9" t="s">
        <v>1613</v>
      </c>
      <c r="F220" s="9" t="s">
        <v>1590</v>
      </c>
      <c r="G220" s="9" t="s">
        <v>1592</v>
      </c>
      <c r="H220" s="9" t="s">
        <v>1638</v>
      </c>
      <c r="I220" s="9" t="s">
        <v>1797</v>
      </c>
      <c r="J220" s="9" t="s">
        <v>1597</v>
      </c>
      <c r="K220" s="9">
        <v>0.75</v>
      </c>
      <c r="L220" s="9">
        <v>18</v>
      </c>
      <c r="M220" s="9">
        <v>2008</v>
      </c>
      <c r="O220" s="9" t="str">
        <f t="shared" si="13"/>
        <v>NO</v>
      </c>
      <c r="P220" s="9" t="str">
        <f t="shared" si="14"/>
        <v>NO</v>
      </c>
      <c r="Q220" s="9" t="str">
        <f t="shared" si="15"/>
        <v>Conditioned</v>
      </c>
    </row>
    <row r="221" spans="1:17">
      <c r="A221" s="9">
        <v>10710</v>
      </c>
      <c r="B221" s="9">
        <v>1</v>
      </c>
      <c r="C221" s="9" t="s">
        <v>1798</v>
      </c>
      <c r="D221" s="9" t="s">
        <v>1590</v>
      </c>
      <c r="E221" s="9" t="s">
        <v>1591</v>
      </c>
      <c r="F221" s="9" t="s">
        <v>1589</v>
      </c>
      <c r="G221" s="9" t="s">
        <v>1592</v>
      </c>
      <c r="H221" s="9" t="s">
        <v>1638</v>
      </c>
      <c r="I221" s="9" t="s">
        <v>1589</v>
      </c>
      <c r="J221" s="9" t="s">
        <v>1608</v>
      </c>
      <c r="K221" s="9">
        <v>1</v>
      </c>
      <c r="L221" s="9">
        <v>25</v>
      </c>
      <c r="O221" s="9" t="str">
        <f t="shared" si="13"/>
        <v>NO</v>
      </c>
      <c r="P221" s="9" t="str">
        <f t="shared" si="14"/>
        <v>NO</v>
      </c>
      <c r="Q221" s="9" t="str">
        <f t="shared" si="15"/>
        <v>Conditioned</v>
      </c>
    </row>
    <row r="222" spans="1:17">
      <c r="A222" s="9">
        <v>10710</v>
      </c>
      <c r="B222" s="9">
        <v>2</v>
      </c>
      <c r="C222" s="9" t="s">
        <v>1589</v>
      </c>
      <c r="D222" s="9" t="s">
        <v>1590</v>
      </c>
      <c r="E222" s="9" t="s">
        <v>1591</v>
      </c>
      <c r="F222" s="9" t="s">
        <v>1589</v>
      </c>
      <c r="G222" s="9" t="s">
        <v>1606</v>
      </c>
      <c r="H222" s="9" t="s">
        <v>1638</v>
      </c>
      <c r="I222" s="9" t="s">
        <v>1799</v>
      </c>
      <c r="J222" s="9" t="s">
        <v>1605</v>
      </c>
      <c r="K222" s="9">
        <v>1</v>
      </c>
      <c r="L222" s="9">
        <v>25</v>
      </c>
      <c r="M222" s="9">
        <v>2011</v>
      </c>
      <c r="O222" s="9" t="str">
        <f t="shared" si="13"/>
        <v>NO</v>
      </c>
      <c r="P222" s="9" t="str">
        <f t="shared" si="14"/>
        <v>YES</v>
      </c>
      <c r="Q222" s="9" t="str">
        <f t="shared" si="15"/>
        <v>Unconditioned</v>
      </c>
    </row>
    <row r="223" spans="1:17">
      <c r="A223" s="9">
        <v>10710</v>
      </c>
      <c r="B223" s="9">
        <v>3</v>
      </c>
      <c r="C223" s="9" t="s">
        <v>1589</v>
      </c>
      <c r="D223" s="9" t="s">
        <v>1590</v>
      </c>
      <c r="E223" s="9" t="s">
        <v>1602</v>
      </c>
      <c r="F223" s="9" t="s">
        <v>1590</v>
      </c>
      <c r="G223" s="9" t="s">
        <v>1606</v>
      </c>
      <c r="H223" s="9" t="s">
        <v>177</v>
      </c>
      <c r="I223" s="9" t="s">
        <v>1800</v>
      </c>
      <c r="J223" s="9" t="s">
        <v>1601</v>
      </c>
      <c r="K223" s="9">
        <v>1</v>
      </c>
      <c r="L223" s="9">
        <v>25</v>
      </c>
      <c r="M223" s="9">
        <v>1989</v>
      </c>
      <c r="O223" s="9" t="str">
        <f t="shared" si="13"/>
        <v>NO</v>
      </c>
      <c r="P223" s="9" t="str">
        <f t="shared" si="14"/>
        <v>NO</v>
      </c>
      <c r="Q223" s="9" t="str">
        <f t="shared" si="15"/>
        <v>Unconditioned</v>
      </c>
    </row>
    <row r="224" spans="1:17">
      <c r="A224" s="9">
        <v>10713</v>
      </c>
      <c r="B224" s="9">
        <v>1</v>
      </c>
      <c r="C224" s="9" t="s">
        <v>1589</v>
      </c>
      <c r="D224" s="9" t="s">
        <v>1590</v>
      </c>
      <c r="E224" s="9" t="s">
        <v>1602</v>
      </c>
      <c r="F224" s="9" t="s">
        <v>1603</v>
      </c>
      <c r="G224" s="9" t="s">
        <v>1606</v>
      </c>
      <c r="H224" s="9" t="s">
        <v>177</v>
      </c>
      <c r="I224" s="9" t="s">
        <v>1801</v>
      </c>
      <c r="J224" s="9" t="s">
        <v>1601</v>
      </c>
      <c r="K224" s="9">
        <v>1</v>
      </c>
      <c r="L224" s="9">
        <v>25</v>
      </c>
      <c r="M224" s="9">
        <v>2003</v>
      </c>
      <c r="O224" s="9" t="str">
        <f t="shared" si="13"/>
        <v>NO</v>
      </c>
      <c r="P224" s="9" t="str">
        <f t="shared" si="14"/>
        <v>NO</v>
      </c>
      <c r="Q224" s="9" t="str">
        <f t="shared" si="15"/>
        <v>Unconditioned</v>
      </c>
    </row>
    <row r="225" spans="1:17">
      <c r="A225" s="9">
        <v>10713</v>
      </c>
      <c r="B225" s="9">
        <v>2</v>
      </c>
      <c r="C225" s="9" t="s">
        <v>1589</v>
      </c>
      <c r="D225" s="9" t="s">
        <v>1590</v>
      </c>
      <c r="E225" s="9" t="s">
        <v>1613</v>
      </c>
      <c r="F225" s="9" t="s">
        <v>1603</v>
      </c>
      <c r="G225" s="9" t="s">
        <v>1592</v>
      </c>
      <c r="H225" s="9" t="s">
        <v>1463</v>
      </c>
      <c r="I225" s="9" t="s">
        <v>1802</v>
      </c>
      <c r="J225" s="9" t="s">
        <v>1608</v>
      </c>
      <c r="K225" s="9">
        <v>1</v>
      </c>
      <c r="L225" s="9">
        <v>25</v>
      </c>
      <c r="M225" s="9">
        <v>1996</v>
      </c>
      <c r="O225" s="9" t="str">
        <f t="shared" si="13"/>
        <v>NO</v>
      </c>
      <c r="P225" s="9" t="str">
        <f t="shared" si="14"/>
        <v>NO</v>
      </c>
      <c r="Q225" s="9" t="str">
        <f t="shared" si="15"/>
        <v>Conditioned</v>
      </c>
    </row>
    <row r="226" spans="1:17">
      <c r="A226" s="9">
        <v>10715</v>
      </c>
      <c r="B226" s="9">
        <v>1</v>
      </c>
      <c r="C226" s="9" t="s">
        <v>1589</v>
      </c>
      <c r="D226" s="9" t="s">
        <v>1590</v>
      </c>
      <c r="E226" s="9" t="s">
        <v>1602</v>
      </c>
      <c r="F226" s="9" t="s">
        <v>1603</v>
      </c>
      <c r="G226" s="9" t="s">
        <v>1592</v>
      </c>
      <c r="H226" s="9" t="s">
        <v>174</v>
      </c>
      <c r="I226" s="9" t="s">
        <v>1803</v>
      </c>
      <c r="J226" s="9" t="s">
        <v>1601</v>
      </c>
      <c r="K226" s="9">
        <v>1</v>
      </c>
      <c r="L226" s="9">
        <v>26</v>
      </c>
      <c r="M226" s="9">
        <v>2010</v>
      </c>
      <c r="O226" s="9" t="str">
        <f t="shared" si="13"/>
        <v>NO</v>
      </c>
      <c r="P226" s="9" t="str">
        <f t="shared" si="14"/>
        <v>NO</v>
      </c>
      <c r="Q226" s="9" t="str">
        <f t="shared" si="15"/>
        <v>Conditioned</v>
      </c>
    </row>
    <row r="227" spans="1:17">
      <c r="A227" s="9">
        <v>10728</v>
      </c>
      <c r="B227" s="9">
        <v>1</v>
      </c>
      <c r="C227" s="9" t="s">
        <v>1589</v>
      </c>
      <c r="D227" s="9" t="s">
        <v>1603</v>
      </c>
      <c r="E227" s="9" t="s">
        <v>1602</v>
      </c>
      <c r="F227" s="9" t="s">
        <v>1603</v>
      </c>
      <c r="G227" s="9" t="s">
        <v>1592</v>
      </c>
      <c r="H227" s="9" t="s">
        <v>177</v>
      </c>
      <c r="I227" s="9" t="s">
        <v>1804</v>
      </c>
      <c r="J227" s="9" t="s">
        <v>1601</v>
      </c>
      <c r="K227" s="9">
        <v>1</v>
      </c>
      <c r="L227" s="9">
        <v>22</v>
      </c>
      <c r="M227" s="9">
        <v>2008</v>
      </c>
      <c r="O227" s="9" t="str">
        <f t="shared" si="13"/>
        <v>NO</v>
      </c>
      <c r="P227" s="9" t="str">
        <f t="shared" si="14"/>
        <v>NO</v>
      </c>
      <c r="Q227" s="9" t="str">
        <f t="shared" si="15"/>
        <v>Conditioned</v>
      </c>
    </row>
    <row r="228" spans="1:17">
      <c r="A228" s="9">
        <v>10728</v>
      </c>
      <c r="B228" s="9">
        <v>2</v>
      </c>
      <c r="C228" s="9" t="s">
        <v>1589</v>
      </c>
      <c r="D228" s="9" t="s">
        <v>1590</v>
      </c>
      <c r="E228" s="9" t="s">
        <v>1591</v>
      </c>
      <c r="F228" s="9" t="s">
        <v>1589</v>
      </c>
      <c r="G228" s="9" t="s">
        <v>1606</v>
      </c>
      <c r="H228" s="9" t="s">
        <v>1805</v>
      </c>
      <c r="I228" s="9" t="s">
        <v>1806</v>
      </c>
      <c r="J228" s="9" t="s">
        <v>1597</v>
      </c>
      <c r="K228" s="9">
        <v>0.75</v>
      </c>
      <c r="L228" s="9">
        <v>18</v>
      </c>
      <c r="M228" s="9">
        <v>1992</v>
      </c>
      <c r="O228" s="9" t="str">
        <f t="shared" si="13"/>
        <v>NO</v>
      </c>
      <c r="P228" s="9" t="str">
        <f t="shared" si="14"/>
        <v>NO</v>
      </c>
      <c r="Q228" s="9" t="str">
        <f t="shared" si="15"/>
        <v>Unconditioned</v>
      </c>
    </row>
    <row r="229" spans="1:17">
      <c r="A229" s="9">
        <v>10733</v>
      </c>
      <c r="B229" s="9">
        <v>1</v>
      </c>
      <c r="C229" s="9" t="s">
        <v>1589</v>
      </c>
      <c r="D229" s="9" t="s">
        <v>1590</v>
      </c>
      <c r="E229" s="9" t="s">
        <v>1591</v>
      </c>
      <c r="F229" s="9" t="s">
        <v>1589</v>
      </c>
      <c r="G229" s="9" t="s">
        <v>1592</v>
      </c>
      <c r="H229" s="9" t="s">
        <v>173</v>
      </c>
      <c r="I229" s="9" t="s">
        <v>1807</v>
      </c>
      <c r="J229" s="9" t="s">
        <v>1608</v>
      </c>
      <c r="K229" s="9">
        <v>1</v>
      </c>
      <c r="L229" s="9">
        <v>18</v>
      </c>
      <c r="M229" s="9">
        <v>1995</v>
      </c>
      <c r="O229" s="9" t="str">
        <f t="shared" si="13"/>
        <v>NO</v>
      </c>
      <c r="P229" s="9" t="str">
        <f t="shared" si="14"/>
        <v>NO</v>
      </c>
      <c r="Q229" s="9" t="str">
        <f t="shared" si="15"/>
        <v>Conditioned</v>
      </c>
    </row>
    <row r="230" spans="1:17">
      <c r="A230" s="9">
        <v>10738</v>
      </c>
      <c r="B230" s="9">
        <v>1</v>
      </c>
      <c r="C230" s="9" t="s">
        <v>1589</v>
      </c>
      <c r="D230" s="9" t="s">
        <v>1590</v>
      </c>
      <c r="E230" s="9" t="s">
        <v>1591</v>
      </c>
      <c r="F230" s="9" t="s">
        <v>1589</v>
      </c>
      <c r="G230" s="9" t="s">
        <v>1592</v>
      </c>
      <c r="H230" s="9" t="s">
        <v>174</v>
      </c>
      <c r="I230" s="9" t="s">
        <v>1808</v>
      </c>
      <c r="J230" s="9" t="s">
        <v>1608</v>
      </c>
      <c r="K230" s="9">
        <v>1</v>
      </c>
      <c r="L230" s="9">
        <v>21</v>
      </c>
      <c r="M230" s="9">
        <v>1994</v>
      </c>
      <c r="O230" s="9" t="str">
        <f t="shared" si="13"/>
        <v>NO</v>
      </c>
      <c r="P230" s="9" t="str">
        <f t="shared" si="14"/>
        <v>NO</v>
      </c>
      <c r="Q230" s="9" t="str">
        <f t="shared" si="15"/>
        <v>Conditioned</v>
      </c>
    </row>
    <row r="231" spans="1:17">
      <c r="A231" s="9">
        <v>10741</v>
      </c>
      <c r="B231" s="9">
        <v>1</v>
      </c>
      <c r="C231" s="9" t="s">
        <v>1589</v>
      </c>
      <c r="D231" s="9" t="s">
        <v>1590</v>
      </c>
      <c r="E231" s="9" t="s">
        <v>1591</v>
      </c>
      <c r="F231" s="9" t="s">
        <v>1589</v>
      </c>
      <c r="G231" s="9" t="s">
        <v>1592</v>
      </c>
      <c r="H231" s="9" t="s">
        <v>177</v>
      </c>
      <c r="I231" s="9" t="s">
        <v>1809</v>
      </c>
      <c r="J231" s="9" t="s">
        <v>1597</v>
      </c>
      <c r="K231" s="9">
        <v>1</v>
      </c>
      <c r="L231" s="9">
        <v>20</v>
      </c>
      <c r="M231" s="9">
        <v>1993</v>
      </c>
      <c r="O231" s="9" t="str">
        <f t="shared" si="13"/>
        <v>NO</v>
      </c>
      <c r="P231" s="9" t="str">
        <f t="shared" si="14"/>
        <v>NO</v>
      </c>
      <c r="Q231" s="9" t="str">
        <f t="shared" si="15"/>
        <v>Conditioned</v>
      </c>
    </row>
    <row r="232" spans="1:17">
      <c r="A232" s="9">
        <v>10752</v>
      </c>
      <c r="B232" s="9">
        <v>1</v>
      </c>
      <c r="C232" s="9" t="s">
        <v>1589</v>
      </c>
      <c r="D232" s="9" t="s">
        <v>1590</v>
      </c>
      <c r="E232" s="9" t="s">
        <v>1591</v>
      </c>
      <c r="F232" s="9" t="s">
        <v>1589</v>
      </c>
      <c r="G232" s="9" t="s">
        <v>1592</v>
      </c>
      <c r="H232" s="9" t="s">
        <v>1463</v>
      </c>
      <c r="I232" s="9" t="s">
        <v>1810</v>
      </c>
      <c r="J232" s="9" t="s">
        <v>1608</v>
      </c>
      <c r="K232" s="9">
        <v>1</v>
      </c>
      <c r="L232" s="9">
        <v>23</v>
      </c>
      <c r="M232" s="9">
        <v>1994</v>
      </c>
      <c r="O232" s="9" t="str">
        <f t="shared" si="13"/>
        <v>NO</v>
      </c>
      <c r="P232" s="9" t="str">
        <f t="shared" si="14"/>
        <v>NO</v>
      </c>
      <c r="Q232" s="9" t="str">
        <f t="shared" si="15"/>
        <v>Conditioned</v>
      </c>
    </row>
    <row r="233" spans="1:17">
      <c r="A233" s="9">
        <v>10752</v>
      </c>
      <c r="B233" s="9">
        <v>2</v>
      </c>
      <c r="C233" s="9" t="s">
        <v>1589</v>
      </c>
      <c r="D233" s="9" t="s">
        <v>1590</v>
      </c>
      <c r="E233" s="9" t="s">
        <v>1591</v>
      </c>
      <c r="F233" s="9" t="s">
        <v>1589</v>
      </c>
      <c r="G233" s="9" t="s">
        <v>1592</v>
      </c>
      <c r="H233" s="9" t="s">
        <v>169</v>
      </c>
      <c r="I233" s="9" t="s">
        <v>1811</v>
      </c>
      <c r="J233" s="9" t="s">
        <v>1597</v>
      </c>
      <c r="K233" s="9">
        <v>1</v>
      </c>
      <c r="L233" s="9">
        <v>18</v>
      </c>
      <c r="M233" s="9">
        <v>2009</v>
      </c>
      <c r="O233" s="9" t="str">
        <f t="shared" si="13"/>
        <v>NO</v>
      </c>
      <c r="P233" s="9" t="str">
        <f t="shared" si="14"/>
        <v>NO</v>
      </c>
      <c r="Q233" s="9" t="str">
        <f t="shared" si="15"/>
        <v>Conditioned</v>
      </c>
    </row>
    <row r="234" spans="1:17">
      <c r="A234" s="9">
        <v>10764</v>
      </c>
      <c r="B234" s="9">
        <v>1</v>
      </c>
      <c r="C234" s="9" t="s">
        <v>1589</v>
      </c>
      <c r="D234" s="9" t="s">
        <v>1590</v>
      </c>
      <c r="E234" s="9" t="s">
        <v>1591</v>
      </c>
      <c r="F234" s="9" t="s">
        <v>1589</v>
      </c>
      <c r="G234" s="9" t="s">
        <v>1592</v>
      </c>
      <c r="H234" s="9" t="s">
        <v>170</v>
      </c>
      <c r="I234" s="9" t="s">
        <v>1812</v>
      </c>
      <c r="J234" s="9" t="s">
        <v>1597</v>
      </c>
      <c r="K234" s="9">
        <v>1</v>
      </c>
      <c r="L234" s="9">
        <v>19</v>
      </c>
      <c r="M234" s="9">
        <v>2005</v>
      </c>
      <c r="O234" s="9" t="str">
        <f t="shared" si="13"/>
        <v>NO</v>
      </c>
      <c r="P234" s="9" t="str">
        <f t="shared" si="14"/>
        <v>NO</v>
      </c>
      <c r="Q234" s="9" t="str">
        <f t="shared" si="15"/>
        <v>Conditioned</v>
      </c>
    </row>
    <row r="235" spans="1:17">
      <c r="A235" s="9">
        <v>10764</v>
      </c>
      <c r="B235" s="9">
        <v>2</v>
      </c>
      <c r="C235" s="9" t="s">
        <v>1813</v>
      </c>
      <c r="D235" s="9" t="s">
        <v>1590</v>
      </c>
      <c r="E235" s="9" t="s">
        <v>1591</v>
      </c>
      <c r="F235" s="9" t="s">
        <v>1589</v>
      </c>
      <c r="G235" s="9" t="s">
        <v>1606</v>
      </c>
      <c r="H235" s="9" t="s">
        <v>170</v>
      </c>
      <c r="I235" s="9" t="s">
        <v>1814</v>
      </c>
      <c r="J235" s="9" t="s">
        <v>1587</v>
      </c>
      <c r="K235" s="9">
        <v>1</v>
      </c>
      <c r="L235" s="9">
        <v>5</v>
      </c>
      <c r="M235" s="9">
        <v>2010</v>
      </c>
      <c r="O235" s="9" t="str">
        <f t="shared" si="13"/>
        <v>YES</v>
      </c>
      <c r="P235" s="9" t="str">
        <f t="shared" si="14"/>
        <v>YES</v>
      </c>
      <c r="Q235" s="9" t="str">
        <f t="shared" si="15"/>
        <v>Unconditioned</v>
      </c>
    </row>
    <row r="236" spans="1:17">
      <c r="A236" s="9">
        <v>10786</v>
      </c>
      <c r="B236" s="9">
        <v>1</v>
      </c>
      <c r="C236" s="9" t="s">
        <v>1589</v>
      </c>
      <c r="D236" s="9" t="s">
        <v>1590</v>
      </c>
      <c r="E236" s="9" t="s">
        <v>1613</v>
      </c>
      <c r="F236" s="9" t="s">
        <v>1603</v>
      </c>
      <c r="G236" s="9" t="s">
        <v>1592</v>
      </c>
      <c r="H236" s="9" t="s">
        <v>177</v>
      </c>
      <c r="I236" s="9" t="s">
        <v>1815</v>
      </c>
      <c r="J236" s="9" t="s">
        <v>1597</v>
      </c>
      <c r="K236" s="9">
        <v>1</v>
      </c>
      <c r="L236" s="9">
        <v>18</v>
      </c>
      <c r="M236" s="9">
        <v>2010</v>
      </c>
      <c r="O236" s="9" t="str">
        <f t="shared" si="13"/>
        <v>NO</v>
      </c>
      <c r="P236" s="9" t="str">
        <f t="shared" si="14"/>
        <v>NO</v>
      </c>
      <c r="Q236" s="9" t="str">
        <f t="shared" si="15"/>
        <v>Conditioned</v>
      </c>
    </row>
    <row r="237" spans="1:17">
      <c r="A237" s="9">
        <v>10795</v>
      </c>
      <c r="B237" s="9">
        <v>1</v>
      </c>
      <c r="C237" s="9" t="s">
        <v>1589</v>
      </c>
      <c r="D237" s="9" t="s">
        <v>1590</v>
      </c>
      <c r="E237" s="9" t="s">
        <v>1602</v>
      </c>
      <c r="F237" s="9" t="s">
        <v>1603</v>
      </c>
      <c r="G237" s="9" t="s">
        <v>1592</v>
      </c>
      <c r="H237" s="9" t="s">
        <v>169</v>
      </c>
      <c r="I237" s="9" t="s">
        <v>1816</v>
      </c>
      <c r="J237" s="9" t="s">
        <v>1601</v>
      </c>
      <c r="K237" s="9">
        <v>1</v>
      </c>
      <c r="L237" s="9">
        <v>26</v>
      </c>
      <c r="M237" s="9">
        <v>2006</v>
      </c>
      <c r="O237" s="9" t="str">
        <f t="shared" si="13"/>
        <v>NO</v>
      </c>
      <c r="P237" s="9" t="str">
        <f t="shared" si="14"/>
        <v>NO</v>
      </c>
      <c r="Q237" s="9" t="str">
        <f t="shared" si="15"/>
        <v>Conditioned</v>
      </c>
    </row>
    <row r="238" spans="1:17">
      <c r="A238" s="9">
        <v>10801</v>
      </c>
      <c r="B238" s="9">
        <v>1</v>
      </c>
      <c r="C238" s="9" t="s">
        <v>1589</v>
      </c>
      <c r="D238" s="9" t="s">
        <v>1590</v>
      </c>
      <c r="E238" s="9" t="s">
        <v>1602</v>
      </c>
      <c r="F238" s="9" t="s">
        <v>1603</v>
      </c>
      <c r="G238" s="9" t="s">
        <v>1592</v>
      </c>
      <c r="H238" s="9" t="s">
        <v>177</v>
      </c>
      <c r="I238" s="9" t="s">
        <v>1817</v>
      </c>
      <c r="J238" s="9" t="s">
        <v>1601</v>
      </c>
      <c r="K238" s="9">
        <v>1</v>
      </c>
      <c r="L238" s="9">
        <v>22</v>
      </c>
      <c r="M238" s="9">
        <v>1999</v>
      </c>
      <c r="O238" s="9" t="str">
        <f t="shared" si="13"/>
        <v>NO</v>
      </c>
      <c r="P238" s="9" t="str">
        <f t="shared" si="14"/>
        <v>NO</v>
      </c>
      <c r="Q238" s="9" t="str">
        <f t="shared" si="15"/>
        <v>Conditioned</v>
      </c>
    </row>
    <row r="239" spans="1:17">
      <c r="A239" s="9">
        <v>10807</v>
      </c>
      <c r="B239" s="9">
        <v>1</v>
      </c>
      <c r="C239" s="9" t="s">
        <v>1589</v>
      </c>
      <c r="D239" s="9" t="s">
        <v>1603</v>
      </c>
      <c r="E239" s="9" t="s">
        <v>1591</v>
      </c>
      <c r="F239" s="9" t="s">
        <v>1589</v>
      </c>
      <c r="G239" s="9" t="s">
        <v>1592</v>
      </c>
      <c r="H239" s="9" t="s">
        <v>177</v>
      </c>
      <c r="I239" s="9" t="s">
        <v>1818</v>
      </c>
      <c r="J239" s="9" t="s">
        <v>1610</v>
      </c>
      <c r="K239" s="9">
        <v>1</v>
      </c>
      <c r="L239" s="9">
        <v>25</v>
      </c>
      <c r="M239" s="9">
        <v>2010</v>
      </c>
      <c r="O239" s="9" t="str">
        <f t="shared" si="13"/>
        <v>NO</v>
      </c>
      <c r="P239" s="9" t="str">
        <f t="shared" si="14"/>
        <v>NO</v>
      </c>
      <c r="Q239" s="9" t="str">
        <f t="shared" si="15"/>
        <v>Conditioned</v>
      </c>
    </row>
    <row r="240" spans="1:17">
      <c r="A240" s="9">
        <v>10807</v>
      </c>
      <c r="B240" s="9">
        <v>2</v>
      </c>
      <c r="C240" s="9" t="s">
        <v>1589</v>
      </c>
      <c r="D240" s="9" t="s">
        <v>1590</v>
      </c>
      <c r="E240" s="9" t="s">
        <v>1591</v>
      </c>
      <c r="F240" s="9" t="s">
        <v>1589</v>
      </c>
      <c r="G240" s="9" t="s">
        <v>1592</v>
      </c>
      <c r="H240" s="9" t="s">
        <v>170</v>
      </c>
      <c r="I240" s="9" t="s">
        <v>1819</v>
      </c>
      <c r="J240" s="9" t="s">
        <v>1605</v>
      </c>
      <c r="K240" s="9">
        <v>1</v>
      </c>
      <c r="L240" s="9">
        <v>17</v>
      </c>
      <c r="M240" s="9">
        <v>1993</v>
      </c>
      <c r="O240" s="9" t="str">
        <f t="shared" si="13"/>
        <v>NO</v>
      </c>
      <c r="P240" s="9" t="str">
        <f t="shared" si="14"/>
        <v>YES</v>
      </c>
      <c r="Q240" s="9" t="str">
        <f t="shared" si="15"/>
        <v>Conditioned</v>
      </c>
    </row>
    <row r="241" spans="1:17">
      <c r="A241" s="9">
        <v>10809</v>
      </c>
      <c r="B241" s="9">
        <v>1</v>
      </c>
      <c r="C241" s="9" t="s">
        <v>1589</v>
      </c>
      <c r="D241" s="9" t="s">
        <v>1590</v>
      </c>
      <c r="E241" s="9" t="s">
        <v>1613</v>
      </c>
      <c r="F241" s="9" t="s">
        <v>1603</v>
      </c>
      <c r="G241" s="9" t="s">
        <v>1592</v>
      </c>
      <c r="H241" s="9" t="s">
        <v>1599</v>
      </c>
      <c r="I241" s="9" t="s">
        <v>1820</v>
      </c>
      <c r="J241" s="9" t="s">
        <v>1608</v>
      </c>
      <c r="K241" s="9">
        <v>1</v>
      </c>
      <c r="L241" s="9">
        <v>21</v>
      </c>
      <c r="M241" s="9">
        <v>2009</v>
      </c>
      <c r="O241" s="9" t="str">
        <f t="shared" si="13"/>
        <v>NO</v>
      </c>
      <c r="P241" s="9" t="str">
        <f t="shared" si="14"/>
        <v>NO</v>
      </c>
      <c r="Q241" s="9" t="str">
        <f t="shared" si="15"/>
        <v>Conditioned</v>
      </c>
    </row>
    <row r="242" spans="1:17">
      <c r="A242" s="9">
        <v>10809</v>
      </c>
      <c r="B242" s="9">
        <v>2</v>
      </c>
      <c r="C242" s="9" t="s">
        <v>1589</v>
      </c>
      <c r="D242" s="9" t="s">
        <v>1590</v>
      </c>
      <c r="E242" s="9" t="s">
        <v>1591</v>
      </c>
      <c r="F242" s="9" t="s">
        <v>1589</v>
      </c>
      <c r="G242" s="9" t="s">
        <v>1606</v>
      </c>
      <c r="H242" s="9" t="s">
        <v>169</v>
      </c>
      <c r="I242" s="9" t="s">
        <v>1589</v>
      </c>
      <c r="J242" s="9" t="s">
        <v>1597</v>
      </c>
      <c r="K242" s="9">
        <v>0.5</v>
      </c>
      <c r="L242" s="9">
        <v>12</v>
      </c>
      <c r="M242" s="9">
        <v>2009</v>
      </c>
      <c r="O242" s="9" t="str">
        <f t="shared" si="13"/>
        <v>NO</v>
      </c>
      <c r="P242" s="9" t="str">
        <f t="shared" si="14"/>
        <v>NO</v>
      </c>
      <c r="Q242" s="9" t="str">
        <f t="shared" si="15"/>
        <v>Unconditioned</v>
      </c>
    </row>
    <row r="243" spans="1:17">
      <c r="A243" s="9">
        <v>10811</v>
      </c>
      <c r="B243" s="9">
        <v>1</v>
      </c>
      <c r="C243" s="9" t="s">
        <v>1589</v>
      </c>
      <c r="D243" s="9" t="s">
        <v>1590</v>
      </c>
      <c r="E243" s="9" t="s">
        <v>1591</v>
      </c>
      <c r="F243" s="9" t="s">
        <v>1589</v>
      </c>
      <c r="G243" s="9" t="s">
        <v>1592</v>
      </c>
      <c r="H243" s="9" t="s">
        <v>1638</v>
      </c>
      <c r="I243" s="9" t="s">
        <v>1821</v>
      </c>
      <c r="J243" s="9" t="s">
        <v>1597</v>
      </c>
      <c r="K243" s="9">
        <v>1</v>
      </c>
      <c r="L243" s="9">
        <v>13</v>
      </c>
      <c r="M243" s="9">
        <v>1999</v>
      </c>
      <c r="O243" s="9" t="str">
        <f t="shared" si="13"/>
        <v>NO</v>
      </c>
      <c r="P243" s="9" t="str">
        <f t="shared" si="14"/>
        <v>NO</v>
      </c>
      <c r="Q243" s="9" t="str">
        <f t="shared" si="15"/>
        <v>Conditioned</v>
      </c>
    </row>
    <row r="244" spans="1:17">
      <c r="A244" s="9">
        <v>10811</v>
      </c>
      <c r="B244" s="9">
        <v>2</v>
      </c>
      <c r="C244" s="9" t="s">
        <v>1589</v>
      </c>
      <c r="D244" s="9" t="s">
        <v>1590</v>
      </c>
      <c r="E244" s="9" t="s">
        <v>1591</v>
      </c>
      <c r="F244" s="9" t="s">
        <v>1589</v>
      </c>
      <c r="G244" s="9" t="s">
        <v>1592</v>
      </c>
      <c r="H244" s="9" t="s">
        <v>170</v>
      </c>
      <c r="I244" s="9" t="s">
        <v>1822</v>
      </c>
      <c r="J244" s="9" t="s">
        <v>1597</v>
      </c>
      <c r="K244" s="9">
        <v>1</v>
      </c>
      <c r="L244" s="9">
        <v>18</v>
      </c>
      <c r="M244" s="9">
        <v>2001</v>
      </c>
      <c r="O244" s="9" t="str">
        <f t="shared" si="13"/>
        <v>NO</v>
      </c>
      <c r="P244" s="9" t="str">
        <f t="shared" si="14"/>
        <v>NO</v>
      </c>
      <c r="Q244" s="9" t="str">
        <f t="shared" si="15"/>
        <v>Conditioned</v>
      </c>
    </row>
    <row r="245" spans="1:17">
      <c r="A245" s="9">
        <v>10822</v>
      </c>
      <c r="B245" s="9">
        <v>1</v>
      </c>
      <c r="C245" s="9" t="s">
        <v>1589</v>
      </c>
      <c r="D245" s="9" t="s">
        <v>1590</v>
      </c>
      <c r="E245" s="9" t="s">
        <v>1591</v>
      </c>
      <c r="F245" s="9" t="s">
        <v>1589</v>
      </c>
      <c r="G245" s="9" t="s">
        <v>1592</v>
      </c>
      <c r="H245" s="9" t="s">
        <v>170</v>
      </c>
      <c r="I245" s="9" t="s">
        <v>1823</v>
      </c>
      <c r="J245" s="9" t="s">
        <v>1597</v>
      </c>
      <c r="K245" s="9">
        <v>1</v>
      </c>
      <c r="L245" s="9">
        <v>18</v>
      </c>
      <c r="M245" s="9">
        <v>2004</v>
      </c>
      <c r="O245" s="9" t="str">
        <f t="shared" si="13"/>
        <v>NO</v>
      </c>
      <c r="P245" s="9" t="str">
        <f t="shared" si="14"/>
        <v>NO</v>
      </c>
      <c r="Q245" s="9" t="str">
        <f t="shared" si="15"/>
        <v>Conditioned</v>
      </c>
    </row>
    <row r="246" spans="1:17">
      <c r="A246" s="9">
        <v>10823</v>
      </c>
      <c r="B246" s="9">
        <v>1</v>
      </c>
      <c r="C246" s="9" t="s">
        <v>1589</v>
      </c>
      <c r="D246" s="9" t="s">
        <v>1590</v>
      </c>
      <c r="E246" s="9" t="s">
        <v>1591</v>
      </c>
      <c r="F246" s="9" t="s">
        <v>1589</v>
      </c>
      <c r="G246" s="9" t="s">
        <v>1592</v>
      </c>
      <c r="H246" s="9" t="s">
        <v>170</v>
      </c>
      <c r="I246" s="9" t="s">
        <v>1824</v>
      </c>
      <c r="J246" s="9" t="s">
        <v>1597</v>
      </c>
      <c r="K246" s="9">
        <v>1</v>
      </c>
      <c r="L246" s="9">
        <v>18</v>
      </c>
      <c r="M246" s="9">
        <v>2011</v>
      </c>
      <c r="O246" s="9" t="str">
        <f t="shared" si="13"/>
        <v>NO</v>
      </c>
      <c r="P246" s="9" t="str">
        <f t="shared" si="14"/>
        <v>NO</v>
      </c>
      <c r="Q246" s="9" t="str">
        <f t="shared" si="15"/>
        <v>Conditioned</v>
      </c>
    </row>
    <row r="247" spans="1:17">
      <c r="A247" s="9">
        <v>10823</v>
      </c>
      <c r="B247" s="9">
        <v>2</v>
      </c>
      <c r="C247" s="9" t="s">
        <v>1589</v>
      </c>
      <c r="D247" s="9" t="s">
        <v>1590</v>
      </c>
      <c r="E247" s="9" t="s">
        <v>1602</v>
      </c>
      <c r="F247" s="9" t="s">
        <v>1603</v>
      </c>
      <c r="G247" s="9" t="s">
        <v>1592</v>
      </c>
      <c r="H247" s="9" t="s">
        <v>1638</v>
      </c>
      <c r="I247" s="9" t="s">
        <v>1825</v>
      </c>
      <c r="J247" s="9" t="s">
        <v>1601</v>
      </c>
      <c r="K247" s="9">
        <v>1</v>
      </c>
      <c r="L247" s="9">
        <v>25</v>
      </c>
      <c r="M247" s="9">
        <v>2004</v>
      </c>
      <c r="O247" s="9" t="str">
        <f t="shared" si="13"/>
        <v>NO</v>
      </c>
      <c r="P247" s="9" t="str">
        <f t="shared" si="14"/>
        <v>NO</v>
      </c>
      <c r="Q247" s="9" t="str">
        <f t="shared" si="15"/>
        <v>Conditioned</v>
      </c>
    </row>
    <row r="248" spans="1:17">
      <c r="A248" s="9">
        <v>10840</v>
      </c>
      <c r="B248" s="9">
        <v>1</v>
      </c>
      <c r="C248" s="9" t="s">
        <v>1589</v>
      </c>
      <c r="D248" s="9" t="s">
        <v>1590</v>
      </c>
      <c r="E248" s="9" t="s">
        <v>1591</v>
      </c>
      <c r="F248" s="9" t="s">
        <v>1589</v>
      </c>
      <c r="G248" s="9" t="s">
        <v>1592</v>
      </c>
      <c r="H248" s="9" t="s">
        <v>173</v>
      </c>
      <c r="I248" s="9" t="s">
        <v>1826</v>
      </c>
      <c r="J248" s="9" t="s">
        <v>1597</v>
      </c>
      <c r="K248" s="9">
        <v>1</v>
      </c>
      <c r="L248" s="9">
        <v>19</v>
      </c>
      <c r="M248" s="9">
        <v>2003</v>
      </c>
      <c r="O248" s="9" t="str">
        <f t="shared" si="13"/>
        <v>NO</v>
      </c>
      <c r="P248" s="9" t="str">
        <f t="shared" si="14"/>
        <v>NO</v>
      </c>
      <c r="Q248" s="9" t="str">
        <f t="shared" si="15"/>
        <v>Conditioned</v>
      </c>
    </row>
    <row r="249" spans="1:17">
      <c r="A249" s="9">
        <v>10843</v>
      </c>
      <c r="B249" s="9">
        <v>1</v>
      </c>
      <c r="C249" s="9" t="s">
        <v>1589</v>
      </c>
      <c r="D249" s="9" t="s">
        <v>1590</v>
      </c>
      <c r="E249" s="9" t="s">
        <v>1602</v>
      </c>
      <c r="F249" s="9" t="s">
        <v>1590</v>
      </c>
      <c r="G249" s="9" t="s">
        <v>1592</v>
      </c>
      <c r="H249" s="9" t="s">
        <v>177</v>
      </c>
      <c r="I249" s="9" t="s">
        <v>1827</v>
      </c>
      <c r="J249" s="9" t="s">
        <v>1601</v>
      </c>
      <c r="K249" s="9">
        <v>1</v>
      </c>
      <c r="L249" s="9">
        <v>22</v>
      </c>
      <c r="M249" s="9">
        <v>2004</v>
      </c>
      <c r="O249" s="9" t="str">
        <f t="shared" si="13"/>
        <v>NO</v>
      </c>
      <c r="P249" s="9" t="str">
        <f t="shared" si="14"/>
        <v>NO</v>
      </c>
      <c r="Q249" s="9" t="str">
        <f t="shared" si="15"/>
        <v>Conditioned</v>
      </c>
    </row>
    <row r="250" spans="1:17">
      <c r="A250" s="9">
        <v>10848</v>
      </c>
      <c r="B250" s="9">
        <v>1</v>
      </c>
      <c r="C250" s="9" t="s">
        <v>1589</v>
      </c>
      <c r="D250" s="9" t="s">
        <v>1590</v>
      </c>
      <c r="E250" s="9" t="s">
        <v>1591</v>
      </c>
      <c r="F250" s="9" t="s">
        <v>1589</v>
      </c>
      <c r="G250" s="9" t="s">
        <v>1592</v>
      </c>
      <c r="H250" s="9" t="s">
        <v>177</v>
      </c>
      <c r="I250" s="9" t="s">
        <v>1828</v>
      </c>
      <c r="J250" s="9" t="s">
        <v>1597</v>
      </c>
      <c r="K250" s="9">
        <v>1</v>
      </c>
      <c r="L250" s="9">
        <v>18</v>
      </c>
      <c r="M250" s="9">
        <v>1997</v>
      </c>
      <c r="O250" s="9" t="str">
        <f t="shared" si="13"/>
        <v>NO</v>
      </c>
      <c r="P250" s="9" t="str">
        <f t="shared" si="14"/>
        <v>NO</v>
      </c>
      <c r="Q250" s="9" t="str">
        <f t="shared" si="15"/>
        <v>Conditioned</v>
      </c>
    </row>
    <row r="251" spans="1:17">
      <c r="A251" s="9">
        <v>10852</v>
      </c>
      <c r="B251" s="9">
        <v>1</v>
      </c>
      <c r="C251" s="9" t="s">
        <v>1589</v>
      </c>
      <c r="D251" s="9" t="s">
        <v>1590</v>
      </c>
      <c r="E251" s="9" t="s">
        <v>1591</v>
      </c>
      <c r="F251" s="9" t="s">
        <v>1589</v>
      </c>
      <c r="G251" s="9" t="s">
        <v>1592</v>
      </c>
      <c r="H251" s="9" t="s">
        <v>1624</v>
      </c>
      <c r="I251" s="9" t="s">
        <v>1829</v>
      </c>
      <c r="J251" s="9" t="s">
        <v>1608</v>
      </c>
      <c r="K251" s="9">
        <v>1</v>
      </c>
      <c r="L251" s="9">
        <v>20</v>
      </c>
      <c r="M251" s="9">
        <v>2003</v>
      </c>
      <c r="O251" s="9" t="str">
        <f t="shared" si="13"/>
        <v>NO</v>
      </c>
      <c r="P251" s="9" t="str">
        <f t="shared" si="14"/>
        <v>NO</v>
      </c>
      <c r="Q251" s="9" t="str">
        <f t="shared" si="15"/>
        <v>Conditioned</v>
      </c>
    </row>
    <row r="252" spans="1:17">
      <c r="A252" s="9">
        <v>10852</v>
      </c>
      <c r="B252" s="9">
        <v>2</v>
      </c>
      <c r="C252" s="9" t="s">
        <v>1589</v>
      </c>
      <c r="D252" s="9" t="s">
        <v>1590</v>
      </c>
      <c r="E252" s="9" t="s">
        <v>1591</v>
      </c>
      <c r="F252" s="9" t="s">
        <v>1589</v>
      </c>
      <c r="G252" s="9" t="s">
        <v>1592</v>
      </c>
      <c r="H252" s="9" t="s">
        <v>173</v>
      </c>
      <c r="I252" s="9" t="s">
        <v>1589</v>
      </c>
      <c r="J252" s="9" t="s">
        <v>1587</v>
      </c>
      <c r="K252" s="9">
        <v>1</v>
      </c>
      <c r="L252" s="9">
        <v>8</v>
      </c>
      <c r="O252" s="9" t="str">
        <f t="shared" si="13"/>
        <v>NO</v>
      </c>
      <c r="P252" s="9" t="str">
        <f t="shared" si="14"/>
        <v>YES</v>
      </c>
      <c r="Q252" s="9" t="str">
        <f t="shared" si="15"/>
        <v>Conditioned</v>
      </c>
    </row>
    <row r="253" spans="1:17">
      <c r="A253" s="9">
        <v>10866</v>
      </c>
      <c r="B253" s="9">
        <v>1</v>
      </c>
      <c r="C253" s="9" t="s">
        <v>1589</v>
      </c>
      <c r="D253" s="9" t="s">
        <v>1590</v>
      </c>
      <c r="E253" s="9" t="s">
        <v>1602</v>
      </c>
      <c r="F253" s="9" t="s">
        <v>1603</v>
      </c>
      <c r="G253" s="9" t="s">
        <v>1592</v>
      </c>
      <c r="H253" s="9" t="s">
        <v>173</v>
      </c>
      <c r="I253" s="9" t="s">
        <v>1830</v>
      </c>
      <c r="J253" s="9" t="s">
        <v>1601</v>
      </c>
      <c r="K253" s="9">
        <v>1</v>
      </c>
      <c r="L253" s="9">
        <v>23</v>
      </c>
      <c r="M253" s="9">
        <v>2005</v>
      </c>
      <c r="O253" s="9" t="str">
        <f t="shared" si="13"/>
        <v>NO</v>
      </c>
      <c r="P253" s="9" t="str">
        <f t="shared" si="14"/>
        <v>NO</v>
      </c>
      <c r="Q253" s="9" t="str">
        <f t="shared" si="15"/>
        <v>Conditioned</v>
      </c>
    </row>
    <row r="254" spans="1:17">
      <c r="A254" s="9">
        <v>10866</v>
      </c>
      <c r="B254" s="9">
        <v>2</v>
      </c>
      <c r="C254" s="9" t="s">
        <v>1589</v>
      </c>
      <c r="D254" s="9" t="s">
        <v>1590</v>
      </c>
      <c r="E254" s="9" t="s">
        <v>1591</v>
      </c>
      <c r="F254" s="9" t="s">
        <v>1589</v>
      </c>
      <c r="G254" s="9" t="s">
        <v>1592</v>
      </c>
      <c r="H254" s="9" t="s">
        <v>174</v>
      </c>
      <c r="I254" s="9" t="s">
        <v>1831</v>
      </c>
      <c r="J254" s="9" t="s">
        <v>1612</v>
      </c>
      <c r="K254" s="9">
        <v>1</v>
      </c>
      <c r="L254" s="9">
        <v>10</v>
      </c>
      <c r="M254" s="9">
        <v>1999</v>
      </c>
      <c r="O254" s="9" t="str">
        <f t="shared" si="13"/>
        <v>NO</v>
      </c>
      <c r="P254" s="9" t="str">
        <f t="shared" si="14"/>
        <v>NO</v>
      </c>
      <c r="Q254" s="9" t="str">
        <f t="shared" si="15"/>
        <v>Conditioned</v>
      </c>
    </row>
    <row r="255" spans="1:17">
      <c r="A255" s="9">
        <v>10887</v>
      </c>
      <c r="B255" s="9">
        <v>1</v>
      </c>
      <c r="C255" s="9" t="s">
        <v>1589</v>
      </c>
      <c r="D255" s="9" t="s">
        <v>1590</v>
      </c>
      <c r="E255" s="9" t="s">
        <v>1591</v>
      </c>
      <c r="F255" s="9" t="s">
        <v>1589</v>
      </c>
      <c r="G255" s="9" t="s">
        <v>1592</v>
      </c>
      <c r="H255" s="9" t="s">
        <v>170</v>
      </c>
      <c r="I255" s="9" t="s">
        <v>1832</v>
      </c>
      <c r="J255" s="9" t="s">
        <v>1601</v>
      </c>
      <c r="K255" s="9">
        <v>1</v>
      </c>
      <c r="L255" s="9">
        <v>22</v>
      </c>
      <c r="M255" s="9">
        <v>2006</v>
      </c>
      <c r="O255" s="9" t="str">
        <f t="shared" si="13"/>
        <v>NO</v>
      </c>
      <c r="P255" s="9" t="str">
        <f t="shared" si="14"/>
        <v>NO</v>
      </c>
      <c r="Q255" s="9" t="str">
        <f t="shared" si="15"/>
        <v>Conditioned</v>
      </c>
    </row>
    <row r="256" spans="1:17">
      <c r="A256" s="9">
        <v>10895</v>
      </c>
      <c r="B256" s="9">
        <v>1</v>
      </c>
      <c r="C256" s="9" t="s">
        <v>1589</v>
      </c>
      <c r="D256" s="9" t="s">
        <v>1590</v>
      </c>
      <c r="E256" s="9" t="s">
        <v>1591</v>
      </c>
      <c r="F256" s="9" t="s">
        <v>1589</v>
      </c>
      <c r="G256" s="9" t="s">
        <v>1592</v>
      </c>
      <c r="H256" s="9" t="s">
        <v>1638</v>
      </c>
      <c r="I256" s="9" t="s">
        <v>1833</v>
      </c>
      <c r="J256" s="9" t="s">
        <v>1597</v>
      </c>
      <c r="K256" s="9">
        <v>1</v>
      </c>
      <c r="L256" s="9">
        <v>18</v>
      </c>
      <c r="M256" s="9">
        <v>2003</v>
      </c>
      <c r="O256" s="9" t="str">
        <f t="shared" si="13"/>
        <v>NO</v>
      </c>
      <c r="P256" s="9" t="str">
        <f t="shared" si="14"/>
        <v>NO</v>
      </c>
      <c r="Q256" s="9" t="str">
        <f t="shared" si="15"/>
        <v>Conditioned</v>
      </c>
    </row>
    <row r="257" spans="1:17">
      <c r="A257" s="9">
        <v>10895</v>
      </c>
      <c r="B257" s="9">
        <v>2</v>
      </c>
      <c r="C257" s="9" t="s">
        <v>1589</v>
      </c>
      <c r="D257" s="9" t="s">
        <v>1590</v>
      </c>
      <c r="E257" s="9" t="s">
        <v>1591</v>
      </c>
      <c r="F257" s="9" t="s">
        <v>1589</v>
      </c>
      <c r="G257" s="9" t="s">
        <v>1592</v>
      </c>
      <c r="H257" s="9" t="s">
        <v>173</v>
      </c>
      <c r="I257" s="9" t="s">
        <v>1834</v>
      </c>
      <c r="J257" s="9" t="s">
        <v>1605</v>
      </c>
      <c r="K257" s="9">
        <v>1</v>
      </c>
      <c r="L257" s="9">
        <v>15</v>
      </c>
      <c r="M257" s="9">
        <v>1985</v>
      </c>
      <c r="O257" s="9" t="str">
        <f t="shared" si="13"/>
        <v>NO</v>
      </c>
      <c r="P257" s="9" t="str">
        <f t="shared" si="14"/>
        <v>YES</v>
      </c>
      <c r="Q257" s="9" t="str">
        <f t="shared" si="15"/>
        <v>Conditioned</v>
      </c>
    </row>
    <row r="258" spans="1:17">
      <c r="A258" s="9">
        <v>10911</v>
      </c>
      <c r="B258" s="9">
        <v>1</v>
      </c>
      <c r="C258" s="9" t="s">
        <v>1589</v>
      </c>
      <c r="D258" s="9" t="s">
        <v>1590</v>
      </c>
      <c r="E258" s="9" t="s">
        <v>1591</v>
      </c>
      <c r="F258" s="9" t="s">
        <v>1589</v>
      </c>
      <c r="G258" s="9" t="s">
        <v>1592</v>
      </c>
      <c r="H258" s="9" t="s">
        <v>1638</v>
      </c>
      <c r="I258" s="9" t="s">
        <v>1835</v>
      </c>
      <c r="J258" s="9" t="s">
        <v>1597</v>
      </c>
      <c r="K258" s="9">
        <v>1</v>
      </c>
      <c r="L258" s="9">
        <v>21</v>
      </c>
      <c r="M258" s="9">
        <v>1997</v>
      </c>
      <c r="O258" s="9" t="str">
        <f t="shared" si="13"/>
        <v>NO</v>
      </c>
      <c r="P258" s="9" t="str">
        <f t="shared" si="14"/>
        <v>NO</v>
      </c>
      <c r="Q258" s="9" t="str">
        <f t="shared" si="15"/>
        <v>Conditioned</v>
      </c>
    </row>
    <row r="259" spans="1:17">
      <c r="A259" s="9">
        <v>10915</v>
      </c>
      <c r="B259" s="9">
        <v>1</v>
      </c>
      <c r="C259" s="9" t="s">
        <v>1589</v>
      </c>
      <c r="D259" s="9" t="s">
        <v>1590</v>
      </c>
      <c r="E259" s="9" t="s">
        <v>1602</v>
      </c>
      <c r="F259" s="9" t="s">
        <v>1590</v>
      </c>
      <c r="G259" s="9" t="s">
        <v>1592</v>
      </c>
      <c r="H259" s="9" t="s">
        <v>170</v>
      </c>
      <c r="I259" s="9" t="s">
        <v>1836</v>
      </c>
      <c r="J259" s="9" t="s">
        <v>1601</v>
      </c>
      <c r="K259" s="9">
        <v>1</v>
      </c>
      <c r="L259" s="9">
        <v>24</v>
      </c>
      <c r="M259" s="9">
        <v>1991</v>
      </c>
      <c r="O259" s="9" t="str">
        <f t="shared" si="13"/>
        <v>NO</v>
      </c>
      <c r="P259" s="9" t="str">
        <f t="shared" si="14"/>
        <v>NO</v>
      </c>
      <c r="Q259" s="9" t="str">
        <f t="shared" si="15"/>
        <v>Conditioned</v>
      </c>
    </row>
    <row r="260" spans="1:17">
      <c r="A260" s="9">
        <v>10927</v>
      </c>
      <c r="B260" s="9">
        <v>1</v>
      </c>
      <c r="C260" s="9" t="s">
        <v>1589</v>
      </c>
      <c r="D260" s="9" t="s">
        <v>1590</v>
      </c>
      <c r="E260" s="9" t="s">
        <v>1591</v>
      </c>
      <c r="F260" s="9" t="s">
        <v>1589</v>
      </c>
      <c r="G260" s="9" t="s">
        <v>1592</v>
      </c>
      <c r="H260" s="9" t="s">
        <v>174</v>
      </c>
      <c r="I260" s="9" t="s">
        <v>1837</v>
      </c>
      <c r="J260" s="9" t="s">
        <v>1597</v>
      </c>
      <c r="K260" s="9">
        <v>1</v>
      </c>
      <c r="L260" s="9">
        <v>18</v>
      </c>
      <c r="M260" s="9">
        <v>1999</v>
      </c>
      <c r="O260" s="9" t="str">
        <f t="shared" si="13"/>
        <v>NO</v>
      </c>
      <c r="P260" s="9" t="str">
        <f t="shared" si="14"/>
        <v>NO</v>
      </c>
      <c r="Q260" s="9" t="str">
        <f t="shared" si="15"/>
        <v>Conditioned</v>
      </c>
    </row>
    <row r="261" spans="1:17">
      <c r="A261" s="9">
        <v>10927</v>
      </c>
      <c r="B261" s="9">
        <v>2</v>
      </c>
      <c r="C261" s="9" t="s">
        <v>1589</v>
      </c>
      <c r="D261" s="9" t="s">
        <v>1590</v>
      </c>
      <c r="E261" s="9" t="s">
        <v>1591</v>
      </c>
      <c r="F261" s="9" t="s">
        <v>1589</v>
      </c>
      <c r="G261" s="9" t="s">
        <v>1592</v>
      </c>
      <c r="H261" s="9" t="s">
        <v>173</v>
      </c>
      <c r="I261" s="9" t="s">
        <v>1838</v>
      </c>
      <c r="J261" s="9" t="s">
        <v>1587</v>
      </c>
      <c r="K261" s="9">
        <v>1</v>
      </c>
      <c r="L261" s="9">
        <v>10</v>
      </c>
      <c r="M261" s="9">
        <v>2009</v>
      </c>
      <c r="O261" s="9" t="str">
        <f t="shared" si="13"/>
        <v>NO</v>
      </c>
      <c r="P261" s="9" t="str">
        <f t="shared" si="14"/>
        <v>YES</v>
      </c>
      <c r="Q261" s="9" t="str">
        <f t="shared" si="15"/>
        <v>Conditioned</v>
      </c>
    </row>
    <row r="262" spans="1:17">
      <c r="A262" s="9">
        <v>10946</v>
      </c>
      <c r="B262" s="9">
        <v>1</v>
      </c>
      <c r="C262" s="9" t="s">
        <v>1589</v>
      </c>
      <c r="D262" s="9" t="s">
        <v>1590</v>
      </c>
      <c r="E262" s="9" t="s">
        <v>1613</v>
      </c>
      <c r="F262" s="9" t="s">
        <v>1603</v>
      </c>
      <c r="G262" s="9" t="s">
        <v>1592</v>
      </c>
      <c r="H262" s="9" t="s">
        <v>1463</v>
      </c>
      <c r="I262" s="9" t="s">
        <v>1839</v>
      </c>
      <c r="J262" s="9" t="s">
        <v>1601</v>
      </c>
      <c r="K262" s="9">
        <v>1</v>
      </c>
      <c r="L262" s="9">
        <v>29</v>
      </c>
      <c r="M262" s="9">
        <v>2000</v>
      </c>
      <c r="O262" s="9" t="str">
        <f t="shared" si="13"/>
        <v>NO</v>
      </c>
      <c r="P262" s="9" t="str">
        <f t="shared" si="14"/>
        <v>NO</v>
      </c>
      <c r="Q262" s="9" t="str">
        <f t="shared" si="15"/>
        <v>Conditioned</v>
      </c>
    </row>
    <row r="263" spans="1:17">
      <c r="A263" s="9">
        <v>10948</v>
      </c>
      <c r="B263" s="9">
        <v>1</v>
      </c>
      <c r="C263" s="9" t="s">
        <v>1589</v>
      </c>
      <c r="D263" s="9" t="s">
        <v>1590</v>
      </c>
      <c r="E263" s="9" t="s">
        <v>1591</v>
      </c>
      <c r="F263" s="9" t="s">
        <v>1589</v>
      </c>
      <c r="G263" s="9" t="s">
        <v>1592</v>
      </c>
      <c r="H263" s="9" t="s">
        <v>174</v>
      </c>
      <c r="I263" s="9" t="s">
        <v>1840</v>
      </c>
      <c r="J263" s="9" t="s">
        <v>1597</v>
      </c>
      <c r="K263" s="9">
        <v>1</v>
      </c>
      <c r="L263" s="9">
        <v>18</v>
      </c>
      <c r="M263" s="9">
        <v>1993</v>
      </c>
      <c r="O263" s="9" t="str">
        <f t="shared" si="13"/>
        <v>NO</v>
      </c>
      <c r="P263" s="9" t="str">
        <f t="shared" si="14"/>
        <v>NO</v>
      </c>
      <c r="Q263" s="9" t="str">
        <f t="shared" si="15"/>
        <v>Conditioned</v>
      </c>
    </row>
    <row r="264" spans="1:17">
      <c r="A264" s="9">
        <v>10951</v>
      </c>
      <c r="B264" s="9">
        <v>1</v>
      </c>
      <c r="C264" s="9" t="s">
        <v>1589</v>
      </c>
      <c r="D264" s="9" t="s">
        <v>1590</v>
      </c>
      <c r="E264" s="9" t="s">
        <v>1613</v>
      </c>
      <c r="F264" s="9" t="s">
        <v>1603</v>
      </c>
      <c r="G264" s="9" t="s">
        <v>1592</v>
      </c>
      <c r="H264" s="9" t="s">
        <v>174</v>
      </c>
      <c r="I264" s="9" t="s">
        <v>1684</v>
      </c>
      <c r="J264" s="9" t="s">
        <v>1608</v>
      </c>
      <c r="K264" s="9">
        <v>1</v>
      </c>
      <c r="L264" s="9">
        <v>25</v>
      </c>
      <c r="O264" s="9" t="str">
        <f t="shared" si="13"/>
        <v>NO</v>
      </c>
      <c r="P264" s="9" t="str">
        <f t="shared" si="14"/>
        <v>NO</v>
      </c>
      <c r="Q264" s="9" t="str">
        <f t="shared" si="15"/>
        <v>Conditioned</v>
      </c>
    </row>
    <row r="265" spans="1:17">
      <c r="A265" s="9">
        <v>10951</v>
      </c>
      <c r="B265" s="9">
        <v>2</v>
      </c>
      <c r="C265" s="9" t="s">
        <v>1589</v>
      </c>
      <c r="D265" s="9" t="s">
        <v>1590</v>
      </c>
      <c r="E265" s="9" t="s">
        <v>1591</v>
      </c>
      <c r="F265" s="9" t="s">
        <v>1589</v>
      </c>
      <c r="G265" s="9" t="s">
        <v>1606</v>
      </c>
      <c r="H265" s="9" t="s">
        <v>170</v>
      </c>
      <c r="I265" s="9" t="s">
        <v>1841</v>
      </c>
      <c r="J265" s="9" t="s">
        <v>1587</v>
      </c>
      <c r="K265" s="9">
        <v>1</v>
      </c>
      <c r="L265" s="9">
        <v>17</v>
      </c>
      <c r="M265" s="9">
        <v>1996</v>
      </c>
      <c r="O265" s="9" t="str">
        <f t="shared" si="13"/>
        <v>NO</v>
      </c>
      <c r="P265" s="9" t="str">
        <f t="shared" si="14"/>
        <v>YES</v>
      </c>
      <c r="Q265" s="9" t="str">
        <f t="shared" si="15"/>
        <v>Unconditioned</v>
      </c>
    </row>
    <row r="266" spans="1:17">
      <c r="A266" s="9">
        <v>10965</v>
      </c>
      <c r="B266" s="9">
        <v>1</v>
      </c>
      <c r="C266" s="9" t="s">
        <v>1589</v>
      </c>
      <c r="D266" s="9" t="s">
        <v>1590</v>
      </c>
      <c r="E266" s="9" t="s">
        <v>1591</v>
      </c>
      <c r="F266" s="9" t="s">
        <v>1589</v>
      </c>
      <c r="G266" s="9" t="s">
        <v>1592</v>
      </c>
      <c r="H266" s="9" t="s">
        <v>1638</v>
      </c>
      <c r="I266" s="9" t="s">
        <v>1842</v>
      </c>
      <c r="J266" s="9" t="s">
        <v>1597</v>
      </c>
      <c r="K266" s="9">
        <v>1</v>
      </c>
      <c r="L266" s="9">
        <v>18</v>
      </c>
      <c r="M266" s="9">
        <v>2004</v>
      </c>
      <c r="O266" s="9" t="str">
        <f t="shared" si="13"/>
        <v>NO</v>
      </c>
      <c r="P266" s="9" t="str">
        <f t="shared" si="14"/>
        <v>NO</v>
      </c>
      <c r="Q266" s="9" t="str">
        <f t="shared" si="15"/>
        <v>Conditioned</v>
      </c>
    </row>
    <row r="267" spans="1:17">
      <c r="A267" s="9">
        <v>10978</v>
      </c>
      <c r="B267" s="9">
        <v>1</v>
      </c>
      <c r="C267" s="9" t="s">
        <v>1589</v>
      </c>
      <c r="D267" s="9" t="s">
        <v>1590</v>
      </c>
      <c r="E267" s="9" t="s">
        <v>1591</v>
      </c>
      <c r="F267" s="9" t="s">
        <v>1589</v>
      </c>
      <c r="G267" s="9" t="s">
        <v>1592</v>
      </c>
      <c r="H267" s="9" t="s">
        <v>1638</v>
      </c>
      <c r="I267" s="9" t="s">
        <v>1843</v>
      </c>
      <c r="J267" s="9" t="s">
        <v>1597</v>
      </c>
      <c r="K267" s="9">
        <v>1</v>
      </c>
      <c r="L267" s="9">
        <v>18</v>
      </c>
      <c r="M267" s="9">
        <v>2005</v>
      </c>
      <c r="O267" s="9" t="str">
        <f t="shared" si="13"/>
        <v>NO</v>
      </c>
      <c r="P267" s="9" t="str">
        <f t="shared" si="14"/>
        <v>NO</v>
      </c>
      <c r="Q267" s="9" t="str">
        <f t="shared" si="15"/>
        <v>Conditioned</v>
      </c>
    </row>
    <row r="268" spans="1:17">
      <c r="A268" s="9">
        <v>10986</v>
      </c>
      <c r="B268" s="9">
        <v>1</v>
      </c>
      <c r="C268" s="9" t="s">
        <v>1589</v>
      </c>
      <c r="D268" s="9" t="s">
        <v>1590</v>
      </c>
      <c r="E268" s="9" t="s">
        <v>1591</v>
      </c>
      <c r="F268" s="9" t="s">
        <v>1589</v>
      </c>
      <c r="G268" s="9" t="s">
        <v>1606</v>
      </c>
      <c r="H268" s="9" t="s">
        <v>1766</v>
      </c>
      <c r="I268" s="9" t="s">
        <v>1589</v>
      </c>
      <c r="J268" s="9" t="s">
        <v>1605</v>
      </c>
      <c r="K268" s="9">
        <v>1</v>
      </c>
      <c r="L268" s="9">
        <v>20</v>
      </c>
      <c r="M268" s="9">
        <v>1996</v>
      </c>
      <c r="O268" s="9" t="str">
        <f t="shared" si="13"/>
        <v>NO</v>
      </c>
      <c r="P268" s="9" t="str">
        <f t="shared" si="14"/>
        <v>YES</v>
      </c>
      <c r="Q268" s="9" t="str">
        <f t="shared" si="15"/>
        <v>Unconditioned</v>
      </c>
    </row>
    <row r="269" spans="1:17">
      <c r="A269" s="9">
        <v>10986</v>
      </c>
      <c r="B269" s="9">
        <v>2</v>
      </c>
      <c r="C269" s="9" t="s">
        <v>1589</v>
      </c>
      <c r="D269" s="9" t="s">
        <v>1590</v>
      </c>
      <c r="E269" s="9" t="s">
        <v>1602</v>
      </c>
      <c r="F269" s="9" t="s">
        <v>1590</v>
      </c>
      <c r="G269" s="9" t="s">
        <v>1592</v>
      </c>
      <c r="H269" s="9" t="s">
        <v>170</v>
      </c>
      <c r="I269" s="9" t="s">
        <v>1844</v>
      </c>
      <c r="J269" s="9" t="s">
        <v>1601</v>
      </c>
      <c r="K269" s="9">
        <v>1</v>
      </c>
      <c r="L269" s="9">
        <v>20</v>
      </c>
      <c r="M269" s="9">
        <v>2000</v>
      </c>
      <c r="O269" s="9" t="str">
        <f t="shared" si="13"/>
        <v>NO</v>
      </c>
      <c r="P269" s="9" t="str">
        <f t="shared" si="14"/>
        <v>NO</v>
      </c>
      <c r="Q269" s="9" t="str">
        <f t="shared" si="15"/>
        <v>Conditioned</v>
      </c>
    </row>
    <row r="270" spans="1:17">
      <c r="A270" s="9">
        <v>10990</v>
      </c>
      <c r="B270" s="9">
        <v>1</v>
      </c>
      <c r="C270" s="9" t="s">
        <v>1589</v>
      </c>
      <c r="D270" s="9" t="s">
        <v>1590</v>
      </c>
      <c r="E270" s="9" t="s">
        <v>1602</v>
      </c>
      <c r="F270" s="9" t="s">
        <v>1603</v>
      </c>
      <c r="G270" s="9" t="s">
        <v>1592</v>
      </c>
      <c r="H270" s="9" t="s">
        <v>1638</v>
      </c>
      <c r="I270" s="9" t="s">
        <v>1845</v>
      </c>
      <c r="J270" s="9" t="s">
        <v>1601</v>
      </c>
      <c r="K270" s="9">
        <v>1</v>
      </c>
      <c r="L270" s="9">
        <v>20</v>
      </c>
      <c r="M270" s="9">
        <v>2010</v>
      </c>
      <c r="O270" s="9" t="str">
        <f t="shared" si="13"/>
        <v>NO</v>
      </c>
      <c r="P270" s="9" t="str">
        <f t="shared" si="14"/>
        <v>NO</v>
      </c>
      <c r="Q270" s="9" t="str">
        <f t="shared" si="15"/>
        <v>Conditioned</v>
      </c>
    </row>
    <row r="271" spans="1:17">
      <c r="A271" s="9">
        <v>10990</v>
      </c>
      <c r="B271" s="9">
        <v>2</v>
      </c>
      <c r="C271" s="9" t="s">
        <v>1589</v>
      </c>
      <c r="D271" s="9" t="s">
        <v>1590</v>
      </c>
      <c r="E271" s="9" t="s">
        <v>1591</v>
      </c>
      <c r="F271" s="9" t="s">
        <v>1589</v>
      </c>
      <c r="G271" s="9" t="s">
        <v>1592</v>
      </c>
      <c r="H271" s="9" t="s">
        <v>170</v>
      </c>
      <c r="I271" s="9" t="s">
        <v>1633</v>
      </c>
      <c r="J271" s="9" t="s">
        <v>1605</v>
      </c>
      <c r="K271" s="9">
        <v>1</v>
      </c>
      <c r="L271" s="9">
        <v>12</v>
      </c>
      <c r="M271" s="9">
        <v>1994</v>
      </c>
      <c r="O271" s="9" t="str">
        <f t="shared" si="13"/>
        <v>NO</v>
      </c>
      <c r="P271" s="9" t="str">
        <f t="shared" si="14"/>
        <v>YES</v>
      </c>
      <c r="Q271" s="9" t="str">
        <f t="shared" si="15"/>
        <v>Conditioned</v>
      </c>
    </row>
    <row r="272" spans="1:17">
      <c r="A272" s="9">
        <v>10995</v>
      </c>
      <c r="B272" s="9">
        <v>1</v>
      </c>
      <c r="C272" s="9" t="s">
        <v>1589</v>
      </c>
      <c r="D272" s="9" t="s">
        <v>1590</v>
      </c>
      <c r="E272" s="9" t="s">
        <v>1591</v>
      </c>
      <c r="F272" s="9" t="s">
        <v>1589</v>
      </c>
      <c r="G272" s="9" t="s">
        <v>1592</v>
      </c>
      <c r="H272" s="9" t="s">
        <v>1638</v>
      </c>
      <c r="I272" s="9" t="s">
        <v>1846</v>
      </c>
      <c r="J272" s="9" t="s">
        <v>1597</v>
      </c>
      <c r="K272" s="9">
        <v>1</v>
      </c>
      <c r="L272" s="9">
        <v>17</v>
      </c>
      <c r="M272" s="9">
        <v>2004</v>
      </c>
      <c r="O272" s="9" t="str">
        <f t="shared" si="13"/>
        <v>NO</v>
      </c>
      <c r="P272" s="9" t="str">
        <f t="shared" si="14"/>
        <v>NO</v>
      </c>
      <c r="Q272" s="9" t="str">
        <f t="shared" si="15"/>
        <v>Conditioned</v>
      </c>
    </row>
    <row r="273" spans="1:17">
      <c r="A273" s="9">
        <v>10995</v>
      </c>
      <c r="B273" s="9">
        <v>2</v>
      </c>
      <c r="C273" s="9" t="s">
        <v>1589</v>
      </c>
      <c r="D273" s="9" t="s">
        <v>1590</v>
      </c>
      <c r="E273" s="9" t="s">
        <v>1591</v>
      </c>
      <c r="F273" s="9" t="s">
        <v>1589</v>
      </c>
      <c r="G273" s="9" t="s">
        <v>1592</v>
      </c>
      <c r="H273" s="9" t="s">
        <v>169</v>
      </c>
      <c r="I273" s="9" t="s">
        <v>1589</v>
      </c>
      <c r="J273" s="9" t="s">
        <v>1587</v>
      </c>
      <c r="K273" s="9">
        <v>1</v>
      </c>
      <c r="L273" s="9">
        <v>12</v>
      </c>
      <c r="O273" s="9" t="str">
        <f t="shared" si="13"/>
        <v>NO</v>
      </c>
      <c r="P273" s="9" t="str">
        <f t="shared" si="14"/>
        <v>YES</v>
      </c>
      <c r="Q273" s="9" t="str">
        <f t="shared" si="15"/>
        <v>Conditioned</v>
      </c>
    </row>
    <row r="274" spans="1:17">
      <c r="A274" s="9">
        <v>11003</v>
      </c>
      <c r="B274" s="9">
        <v>1</v>
      </c>
      <c r="C274" s="9" t="s">
        <v>1589</v>
      </c>
      <c r="D274" s="9" t="s">
        <v>1590</v>
      </c>
      <c r="E274" s="9" t="s">
        <v>1591</v>
      </c>
      <c r="F274" s="9" t="s">
        <v>1589</v>
      </c>
      <c r="G274" s="9" t="s">
        <v>1592</v>
      </c>
      <c r="H274" s="9" t="s">
        <v>177</v>
      </c>
      <c r="I274" s="9" t="s">
        <v>1847</v>
      </c>
      <c r="J274" s="9" t="s">
        <v>1597</v>
      </c>
      <c r="K274" s="9">
        <v>1</v>
      </c>
      <c r="L274" s="9">
        <v>18</v>
      </c>
      <c r="M274" s="9">
        <v>1990</v>
      </c>
      <c r="O274" s="9" t="str">
        <f t="shared" si="13"/>
        <v>NO</v>
      </c>
      <c r="P274" s="9" t="str">
        <f t="shared" si="14"/>
        <v>NO</v>
      </c>
      <c r="Q274" s="9" t="str">
        <f t="shared" si="15"/>
        <v>Conditioned</v>
      </c>
    </row>
    <row r="275" spans="1:17">
      <c r="A275" s="9">
        <v>11006</v>
      </c>
      <c r="B275" s="9">
        <v>1</v>
      </c>
      <c r="C275" s="9" t="s">
        <v>1589</v>
      </c>
      <c r="D275" s="9" t="s">
        <v>1590</v>
      </c>
      <c r="E275" s="9" t="s">
        <v>1602</v>
      </c>
      <c r="F275" s="9" t="s">
        <v>1603</v>
      </c>
      <c r="G275" s="9" t="s">
        <v>1592</v>
      </c>
      <c r="H275" s="9" t="s">
        <v>173</v>
      </c>
      <c r="I275" s="9" t="s">
        <v>1848</v>
      </c>
      <c r="J275" s="9" t="s">
        <v>1597</v>
      </c>
      <c r="K275" s="9">
        <v>1</v>
      </c>
      <c r="L275" s="9">
        <v>25</v>
      </c>
      <c r="M275" s="9">
        <v>2004</v>
      </c>
      <c r="O275" s="9" t="str">
        <f t="shared" si="13"/>
        <v>NO</v>
      </c>
      <c r="P275" s="9" t="str">
        <f t="shared" si="14"/>
        <v>NO</v>
      </c>
      <c r="Q275" s="9" t="str">
        <f t="shared" si="15"/>
        <v>Conditioned</v>
      </c>
    </row>
    <row r="276" spans="1:17">
      <c r="A276" s="9">
        <v>11014</v>
      </c>
      <c r="B276" s="9">
        <v>1</v>
      </c>
      <c r="C276" s="9" t="s">
        <v>1589</v>
      </c>
      <c r="D276" s="9" t="s">
        <v>1603</v>
      </c>
      <c r="E276" s="9" t="s">
        <v>1602</v>
      </c>
      <c r="F276" s="9" t="s">
        <v>1603</v>
      </c>
      <c r="G276" s="9" t="s">
        <v>1592</v>
      </c>
      <c r="H276" s="9" t="s">
        <v>174</v>
      </c>
      <c r="I276" s="9" t="s">
        <v>1849</v>
      </c>
      <c r="J276" s="9" t="s">
        <v>1601</v>
      </c>
      <c r="K276" s="9">
        <v>1</v>
      </c>
      <c r="L276" s="9">
        <v>23</v>
      </c>
      <c r="M276" s="9">
        <v>2005</v>
      </c>
      <c r="O276" s="9" t="str">
        <f t="shared" si="13"/>
        <v>NO</v>
      </c>
      <c r="P276" s="9" t="str">
        <f t="shared" si="14"/>
        <v>NO</v>
      </c>
      <c r="Q276" s="9" t="str">
        <f t="shared" si="15"/>
        <v>Conditioned</v>
      </c>
    </row>
    <row r="277" spans="1:17">
      <c r="A277" s="9">
        <v>11014</v>
      </c>
      <c r="B277" s="9">
        <v>2</v>
      </c>
      <c r="C277" s="9" t="s">
        <v>1589</v>
      </c>
      <c r="D277" s="9" t="s">
        <v>1590</v>
      </c>
      <c r="E277" s="9" t="s">
        <v>1591</v>
      </c>
      <c r="F277" s="9" t="s">
        <v>1589</v>
      </c>
      <c r="G277" s="9" t="s">
        <v>1606</v>
      </c>
      <c r="H277" s="9" t="s">
        <v>174</v>
      </c>
      <c r="I277" s="9" t="s">
        <v>1850</v>
      </c>
      <c r="J277" s="9" t="s">
        <v>1608</v>
      </c>
      <c r="K277" s="9">
        <v>1</v>
      </c>
      <c r="L277" s="9">
        <v>20</v>
      </c>
      <c r="M277" s="9">
        <v>2011</v>
      </c>
      <c r="O277" s="9" t="str">
        <f t="shared" si="13"/>
        <v>NO</v>
      </c>
      <c r="P277" s="9" t="str">
        <f t="shared" si="14"/>
        <v>NO</v>
      </c>
      <c r="Q277" s="9" t="str">
        <f t="shared" si="15"/>
        <v>Unconditioned</v>
      </c>
    </row>
    <row r="278" spans="1:17">
      <c r="A278" s="9">
        <v>11014</v>
      </c>
      <c r="B278" s="9">
        <v>3</v>
      </c>
      <c r="C278" s="9" t="s">
        <v>1589</v>
      </c>
      <c r="D278" s="9" t="s">
        <v>1590</v>
      </c>
      <c r="E278" s="9" t="s">
        <v>1591</v>
      </c>
      <c r="F278" s="9" t="s">
        <v>1589</v>
      </c>
      <c r="G278" s="9" t="s">
        <v>1606</v>
      </c>
      <c r="H278" s="9" t="s">
        <v>1624</v>
      </c>
      <c r="I278" s="9" t="s">
        <v>1851</v>
      </c>
      <c r="J278" s="9" t="s">
        <v>1587</v>
      </c>
      <c r="K278" s="9">
        <v>1</v>
      </c>
      <c r="L278" s="9">
        <v>16</v>
      </c>
      <c r="M278" s="9">
        <v>2001</v>
      </c>
      <c r="O278" s="9" t="str">
        <f t="shared" si="13"/>
        <v>NO</v>
      </c>
      <c r="P278" s="9" t="str">
        <f t="shared" si="14"/>
        <v>YES</v>
      </c>
      <c r="Q278" s="9" t="str">
        <f t="shared" si="15"/>
        <v>Unconditioned</v>
      </c>
    </row>
    <row r="279" spans="1:17">
      <c r="A279" s="9">
        <v>11021</v>
      </c>
      <c r="B279" s="9">
        <v>1</v>
      </c>
      <c r="C279" s="9" t="s">
        <v>1589</v>
      </c>
      <c r="D279" s="9" t="s">
        <v>1590</v>
      </c>
      <c r="E279" s="9" t="s">
        <v>1591</v>
      </c>
      <c r="F279" s="9" t="s">
        <v>1589</v>
      </c>
      <c r="G279" s="9" t="s">
        <v>1592</v>
      </c>
      <c r="H279" s="9" t="s">
        <v>170</v>
      </c>
      <c r="I279" s="9" t="s">
        <v>1852</v>
      </c>
      <c r="J279" s="9" t="s">
        <v>1597</v>
      </c>
      <c r="K279" s="9">
        <v>1</v>
      </c>
      <c r="L279" s="9">
        <v>19</v>
      </c>
      <c r="M279" s="9">
        <v>1999</v>
      </c>
      <c r="O279" s="9" t="str">
        <f t="shared" ref="O279:O342" si="16">IF(L279&lt;7.75,"YES","NO")</f>
        <v>NO</v>
      </c>
      <c r="P279" s="9" t="str">
        <f t="shared" ref="P279:P342" si="17">VLOOKUP(J279,$Z$21:$AA$27,2,FALSE)</f>
        <v>NO</v>
      </c>
      <c r="Q279" s="9" t="str">
        <f t="shared" ref="Q279:Q342" si="18">G279</f>
        <v>Conditioned</v>
      </c>
    </row>
    <row r="280" spans="1:17">
      <c r="A280" s="9">
        <v>11030</v>
      </c>
      <c r="B280" s="9">
        <v>1</v>
      </c>
      <c r="C280" s="9" t="s">
        <v>1589</v>
      </c>
      <c r="D280" s="9" t="s">
        <v>1590</v>
      </c>
      <c r="E280" s="9" t="s">
        <v>1591</v>
      </c>
      <c r="F280" s="9" t="s">
        <v>1589</v>
      </c>
      <c r="G280" s="9" t="s">
        <v>1592</v>
      </c>
      <c r="H280" s="9" t="s">
        <v>169</v>
      </c>
      <c r="I280" s="9" t="s">
        <v>1853</v>
      </c>
      <c r="J280" s="9" t="s">
        <v>1597</v>
      </c>
      <c r="K280" s="9">
        <v>1</v>
      </c>
      <c r="L280" s="9">
        <v>17</v>
      </c>
      <c r="M280" s="9">
        <v>2008</v>
      </c>
      <c r="O280" s="9" t="str">
        <f t="shared" si="16"/>
        <v>NO</v>
      </c>
      <c r="P280" s="9" t="str">
        <f t="shared" si="17"/>
        <v>NO</v>
      </c>
      <c r="Q280" s="9" t="str">
        <f t="shared" si="18"/>
        <v>Conditioned</v>
      </c>
    </row>
    <row r="281" spans="1:17">
      <c r="A281" s="9">
        <v>11030</v>
      </c>
      <c r="B281" s="9">
        <v>2</v>
      </c>
      <c r="C281" s="9" t="s">
        <v>1589</v>
      </c>
      <c r="D281" s="9" t="s">
        <v>1590</v>
      </c>
      <c r="E281" s="9" t="s">
        <v>1591</v>
      </c>
      <c r="F281" s="9" t="s">
        <v>1589</v>
      </c>
      <c r="G281" s="9" t="s">
        <v>1592</v>
      </c>
      <c r="H281" s="9" t="s">
        <v>170</v>
      </c>
      <c r="I281" s="9" t="s">
        <v>1854</v>
      </c>
      <c r="J281" s="9" t="s">
        <v>1605</v>
      </c>
      <c r="K281" s="9">
        <v>1</v>
      </c>
      <c r="L281" s="9">
        <v>14</v>
      </c>
      <c r="M281" s="9">
        <v>2002</v>
      </c>
      <c r="O281" s="9" t="str">
        <f t="shared" si="16"/>
        <v>NO</v>
      </c>
      <c r="P281" s="9" t="str">
        <f t="shared" si="17"/>
        <v>YES</v>
      </c>
      <c r="Q281" s="9" t="str">
        <f t="shared" si="18"/>
        <v>Conditioned</v>
      </c>
    </row>
    <row r="282" spans="1:17">
      <c r="A282" s="9">
        <v>11032</v>
      </c>
      <c r="B282" s="9">
        <v>1</v>
      </c>
      <c r="C282" s="9" t="s">
        <v>1589</v>
      </c>
      <c r="D282" s="9" t="s">
        <v>1590</v>
      </c>
      <c r="E282" s="9" t="s">
        <v>1591</v>
      </c>
      <c r="F282" s="9" t="s">
        <v>1589</v>
      </c>
      <c r="G282" s="9" t="s">
        <v>1592</v>
      </c>
      <c r="H282" s="9" t="s">
        <v>177</v>
      </c>
      <c r="I282" s="9" t="s">
        <v>1855</v>
      </c>
      <c r="J282" s="9" t="s">
        <v>1597</v>
      </c>
      <c r="K282" s="9">
        <v>1</v>
      </c>
      <c r="L282" s="9">
        <v>14</v>
      </c>
      <c r="M282" s="9">
        <v>2006</v>
      </c>
      <c r="O282" s="9" t="str">
        <f t="shared" si="16"/>
        <v>NO</v>
      </c>
      <c r="P282" s="9" t="str">
        <f t="shared" si="17"/>
        <v>NO</v>
      </c>
      <c r="Q282" s="9" t="str">
        <f t="shared" si="18"/>
        <v>Conditioned</v>
      </c>
    </row>
    <row r="283" spans="1:17">
      <c r="A283" s="9">
        <v>11032</v>
      </c>
      <c r="B283" s="9">
        <v>2</v>
      </c>
      <c r="C283" s="9" t="s">
        <v>1589</v>
      </c>
      <c r="D283" s="9" t="s">
        <v>1590</v>
      </c>
      <c r="E283" s="9" t="s">
        <v>1591</v>
      </c>
      <c r="F283" s="9" t="s">
        <v>1589</v>
      </c>
      <c r="G283" s="9" t="s">
        <v>1592</v>
      </c>
      <c r="H283" s="9" t="s">
        <v>1711</v>
      </c>
      <c r="I283" s="9" t="s">
        <v>1856</v>
      </c>
      <c r="J283" s="9" t="s">
        <v>1597</v>
      </c>
      <c r="K283" s="9">
        <v>1</v>
      </c>
      <c r="L283" s="9">
        <v>5</v>
      </c>
      <c r="O283" s="9" t="str">
        <f t="shared" si="16"/>
        <v>YES</v>
      </c>
      <c r="P283" s="9" t="str">
        <f t="shared" si="17"/>
        <v>NO</v>
      </c>
      <c r="Q283" s="9" t="str">
        <f t="shared" si="18"/>
        <v>Conditioned</v>
      </c>
    </row>
    <row r="284" spans="1:17">
      <c r="A284" s="9">
        <v>11035</v>
      </c>
      <c r="B284" s="9">
        <v>1</v>
      </c>
      <c r="C284" s="9" t="s">
        <v>1589</v>
      </c>
      <c r="D284" s="9" t="s">
        <v>1603</v>
      </c>
      <c r="E284" s="9" t="s">
        <v>1602</v>
      </c>
      <c r="F284" s="9" t="s">
        <v>1603</v>
      </c>
      <c r="G284" s="9" t="s">
        <v>1592</v>
      </c>
      <c r="H284" s="9" t="s">
        <v>178</v>
      </c>
      <c r="I284" s="9" t="s">
        <v>1857</v>
      </c>
      <c r="J284" s="9" t="s">
        <v>1601</v>
      </c>
      <c r="K284" s="9">
        <v>1</v>
      </c>
      <c r="L284" s="9">
        <v>26</v>
      </c>
      <c r="M284" s="9">
        <v>2008</v>
      </c>
      <c r="O284" s="9" t="str">
        <f t="shared" si="16"/>
        <v>NO</v>
      </c>
      <c r="P284" s="9" t="str">
        <f t="shared" si="17"/>
        <v>NO</v>
      </c>
      <c r="Q284" s="9" t="str">
        <f t="shared" si="18"/>
        <v>Conditioned</v>
      </c>
    </row>
    <row r="285" spans="1:17">
      <c r="A285" s="9">
        <v>11041</v>
      </c>
      <c r="B285" s="9">
        <v>1</v>
      </c>
      <c r="C285" s="9" t="s">
        <v>1589</v>
      </c>
      <c r="D285" s="9" t="s">
        <v>1590</v>
      </c>
      <c r="E285" s="9" t="s">
        <v>1591</v>
      </c>
      <c r="F285" s="9" t="s">
        <v>1589</v>
      </c>
      <c r="G285" s="9" t="s">
        <v>1592</v>
      </c>
      <c r="H285" s="9" t="s">
        <v>1599</v>
      </c>
      <c r="I285" s="9" t="s">
        <v>1858</v>
      </c>
      <c r="J285" s="9" t="s">
        <v>1608</v>
      </c>
      <c r="K285" s="9">
        <v>1</v>
      </c>
      <c r="L285" s="9">
        <v>25</v>
      </c>
      <c r="M285" s="9">
        <v>2008</v>
      </c>
      <c r="O285" s="9" t="str">
        <f t="shared" si="16"/>
        <v>NO</v>
      </c>
      <c r="P285" s="9" t="str">
        <f t="shared" si="17"/>
        <v>NO</v>
      </c>
      <c r="Q285" s="9" t="str">
        <f t="shared" si="18"/>
        <v>Conditioned</v>
      </c>
    </row>
    <row r="286" spans="1:17">
      <c r="A286" s="9">
        <v>11047</v>
      </c>
      <c r="B286" s="9">
        <v>1</v>
      </c>
      <c r="C286" s="9" t="s">
        <v>1589</v>
      </c>
      <c r="D286" s="9" t="s">
        <v>1590</v>
      </c>
      <c r="E286" s="9" t="s">
        <v>1591</v>
      </c>
      <c r="F286" s="9" t="s">
        <v>1589</v>
      </c>
      <c r="G286" s="9" t="s">
        <v>1592</v>
      </c>
      <c r="H286" s="9" t="s">
        <v>172</v>
      </c>
      <c r="I286" s="9" t="s">
        <v>1859</v>
      </c>
      <c r="J286" s="9" t="s">
        <v>1597</v>
      </c>
      <c r="K286" s="9">
        <v>1</v>
      </c>
      <c r="L286" s="9">
        <v>16</v>
      </c>
      <c r="M286" s="9">
        <v>1986</v>
      </c>
      <c r="O286" s="9" t="str">
        <f t="shared" si="16"/>
        <v>NO</v>
      </c>
      <c r="P286" s="9" t="str">
        <f t="shared" si="17"/>
        <v>NO</v>
      </c>
      <c r="Q286" s="9" t="str">
        <f t="shared" si="18"/>
        <v>Conditioned</v>
      </c>
    </row>
    <row r="287" spans="1:17">
      <c r="A287" s="9">
        <v>11048</v>
      </c>
      <c r="B287" s="9">
        <v>1</v>
      </c>
      <c r="C287" s="9" t="s">
        <v>1589</v>
      </c>
      <c r="D287" s="9" t="s">
        <v>1590</v>
      </c>
      <c r="E287" s="9" t="s">
        <v>1613</v>
      </c>
      <c r="F287" s="9" t="s">
        <v>1603</v>
      </c>
      <c r="G287" s="9" t="s">
        <v>1592</v>
      </c>
      <c r="H287" s="9" t="s">
        <v>1638</v>
      </c>
      <c r="I287" s="9" t="s">
        <v>1860</v>
      </c>
      <c r="J287" s="9" t="s">
        <v>1608</v>
      </c>
      <c r="K287" s="9">
        <v>1</v>
      </c>
      <c r="L287" s="9">
        <v>22</v>
      </c>
      <c r="M287" s="9">
        <v>2006</v>
      </c>
      <c r="O287" s="9" t="str">
        <f t="shared" si="16"/>
        <v>NO</v>
      </c>
      <c r="P287" s="9" t="str">
        <f t="shared" si="17"/>
        <v>NO</v>
      </c>
      <c r="Q287" s="9" t="str">
        <f t="shared" si="18"/>
        <v>Conditioned</v>
      </c>
    </row>
    <row r="288" spans="1:17">
      <c r="A288" s="9">
        <v>11051</v>
      </c>
      <c r="B288" s="9">
        <v>1</v>
      </c>
      <c r="C288" s="9" t="s">
        <v>1589</v>
      </c>
      <c r="D288" s="9" t="s">
        <v>1590</v>
      </c>
      <c r="E288" s="9" t="s">
        <v>1591</v>
      </c>
      <c r="F288" s="9" t="s">
        <v>1589</v>
      </c>
      <c r="G288" s="9" t="s">
        <v>1592</v>
      </c>
      <c r="H288" s="9" t="s">
        <v>1638</v>
      </c>
      <c r="I288" s="9" t="s">
        <v>1861</v>
      </c>
      <c r="J288" s="9" t="s">
        <v>1597</v>
      </c>
      <c r="K288" s="9">
        <v>1</v>
      </c>
      <c r="L288" s="9">
        <v>18</v>
      </c>
      <c r="M288" s="9">
        <v>1991</v>
      </c>
      <c r="O288" s="9" t="str">
        <f t="shared" si="16"/>
        <v>NO</v>
      </c>
      <c r="P288" s="9" t="str">
        <f t="shared" si="17"/>
        <v>NO</v>
      </c>
      <c r="Q288" s="9" t="str">
        <f t="shared" si="18"/>
        <v>Conditioned</v>
      </c>
    </row>
    <row r="289" spans="1:17">
      <c r="A289" s="9">
        <v>11054</v>
      </c>
      <c r="B289" s="9">
        <v>1</v>
      </c>
      <c r="C289" s="9" t="s">
        <v>1589</v>
      </c>
      <c r="D289" s="9" t="s">
        <v>1590</v>
      </c>
      <c r="E289" s="9" t="s">
        <v>1613</v>
      </c>
      <c r="F289" s="9" t="s">
        <v>1603</v>
      </c>
      <c r="G289" s="9" t="s">
        <v>1592</v>
      </c>
      <c r="H289" s="9" t="s">
        <v>170</v>
      </c>
      <c r="I289" s="9" t="s">
        <v>1862</v>
      </c>
      <c r="J289" s="9" t="s">
        <v>1608</v>
      </c>
      <c r="K289" s="9">
        <v>1</v>
      </c>
      <c r="L289" s="9">
        <v>20</v>
      </c>
      <c r="M289" s="9">
        <v>2006</v>
      </c>
      <c r="O289" s="9" t="str">
        <f t="shared" si="16"/>
        <v>NO</v>
      </c>
      <c r="P289" s="9" t="str">
        <f t="shared" si="17"/>
        <v>NO</v>
      </c>
      <c r="Q289" s="9" t="str">
        <f t="shared" si="18"/>
        <v>Conditioned</v>
      </c>
    </row>
    <row r="290" spans="1:17">
      <c r="A290" s="9">
        <v>11055</v>
      </c>
      <c r="B290" s="9">
        <v>1</v>
      </c>
      <c r="C290" s="9" t="s">
        <v>1863</v>
      </c>
      <c r="D290" s="9" t="s">
        <v>1590</v>
      </c>
      <c r="E290" s="9" t="s">
        <v>1613</v>
      </c>
      <c r="F290" s="9" t="s">
        <v>1603</v>
      </c>
      <c r="G290" s="9" t="s">
        <v>1592</v>
      </c>
      <c r="H290" s="9" t="s">
        <v>1864</v>
      </c>
      <c r="I290" s="9" t="s">
        <v>1589</v>
      </c>
      <c r="J290" s="9" t="s">
        <v>1608</v>
      </c>
      <c r="K290" s="9">
        <v>1</v>
      </c>
      <c r="L290" s="9">
        <v>23</v>
      </c>
      <c r="M290" s="9">
        <v>2003</v>
      </c>
      <c r="O290" s="9" t="str">
        <f t="shared" si="16"/>
        <v>NO</v>
      </c>
      <c r="P290" s="9" t="str">
        <f t="shared" si="17"/>
        <v>NO</v>
      </c>
      <c r="Q290" s="9" t="str">
        <f t="shared" si="18"/>
        <v>Conditioned</v>
      </c>
    </row>
    <row r="291" spans="1:17">
      <c r="A291" s="9">
        <v>11055</v>
      </c>
      <c r="B291" s="9">
        <v>2</v>
      </c>
      <c r="C291" s="9" t="s">
        <v>1865</v>
      </c>
      <c r="D291" s="9" t="s">
        <v>1590</v>
      </c>
      <c r="E291" s="9" t="s">
        <v>1591</v>
      </c>
      <c r="F291" s="9" t="s">
        <v>1589</v>
      </c>
      <c r="G291" s="9" t="s">
        <v>1606</v>
      </c>
      <c r="H291" s="9" t="s">
        <v>1638</v>
      </c>
      <c r="I291" s="9" t="s">
        <v>1866</v>
      </c>
      <c r="J291" s="9" t="s">
        <v>1605</v>
      </c>
      <c r="K291" s="9">
        <v>1</v>
      </c>
      <c r="L291" s="9">
        <v>22</v>
      </c>
      <c r="M291" s="9">
        <v>2003</v>
      </c>
      <c r="O291" s="9" t="str">
        <f t="shared" si="16"/>
        <v>NO</v>
      </c>
      <c r="P291" s="9" t="str">
        <f t="shared" si="17"/>
        <v>YES</v>
      </c>
      <c r="Q291" s="9" t="str">
        <f t="shared" si="18"/>
        <v>Unconditioned</v>
      </c>
    </row>
    <row r="292" spans="1:17">
      <c r="A292" s="9">
        <v>11055</v>
      </c>
      <c r="B292" s="9">
        <v>3</v>
      </c>
      <c r="C292" s="9" t="s">
        <v>1589</v>
      </c>
      <c r="D292" s="9" t="s">
        <v>1590</v>
      </c>
      <c r="E292" s="9" t="s">
        <v>1613</v>
      </c>
      <c r="F292" s="9" t="s">
        <v>1603</v>
      </c>
      <c r="G292" s="9" t="s">
        <v>1592</v>
      </c>
      <c r="H292" s="9" t="s">
        <v>1638</v>
      </c>
      <c r="I292" s="9" t="s">
        <v>1867</v>
      </c>
      <c r="J292" s="9" t="s">
        <v>1597</v>
      </c>
      <c r="K292" s="9">
        <v>1</v>
      </c>
      <c r="L292" s="9">
        <v>21</v>
      </c>
      <c r="M292" s="9">
        <v>2003</v>
      </c>
      <c r="O292" s="9" t="str">
        <f t="shared" si="16"/>
        <v>NO</v>
      </c>
      <c r="P292" s="9" t="str">
        <f t="shared" si="17"/>
        <v>NO</v>
      </c>
      <c r="Q292" s="9" t="str">
        <f t="shared" si="18"/>
        <v>Conditioned</v>
      </c>
    </row>
    <row r="293" spans="1:17">
      <c r="A293" s="9">
        <v>11055</v>
      </c>
      <c r="B293" s="9">
        <v>4</v>
      </c>
      <c r="C293" s="9" t="s">
        <v>1868</v>
      </c>
      <c r="D293" s="9" t="s">
        <v>1590</v>
      </c>
      <c r="E293" s="9" t="s">
        <v>1589</v>
      </c>
      <c r="F293" s="9" t="s">
        <v>1589</v>
      </c>
      <c r="G293" s="9" t="s">
        <v>1592</v>
      </c>
      <c r="H293" s="9" t="s">
        <v>1869</v>
      </c>
      <c r="I293" s="9" t="s">
        <v>1589</v>
      </c>
      <c r="J293" s="9" t="s">
        <v>1612</v>
      </c>
      <c r="K293" s="9">
        <v>1</v>
      </c>
      <c r="L293" s="9">
        <v>2</v>
      </c>
      <c r="M293" s="9">
        <v>2003</v>
      </c>
      <c r="O293" s="9" t="str">
        <f t="shared" si="16"/>
        <v>YES</v>
      </c>
      <c r="P293" s="9" t="str">
        <f t="shared" si="17"/>
        <v>NO</v>
      </c>
      <c r="Q293" s="9" t="str">
        <f t="shared" si="18"/>
        <v>Conditioned</v>
      </c>
    </row>
    <row r="294" spans="1:17">
      <c r="A294" s="9">
        <v>11061</v>
      </c>
      <c r="B294" s="9">
        <v>1</v>
      </c>
      <c r="C294" s="9" t="s">
        <v>1589</v>
      </c>
      <c r="D294" s="9" t="s">
        <v>1590</v>
      </c>
      <c r="E294" s="9" t="s">
        <v>1613</v>
      </c>
      <c r="F294" s="9" t="s">
        <v>1603</v>
      </c>
      <c r="G294" s="9" t="s">
        <v>1592</v>
      </c>
      <c r="H294" s="9" t="s">
        <v>169</v>
      </c>
      <c r="I294" s="9" t="s">
        <v>1870</v>
      </c>
      <c r="J294" s="9" t="s">
        <v>1597</v>
      </c>
      <c r="K294" s="9">
        <v>1</v>
      </c>
      <c r="L294" s="9">
        <v>25</v>
      </c>
      <c r="M294" s="9">
        <v>2003</v>
      </c>
      <c r="O294" s="9" t="str">
        <f t="shared" si="16"/>
        <v>NO</v>
      </c>
      <c r="P294" s="9" t="str">
        <f t="shared" si="17"/>
        <v>NO</v>
      </c>
      <c r="Q294" s="9" t="str">
        <f t="shared" si="18"/>
        <v>Conditioned</v>
      </c>
    </row>
    <row r="295" spans="1:17">
      <c r="A295" s="9">
        <v>11061</v>
      </c>
      <c r="B295" s="9">
        <v>2</v>
      </c>
      <c r="C295" s="9" t="s">
        <v>1589</v>
      </c>
      <c r="D295" s="9" t="s">
        <v>1590</v>
      </c>
      <c r="E295" s="9" t="s">
        <v>1591</v>
      </c>
      <c r="F295" s="9" t="s">
        <v>1589</v>
      </c>
      <c r="G295" s="9" t="s">
        <v>1592</v>
      </c>
      <c r="H295" s="9" t="s">
        <v>1871</v>
      </c>
      <c r="I295" s="9" t="s">
        <v>1589</v>
      </c>
      <c r="J295" s="9" t="s">
        <v>1589</v>
      </c>
      <c r="K295" s="9">
        <v>1</v>
      </c>
      <c r="L295" s="9">
        <v>8</v>
      </c>
      <c r="O295" s="9" t="str">
        <f t="shared" si="16"/>
        <v>NO</v>
      </c>
      <c r="P295" s="9" t="e">
        <f t="shared" si="17"/>
        <v>#N/A</v>
      </c>
      <c r="Q295" s="9" t="str">
        <f t="shared" si="18"/>
        <v>Conditioned</v>
      </c>
    </row>
    <row r="296" spans="1:17">
      <c r="A296" s="9">
        <v>11084</v>
      </c>
      <c r="B296" s="9">
        <v>1</v>
      </c>
      <c r="C296" s="9" t="s">
        <v>1589</v>
      </c>
      <c r="D296" s="9" t="s">
        <v>1590</v>
      </c>
      <c r="E296" s="9" t="s">
        <v>1591</v>
      </c>
      <c r="F296" s="9" t="s">
        <v>1589</v>
      </c>
      <c r="G296" s="9" t="s">
        <v>1592</v>
      </c>
      <c r="H296" s="9" t="s">
        <v>174</v>
      </c>
      <c r="I296" s="9" t="s">
        <v>1589</v>
      </c>
      <c r="J296" s="9" t="s">
        <v>1605</v>
      </c>
      <c r="K296" s="9">
        <v>1</v>
      </c>
      <c r="L296" s="9">
        <v>20</v>
      </c>
      <c r="M296" s="9">
        <v>2004</v>
      </c>
      <c r="O296" s="9" t="str">
        <f t="shared" si="16"/>
        <v>NO</v>
      </c>
      <c r="P296" s="9" t="str">
        <f t="shared" si="17"/>
        <v>YES</v>
      </c>
      <c r="Q296" s="9" t="str">
        <f t="shared" si="18"/>
        <v>Conditioned</v>
      </c>
    </row>
    <row r="297" spans="1:17">
      <c r="A297" s="9">
        <v>11084</v>
      </c>
      <c r="B297" s="9">
        <v>2</v>
      </c>
      <c r="C297" s="9" t="s">
        <v>1589</v>
      </c>
      <c r="D297" s="9" t="s">
        <v>1590</v>
      </c>
      <c r="E297" s="9" t="s">
        <v>1591</v>
      </c>
      <c r="F297" s="9" t="s">
        <v>1589</v>
      </c>
      <c r="G297" s="9" t="s">
        <v>1592</v>
      </c>
      <c r="H297" s="9" t="s">
        <v>174</v>
      </c>
      <c r="I297" s="9" t="s">
        <v>1872</v>
      </c>
      <c r="J297" s="9" t="s">
        <v>1608</v>
      </c>
      <c r="K297" s="9">
        <v>1</v>
      </c>
      <c r="L297" s="9">
        <v>20</v>
      </c>
      <c r="M297" s="9">
        <v>2007</v>
      </c>
      <c r="O297" s="9" t="str">
        <f t="shared" si="16"/>
        <v>NO</v>
      </c>
      <c r="P297" s="9" t="str">
        <f t="shared" si="17"/>
        <v>NO</v>
      </c>
      <c r="Q297" s="9" t="str">
        <f t="shared" si="18"/>
        <v>Conditioned</v>
      </c>
    </row>
    <row r="298" spans="1:17">
      <c r="A298" s="9">
        <v>11086</v>
      </c>
      <c r="B298" s="9">
        <v>1</v>
      </c>
      <c r="C298" s="9" t="s">
        <v>1589</v>
      </c>
      <c r="D298" s="9" t="s">
        <v>1590</v>
      </c>
      <c r="E298" s="9" t="s">
        <v>1591</v>
      </c>
      <c r="F298" s="9" t="s">
        <v>1589</v>
      </c>
      <c r="G298" s="9" t="s">
        <v>1592</v>
      </c>
      <c r="H298" s="9" t="s">
        <v>173</v>
      </c>
      <c r="I298" s="9" t="s">
        <v>1873</v>
      </c>
      <c r="J298" s="9" t="s">
        <v>1608</v>
      </c>
      <c r="K298" s="9">
        <v>1</v>
      </c>
      <c r="L298" s="9">
        <v>22</v>
      </c>
      <c r="M298" s="9">
        <v>1994</v>
      </c>
      <c r="O298" s="9" t="str">
        <f t="shared" si="16"/>
        <v>NO</v>
      </c>
      <c r="P298" s="9" t="str">
        <f t="shared" si="17"/>
        <v>NO</v>
      </c>
      <c r="Q298" s="9" t="str">
        <f t="shared" si="18"/>
        <v>Conditioned</v>
      </c>
    </row>
    <row r="299" spans="1:17">
      <c r="A299" s="9">
        <v>11086</v>
      </c>
      <c r="B299" s="9">
        <v>2</v>
      </c>
      <c r="C299" s="9" t="s">
        <v>1589</v>
      </c>
      <c r="D299" s="9" t="s">
        <v>1590</v>
      </c>
      <c r="E299" s="9" t="s">
        <v>1591</v>
      </c>
      <c r="F299" s="9" t="s">
        <v>1589</v>
      </c>
      <c r="G299" s="9" t="s">
        <v>1592</v>
      </c>
      <c r="H299" s="9" t="s">
        <v>1754</v>
      </c>
      <c r="I299" s="9" t="s">
        <v>1633</v>
      </c>
      <c r="J299" s="9" t="s">
        <v>1587</v>
      </c>
      <c r="K299" s="9">
        <v>1</v>
      </c>
      <c r="L299" s="9">
        <v>18</v>
      </c>
      <c r="M299" s="9">
        <v>2000</v>
      </c>
      <c r="O299" s="9" t="str">
        <f t="shared" si="16"/>
        <v>NO</v>
      </c>
      <c r="P299" s="9" t="str">
        <f t="shared" si="17"/>
        <v>YES</v>
      </c>
      <c r="Q299" s="9" t="str">
        <f t="shared" si="18"/>
        <v>Conditioned</v>
      </c>
    </row>
    <row r="300" spans="1:17">
      <c r="A300" s="9">
        <v>11089</v>
      </c>
      <c r="B300" s="9">
        <v>1</v>
      </c>
      <c r="C300" s="9" t="s">
        <v>1589</v>
      </c>
      <c r="D300" s="9" t="s">
        <v>1590</v>
      </c>
      <c r="E300" s="9" t="s">
        <v>1591</v>
      </c>
      <c r="F300" s="9" t="s">
        <v>1589</v>
      </c>
      <c r="G300" s="9" t="s">
        <v>1592</v>
      </c>
      <c r="H300" s="9" t="s">
        <v>172</v>
      </c>
      <c r="I300" s="9" t="s">
        <v>1874</v>
      </c>
      <c r="J300" s="9" t="s">
        <v>1597</v>
      </c>
      <c r="K300" s="9">
        <v>1</v>
      </c>
      <c r="L300" s="9">
        <v>20</v>
      </c>
      <c r="M300" s="9">
        <v>1993</v>
      </c>
      <c r="O300" s="9" t="str">
        <f t="shared" si="16"/>
        <v>NO</v>
      </c>
      <c r="P300" s="9" t="str">
        <f t="shared" si="17"/>
        <v>NO</v>
      </c>
      <c r="Q300" s="9" t="str">
        <f t="shared" si="18"/>
        <v>Conditioned</v>
      </c>
    </row>
    <row r="301" spans="1:17">
      <c r="A301" s="9">
        <v>11094</v>
      </c>
      <c r="B301" s="9">
        <v>1</v>
      </c>
      <c r="C301" s="9" t="s">
        <v>1589</v>
      </c>
      <c r="D301" s="9" t="s">
        <v>1590</v>
      </c>
      <c r="E301" s="9" t="s">
        <v>1591</v>
      </c>
      <c r="F301" s="9" t="s">
        <v>1589</v>
      </c>
      <c r="G301" s="9" t="s">
        <v>1606</v>
      </c>
      <c r="H301" s="9" t="s">
        <v>1017</v>
      </c>
      <c r="I301" s="9" t="s">
        <v>1875</v>
      </c>
      <c r="J301" s="9" t="s">
        <v>1597</v>
      </c>
      <c r="K301" s="9">
        <v>1</v>
      </c>
      <c r="L301" s="9">
        <v>5</v>
      </c>
      <c r="M301" s="9">
        <v>1999</v>
      </c>
      <c r="O301" s="9" t="str">
        <f t="shared" si="16"/>
        <v>YES</v>
      </c>
      <c r="P301" s="9" t="str">
        <f t="shared" si="17"/>
        <v>NO</v>
      </c>
      <c r="Q301" s="9" t="str">
        <f t="shared" si="18"/>
        <v>Unconditioned</v>
      </c>
    </row>
    <row r="302" spans="1:17">
      <c r="A302" s="9">
        <v>11094</v>
      </c>
      <c r="B302" s="9">
        <v>2</v>
      </c>
      <c r="C302" s="9" t="s">
        <v>1589</v>
      </c>
      <c r="D302" s="9" t="s">
        <v>1590</v>
      </c>
      <c r="E302" s="9" t="s">
        <v>1602</v>
      </c>
      <c r="F302" s="9" t="s">
        <v>1590</v>
      </c>
      <c r="G302" s="9" t="s">
        <v>1592</v>
      </c>
      <c r="H302" s="9" t="s">
        <v>177</v>
      </c>
      <c r="I302" s="9" t="s">
        <v>1876</v>
      </c>
      <c r="J302" s="9" t="s">
        <v>1601</v>
      </c>
      <c r="K302" s="9">
        <v>1</v>
      </c>
      <c r="L302" s="9">
        <v>20</v>
      </c>
      <c r="M302" s="9">
        <v>1994</v>
      </c>
      <c r="O302" s="9" t="str">
        <f t="shared" si="16"/>
        <v>NO</v>
      </c>
      <c r="P302" s="9" t="str">
        <f t="shared" si="17"/>
        <v>NO</v>
      </c>
      <c r="Q302" s="9" t="str">
        <f t="shared" si="18"/>
        <v>Conditioned</v>
      </c>
    </row>
    <row r="303" spans="1:17">
      <c r="A303" s="9">
        <v>11110</v>
      </c>
      <c r="B303" s="9">
        <v>1</v>
      </c>
      <c r="C303" s="9" t="s">
        <v>1589</v>
      </c>
      <c r="D303" s="9" t="s">
        <v>1603</v>
      </c>
      <c r="E303" s="9" t="s">
        <v>1602</v>
      </c>
      <c r="F303" s="9" t="s">
        <v>1603</v>
      </c>
      <c r="G303" s="9" t="s">
        <v>1592</v>
      </c>
      <c r="H303" s="9" t="s">
        <v>173</v>
      </c>
      <c r="I303" s="9" t="s">
        <v>1877</v>
      </c>
      <c r="J303" s="9" t="s">
        <v>1608</v>
      </c>
      <c r="K303" s="9">
        <v>1</v>
      </c>
      <c r="L303" s="9">
        <v>22</v>
      </c>
      <c r="O303" s="9" t="str">
        <f t="shared" si="16"/>
        <v>NO</v>
      </c>
      <c r="P303" s="9" t="str">
        <f t="shared" si="17"/>
        <v>NO</v>
      </c>
      <c r="Q303" s="9" t="str">
        <f t="shared" si="18"/>
        <v>Conditioned</v>
      </c>
    </row>
    <row r="304" spans="1:17">
      <c r="A304" s="9">
        <v>11110</v>
      </c>
      <c r="B304" s="9">
        <v>2</v>
      </c>
      <c r="C304" s="9" t="s">
        <v>1589</v>
      </c>
      <c r="D304" s="9" t="s">
        <v>1590</v>
      </c>
      <c r="E304" s="9" t="s">
        <v>1602</v>
      </c>
      <c r="F304" s="9" t="s">
        <v>1590</v>
      </c>
      <c r="G304" s="9" t="s">
        <v>1606</v>
      </c>
      <c r="H304" s="9" t="s">
        <v>170</v>
      </c>
      <c r="I304" s="9" t="s">
        <v>1878</v>
      </c>
      <c r="J304" s="9" t="s">
        <v>1601</v>
      </c>
      <c r="K304" s="9">
        <v>1</v>
      </c>
      <c r="L304" s="9">
        <v>20</v>
      </c>
      <c r="M304" s="9">
        <v>1996</v>
      </c>
      <c r="O304" s="9" t="str">
        <f t="shared" si="16"/>
        <v>NO</v>
      </c>
      <c r="P304" s="9" t="str">
        <f t="shared" si="17"/>
        <v>NO</v>
      </c>
      <c r="Q304" s="9" t="str">
        <f t="shared" si="18"/>
        <v>Unconditioned</v>
      </c>
    </row>
    <row r="305" spans="1:17">
      <c r="A305" s="9">
        <v>11110</v>
      </c>
      <c r="B305" s="9">
        <v>3</v>
      </c>
      <c r="C305" s="9" t="s">
        <v>1589</v>
      </c>
      <c r="D305" s="9" t="s">
        <v>1590</v>
      </c>
      <c r="E305" s="9" t="s">
        <v>1591</v>
      </c>
      <c r="F305" s="9" t="s">
        <v>1589</v>
      </c>
      <c r="G305" s="9" t="s">
        <v>1606</v>
      </c>
      <c r="H305" s="9" t="s">
        <v>1552</v>
      </c>
      <c r="I305" s="9" t="s">
        <v>1879</v>
      </c>
      <c r="J305" s="9" t="s">
        <v>1587</v>
      </c>
      <c r="K305" s="9">
        <v>1</v>
      </c>
      <c r="L305" s="9">
        <v>12</v>
      </c>
      <c r="M305" s="9">
        <v>1996</v>
      </c>
      <c r="O305" s="9" t="str">
        <f t="shared" si="16"/>
        <v>NO</v>
      </c>
      <c r="P305" s="9" t="str">
        <f t="shared" si="17"/>
        <v>YES</v>
      </c>
      <c r="Q305" s="9" t="str">
        <f t="shared" si="18"/>
        <v>Unconditioned</v>
      </c>
    </row>
    <row r="306" spans="1:17">
      <c r="A306" s="9">
        <v>11118</v>
      </c>
      <c r="B306" s="9">
        <v>1</v>
      </c>
      <c r="C306" s="9" t="s">
        <v>1589</v>
      </c>
      <c r="D306" s="9" t="s">
        <v>1590</v>
      </c>
      <c r="E306" s="9" t="s">
        <v>1591</v>
      </c>
      <c r="F306" s="9" t="s">
        <v>1589</v>
      </c>
      <c r="G306" s="9" t="s">
        <v>1592</v>
      </c>
      <c r="H306" s="9" t="s">
        <v>169</v>
      </c>
      <c r="I306" s="9" t="s">
        <v>1880</v>
      </c>
      <c r="J306" s="9" t="s">
        <v>1597</v>
      </c>
      <c r="K306" s="9">
        <v>1</v>
      </c>
      <c r="L306" s="9">
        <v>25</v>
      </c>
      <c r="M306" s="9">
        <v>1996</v>
      </c>
      <c r="O306" s="9" t="str">
        <f t="shared" si="16"/>
        <v>NO</v>
      </c>
      <c r="P306" s="9" t="str">
        <f t="shared" si="17"/>
        <v>NO</v>
      </c>
      <c r="Q306" s="9" t="str">
        <f t="shared" si="18"/>
        <v>Conditioned</v>
      </c>
    </row>
    <row r="307" spans="1:17">
      <c r="A307" s="9">
        <v>11118</v>
      </c>
      <c r="B307" s="9">
        <v>2</v>
      </c>
      <c r="C307" s="9" t="s">
        <v>1881</v>
      </c>
      <c r="D307" s="9" t="s">
        <v>1590</v>
      </c>
      <c r="E307" s="9" t="s">
        <v>1591</v>
      </c>
      <c r="F307" s="9" t="s">
        <v>1589</v>
      </c>
      <c r="G307" s="9" t="s">
        <v>1606</v>
      </c>
      <c r="H307" s="9" t="s">
        <v>1589</v>
      </c>
      <c r="I307" s="9" t="s">
        <v>1589</v>
      </c>
      <c r="J307" s="9" t="s">
        <v>1605</v>
      </c>
      <c r="K307" s="9">
        <v>1</v>
      </c>
      <c r="L307" s="9">
        <v>18</v>
      </c>
      <c r="O307" s="9" t="str">
        <f t="shared" si="16"/>
        <v>NO</v>
      </c>
      <c r="P307" s="9" t="str">
        <f t="shared" si="17"/>
        <v>YES</v>
      </c>
      <c r="Q307" s="9" t="str">
        <f t="shared" si="18"/>
        <v>Unconditioned</v>
      </c>
    </row>
    <row r="308" spans="1:17">
      <c r="A308" s="9">
        <v>11118</v>
      </c>
      <c r="B308" s="9">
        <v>3</v>
      </c>
      <c r="C308" s="9" t="s">
        <v>1881</v>
      </c>
      <c r="D308" s="9" t="s">
        <v>1590</v>
      </c>
      <c r="E308" s="9" t="s">
        <v>1589</v>
      </c>
      <c r="F308" s="9" t="s">
        <v>1589</v>
      </c>
      <c r="G308" s="9" t="s">
        <v>1606</v>
      </c>
      <c r="H308" s="9" t="s">
        <v>1589</v>
      </c>
      <c r="I308" s="9" t="s">
        <v>1589</v>
      </c>
      <c r="J308" s="9" t="s">
        <v>1612</v>
      </c>
      <c r="K308" s="9">
        <v>1</v>
      </c>
      <c r="L308" s="9">
        <v>25</v>
      </c>
      <c r="O308" s="9" t="str">
        <f t="shared" si="16"/>
        <v>NO</v>
      </c>
      <c r="P308" s="9" t="str">
        <f t="shared" si="17"/>
        <v>NO</v>
      </c>
      <c r="Q308" s="9" t="str">
        <f t="shared" si="18"/>
        <v>Unconditioned</v>
      </c>
    </row>
    <row r="309" spans="1:17">
      <c r="A309" s="9">
        <v>11118</v>
      </c>
      <c r="B309" s="9">
        <v>4</v>
      </c>
      <c r="C309" s="9" t="s">
        <v>1881</v>
      </c>
      <c r="D309" s="9" t="s">
        <v>1590</v>
      </c>
      <c r="E309" s="9" t="s">
        <v>1591</v>
      </c>
      <c r="F309" s="9" t="s">
        <v>1589</v>
      </c>
      <c r="G309" s="9" t="s">
        <v>1606</v>
      </c>
      <c r="H309" s="9" t="s">
        <v>1589</v>
      </c>
      <c r="I309" s="9" t="s">
        <v>1589</v>
      </c>
      <c r="J309" s="9" t="s">
        <v>1587</v>
      </c>
      <c r="K309" s="9">
        <v>1</v>
      </c>
      <c r="L309" s="9">
        <v>18</v>
      </c>
      <c r="O309" s="9" t="str">
        <f t="shared" si="16"/>
        <v>NO</v>
      </c>
      <c r="P309" s="9" t="str">
        <f t="shared" si="17"/>
        <v>YES</v>
      </c>
      <c r="Q309" s="9" t="str">
        <f t="shared" si="18"/>
        <v>Unconditioned</v>
      </c>
    </row>
    <row r="310" spans="1:17">
      <c r="A310" s="9">
        <v>11119</v>
      </c>
      <c r="B310" s="9">
        <v>1</v>
      </c>
      <c r="C310" s="9" t="s">
        <v>1589</v>
      </c>
      <c r="D310" s="9" t="s">
        <v>1590</v>
      </c>
      <c r="E310" s="9" t="s">
        <v>1613</v>
      </c>
      <c r="F310" s="9" t="s">
        <v>1603</v>
      </c>
      <c r="G310" s="9" t="s">
        <v>1592</v>
      </c>
      <c r="H310" s="9" t="s">
        <v>177</v>
      </c>
      <c r="I310" s="9" t="s">
        <v>1882</v>
      </c>
      <c r="J310" s="9" t="s">
        <v>1610</v>
      </c>
      <c r="K310" s="9">
        <v>1</v>
      </c>
      <c r="L310" s="9">
        <v>25</v>
      </c>
      <c r="M310" s="9">
        <v>2008</v>
      </c>
      <c r="O310" s="9" t="str">
        <f t="shared" si="16"/>
        <v>NO</v>
      </c>
      <c r="P310" s="9" t="str">
        <f t="shared" si="17"/>
        <v>NO</v>
      </c>
      <c r="Q310" s="9" t="str">
        <f t="shared" si="18"/>
        <v>Conditioned</v>
      </c>
    </row>
    <row r="311" spans="1:17">
      <c r="A311" s="9">
        <v>11119</v>
      </c>
      <c r="B311" s="9">
        <v>2</v>
      </c>
      <c r="C311" s="9" t="s">
        <v>1589</v>
      </c>
      <c r="D311" s="9" t="s">
        <v>1590</v>
      </c>
      <c r="E311" s="9" t="s">
        <v>1591</v>
      </c>
      <c r="F311" s="9" t="s">
        <v>1589</v>
      </c>
      <c r="G311" s="9" t="s">
        <v>1606</v>
      </c>
      <c r="H311" s="9" t="s">
        <v>170</v>
      </c>
      <c r="I311" s="9" t="s">
        <v>1883</v>
      </c>
      <c r="J311" s="9" t="s">
        <v>1605</v>
      </c>
      <c r="K311" s="9">
        <v>1</v>
      </c>
      <c r="L311" s="9">
        <v>21</v>
      </c>
      <c r="M311" s="9">
        <v>1998</v>
      </c>
      <c r="O311" s="9" t="str">
        <f t="shared" si="16"/>
        <v>NO</v>
      </c>
      <c r="P311" s="9" t="str">
        <f t="shared" si="17"/>
        <v>YES</v>
      </c>
      <c r="Q311" s="9" t="str">
        <f t="shared" si="18"/>
        <v>Unconditioned</v>
      </c>
    </row>
    <row r="312" spans="1:17">
      <c r="A312" s="9">
        <v>11138</v>
      </c>
      <c r="B312" s="9">
        <v>1</v>
      </c>
      <c r="C312" s="9" t="s">
        <v>1589</v>
      </c>
      <c r="D312" s="9" t="s">
        <v>1590</v>
      </c>
      <c r="E312" s="9" t="s">
        <v>1591</v>
      </c>
      <c r="F312" s="9" t="s">
        <v>1589</v>
      </c>
      <c r="G312" s="9" t="s">
        <v>1592</v>
      </c>
      <c r="H312" s="9" t="s">
        <v>170</v>
      </c>
      <c r="I312" s="9" t="s">
        <v>1884</v>
      </c>
      <c r="J312" s="9" t="s">
        <v>1597</v>
      </c>
      <c r="K312" s="9">
        <v>1</v>
      </c>
      <c r="L312" s="9">
        <v>23</v>
      </c>
      <c r="M312" s="9">
        <v>2008</v>
      </c>
      <c r="O312" s="9" t="str">
        <f t="shared" si="16"/>
        <v>NO</v>
      </c>
      <c r="P312" s="9" t="str">
        <f t="shared" si="17"/>
        <v>NO</v>
      </c>
      <c r="Q312" s="9" t="str">
        <f t="shared" si="18"/>
        <v>Conditioned</v>
      </c>
    </row>
    <row r="313" spans="1:17">
      <c r="A313" s="9">
        <v>11138</v>
      </c>
      <c r="B313" s="9">
        <v>2</v>
      </c>
      <c r="C313" s="9" t="s">
        <v>1589</v>
      </c>
      <c r="D313" s="9" t="s">
        <v>1590</v>
      </c>
      <c r="E313" s="9" t="s">
        <v>1591</v>
      </c>
      <c r="F313" s="9" t="s">
        <v>1589</v>
      </c>
      <c r="G313" s="9" t="s">
        <v>1606</v>
      </c>
      <c r="H313" s="9" t="s">
        <v>1624</v>
      </c>
      <c r="I313" s="9" t="s">
        <v>1885</v>
      </c>
      <c r="J313" s="9" t="s">
        <v>1605</v>
      </c>
      <c r="K313" s="9">
        <v>1</v>
      </c>
      <c r="L313" s="9">
        <v>20</v>
      </c>
      <c r="M313" s="9">
        <v>1975</v>
      </c>
      <c r="O313" s="9" t="str">
        <f t="shared" si="16"/>
        <v>NO</v>
      </c>
      <c r="P313" s="9" t="str">
        <f t="shared" si="17"/>
        <v>YES</v>
      </c>
      <c r="Q313" s="9" t="str">
        <f t="shared" si="18"/>
        <v>Unconditioned</v>
      </c>
    </row>
    <row r="314" spans="1:17">
      <c r="A314" s="9">
        <v>11145</v>
      </c>
      <c r="B314" s="9">
        <v>1</v>
      </c>
      <c r="C314" s="9" t="s">
        <v>1589</v>
      </c>
      <c r="D314" s="9" t="s">
        <v>1590</v>
      </c>
      <c r="E314" s="9" t="s">
        <v>1613</v>
      </c>
      <c r="F314" s="9" t="s">
        <v>1590</v>
      </c>
      <c r="G314" s="9" t="s">
        <v>1592</v>
      </c>
      <c r="H314" s="9" t="s">
        <v>174</v>
      </c>
      <c r="I314" s="9" t="s">
        <v>1886</v>
      </c>
      <c r="J314" s="9" t="s">
        <v>1597</v>
      </c>
      <c r="K314" s="9">
        <v>1</v>
      </c>
      <c r="L314" s="9">
        <v>25</v>
      </c>
      <c r="M314" s="9">
        <v>2007</v>
      </c>
      <c r="O314" s="9" t="str">
        <f t="shared" si="16"/>
        <v>NO</v>
      </c>
      <c r="P314" s="9" t="str">
        <f t="shared" si="17"/>
        <v>NO</v>
      </c>
      <c r="Q314" s="9" t="str">
        <f t="shared" si="18"/>
        <v>Conditioned</v>
      </c>
    </row>
    <row r="315" spans="1:17">
      <c r="A315" s="9">
        <v>11154</v>
      </c>
      <c r="B315" s="9">
        <v>1</v>
      </c>
      <c r="C315" s="9" t="s">
        <v>1589</v>
      </c>
      <c r="D315" s="9" t="s">
        <v>1590</v>
      </c>
      <c r="E315" s="9" t="s">
        <v>1602</v>
      </c>
      <c r="F315" s="9" t="s">
        <v>1603</v>
      </c>
      <c r="G315" s="9" t="s">
        <v>1592</v>
      </c>
      <c r="H315" s="9" t="s">
        <v>170</v>
      </c>
      <c r="I315" s="9" t="s">
        <v>1589</v>
      </c>
      <c r="J315" s="9" t="s">
        <v>1601</v>
      </c>
      <c r="K315" s="9">
        <v>1</v>
      </c>
      <c r="L315" s="9">
        <v>25</v>
      </c>
      <c r="M315" s="9">
        <v>1988</v>
      </c>
      <c r="O315" s="9" t="str">
        <f t="shared" si="16"/>
        <v>NO</v>
      </c>
      <c r="P315" s="9" t="str">
        <f t="shared" si="17"/>
        <v>NO</v>
      </c>
      <c r="Q315" s="9" t="str">
        <f t="shared" si="18"/>
        <v>Conditioned</v>
      </c>
    </row>
    <row r="316" spans="1:17">
      <c r="A316" s="9">
        <v>11163</v>
      </c>
      <c r="B316" s="9">
        <v>1</v>
      </c>
      <c r="C316" s="9" t="s">
        <v>1589</v>
      </c>
      <c r="D316" s="9" t="s">
        <v>1590</v>
      </c>
      <c r="E316" s="9" t="s">
        <v>1591</v>
      </c>
      <c r="F316" s="9" t="s">
        <v>1589</v>
      </c>
      <c r="G316" s="9" t="s">
        <v>1589</v>
      </c>
      <c r="H316" s="9" t="s">
        <v>1638</v>
      </c>
      <c r="I316" s="9" t="s">
        <v>1887</v>
      </c>
      <c r="J316" s="9" t="s">
        <v>1608</v>
      </c>
      <c r="L316" s="9">
        <v>31</v>
      </c>
      <c r="M316" s="9">
        <v>2008</v>
      </c>
      <c r="O316" s="9" t="str">
        <f t="shared" si="16"/>
        <v>NO</v>
      </c>
      <c r="P316" s="9" t="str">
        <f t="shared" si="17"/>
        <v>NO</v>
      </c>
      <c r="Q316" s="9" t="str">
        <f t="shared" si="18"/>
        <v/>
      </c>
    </row>
    <row r="317" spans="1:17">
      <c r="A317" s="9">
        <v>11163</v>
      </c>
      <c r="B317" s="9">
        <v>2</v>
      </c>
      <c r="C317" s="9" t="s">
        <v>1589</v>
      </c>
      <c r="D317" s="9" t="s">
        <v>1590</v>
      </c>
      <c r="E317" s="9" t="s">
        <v>1591</v>
      </c>
      <c r="F317" s="9" t="s">
        <v>1589</v>
      </c>
      <c r="G317" s="9" t="s">
        <v>1592</v>
      </c>
      <c r="H317" s="9" t="s">
        <v>170</v>
      </c>
      <c r="I317" s="9" t="s">
        <v>1888</v>
      </c>
      <c r="J317" s="9" t="s">
        <v>1597</v>
      </c>
      <c r="K317" s="9">
        <v>1</v>
      </c>
      <c r="L317" s="9">
        <v>30</v>
      </c>
      <c r="M317" s="9">
        <v>2008</v>
      </c>
      <c r="O317" s="9" t="str">
        <f t="shared" si="16"/>
        <v>NO</v>
      </c>
      <c r="P317" s="9" t="str">
        <f t="shared" si="17"/>
        <v>NO</v>
      </c>
      <c r="Q317" s="9" t="str">
        <f t="shared" si="18"/>
        <v>Conditioned</v>
      </c>
    </row>
    <row r="318" spans="1:17">
      <c r="A318" s="9">
        <v>11163</v>
      </c>
      <c r="B318" s="9">
        <v>3</v>
      </c>
      <c r="C318" s="9" t="s">
        <v>1589</v>
      </c>
      <c r="D318" s="9" t="s">
        <v>1590</v>
      </c>
      <c r="E318" s="9" t="s">
        <v>1591</v>
      </c>
      <c r="F318" s="9" t="s">
        <v>1589</v>
      </c>
      <c r="G318" s="9" t="s">
        <v>1592</v>
      </c>
      <c r="H318" s="9" t="s">
        <v>1552</v>
      </c>
      <c r="I318" s="9" t="s">
        <v>1889</v>
      </c>
      <c r="J318" s="9" t="s">
        <v>1605</v>
      </c>
      <c r="K318" s="9">
        <v>1</v>
      </c>
      <c r="L318" s="9">
        <v>27</v>
      </c>
      <c r="M318" s="9">
        <v>2008</v>
      </c>
      <c r="O318" s="9" t="str">
        <f t="shared" si="16"/>
        <v>NO</v>
      </c>
      <c r="P318" s="9" t="str">
        <f t="shared" si="17"/>
        <v>YES</v>
      </c>
      <c r="Q318" s="9" t="str">
        <f t="shared" si="18"/>
        <v>Conditioned</v>
      </c>
    </row>
    <row r="319" spans="1:17">
      <c r="A319" s="9">
        <v>11178</v>
      </c>
      <c r="B319" s="9">
        <v>1</v>
      </c>
      <c r="C319" s="9" t="s">
        <v>1589</v>
      </c>
      <c r="D319" s="9" t="s">
        <v>1590</v>
      </c>
      <c r="E319" s="9" t="s">
        <v>1591</v>
      </c>
      <c r="F319" s="9" t="s">
        <v>1589</v>
      </c>
      <c r="G319" s="9" t="s">
        <v>1592</v>
      </c>
      <c r="H319" s="9" t="s">
        <v>170</v>
      </c>
      <c r="I319" s="9" t="s">
        <v>1890</v>
      </c>
      <c r="J319" s="9" t="s">
        <v>1597</v>
      </c>
      <c r="K319" s="9">
        <v>1</v>
      </c>
      <c r="L319" s="9">
        <v>17</v>
      </c>
      <c r="M319" s="9">
        <v>1986</v>
      </c>
      <c r="O319" s="9" t="str">
        <f t="shared" si="16"/>
        <v>NO</v>
      </c>
      <c r="P319" s="9" t="str">
        <f t="shared" si="17"/>
        <v>NO</v>
      </c>
      <c r="Q319" s="9" t="str">
        <f t="shared" si="18"/>
        <v>Conditioned</v>
      </c>
    </row>
    <row r="320" spans="1:17">
      <c r="A320" s="9">
        <v>11187</v>
      </c>
      <c r="B320" s="9">
        <v>1</v>
      </c>
      <c r="C320" s="9" t="s">
        <v>1589</v>
      </c>
      <c r="D320" s="9" t="s">
        <v>1590</v>
      </c>
      <c r="E320" s="9" t="s">
        <v>1591</v>
      </c>
      <c r="F320" s="9" t="s">
        <v>1589</v>
      </c>
      <c r="G320" s="9" t="s">
        <v>1592</v>
      </c>
      <c r="H320" s="9" t="s">
        <v>1638</v>
      </c>
      <c r="I320" s="9" t="s">
        <v>1891</v>
      </c>
      <c r="J320" s="9" t="s">
        <v>1597</v>
      </c>
      <c r="K320" s="9">
        <v>1</v>
      </c>
      <c r="L320" s="9">
        <v>18</v>
      </c>
      <c r="M320" s="9">
        <v>2009</v>
      </c>
      <c r="O320" s="9" t="str">
        <f t="shared" si="16"/>
        <v>NO</v>
      </c>
      <c r="P320" s="9" t="str">
        <f t="shared" si="17"/>
        <v>NO</v>
      </c>
      <c r="Q320" s="9" t="str">
        <f t="shared" si="18"/>
        <v>Conditioned</v>
      </c>
    </row>
    <row r="321" spans="1:17">
      <c r="A321" s="9">
        <v>11194</v>
      </c>
      <c r="B321" s="9">
        <v>1</v>
      </c>
      <c r="C321" s="9" t="s">
        <v>1589</v>
      </c>
      <c r="D321" s="9" t="s">
        <v>1590</v>
      </c>
      <c r="E321" s="9" t="s">
        <v>1591</v>
      </c>
      <c r="F321" s="9" t="s">
        <v>1589</v>
      </c>
      <c r="G321" s="9" t="s">
        <v>1592</v>
      </c>
      <c r="H321" s="9" t="s">
        <v>174</v>
      </c>
      <c r="I321" s="9" t="s">
        <v>1892</v>
      </c>
      <c r="J321" s="9" t="s">
        <v>1597</v>
      </c>
      <c r="K321" s="9">
        <v>1</v>
      </c>
      <c r="L321" s="9">
        <v>25</v>
      </c>
      <c r="M321" s="9">
        <v>2009</v>
      </c>
      <c r="O321" s="9" t="str">
        <f t="shared" si="16"/>
        <v>NO</v>
      </c>
      <c r="P321" s="9" t="str">
        <f t="shared" si="17"/>
        <v>NO</v>
      </c>
      <c r="Q321" s="9" t="str">
        <f t="shared" si="18"/>
        <v>Conditioned</v>
      </c>
    </row>
    <row r="322" spans="1:17">
      <c r="A322" s="9">
        <v>11210</v>
      </c>
      <c r="B322" s="9">
        <v>1</v>
      </c>
      <c r="C322" s="9" t="s">
        <v>1589</v>
      </c>
      <c r="D322" s="9" t="s">
        <v>1590</v>
      </c>
      <c r="E322" s="9" t="s">
        <v>1591</v>
      </c>
      <c r="F322" s="9" t="s">
        <v>1589</v>
      </c>
      <c r="G322" s="9" t="s">
        <v>1592</v>
      </c>
      <c r="H322" s="9" t="s">
        <v>1638</v>
      </c>
      <c r="I322" s="9" t="s">
        <v>1893</v>
      </c>
      <c r="J322" s="9" t="s">
        <v>1597</v>
      </c>
      <c r="K322" s="9">
        <v>1</v>
      </c>
      <c r="L322" s="9">
        <v>22</v>
      </c>
      <c r="M322" s="9">
        <v>2000</v>
      </c>
      <c r="O322" s="9" t="str">
        <f t="shared" si="16"/>
        <v>NO</v>
      </c>
      <c r="P322" s="9" t="str">
        <f t="shared" si="17"/>
        <v>NO</v>
      </c>
      <c r="Q322" s="9" t="str">
        <f t="shared" si="18"/>
        <v>Conditioned</v>
      </c>
    </row>
    <row r="323" spans="1:17">
      <c r="A323" s="9">
        <v>11217</v>
      </c>
      <c r="B323" s="9">
        <v>1</v>
      </c>
      <c r="C323" s="9" t="s">
        <v>1589</v>
      </c>
      <c r="D323" s="9" t="s">
        <v>1590</v>
      </c>
      <c r="E323" s="9" t="s">
        <v>1613</v>
      </c>
      <c r="F323" s="9" t="s">
        <v>1603</v>
      </c>
      <c r="G323" s="9" t="s">
        <v>1592</v>
      </c>
      <c r="H323" s="9" t="s">
        <v>170</v>
      </c>
      <c r="I323" s="9" t="s">
        <v>1894</v>
      </c>
      <c r="J323" s="9" t="s">
        <v>1608</v>
      </c>
      <c r="K323" s="9">
        <v>1</v>
      </c>
      <c r="L323" s="9">
        <v>22</v>
      </c>
      <c r="M323" s="9">
        <v>2008</v>
      </c>
      <c r="O323" s="9" t="str">
        <f t="shared" si="16"/>
        <v>NO</v>
      </c>
      <c r="P323" s="9" t="str">
        <f t="shared" si="17"/>
        <v>NO</v>
      </c>
      <c r="Q323" s="9" t="str">
        <f t="shared" si="18"/>
        <v>Conditioned</v>
      </c>
    </row>
    <row r="324" spans="1:17">
      <c r="A324" s="9">
        <v>11217</v>
      </c>
      <c r="B324" s="9">
        <v>2</v>
      </c>
      <c r="C324" s="9" t="s">
        <v>1589</v>
      </c>
      <c r="D324" s="9" t="s">
        <v>1590</v>
      </c>
      <c r="E324" s="9" t="s">
        <v>1591</v>
      </c>
      <c r="F324" s="9" t="s">
        <v>1589</v>
      </c>
      <c r="G324" s="9" t="s">
        <v>1606</v>
      </c>
      <c r="H324" s="9" t="s">
        <v>177</v>
      </c>
      <c r="I324" s="9" t="s">
        <v>1895</v>
      </c>
      <c r="J324" s="9" t="s">
        <v>1587</v>
      </c>
      <c r="K324" s="9">
        <v>1</v>
      </c>
      <c r="L324" s="9">
        <v>23</v>
      </c>
      <c r="M324" s="9">
        <v>1997</v>
      </c>
      <c r="O324" s="9" t="str">
        <f t="shared" si="16"/>
        <v>NO</v>
      </c>
      <c r="P324" s="9" t="str">
        <f t="shared" si="17"/>
        <v>YES</v>
      </c>
      <c r="Q324" s="9" t="str">
        <f t="shared" si="18"/>
        <v>Unconditioned</v>
      </c>
    </row>
    <row r="325" spans="1:17">
      <c r="A325" s="9">
        <v>11217</v>
      </c>
      <c r="B325" s="9">
        <v>3</v>
      </c>
      <c r="C325" s="9" t="s">
        <v>1589</v>
      </c>
      <c r="D325" s="9" t="s">
        <v>1590</v>
      </c>
      <c r="E325" s="9" t="s">
        <v>1613</v>
      </c>
      <c r="F325" s="9" t="s">
        <v>1603</v>
      </c>
      <c r="G325" s="9" t="s">
        <v>1606</v>
      </c>
      <c r="H325" s="9" t="s">
        <v>173</v>
      </c>
      <c r="I325" s="9" t="s">
        <v>1896</v>
      </c>
      <c r="J325" s="9" t="s">
        <v>1597</v>
      </c>
      <c r="K325" s="9">
        <v>1</v>
      </c>
      <c r="L325" s="9">
        <v>20</v>
      </c>
      <c r="M325" s="9">
        <v>2009</v>
      </c>
      <c r="O325" s="9" t="str">
        <f t="shared" si="16"/>
        <v>NO</v>
      </c>
      <c r="P325" s="9" t="str">
        <f t="shared" si="17"/>
        <v>NO</v>
      </c>
      <c r="Q325" s="9" t="str">
        <f t="shared" si="18"/>
        <v>Unconditioned</v>
      </c>
    </row>
    <row r="326" spans="1:17">
      <c r="A326" s="9">
        <v>11219</v>
      </c>
      <c r="B326" s="9">
        <v>1</v>
      </c>
      <c r="C326" s="9" t="s">
        <v>1589</v>
      </c>
      <c r="D326" s="9" t="s">
        <v>1590</v>
      </c>
      <c r="E326" s="9" t="s">
        <v>1602</v>
      </c>
      <c r="F326" s="9" t="s">
        <v>1603</v>
      </c>
      <c r="G326" s="9" t="s">
        <v>1592</v>
      </c>
      <c r="H326" s="9" t="s">
        <v>169</v>
      </c>
      <c r="I326" s="9" t="s">
        <v>1897</v>
      </c>
      <c r="J326" s="9" t="s">
        <v>1601</v>
      </c>
      <c r="K326" s="9">
        <v>1</v>
      </c>
      <c r="L326" s="9">
        <v>20</v>
      </c>
      <c r="M326" s="9">
        <v>2000</v>
      </c>
      <c r="O326" s="9" t="str">
        <f t="shared" si="16"/>
        <v>NO</v>
      </c>
      <c r="P326" s="9" t="str">
        <f t="shared" si="17"/>
        <v>NO</v>
      </c>
      <c r="Q326" s="9" t="str">
        <f t="shared" si="18"/>
        <v>Conditioned</v>
      </c>
    </row>
    <row r="327" spans="1:17">
      <c r="A327" s="9">
        <v>11219</v>
      </c>
      <c r="B327" s="9">
        <v>2</v>
      </c>
      <c r="C327" s="9" t="s">
        <v>1589</v>
      </c>
      <c r="D327" s="9" t="s">
        <v>1590</v>
      </c>
      <c r="E327" s="9" t="s">
        <v>1591</v>
      </c>
      <c r="F327" s="9" t="s">
        <v>1589</v>
      </c>
      <c r="G327" s="9" t="s">
        <v>1606</v>
      </c>
      <c r="H327" s="9" t="s">
        <v>172</v>
      </c>
      <c r="I327" s="9" t="s">
        <v>1898</v>
      </c>
      <c r="J327" s="9" t="s">
        <v>1601</v>
      </c>
      <c r="K327" s="9">
        <v>1</v>
      </c>
      <c r="L327" s="9">
        <v>22</v>
      </c>
      <c r="M327" s="9">
        <v>1987</v>
      </c>
      <c r="O327" s="9" t="str">
        <f t="shared" si="16"/>
        <v>NO</v>
      </c>
      <c r="P327" s="9" t="str">
        <f t="shared" si="17"/>
        <v>NO</v>
      </c>
      <c r="Q327" s="9" t="str">
        <f t="shared" si="18"/>
        <v>Unconditioned</v>
      </c>
    </row>
    <row r="328" spans="1:17">
      <c r="A328" s="9">
        <v>11219</v>
      </c>
      <c r="B328" s="9">
        <v>3</v>
      </c>
      <c r="C328" s="9" t="s">
        <v>1899</v>
      </c>
      <c r="D328" s="9" t="s">
        <v>1590</v>
      </c>
      <c r="E328" s="9" t="s">
        <v>1591</v>
      </c>
      <c r="F328" s="9" t="s">
        <v>1589</v>
      </c>
      <c r="G328" s="9" t="s">
        <v>1592</v>
      </c>
      <c r="H328" s="9" t="s">
        <v>1900</v>
      </c>
      <c r="I328" s="9" t="s">
        <v>1901</v>
      </c>
      <c r="J328" s="9" t="s">
        <v>1587</v>
      </c>
      <c r="K328" s="9">
        <v>1</v>
      </c>
      <c r="L328" s="9">
        <v>5</v>
      </c>
      <c r="O328" s="9" t="str">
        <f t="shared" si="16"/>
        <v>YES</v>
      </c>
      <c r="P328" s="9" t="str">
        <f t="shared" si="17"/>
        <v>YES</v>
      </c>
      <c r="Q328" s="9" t="str">
        <f t="shared" si="18"/>
        <v>Conditioned</v>
      </c>
    </row>
    <row r="329" spans="1:17">
      <c r="A329" s="9">
        <v>11221</v>
      </c>
      <c r="B329" s="9">
        <v>1</v>
      </c>
      <c r="C329" s="9" t="s">
        <v>1589</v>
      </c>
      <c r="D329" s="9" t="s">
        <v>1590</v>
      </c>
      <c r="E329" s="9" t="s">
        <v>1591</v>
      </c>
      <c r="F329" s="9" t="s">
        <v>1589</v>
      </c>
      <c r="G329" s="9" t="s">
        <v>1592</v>
      </c>
      <c r="H329" s="9" t="s">
        <v>1552</v>
      </c>
      <c r="I329" s="9" t="s">
        <v>1902</v>
      </c>
      <c r="J329" s="9" t="s">
        <v>1597</v>
      </c>
      <c r="K329" s="9">
        <v>1</v>
      </c>
      <c r="L329" s="9">
        <v>20</v>
      </c>
      <c r="M329" s="9">
        <v>2003</v>
      </c>
      <c r="O329" s="9" t="str">
        <f t="shared" si="16"/>
        <v>NO</v>
      </c>
      <c r="P329" s="9" t="str">
        <f t="shared" si="17"/>
        <v>NO</v>
      </c>
      <c r="Q329" s="9" t="str">
        <f t="shared" si="18"/>
        <v>Conditioned</v>
      </c>
    </row>
    <row r="330" spans="1:17">
      <c r="A330" s="9">
        <v>11222</v>
      </c>
      <c r="B330" s="9">
        <v>1</v>
      </c>
      <c r="C330" s="9" t="s">
        <v>1589</v>
      </c>
      <c r="D330" s="9" t="s">
        <v>1590</v>
      </c>
      <c r="E330" s="9" t="s">
        <v>1591</v>
      </c>
      <c r="F330" s="9" t="s">
        <v>1589</v>
      </c>
      <c r="G330" s="9" t="s">
        <v>1592</v>
      </c>
      <c r="H330" s="9" t="s">
        <v>177</v>
      </c>
      <c r="I330" s="9" t="s">
        <v>1903</v>
      </c>
      <c r="J330" s="9" t="s">
        <v>1597</v>
      </c>
      <c r="K330" s="9">
        <v>1</v>
      </c>
      <c r="L330" s="9">
        <v>18</v>
      </c>
      <c r="M330" s="9">
        <v>2011</v>
      </c>
      <c r="O330" s="9" t="str">
        <f t="shared" si="16"/>
        <v>NO</v>
      </c>
      <c r="P330" s="9" t="str">
        <f t="shared" si="17"/>
        <v>NO</v>
      </c>
      <c r="Q330" s="9" t="str">
        <f t="shared" si="18"/>
        <v>Conditioned</v>
      </c>
    </row>
    <row r="331" spans="1:17">
      <c r="A331" s="9">
        <v>11233</v>
      </c>
      <c r="B331" s="9">
        <v>1</v>
      </c>
      <c r="C331" s="9" t="s">
        <v>1589</v>
      </c>
      <c r="D331" s="9" t="s">
        <v>1590</v>
      </c>
      <c r="E331" s="9" t="s">
        <v>1602</v>
      </c>
      <c r="F331" s="9" t="s">
        <v>1603</v>
      </c>
      <c r="G331" s="9" t="s">
        <v>1592</v>
      </c>
      <c r="H331" s="9" t="s">
        <v>173</v>
      </c>
      <c r="I331" s="9" t="s">
        <v>1736</v>
      </c>
      <c r="J331" s="9" t="s">
        <v>1601</v>
      </c>
      <c r="K331" s="9">
        <v>1</v>
      </c>
      <c r="L331" s="9">
        <v>26</v>
      </c>
      <c r="M331" s="9">
        <v>2005</v>
      </c>
      <c r="O331" s="9" t="str">
        <f t="shared" si="16"/>
        <v>NO</v>
      </c>
      <c r="P331" s="9" t="str">
        <f t="shared" si="17"/>
        <v>NO</v>
      </c>
      <c r="Q331" s="9" t="str">
        <f t="shared" si="18"/>
        <v>Conditioned</v>
      </c>
    </row>
    <row r="332" spans="1:17">
      <c r="A332" s="9">
        <v>11236</v>
      </c>
      <c r="B332" s="9">
        <v>1</v>
      </c>
      <c r="C332" s="9" t="s">
        <v>1589</v>
      </c>
      <c r="D332" s="9" t="s">
        <v>1590</v>
      </c>
      <c r="E332" s="9" t="s">
        <v>1613</v>
      </c>
      <c r="F332" s="9" t="s">
        <v>1590</v>
      </c>
      <c r="G332" s="9" t="s">
        <v>1592</v>
      </c>
      <c r="H332" s="9" t="s">
        <v>173</v>
      </c>
      <c r="I332" s="9" t="s">
        <v>1904</v>
      </c>
      <c r="J332" s="9" t="s">
        <v>1608</v>
      </c>
      <c r="K332" s="9">
        <v>1</v>
      </c>
      <c r="L332" s="9">
        <v>22</v>
      </c>
      <c r="M332" s="9">
        <v>2011</v>
      </c>
      <c r="O332" s="9" t="str">
        <f t="shared" si="16"/>
        <v>NO</v>
      </c>
      <c r="P332" s="9" t="str">
        <f t="shared" si="17"/>
        <v>NO</v>
      </c>
      <c r="Q332" s="9" t="str">
        <f t="shared" si="18"/>
        <v>Conditioned</v>
      </c>
    </row>
    <row r="333" spans="1:17">
      <c r="A333" s="9">
        <v>11236</v>
      </c>
      <c r="B333" s="9">
        <v>2</v>
      </c>
      <c r="C333" s="9" t="s">
        <v>1589</v>
      </c>
      <c r="D333" s="9" t="s">
        <v>1590</v>
      </c>
      <c r="E333" s="9" t="s">
        <v>1591</v>
      </c>
      <c r="F333" s="9" t="s">
        <v>1589</v>
      </c>
      <c r="G333" s="9" t="s">
        <v>1592</v>
      </c>
      <c r="H333" s="9" t="s">
        <v>181</v>
      </c>
      <c r="I333" s="9" t="s">
        <v>1905</v>
      </c>
      <c r="J333" s="9" t="s">
        <v>1587</v>
      </c>
      <c r="K333" s="9">
        <v>1</v>
      </c>
      <c r="L333" s="9">
        <v>4</v>
      </c>
      <c r="O333" s="9" t="str">
        <f t="shared" si="16"/>
        <v>YES</v>
      </c>
      <c r="P333" s="9" t="str">
        <f t="shared" si="17"/>
        <v>YES</v>
      </c>
      <c r="Q333" s="9" t="str">
        <f t="shared" si="18"/>
        <v>Conditioned</v>
      </c>
    </row>
    <row r="334" spans="1:17">
      <c r="A334" s="9">
        <v>11246</v>
      </c>
      <c r="B334" s="9">
        <v>1</v>
      </c>
      <c r="C334" s="9" t="s">
        <v>1589</v>
      </c>
      <c r="D334" s="9" t="s">
        <v>1590</v>
      </c>
      <c r="E334" s="9" t="s">
        <v>1591</v>
      </c>
      <c r="F334" s="9" t="s">
        <v>1589</v>
      </c>
      <c r="G334" s="9" t="s">
        <v>1592</v>
      </c>
      <c r="H334" s="9" t="s">
        <v>170</v>
      </c>
      <c r="I334" s="9" t="s">
        <v>1906</v>
      </c>
      <c r="J334" s="9" t="s">
        <v>1597</v>
      </c>
      <c r="K334" s="9">
        <v>1</v>
      </c>
      <c r="L334" s="9">
        <v>18</v>
      </c>
      <c r="M334" s="9">
        <v>1998</v>
      </c>
      <c r="O334" s="9" t="str">
        <f t="shared" si="16"/>
        <v>NO</v>
      </c>
      <c r="P334" s="9" t="str">
        <f t="shared" si="17"/>
        <v>NO</v>
      </c>
      <c r="Q334" s="9" t="str">
        <f t="shared" si="18"/>
        <v>Conditioned</v>
      </c>
    </row>
    <row r="335" spans="1:17">
      <c r="A335" s="9">
        <v>11246</v>
      </c>
      <c r="B335" s="9">
        <v>2</v>
      </c>
      <c r="C335" s="9" t="s">
        <v>1589</v>
      </c>
      <c r="D335" s="9" t="s">
        <v>1590</v>
      </c>
      <c r="E335" s="9" t="s">
        <v>1591</v>
      </c>
      <c r="F335" s="9" t="s">
        <v>1589</v>
      </c>
      <c r="G335" s="9" t="s">
        <v>1592</v>
      </c>
      <c r="H335" s="9" t="s">
        <v>170</v>
      </c>
      <c r="I335" s="9" t="s">
        <v>1589</v>
      </c>
      <c r="J335" s="9" t="s">
        <v>1612</v>
      </c>
      <c r="K335" s="9">
        <v>1</v>
      </c>
      <c r="L335" s="9">
        <v>12</v>
      </c>
      <c r="O335" s="9" t="str">
        <f t="shared" si="16"/>
        <v>NO</v>
      </c>
      <c r="P335" s="9" t="str">
        <f t="shared" si="17"/>
        <v>NO</v>
      </c>
      <c r="Q335" s="9" t="str">
        <f t="shared" si="18"/>
        <v>Conditioned</v>
      </c>
    </row>
    <row r="336" spans="1:17">
      <c r="A336" s="9">
        <v>11246</v>
      </c>
      <c r="B336" s="9">
        <v>3</v>
      </c>
      <c r="C336" s="9" t="s">
        <v>1589</v>
      </c>
      <c r="D336" s="9" t="s">
        <v>1590</v>
      </c>
      <c r="E336" s="9" t="s">
        <v>1591</v>
      </c>
      <c r="F336" s="9" t="s">
        <v>1589</v>
      </c>
      <c r="G336" s="9" t="s">
        <v>1606</v>
      </c>
      <c r="H336" s="9" t="s">
        <v>181</v>
      </c>
      <c r="I336" s="9" t="s">
        <v>1589</v>
      </c>
      <c r="J336" s="9" t="s">
        <v>1612</v>
      </c>
      <c r="K336" s="9">
        <v>1</v>
      </c>
      <c r="L336" s="9">
        <v>3</v>
      </c>
      <c r="O336" s="9" t="str">
        <f t="shared" si="16"/>
        <v>YES</v>
      </c>
      <c r="P336" s="9" t="str">
        <f t="shared" si="17"/>
        <v>NO</v>
      </c>
      <c r="Q336" s="9" t="str">
        <f t="shared" si="18"/>
        <v>Unconditioned</v>
      </c>
    </row>
    <row r="337" spans="1:17">
      <c r="A337" s="9">
        <v>11273</v>
      </c>
      <c r="B337" s="9">
        <v>1</v>
      </c>
      <c r="C337" s="9" t="s">
        <v>1589</v>
      </c>
      <c r="D337" s="9" t="s">
        <v>1590</v>
      </c>
      <c r="E337" s="9" t="s">
        <v>1591</v>
      </c>
      <c r="F337" s="9" t="s">
        <v>1589</v>
      </c>
      <c r="G337" s="9" t="s">
        <v>1592</v>
      </c>
      <c r="H337" s="9" t="s">
        <v>1754</v>
      </c>
      <c r="I337" s="9" t="s">
        <v>1907</v>
      </c>
      <c r="J337" s="9" t="s">
        <v>1597</v>
      </c>
      <c r="K337" s="9">
        <v>1</v>
      </c>
      <c r="L337" s="9">
        <v>11</v>
      </c>
      <c r="M337" s="9">
        <v>1999</v>
      </c>
      <c r="O337" s="9" t="str">
        <f t="shared" si="16"/>
        <v>NO</v>
      </c>
      <c r="P337" s="9" t="str">
        <f t="shared" si="17"/>
        <v>NO</v>
      </c>
      <c r="Q337" s="9" t="str">
        <f t="shared" si="18"/>
        <v>Conditioned</v>
      </c>
    </row>
    <row r="338" spans="1:17">
      <c r="A338" s="9">
        <v>11273</v>
      </c>
      <c r="B338" s="9">
        <v>2</v>
      </c>
      <c r="C338" s="9" t="s">
        <v>1589</v>
      </c>
      <c r="D338" s="9" t="s">
        <v>1590</v>
      </c>
      <c r="E338" s="9" t="s">
        <v>1591</v>
      </c>
      <c r="F338" s="9" t="s">
        <v>1589</v>
      </c>
      <c r="G338" s="9" t="s">
        <v>1592</v>
      </c>
      <c r="H338" s="9" t="s">
        <v>1638</v>
      </c>
      <c r="I338" s="9" t="s">
        <v>1908</v>
      </c>
      <c r="J338" s="9" t="s">
        <v>1597</v>
      </c>
      <c r="K338" s="9">
        <v>1</v>
      </c>
      <c r="L338" s="9">
        <v>24</v>
      </c>
      <c r="M338" s="9">
        <v>1994</v>
      </c>
      <c r="O338" s="9" t="str">
        <f t="shared" si="16"/>
        <v>NO</v>
      </c>
      <c r="P338" s="9" t="str">
        <f t="shared" si="17"/>
        <v>NO</v>
      </c>
      <c r="Q338" s="9" t="str">
        <f t="shared" si="18"/>
        <v>Conditioned</v>
      </c>
    </row>
    <row r="339" spans="1:17">
      <c r="A339" s="9">
        <v>11273</v>
      </c>
      <c r="B339" s="9">
        <v>3</v>
      </c>
      <c r="C339" s="9" t="s">
        <v>1589</v>
      </c>
      <c r="D339" s="9" t="s">
        <v>1590</v>
      </c>
      <c r="E339" s="9" t="s">
        <v>1591</v>
      </c>
      <c r="F339" s="9" t="s">
        <v>1589</v>
      </c>
      <c r="G339" s="9" t="s">
        <v>1592</v>
      </c>
      <c r="H339" s="9" t="s">
        <v>170</v>
      </c>
      <c r="I339" s="9" t="s">
        <v>1909</v>
      </c>
      <c r="J339" s="9" t="s">
        <v>1597</v>
      </c>
      <c r="K339" s="9">
        <v>1</v>
      </c>
      <c r="L339" s="9">
        <v>15</v>
      </c>
      <c r="M339" s="9">
        <v>1992</v>
      </c>
      <c r="O339" s="9" t="str">
        <f t="shared" si="16"/>
        <v>NO</v>
      </c>
      <c r="P339" s="9" t="str">
        <f t="shared" si="17"/>
        <v>NO</v>
      </c>
      <c r="Q339" s="9" t="str">
        <f t="shared" si="18"/>
        <v>Conditioned</v>
      </c>
    </row>
    <row r="340" spans="1:17">
      <c r="A340" s="9">
        <v>11282</v>
      </c>
      <c r="B340" s="9">
        <v>1</v>
      </c>
      <c r="C340" s="9" t="s">
        <v>1589</v>
      </c>
      <c r="D340" s="9" t="s">
        <v>1590</v>
      </c>
      <c r="E340" s="9" t="s">
        <v>1602</v>
      </c>
      <c r="F340" s="9" t="s">
        <v>1603</v>
      </c>
      <c r="G340" s="9" t="s">
        <v>1592</v>
      </c>
      <c r="H340" s="9" t="s">
        <v>170</v>
      </c>
      <c r="I340" s="9" t="s">
        <v>1910</v>
      </c>
      <c r="J340" s="9" t="s">
        <v>1601</v>
      </c>
      <c r="K340" s="9">
        <v>1</v>
      </c>
      <c r="L340" s="9">
        <v>22</v>
      </c>
      <c r="M340" s="9">
        <v>2002</v>
      </c>
      <c r="O340" s="9" t="str">
        <f t="shared" si="16"/>
        <v>NO</v>
      </c>
      <c r="P340" s="9" t="str">
        <f t="shared" si="17"/>
        <v>NO</v>
      </c>
      <c r="Q340" s="9" t="str">
        <f t="shared" si="18"/>
        <v>Conditioned</v>
      </c>
    </row>
    <row r="341" spans="1:17">
      <c r="A341" s="9">
        <v>11282</v>
      </c>
      <c r="B341" s="9">
        <v>2</v>
      </c>
      <c r="C341" s="9" t="s">
        <v>1589</v>
      </c>
      <c r="D341" s="9" t="s">
        <v>1590</v>
      </c>
      <c r="E341" s="9" t="s">
        <v>1591</v>
      </c>
      <c r="F341" s="9" t="s">
        <v>1589</v>
      </c>
      <c r="G341" s="9" t="s">
        <v>1592</v>
      </c>
      <c r="H341" s="9" t="s">
        <v>1638</v>
      </c>
      <c r="I341" s="9" t="s">
        <v>1589</v>
      </c>
      <c r="J341" s="9" t="s">
        <v>1597</v>
      </c>
      <c r="K341" s="9">
        <v>1</v>
      </c>
      <c r="L341" s="9">
        <v>18</v>
      </c>
      <c r="M341" s="9">
        <v>1950</v>
      </c>
      <c r="O341" s="9" t="str">
        <f t="shared" si="16"/>
        <v>NO</v>
      </c>
      <c r="P341" s="9" t="str">
        <f t="shared" si="17"/>
        <v>NO</v>
      </c>
      <c r="Q341" s="9" t="str">
        <f t="shared" si="18"/>
        <v>Conditioned</v>
      </c>
    </row>
    <row r="342" spans="1:17">
      <c r="A342" s="9">
        <v>11282</v>
      </c>
      <c r="B342" s="9">
        <v>3</v>
      </c>
      <c r="C342" s="9" t="s">
        <v>1589</v>
      </c>
      <c r="D342" s="9" t="s">
        <v>1590</v>
      </c>
      <c r="E342" s="9" t="s">
        <v>1591</v>
      </c>
      <c r="F342" s="9" t="s">
        <v>1589</v>
      </c>
      <c r="G342" s="9" t="s">
        <v>1592</v>
      </c>
      <c r="H342" s="9" t="s">
        <v>170</v>
      </c>
      <c r="I342" s="9" t="s">
        <v>1911</v>
      </c>
      <c r="J342" s="9" t="s">
        <v>1605</v>
      </c>
      <c r="K342" s="9">
        <v>1</v>
      </c>
      <c r="L342" s="9">
        <v>14</v>
      </c>
      <c r="M342" s="9">
        <v>2001</v>
      </c>
      <c r="O342" s="9" t="str">
        <f t="shared" si="16"/>
        <v>NO</v>
      </c>
      <c r="P342" s="9" t="str">
        <f t="shared" si="17"/>
        <v>YES</v>
      </c>
      <c r="Q342" s="9" t="str">
        <f t="shared" si="18"/>
        <v>Conditioned</v>
      </c>
    </row>
    <row r="343" spans="1:17">
      <c r="A343" s="9">
        <v>11283</v>
      </c>
      <c r="B343" s="9">
        <v>1</v>
      </c>
      <c r="C343" s="9" t="s">
        <v>1589</v>
      </c>
      <c r="D343" s="9" t="s">
        <v>1590</v>
      </c>
      <c r="E343" s="9" t="s">
        <v>1602</v>
      </c>
      <c r="F343" s="9" t="s">
        <v>1603</v>
      </c>
      <c r="G343" s="9" t="s">
        <v>1592</v>
      </c>
      <c r="H343" s="9" t="s">
        <v>1599</v>
      </c>
      <c r="I343" s="9" t="s">
        <v>1912</v>
      </c>
      <c r="J343" s="9" t="s">
        <v>1601</v>
      </c>
      <c r="K343" s="9">
        <v>1</v>
      </c>
      <c r="L343" s="9">
        <v>25</v>
      </c>
      <c r="M343" s="9">
        <v>2006</v>
      </c>
      <c r="O343" s="9" t="str">
        <f t="shared" ref="O343:O406" si="19">IF(L343&lt;7.75,"YES","NO")</f>
        <v>NO</v>
      </c>
      <c r="P343" s="9" t="str">
        <f t="shared" ref="P343:P406" si="20">VLOOKUP(J343,$Z$21:$AA$27,2,FALSE)</f>
        <v>NO</v>
      </c>
      <c r="Q343" s="9" t="str">
        <f t="shared" ref="Q343:Q406" si="21">G343</f>
        <v>Conditioned</v>
      </c>
    </row>
    <row r="344" spans="1:17">
      <c r="A344" s="9">
        <v>11284</v>
      </c>
      <c r="B344" s="9">
        <v>1</v>
      </c>
      <c r="C344" s="9" t="s">
        <v>1589</v>
      </c>
      <c r="D344" s="9" t="s">
        <v>1590</v>
      </c>
      <c r="E344" s="9" t="s">
        <v>1613</v>
      </c>
      <c r="F344" s="9" t="s">
        <v>1603</v>
      </c>
      <c r="G344" s="9" t="s">
        <v>1592</v>
      </c>
      <c r="H344" s="9" t="s">
        <v>170</v>
      </c>
      <c r="I344" s="9" t="s">
        <v>1913</v>
      </c>
      <c r="J344" s="9" t="s">
        <v>1597</v>
      </c>
      <c r="K344" s="9">
        <v>0.75</v>
      </c>
      <c r="L344" s="9">
        <v>20</v>
      </c>
      <c r="M344" s="9">
        <v>1998</v>
      </c>
      <c r="O344" s="9" t="str">
        <f t="shared" si="19"/>
        <v>NO</v>
      </c>
      <c r="P344" s="9" t="str">
        <f t="shared" si="20"/>
        <v>NO</v>
      </c>
      <c r="Q344" s="9" t="str">
        <f t="shared" si="21"/>
        <v>Conditioned</v>
      </c>
    </row>
    <row r="345" spans="1:17">
      <c r="A345" s="9">
        <v>11284</v>
      </c>
      <c r="B345" s="9">
        <v>2</v>
      </c>
      <c r="C345" s="9" t="s">
        <v>1589</v>
      </c>
      <c r="D345" s="9" t="s">
        <v>1590</v>
      </c>
      <c r="E345" s="9" t="s">
        <v>1591</v>
      </c>
      <c r="F345" s="9" t="s">
        <v>1589</v>
      </c>
      <c r="G345" s="9" t="s">
        <v>1606</v>
      </c>
      <c r="H345" s="9" t="s">
        <v>170</v>
      </c>
      <c r="I345" s="9" t="s">
        <v>1914</v>
      </c>
      <c r="J345" s="9" t="s">
        <v>1597</v>
      </c>
      <c r="K345" s="9">
        <v>1</v>
      </c>
      <c r="L345" s="9">
        <v>18</v>
      </c>
      <c r="M345" s="9">
        <v>1975</v>
      </c>
      <c r="O345" s="9" t="str">
        <f t="shared" si="19"/>
        <v>NO</v>
      </c>
      <c r="P345" s="9" t="str">
        <f t="shared" si="20"/>
        <v>NO</v>
      </c>
      <c r="Q345" s="9" t="str">
        <f t="shared" si="21"/>
        <v>Unconditioned</v>
      </c>
    </row>
    <row r="346" spans="1:17">
      <c r="A346" s="9">
        <v>11289</v>
      </c>
      <c r="B346" s="9">
        <v>1</v>
      </c>
      <c r="C346" s="9" t="s">
        <v>1589</v>
      </c>
      <c r="D346" s="9" t="s">
        <v>1603</v>
      </c>
      <c r="E346" s="9" t="s">
        <v>1602</v>
      </c>
      <c r="F346" s="9" t="s">
        <v>1603</v>
      </c>
      <c r="G346" s="9" t="s">
        <v>1592</v>
      </c>
      <c r="H346" s="9" t="s">
        <v>172</v>
      </c>
      <c r="I346" s="9" t="s">
        <v>1915</v>
      </c>
      <c r="J346" s="9" t="s">
        <v>1601</v>
      </c>
      <c r="K346" s="9">
        <v>1</v>
      </c>
      <c r="L346" s="9">
        <v>20</v>
      </c>
      <c r="M346" s="9">
        <v>2003</v>
      </c>
      <c r="O346" s="9" t="str">
        <f t="shared" si="19"/>
        <v>NO</v>
      </c>
      <c r="P346" s="9" t="str">
        <f t="shared" si="20"/>
        <v>NO</v>
      </c>
      <c r="Q346" s="9" t="str">
        <f t="shared" si="21"/>
        <v>Conditioned</v>
      </c>
    </row>
    <row r="347" spans="1:17">
      <c r="A347" s="9">
        <v>11302</v>
      </c>
      <c r="B347" s="9">
        <v>1</v>
      </c>
      <c r="C347" s="9" t="s">
        <v>1589</v>
      </c>
      <c r="D347" s="9" t="s">
        <v>1590</v>
      </c>
      <c r="E347" s="9" t="s">
        <v>1591</v>
      </c>
      <c r="F347" s="9" t="s">
        <v>1589</v>
      </c>
      <c r="G347" s="9" t="s">
        <v>1592</v>
      </c>
      <c r="H347" s="9" t="s">
        <v>171</v>
      </c>
      <c r="I347" s="9" t="s">
        <v>1916</v>
      </c>
      <c r="J347" s="9" t="s">
        <v>1605</v>
      </c>
      <c r="K347" s="9">
        <v>1</v>
      </c>
      <c r="L347" s="9">
        <v>18</v>
      </c>
      <c r="M347" s="9">
        <v>1991</v>
      </c>
      <c r="O347" s="9" t="str">
        <f t="shared" si="19"/>
        <v>NO</v>
      </c>
      <c r="P347" s="9" t="str">
        <f t="shared" si="20"/>
        <v>YES</v>
      </c>
      <c r="Q347" s="9" t="str">
        <f t="shared" si="21"/>
        <v>Conditioned</v>
      </c>
    </row>
    <row r="348" spans="1:17">
      <c r="A348" s="9">
        <v>11302</v>
      </c>
      <c r="B348" s="9">
        <v>2</v>
      </c>
      <c r="C348" s="9" t="s">
        <v>1589</v>
      </c>
      <c r="D348" s="9" t="s">
        <v>1590</v>
      </c>
      <c r="E348" s="9" t="s">
        <v>1591</v>
      </c>
      <c r="F348" s="9" t="s">
        <v>1589</v>
      </c>
      <c r="G348" s="9" t="s">
        <v>1592</v>
      </c>
      <c r="H348" s="9" t="s">
        <v>174</v>
      </c>
      <c r="I348" s="9" t="s">
        <v>1917</v>
      </c>
      <c r="J348" s="9" t="s">
        <v>1608</v>
      </c>
      <c r="K348" s="9">
        <v>1</v>
      </c>
      <c r="L348" s="9">
        <v>20</v>
      </c>
      <c r="M348" s="9">
        <v>1991</v>
      </c>
      <c r="O348" s="9" t="str">
        <f t="shared" si="19"/>
        <v>NO</v>
      </c>
      <c r="P348" s="9" t="str">
        <f t="shared" si="20"/>
        <v>NO</v>
      </c>
      <c r="Q348" s="9" t="str">
        <f t="shared" si="21"/>
        <v>Conditioned</v>
      </c>
    </row>
    <row r="349" spans="1:17">
      <c r="A349" s="9">
        <v>11315</v>
      </c>
      <c r="B349" s="9">
        <v>1</v>
      </c>
      <c r="C349" s="9" t="s">
        <v>1589</v>
      </c>
      <c r="D349" s="9" t="s">
        <v>1590</v>
      </c>
      <c r="E349" s="9" t="s">
        <v>1613</v>
      </c>
      <c r="F349" s="9" t="s">
        <v>1603</v>
      </c>
      <c r="G349" s="9" t="s">
        <v>1592</v>
      </c>
      <c r="H349" s="9" t="s">
        <v>173</v>
      </c>
      <c r="I349" s="9" t="s">
        <v>1918</v>
      </c>
      <c r="J349" s="9" t="s">
        <v>1608</v>
      </c>
      <c r="K349" s="9">
        <v>1</v>
      </c>
      <c r="L349" s="9">
        <v>26</v>
      </c>
      <c r="M349" s="9">
        <v>2008</v>
      </c>
      <c r="O349" s="9" t="str">
        <f t="shared" si="19"/>
        <v>NO</v>
      </c>
      <c r="P349" s="9" t="str">
        <f t="shared" si="20"/>
        <v>NO</v>
      </c>
      <c r="Q349" s="9" t="str">
        <f t="shared" si="21"/>
        <v>Conditioned</v>
      </c>
    </row>
    <row r="350" spans="1:17">
      <c r="A350" s="9">
        <v>11317</v>
      </c>
      <c r="B350" s="9">
        <v>1</v>
      </c>
      <c r="C350" s="9" t="s">
        <v>1589</v>
      </c>
      <c r="D350" s="9" t="s">
        <v>1590</v>
      </c>
      <c r="E350" s="9" t="s">
        <v>1591</v>
      </c>
      <c r="F350" s="9" t="s">
        <v>1589</v>
      </c>
      <c r="G350" s="9" t="s">
        <v>1592</v>
      </c>
      <c r="H350" s="9" t="s">
        <v>174</v>
      </c>
      <c r="I350" s="9" t="s">
        <v>1919</v>
      </c>
      <c r="J350" s="9" t="s">
        <v>1608</v>
      </c>
      <c r="K350" s="9">
        <v>1</v>
      </c>
      <c r="L350" s="9">
        <v>21</v>
      </c>
      <c r="M350" s="9">
        <v>1990</v>
      </c>
      <c r="O350" s="9" t="str">
        <f t="shared" si="19"/>
        <v>NO</v>
      </c>
      <c r="P350" s="9" t="str">
        <f t="shared" si="20"/>
        <v>NO</v>
      </c>
      <c r="Q350" s="9" t="str">
        <f t="shared" si="21"/>
        <v>Conditioned</v>
      </c>
    </row>
    <row r="351" spans="1:17">
      <c r="A351" s="9">
        <v>11317</v>
      </c>
      <c r="B351" s="9">
        <v>2</v>
      </c>
      <c r="C351" s="9" t="s">
        <v>1589</v>
      </c>
      <c r="D351" s="9" t="s">
        <v>1590</v>
      </c>
      <c r="E351" s="9" t="s">
        <v>1591</v>
      </c>
      <c r="F351" s="9" t="s">
        <v>1589</v>
      </c>
      <c r="G351" s="9" t="s">
        <v>1592</v>
      </c>
      <c r="H351" s="9" t="s">
        <v>1624</v>
      </c>
      <c r="I351" s="9" t="s">
        <v>1920</v>
      </c>
      <c r="J351" s="9" t="s">
        <v>1605</v>
      </c>
      <c r="K351" s="9">
        <v>1</v>
      </c>
      <c r="L351" s="9">
        <v>15</v>
      </c>
      <c r="M351" s="9">
        <v>1999</v>
      </c>
      <c r="O351" s="9" t="str">
        <f t="shared" si="19"/>
        <v>NO</v>
      </c>
      <c r="P351" s="9" t="str">
        <f t="shared" si="20"/>
        <v>YES</v>
      </c>
      <c r="Q351" s="9" t="str">
        <f t="shared" si="21"/>
        <v>Conditioned</v>
      </c>
    </row>
    <row r="352" spans="1:17">
      <c r="A352" s="9">
        <v>11323</v>
      </c>
      <c r="B352" s="9">
        <v>1</v>
      </c>
      <c r="C352" s="9" t="s">
        <v>1589</v>
      </c>
      <c r="D352" s="9" t="s">
        <v>1590</v>
      </c>
      <c r="E352" s="9" t="s">
        <v>1591</v>
      </c>
      <c r="F352" s="9" t="s">
        <v>1589</v>
      </c>
      <c r="G352" s="9" t="s">
        <v>1592</v>
      </c>
      <c r="H352" s="9" t="s">
        <v>1638</v>
      </c>
      <c r="I352" s="9" t="s">
        <v>1921</v>
      </c>
      <c r="J352" s="9" t="s">
        <v>1605</v>
      </c>
      <c r="K352" s="9">
        <v>1</v>
      </c>
      <c r="L352" s="9">
        <v>19</v>
      </c>
      <c r="M352" s="9">
        <v>2004</v>
      </c>
      <c r="O352" s="9" t="str">
        <f t="shared" si="19"/>
        <v>NO</v>
      </c>
      <c r="P352" s="9" t="str">
        <f t="shared" si="20"/>
        <v>YES</v>
      </c>
      <c r="Q352" s="9" t="str">
        <f t="shared" si="21"/>
        <v>Conditioned</v>
      </c>
    </row>
    <row r="353" spans="1:17">
      <c r="A353" s="9">
        <v>11323</v>
      </c>
      <c r="B353" s="9">
        <v>2</v>
      </c>
      <c r="C353" s="9" t="s">
        <v>1589</v>
      </c>
      <c r="D353" s="9" t="s">
        <v>1590</v>
      </c>
      <c r="E353" s="9" t="s">
        <v>1591</v>
      </c>
      <c r="F353" s="9" t="s">
        <v>1589</v>
      </c>
      <c r="G353" s="9" t="s">
        <v>1592</v>
      </c>
      <c r="H353" s="9" t="s">
        <v>170</v>
      </c>
      <c r="I353" s="9" t="s">
        <v>1922</v>
      </c>
      <c r="J353" s="9" t="s">
        <v>1597</v>
      </c>
      <c r="K353" s="9">
        <v>1</v>
      </c>
      <c r="L353" s="9">
        <v>17</v>
      </c>
      <c r="M353" s="9">
        <v>2007</v>
      </c>
      <c r="O353" s="9" t="str">
        <f t="shared" si="19"/>
        <v>NO</v>
      </c>
      <c r="P353" s="9" t="str">
        <f t="shared" si="20"/>
        <v>NO</v>
      </c>
      <c r="Q353" s="9" t="str">
        <f t="shared" si="21"/>
        <v>Conditioned</v>
      </c>
    </row>
    <row r="354" spans="1:17">
      <c r="A354" s="9">
        <v>11327</v>
      </c>
      <c r="B354" s="9">
        <v>1</v>
      </c>
      <c r="C354" s="9" t="s">
        <v>1589</v>
      </c>
      <c r="D354" s="9" t="s">
        <v>1590</v>
      </c>
      <c r="E354" s="9" t="s">
        <v>1591</v>
      </c>
      <c r="F354" s="9" t="s">
        <v>1589</v>
      </c>
      <c r="G354" s="9" t="s">
        <v>1606</v>
      </c>
      <c r="H354" s="9" t="s">
        <v>1624</v>
      </c>
      <c r="I354" s="9" t="s">
        <v>1923</v>
      </c>
      <c r="J354" s="9" t="s">
        <v>1587</v>
      </c>
      <c r="K354" s="9">
        <v>1</v>
      </c>
      <c r="L354" s="9">
        <v>20</v>
      </c>
      <c r="M354" s="9">
        <v>1984</v>
      </c>
      <c r="O354" s="9" t="str">
        <f t="shared" si="19"/>
        <v>NO</v>
      </c>
      <c r="P354" s="9" t="str">
        <f t="shared" si="20"/>
        <v>YES</v>
      </c>
      <c r="Q354" s="9" t="str">
        <f t="shared" si="21"/>
        <v>Unconditioned</v>
      </c>
    </row>
    <row r="355" spans="1:17">
      <c r="A355" s="9">
        <v>11327</v>
      </c>
      <c r="B355" s="9">
        <v>2</v>
      </c>
      <c r="C355" s="9" t="s">
        <v>1589</v>
      </c>
      <c r="D355" s="9" t="s">
        <v>1590</v>
      </c>
      <c r="E355" s="9" t="s">
        <v>1591</v>
      </c>
      <c r="F355" s="9" t="s">
        <v>1589</v>
      </c>
      <c r="G355" s="9" t="s">
        <v>1592</v>
      </c>
      <c r="H355" s="9" t="s">
        <v>172</v>
      </c>
      <c r="I355" s="9" t="s">
        <v>1924</v>
      </c>
      <c r="J355" s="9" t="s">
        <v>1597</v>
      </c>
      <c r="K355" s="9">
        <v>1</v>
      </c>
      <c r="L355" s="9">
        <v>22</v>
      </c>
      <c r="M355" s="9">
        <v>2004</v>
      </c>
      <c r="O355" s="9" t="str">
        <f t="shared" si="19"/>
        <v>NO</v>
      </c>
      <c r="P355" s="9" t="str">
        <f t="shared" si="20"/>
        <v>NO</v>
      </c>
      <c r="Q355" s="9" t="str">
        <f t="shared" si="21"/>
        <v>Conditioned</v>
      </c>
    </row>
    <row r="356" spans="1:17">
      <c r="A356" s="9">
        <v>11332</v>
      </c>
      <c r="B356" s="9">
        <v>1</v>
      </c>
      <c r="C356" s="9" t="s">
        <v>1589</v>
      </c>
      <c r="D356" s="9" t="s">
        <v>1590</v>
      </c>
      <c r="E356" s="9" t="s">
        <v>1591</v>
      </c>
      <c r="F356" s="9" t="s">
        <v>1589</v>
      </c>
      <c r="G356" s="9" t="s">
        <v>1592</v>
      </c>
      <c r="H356" s="9" t="s">
        <v>173</v>
      </c>
      <c r="I356" s="9" t="s">
        <v>1925</v>
      </c>
      <c r="J356" s="9" t="s">
        <v>1597</v>
      </c>
      <c r="K356" s="9">
        <v>1</v>
      </c>
      <c r="L356" s="9">
        <v>18</v>
      </c>
      <c r="M356" s="9">
        <v>2005</v>
      </c>
      <c r="O356" s="9" t="str">
        <f t="shared" si="19"/>
        <v>NO</v>
      </c>
      <c r="P356" s="9" t="str">
        <f t="shared" si="20"/>
        <v>NO</v>
      </c>
      <c r="Q356" s="9" t="str">
        <f t="shared" si="21"/>
        <v>Conditioned</v>
      </c>
    </row>
    <row r="357" spans="1:17">
      <c r="A357" s="9">
        <v>11339</v>
      </c>
      <c r="B357" s="9">
        <v>1</v>
      </c>
      <c r="C357" s="9" t="s">
        <v>1589</v>
      </c>
      <c r="D357" s="9" t="s">
        <v>1590</v>
      </c>
      <c r="E357" s="9" t="s">
        <v>1613</v>
      </c>
      <c r="F357" s="9" t="s">
        <v>1603</v>
      </c>
      <c r="G357" s="9" t="s">
        <v>1592</v>
      </c>
      <c r="H357" s="9" t="s">
        <v>170</v>
      </c>
      <c r="I357" s="9" t="s">
        <v>1926</v>
      </c>
      <c r="J357" s="9" t="s">
        <v>1597</v>
      </c>
      <c r="K357" s="9">
        <v>1</v>
      </c>
      <c r="L357" s="9">
        <v>18</v>
      </c>
      <c r="M357" s="9">
        <v>1996</v>
      </c>
      <c r="O357" s="9" t="str">
        <f t="shared" si="19"/>
        <v>NO</v>
      </c>
      <c r="P357" s="9" t="str">
        <f t="shared" si="20"/>
        <v>NO</v>
      </c>
      <c r="Q357" s="9" t="str">
        <f t="shared" si="21"/>
        <v>Conditioned</v>
      </c>
    </row>
    <row r="358" spans="1:17">
      <c r="A358" s="9">
        <v>11341</v>
      </c>
      <c r="B358" s="9">
        <v>1</v>
      </c>
      <c r="C358" s="9" t="s">
        <v>1589</v>
      </c>
      <c r="D358" s="9" t="s">
        <v>1590</v>
      </c>
      <c r="E358" s="9" t="s">
        <v>1602</v>
      </c>
      <c r="F358" s="9" t="s">
        <v>1603</v>
      </c>
      <c r="G358" s="9" t="s">
        <v>1592</v>
      </c>
      <c r="H358" s="9" t="s">
        <v>174</v>
      </c>
      <c r="I358" s="9" t="s">
        <v>1927</v>
      </c>
      <c r="J358" s="9" t="s">
        <v>1601</v>
      </c>
      <c r="K358" s="9">
        <v>1</v>
      </c>
      <c r="L358" s="9">
        <v>21</v>
      </c>
      <c r="M358" s="9">
        <v>1992</v>
      </c>
      <c r="O358" s="9" t="str">
        <f t="shared" si="19"/>
        <v>NO</v>
      </c>
      <c r="P358" s="9" t="str">
        <f t="shared" si="20"/>
        <v>NO</v>
      </c>
      <c r="Q358" s="9" t="str">
        <f t="shared" si="21"/>
        <v>Conditioned</v>
      </c>
    </row>
    <row r="359" spans="1:17">
      <c r="A359" s="9">
        <v>11341</v>
      </c>
      <c r="B359" s="9">
        <v>2</v>
      </c>
      <c r="C359" s="9" t="s">
        <v>1589</v>
      </c>
      <c r="D359" s="9" t="s">
        <v>1590</v>
      </c>
      <c r="E359" s="9" t="s">
        <v>1591</v>
      </c>
      <c r="F359" s="9" t="s">
        <v>1589</v>
      </c>
      <c r="G359" s="9" t="s">
        <v>1606</v>
      </c>
      <c r="H359" s="9" t="s">
        <v>172</v>
      </c>
      <c r="I359" s="9" t="s">
        <v>1928</v>
      </c>
      <c r="J359" s="9" t="s">
        <v>1597</v>
      </c>
      <c r="K359" s="9">
        <v>1</v>
      </c>
      <c r="L359" s="9">
        <v>17</v>
      </c>
      <c r="M359" s="9">
        <v>2009</v>
      </c>
      <c r="O359" s="9" t="str">
        <f t="shared" si="19"/>
        <v>NO</v>
      </c>
      <c r="P359" s="9" t="str">
        <f t="shared" si="20"/>
        <v>NO</v>
      </c>
      <c r="Q359" s="9" t="str">
        <f t="shared" si="21"/>
        <v>Unconditioned</v>
      </c>
    </row>
    <row r="360" spans="1:17">
      <c r="A360" s="9">
        <v>11341</v>
      </c>
      <c r="B360" s="9">
        <v>3</v>
      </c>
      <c r="C360" s="9" t="s">
        <v>1589</v>
      </c>
      <c r="D360" s="9" t="s">
        <v>1590</v>
      </c>
      <c r="E360" s="9" t="s">
        <v>1591</v>
      </c>
      <c r="F360" s="9" t="s">
        <v>1589</v>
      </c>
      <c r="G360" s="9" t="s">
        <v>1606</v>
      </c>
      <c r="H360" s="9" t="s">
        <v>169</v>
      </c>
      <c r="I360" s="9" t="s">
        <v>1929</v>
      </c>
      <c r="J360" s="9" t="s">
        <v>1605</v>
      </c>
      <c r="K360" s="9">
        <v>1</v>
      </c>
      <c r="L360" s="9">
        <v>19</v>
      </c>
      <c r="M360" s="9">
        <v>2003</v>
      </c>
      <c r="O360" s="9" t="str">
        <f t="shared" si="19"/>
        <v>NO</v>
      </c>
      <c r="P360" s="9" t="str">
        <f t="shared" si="20"/>
        <v>YES</v>
      </c>
      <c r="Q360" s="9" t="str">
        <f t="shared" si="21"/>
        <v>Unconditioned</v>
      </c>
    </row>
    <row r="361" spans="1:17">
      <c r="A361" s="9">
        <v>11342</v>
      </c>
      <c r="B361" s="9">
        <v>1</v>
      </c>
      <c r="C361" s="9" t="s">
        <v>1589</v>
      </c>
      <c r="D361" s="9" t="s">
        <v>1590</v>
      </c>
      <c r="E361" s="9" t="s">
        <v>1613</v>
      </c>
      <c r="F361" s="9" t="s">
        <v>1603</v>
      </c>
      <c r="G361" s="9" t="s">
        <v>1592</v>
      </c>
      <c r="H361" s="9" t="s">
        <v>1017</v>
      </c>
      <c r="I361" s="9" t="s">
        <v>1930</v>
      </c>
      <c r="J361" s="9" t="s">
        <v>1608</v>
      </c>
      <c r="K361" s="9">
        <v>1</v>
      </c>
      <c r="L361" s="9">
        <v>20</v>
      </c>
      <c r="M361" s="9">
        <v>2009</v>
      </c>
      <c r="O361" s="9" t="str">
        <f t="shared" si="19"/>
        <v>NO</v>
      </c>
      <c r="P361" s="9" t="str">
        <f t="shared" si="20"/>
        <v>NO</v>
      </c>
      <c r="Q361" s="9" t="str">
        <f t="shared" si="21"/>
        <v>Conditioned</v>
      </c>
    </row>
    <row r="362" spans="1:17">
      <c r="A362" s="9">
        <v>11346</v>
      </c>
      <c r="B362" s="9">
        <v>1</v>
      </c>
      <c r="C362" s="9" t="s">
        <v>1589</v>
      </c>
      <c r="D362" s="9" t="s">
        <v>1590</v>
      </c>
      <c r="E362" s="9" t="s">
        <v>1602</v>
      </c>
      <c r="F362" s="9" t="s">
        <v>1603</v>
      </c>
      <c r="G362" s="9" t="s">
        <v>1592</v>
      </c>
      <c r="H362" s="9" t="s">
        <v>1017</v>
      </c>
      <c r="I362" s="9" t="s">
        <v>1931</v>
      </c>
      <c r="J362" s="9" t="s">
        <v>1601</v>
      </c>
      <c r="K362" s="9">
        <v>1</v>
      </c>
      <c r="L362" s="9">
        <v>26</v>
      </c>
      <c r="M362" s="9">
        <v>2006</v>
      </c>
      <c r="O362" s="9" t="str">
        <f t="shared" si="19"/>
        <v>NO</v>
      </c>
      <c r="P362" s="9" t="str">
        <f t="shared" si="20"/>
        <v>NO</v>
      </c>
      <c r="Q362" s="9" t="str">
        <f t="shared" si="21"/>
        <v>Conditioned</v>
      </c>
    </row>
    <row r="363" spans="1:17">
      <c r="A363" s="9">
        <v>11346</v>
      </c>
      <c r="B363" s="9">
        <v>2</v>
      </c>
      <c r="C363" s="9" t="s">
        <v>1589</v>
      </c>
      <c r="D363" s="9" t="s">
        <v>1590</v>
      </c>
      <c r="E363" s="9" t="s">
        <v>1591</v>
      </c>
      <c r="F363" s="9" t="s">
        <v>1589</v>
      </c>
      <c r="G363" s="9" t="s">
        <v>1606</v>
      </c>
      <c r="H363" s="9" t="s">
        <v>173</v>
      </c>
      <c r="I363" s="9" t="s">
        <v>1932</v>
      </c>
      <c r="J363" s="9" t="s">
        <v>1608</v>
      </c>
      <c r="K363" s="9">
        <v>0.75</v>
      </c>
      <c r="L363" s="9">
        <v>24</v>
      </c>
      <c r="M363" s="9">
        <v>1985</v>
      </c>
      <c r="O363" s="9" t="str">
        <f t="shared" si="19"/>
        <v>NO</v>
      </c>
      <c r="P363" s="9" t="str">
        <f t="shared" si="20"/>
        <v>NO</v>
      </c>
      <c r="Q363" s="9" t="str">
        <f t="shared" si="21"/>
        <v>Unconditioned</v>
      </c>
    </row>
    <row r="364" spans="1:17">
      <c r="A364" s="9">
        <v>11347</v>
      </c>
      <c r="B364" s="9">
        <v>1</v>
      </c>
      <c r="C364" s="9" t="s">
        <v>1589</v>
      </c>
      <c r="D364" s="9" t="s">
        <v>1590</v>
      </c>
      <c r="E364" s="9" t="s">
        <v>1602</v>
      </c>
      <c r="F364" s="9" t="s">
        <v>1603</v>
      </c>
      <c r="G364" s="9" t="s">
        <v>1592</v>
      </c>
      <c r="H364" s="9" t="s">
        <v>177</v>
      </c>
      <c r="I364" s="9" t="s">
        <v>1933</v>
      </c>
      <c r="J364" s="9" t="s">
        <v>1601</v>
      </c>
      <c r="K364" s="9">
        <v>1</v>
      </c>
      <c r="L364" s="9">
        <v>28</v>
      </c>
      <c r="M364" s="9">
        <v>2007</v>
      </c>
      <c r="O364" s="9" t="str">
        <f t="shared" si="19"/>
        <v>NO</v>
      </c>
      <c r="P364" s="9" t="str">
        <f t="shared" si="20"/>
        <v>NO</v>
      </c>
      <c r="Q364" s="9" t="str">
        <f t="shared" si="21"/>
        <v>Conditioned</v>
      </c>
    </row>
    <row r="365" spans="1:17">
      <c r="A365" s="9">
        <v>11347</v>
      </c>
      <c r="B365" s="9">
        <v>2</v>
      </c>
      <c r="C365" s="9" t="s">
        <v>1589</v>
      </c>
      <c r="D365" s="9" t="s">
        <v>1590</v>
      </c>
      <c r="E365" s="9" t="s">
        <v>1591</v>
      </c>
      <c r="F365" s="9" t="s">
        <v>1589</v>
      </c>
      <c r="G365" s="9" t="s">
        <v>1592</v>
      </c>
      <c r="H365" s="9" t="s">
        <v>1638</v>
      </c>
      <c r="I365" s="9" t="s">
        <v>1934</v>
      </c>
      <c r="J365" s="9" t="s">
        <v>1597</v>
      </c>
      <c r="K365" s="9">
        <v>1</v>
      </c>
      <c r="L365" s="9">
        <v>16</v>
      </c>
      <c r="M365" s="9">
        <v>1992</v>
      </c>
      <c r="O365" s="9" t="str">
        <f t="shared" si="19"/>
        <v>NO</v>
      </c>
      <c r="P365" s="9" t="str">
        <f t="shared" si="20"/>
        <v>NO</v>
      </c>
      <c r="Q365" s="9" t="str">
        <f t="shared" si="21"/>
        <v>Conditioned</v>
      </c>
    </row>
    <row r="366" spans="1:17">
      <c r="A366" s="9">
        <v>11347</v>
      </c>
      <c r="B366" s="9">
        <v>3</v>
      </c>
      <c r="C366" s="9" t="s">
        <v>1589</v>
      </c>
      <c r="D366" s="9" t="s">
        <v>1590</v>
      </c>
      <c r="E366" s="9" t="s">
        <v>1591</v>
      </c>
      <c r="F366" s="9" t="s">
        <v>1589</v>
      </c>
      <c r="G366" s="9" t="s">
        <v>1592</v>
      </c>
      <c r="H366" s="9" t="s">
        <v>1624</v>
      </c>
      <c r="I366" s="9" t="s">
        <v>1935</v>
      </c>
      <c r="J366" s="9" t="s">
        <v>1605</v>
      </c>
      <c r="K366" s="9">
        <v>1</v>
      </c>
      <c r="L366" s="9">
        <v>18</v>
      </c>
      <c r="M366" s="9">
        <v>1965</v>
      </c>
      <c r="O366" s="9" t="str">
        <f t="shared" si="19"/>
        <v>NO</v>
      </c>
      <c r="P366" s="9" t="str">
        <f t="shared" si="20"/>
        <v>YES</v>
      </c>
      <c r="Q366" s="9" t="str">
        <f t="shared" si="21"/>
        <v>Conditioned</v>
      </c>
    </row>
    <row r="367" spans="1:17">
      <c r="A367" s="9">
        <v>11349</v>
      </c>
      <c r="B367" s="9">
        <v>1</v>
      </c>
      <c r="C367" s="9" t="s">
        <v>1589</v>
      </c>
      <c r="D367" s="9" t="s">
        <v>1590</v>
      </c>
      <c r="E367" s="9" t="s">
        <v>1602</v>
      </c>
      <c r="F367" s="9" t="s">
        <v>1603</v>
      </c>
      <c r="G367" s="9" t="s">
        <v>1592</v>
      </c>
      <c r="H367" s="9" t="s">
        <v>174</v>
      </c>
      <c r="I367" s="9" t="s">
        <v>1936</v>
      </c>
      <c r="J367" s="9" t="s">
        <v>1601</v>
      </c>
      <c r="K367" s="9">
        <v>1</v>
      </c>
      <c r="L367" s="9">
        <v>26</v>
      </c>
      <c r="M367" s="9">
        <v>2005</v>
      </c>
      <c r="O367" s="9" t="str">
        <f t="shared" si="19"/>
        <v>NO</v>
      </c>
      <c r="P367" s="9" t="str">
        <f t="shared" si="20"/>
        <v>NO</v>
      </c>
      <c r="Q367" s="9" t="str">
        <f t="shared" si="21"/>
        <v>Conditioned</v>
      </c>
    </row>
    <row r="368" spans="1:17">
      <c r="A368" s="9">
        <v>11352</v>
      </c>
      <c r="B368" s="9">
        <v>1</v>
      </c>
      <c r="C368" s="9" t="s">
        <v>1589</v>
      </c>
      <c r="D368" s="9" t="s">
        <v>1590</v>
      </c>
      <c r="E368" s="9" t="s">
        <v>1613</v>
      </c>
      <c r="F368" s="9" t="s">
        <v>1590</v>
      </c>
      <c r="G368" s="9" t="s">
        <v>1592</v>
      </c>
      <c r="H368" s="9" t="s">
        <v>177</v>
      </c>
      <c r="I368" s="9" t="s">
        <v>1937</v>
      </c>
      <c r="J368" s="9" t="s">
        <v>1601</v>
      </c>
      <c r="K368" s="9">
        <v>1</v>
      </c>
      <c r="L368" s="9">
        <v>21</v>
      </c>
      <c r="M368" s="9">
        <v>2004</v>
      </c>
      <c r="O368" s="9" t="str">
        <f t="shared" si="19"/>
        <v>NO</v>
      </c>
      <c r="P368" s="9" t="str">
        <f t="shared" si="20"/>
        <v>NO</v>
      </c>
      <c r="Q368" s="9" t="str">
        <f t="shared" si="21"/>
        <v>Conditioned</v>
      </c>
    </row>
    <row r="369" spans="1:17">
      <c r="A369" s="9">
        <v>11375</v>
      </c>
      <c r="B369" s="9">
        <v>1</v>
      </c>
      <c r="C369" s="9" t="s">
        <v>1589</v>
      </c>
      <c r="D369" s="9" t="s">
        <v>1590</v>
      </c>
      <c r="E369" s="9" t="s">
        <v>1602</v>
      </c>
      <c r="F369" s="9" t="s">
        <v>1603</v>
      </c>
      <c r="G369" s="9" t="s">
        <v>1592</v>
      </c>
      <c r="H369" s="9" t="s">
        <v>1624</v>
      </c>
      <c r="I369" s="9" t="s">
        <v>1938</v>
      </c>
      <c r="J369" s="9" t="s">
        <v>1601</v>
      </c>
      <c r="K369" s="9">
        <v>1</v>
      </c>
      <c r="L369" s="9">
        <v>26</v>
      </c>
      <c r="M369" s="9">
        <v>2005</v>
      </c>
      <c r="O369" s="9" t="str">
        <f t="shared" si="19"/>
        <v>NO</v>
      </c>
      <c r="P369" s="9" t="str">
        <f t="shared" si="20"/>
        <v>NO</v>
      </c>
      <c r="Q369" s="9" t="str">
        <f t="shared" si="21"/>
        <v>Conditioned</v>
      </c>
    </row>
    <row r="370" spans="1:17">
      <c r="A370" s="9">
        <v>11377</v>
      </c>
      <c r="B370" s="9">
        <v>1</v>
      </c>
      <c r="C370" s="9" t="s">
        <v>1589</v>
      </c>
      <c r="D370" s="9" t="s">
        <v>1603</v>
      </c>
      <c r="E370" s="9" t="s">
        <v>1613</v>
      </c>
      <c r="F370" s="9" t="s">
        <v>1603</v>
      </c>
      <c r="G370" s="9" t="s">
        <v>1592</v>
      </c>
      <c r="H370" s="9" t="s">
        <v>177</v>
      </c>
      <c r="I370" s="9" t="s">
        <v>1939</v>
      </c>
      <c r="J370" s="9" t="s">
        <v>1608</v>
      </c>
      <c r="K370" s="9">
        <v>1</v>
      </c>
      <c r="L370" s="9">
        <v>22</v>
      </c>
      <c r="M370" s="9">
        <v>2010</v>
      </c>
      <c r="O370" s="9" t="str">
        <f t="shared" si="19"/>
        <v>NO</v>
      </c>
      <c r="P370" s="9" t="str">
        <f t="shared" si="20"/>
        <v>NO</v>
      </c>
      <c r="Q370" s="9" t="str">
        <f t="shared" si="21"/>
        <v>Conditioned</v>
      </c>
    </row>
    <row r="371" spans="1:17">
      <c r="A371" s="9">
        <v>11409</v>
      </c>
      <c r="B371" s="9">
        <v>1</v>
      </c>
      <c r="C371" s="9" t="s">
        <v>1589</v>
      </c>
      <c r="D371" s="9" t="s">
        <v>1603</v>
      </c>
      <c r="E371" s="9" t="s">
        <v>1613</v>
      </c>
      <c r="F371" s="9" t="s">
        <v>1603</v>
      </c>
      <c r="G371" s="9" t="s">
        <v>1592</v>
      </c>
      <c r="H371" s="9" t="s">
        <v>176</v>
      </c>
      <c r="I371" s="9" t="s">
        <v>1940</v>
      </c>
      <c r="J371" s="9" t="s">
        <v>1608</v>
      </c>
      <c r="K371" s="9">
        <v>1</v>
      </c>
      <c r="L371" s="9">
        <v>26</v>
      </c>
      <c r="M371" s="9">
        <v>2009</v>
      </c>
      <c r="O371" s="9" t="str">
        <f t="shared" si="19"/>
        <v>NO</v>
      </c>
      <c r="P371" s="9" t="str">
        <f t="shared" si="20"/>
        <v>NO</v>
      </c>
      <c r="Q371" s="9" t="str">
        <f t="shared" si="21"/>
        <v>Conditioned</v>
      </c>
    </row>
    <row r="372" spans="1:17">
      <c r="A372" s="9">
        <v>11411</v>
      </c>
      <c r="B372" s="9">
        <v>1</v>
      </c>
      <c r="C372" s="9" t="s">
        <v>1589</v>
      </c>
      <c r="D372" s="9" t="s">
        <v>1590</v>
      </c>
      <c r="E372" s="9" t="s">
        <v>1602</v>
      </c>
      <c r="F372" s="9" t="s">
        <v>1603</v>
      </c>
      <c r="G372" s="9" t="s">
        <v>1592</v>
      </c>
      <c r="H372" s="9" t="s">
        <v>1599</v>
      </c>
      <c r="I372" s="9" t="s">
        <v>1941</v>
      </c>
      <c r="J372" s="9" t="s">
        <v>1601</v>
      </c>
      <c r="K372" s="9">
        <v>1</v>
      </c>
      <c r="L372" s="9">
        <v>22</v>
      </c>
      <c r="M372" s="9">
        <v>2003</v>
      </c>
      <c r="O372" s="9" t="str">
        <f t="shared" si="19"/>
        <v>NO</v>
      </c>
      <c r="P372" s="9" t="str">
        <f t="shared" si="20"/>
        <v>NO</v>
      </c>
      <c r="Q372" s="9" t="str">
        <f t="shared" si="21"/>
        <v>Conditioned</v>
      </c>
    </row>
    <row r="373" spans="1:17">
      <c r="A373" s="9">
        <v>11414</v>
      </c>
      <c r="B373" s="9">
        <v>1</v>
      </c>
      <c r="C373" s="9" t="s">
        <v>1589</v>
      </c>
      <c r="D373" s="9" t="s">
        <v>1590</v>
      </c>
      <c r="E373" s="9" t="s">
        <v>1613</v>
      </c>
      <c r="F373" s="9" t="s">
        <v>1603</v>
      </c>
      <c r="G373" s="9" t="s">
        <v>1592</v>
      </c>
      <c r="H373" s="9" t="s">
        <v>173</v>
      </c>
      <c r="I373" s="9" t="s">
        <v>1942</v>
      </c>
      <c r="J373" s="9" t="s">
        <v>1608</v>
      </c>
      <c r="K373" s="9">
        <v>1</v>
      </c>
      <c r="L373" s="9">
        <v>21</v>
      </c>
      <c r="M373" s="9">
        <v>1994</v>
      </c>
      <c r="O373" s="9" t="str">
        <f t="shared" si="19"/>
        <v>NO</v>
      </c>
      <c r="P373" s="9" t="str">
        <f t="shared" si="20"/>
        <v>NO</v>
      </c>
      <c r="Q373" s="9" t="str">
        <f t="shared" si="21"/>
        <v>Conditioned</v>
      </c>
    </row>
    <row r="374" spans="1:17">
      <c r="A374" s="9">
        <v>11414</v>
      </c>
      <c r="B374" s="9">
        <v>2</v>
      </c>
      <c r="C374" s="9" t="s">
        <v>1589</v>
      </c>
      <c r="D374" s="9" t="s">
        <v>1590</v>
      </c>
      <c r="E374" s="9" t="s">
        <v>1591</v>
      </c>
      <c r="F374" s="9" t="s">
        <v>1589</v>
      </c>
      <c r="G374" s="9" t="s">
        <v>1606</v>
      </c>
      <c r="H374" s="9" t="s">
        <v>169</v>
      </c>
      <c r="I374" s="9" t="s">
        <v>1666</v>
      </c>
      <c r="J374" s="9" t="s">
        <v>1605</v>
      </c>
      <c r="K374" s="9">
        <v>1</v>
      </c>
      <c r="L374" s="9">
        <v>20</v>
      </c>
      <c r="M374" s="9">
        <v>1982</v>
      </c>
      <c r="O374" s="9" t="str">
        <f t="shared" si="19"/>
        <v>NO</v>
      </c>
      <c r="P374" s="9" t="str">
        <f t="shared" si="20"/>
        <v>YES</v>
      </c>
      <c r="Q374" s="9" t="str">
        <f t="shared" si="21"/>
        <v>Unconditioned</v>
      </c>
    </row>
    <row r="375" spans="1:17">
      <c r="A375" s="9">
        <v>11414</v>
      </c>
      <c r="B375" s="9">
        <v>3</v>
      </c>
      <c r="C375" s="9" t="s">
        <v>1589</v>
      </c>
      <c r="D375" s="9" t="s">
        <v>1590</v>
      </c>
      <c r="E375" s="9" t="s">
        <v>1591</v>
      </c>
      <c r="F375" s="9" t="s">
        <v>1589</v>
      </c>
      <c r="G375" s="9" t="s">
        <v>1606</v>
      </c>
      <c r="H375" s="9" t="s">
        <v>174</v>
      </c>
      <c r="I375" s="9" t="s">
        <v>1943</v>
      </c>
      <c r="J375" s="9" t="s">
        <v>1597</v>
      </c>
      <c r="K375" s="9">
        <v>1</v>
      </c>
      <c r="L375" s="9">
        <v>18</v>
      </c>
      <c r="M375" s="9">
        <v>1996</v>
      </c>
      <c r="O375" s="9" t="str">
        <f t="shared" si="19"/>
        <v>NO</v>
      </c>
      <c r="P375" s="9" t="str">
        <f t="shared" si="20"/>
        <v>NO</v>
      </c>
      <c r="Q375" s="9" t="str">
        <f t="shared" si="21"/>
        <v>Unconditioned</v>
      </c>
    </row>
    <row r="376" spans="1:17">
      <c r="A376" s="9">
        <v>11416</v>
      </c>
      <c r="B376" s="9">
        <v>1</v>
      </c>
      <c r="C376" s="9" t="s">
        <v>1589</v>
      </c>
      <c r="D376" s="9" t="s">
        <v>1590</v>
      </c>
      <c r="E376" s="9" t="s">
        <v>1602</v>
      </c>
      <c r="F376" s="9" t="s">
        <v>1603</v>
      </c>
      <c r="G376" s="9" t="s">
        <v>1592</v>
      </c>
      <c r="H376" s="9" t="s">
        <v>170</v>
      </c>
      <c r="I376" s="9" t="s">
        <v>1944</v>
      </c>
      <c r="J376" s="9" t="s">
        <v>1601</v>
      </c>
      <c r="K376" s="9">
        <v>1</v>
      </c>
      <c r="L376" s="9">
        <v>30</v>
      </c>
      <c r="M376" s="9">
        <v>2000</v>
      </c>
      <c r="O376" s="9" t="str">
        <f t="shared" si="19"/>
        <v>NO</v>
      </c>
      <c r="P376" s="9" t="str">
        <f t="shared" si="20"/>
        <v>NO</v>
      </c>
      <c r="Q376" s="9" t="str">
        <f t="shared" si="21"/>
        <v>Conditioned</v>
      </c>
    </row>
    <row r="377" spans="1:17">
      <c r="A377" s="9">
        <v>11416</v>
      </c>
      <c r="B377" s="9">
        <v>2</v>
      </c>
      <c r="C377" s="9" t="s">
        <v>1589</v>
      </c>
      <c r="D377" s="9" t="s">
        <v>1590</v>
      </c>
      <c r="E377" s="9" t="s">
        <v>1591</v>
      </c>
      <c r="F377" s="9" t="s">
        <v>1589</v>
      </c>
      <c r="G377" s="9" t="s">
        <v>1606</v>
      </c>
      <c r="H377" s="9" t="s">
        <v>173</v>
      </c>
      <c r="I377" s="9" t="s">
        <v>1945</v>
      </c>
      <c r="J377" s="9" t="s">
        <v>1605</v>
      </c>
      <c r="K377" s="9">
        <v>1</v>
      </c>
      <c r="L377" s="9">
        <v>30</v>
      </c>
      <c r="M377" s="9">
        <v>1999</v>
      </c>
      <c r="O377" s="9" t="str">
        <f t="shared" si="19"/>
        <v>NO</v>
      </c>
      <c r="P377" s="9" t="str">
        <f t="shared" si="20"/>
        <v>YES</v>
      </c>
      <c r="Q377" s="9" t="str">
        <f t="shared" si="21"/>
        <v>Unconditioned</v>
      </c>
    </row>
    <row r="378" spans="1:17">
      <c r="A378" s="9">
        <v>11417</v>
      </c>
      <c r="B378" s="9">
        <v>1</v>
      </c>
      <c r="C378" s="9" t="s">
        <v>1589</v>
      </c>
      <c r="D378" s="9" t="s">
        <v>1590</v>
      </c>
      <c r="E378" s="9" t="s">
        <v>1602</v>
      </c>
      <c r="F378" s="9" t="s">
        <v>1603</v>
      </c>
      <c r="G378" s="9" t="s">
        <v>1592</v>
      </c>
      <c r="H378" s="9" t="s">
        <v>170</v>
      </c>
      <c r="I378" s="9" t="s">
        <v>1946</v>
      </c>
      <c r="J378" s="9" t="s">
        <v>1601</v>
      </c>
      <c r="K378" s="9">
        <v>1</v>
      </c>
      <c r="L378" s="9">
        <v>22</v>
      </c>
      <c r="M378" s="9">
        <v>2000</v>
      </c>
      <c r="O378" s="9" t="str">
        <f t="shared" si="19"/>
        <v>NO</v>
      </c>
      <c r="P378" s="9" t="str">
        <f t="shared" si="20"/>
        <v>NO</v>
      </c>
      <c r="Q378" s="9" t="str">
        <f t="shared" si="21"/>
        <v>Conditioned</v>
      </c>
    </row>
    <row r="379" spans="1:17">
      <c r="A379" s="9">
        <v>11418</v>
      </c>
      <c r="B379" s="9">
        <v>1</v>
      </c>
      <c r="C379" s="9" t="s">
        <v>1589</v>
      </c>
      <c r="D379" s="9" t="s">
        <v>1590</v>
      </c>
      <c r="E379" s="9" t="s">
        <v>1591</v>
      </c>
      <c r="F379" s="9" t="s">
        <v>1589</v>
      </c>
      <c r="G379" s="9" t="s">
        <v>1606</v>
      </c>
      <c r="H379" s="9" t="s">
        <v>178</v>
      </c>
      <c r="I379" s="9" t="s">
        <v>1947</v>
      </c>
      <c r="J379" s="9" t="s">
        <v>1587</v>
      </c>
      <c r="K379" s="9">
        <v>1</v>
      </c>
      <c r="L379" s="9">
        <v>10</v>
      </c>
      <c r="M379" s="9">
        <v>2002</v>
      </c>
      <c r="O379" s="9" t="str">
        <f t="shared" si="19"/>
        <v>NO</v>
      </c>
      <c r="P379" s="9" t="str">
        <f t="shared" si="20"/>
        <v>YES</v>
      </c>
      <c r="Q379" s="9" t="str">
        <f t="shared" si="21"/>
        <v>Unconditioned</v>
      </c>
    </row>
    <row r="380" spans="1:17">
      <c r="A380" s="9">
        <v>11418</v>
      </c>
      <c r="B380" s="9">
        <v>2</v>
      </c>
      <c r="C380" s="9" t="s">
        <v>1589</v>
      </c>
      <c r="D380" s="9" t="s">
        <v>1590</v>
      </c>
      <c r="E380" s="9" t="s">
        <v>1602</v>
      </c>
      <c r="F380" s="9" t="s">
        <v>1603</v>
      </c>
      <c r="G380" s="9" t="s">
        <v>1592</v>
      </c>
      <c r="H380" s="9" t="s">
        <v>173</v>
      </c>
      <c r="I380" s="9" t="s">
        <v>1948</v>
      </c>
      <c r="J380" s="9" t="s">
        <v>1601</v>
      </c>
      <c r="K380" s="9">
        <v>1</v>
      </c>
      <c r="L380" s="9">
        <v>22</v>
      </c>
      <c r="M380" s="9">
        <v>2008</v>
      </c>
      <c r="O380" s="9" t="str">
        <f t="shared" si="19"/>
        <v>NO</v>
      </c>
      <c r="P380" s="9" t="str">
        <f t="shared" si="20"/>
        <v>NO</v>
      </c>
      <c r="Q380" s="9" t="str">
        <f t="shared" si="21"/>
        <v>Conditioned</v>
      </c>
    </row>
    <row r="381" spans="1:17">
      <c r="A381" s="9">
        <v>11420</v>
      </c>
      <c r="B381" s="9">
        <v>1</v>
      </c>
      <c r="C381" s="9" t="s">
        <v>1589</v>
      </c>
      <c r="D381" s="9" t="s">
        <v>1590</v>
      </c>
      <c r="E381" s="9" t="s">
        <v>1591</v>
      </c>
      <c r="F381" s="9" t="s">
        <v>1589</v>
      </c>
      <c r="G381" s="9" t="s">
        <v>1592</v>
      </c>
      <c r="H381" s="9" t="s">
        <v>174</v>
      </c>
      <c r="I381" s="9" t="s">
        <v>1949</v>
      </c>
      <c r="J381" s="9" t="s">
        <v>1597</v>
      </c>
      <c r="K381" s="9">
        <v>1</v>
      </c>
      <c r="L381" s="9">
        <v>22</v>
      </c>
      <c r="M381" s="9">
        <v>1998</v>
      </c>
      <c r="O381" s="9" t="str">
        <f t="shared" si="19"/>
        <v>NO</v>
      </c>
      <c r="P381" s="9" t="str">
        <f t="shared" si="20"/>
        <v>NO</v>
      </c>
      <c r="Q381" s="9" t="str">
        <f t="shared" si="21"/>
        <v>Conditioned</v>
      </c>
    </row>
    <row r="382" spans="1:17">
      <c r="A382" s="9">
        <v>11437</v>
      </c>
      <c r="B382" s="9">
        <v>1</v>
      </c>
      <c r="C382" s="9" t="s">
        <v>1589</v>
      </c>
      <c r="D382" s="9" t="s">
        <v>1590</v>
      </c>
      <c r="E382" s="9" t="s">
        <v>1591</v>
      </c>
      <c r="F382" s="9" t="s">
        <v>1589</v>
      </c>
      <c r="G382" s="9" t="s">
        <v>1592</v>
      </c>
      <c r="H382" s="9" t="s">
        <v>170</v>
      </c>
      <c r="I382" s="9" t="s">
        <v>1950</v>
      </c>
      <c r="J382" s="9" t="s">
        <v>1597</v>
      </c>
      <c r="K382" s="9">
        <v>1</v>
      </c>
      <c r="L382" s="9">
        <v>18</v>
      </c>
      <c r="M382" s="9">
        <v>2003</v>
      </c>
      <c r="O382" s="9" t="str">
        <f t="shared" si="19"/>
        <v>NO</v>
      </c>
      <c r="P382" s="9" t="str">
        <f t="shared" si="20"/>
        <v>NO</v>
      </c>
      <c r="Q382" s="9" t="str">
        <f t="shared" si="21"/>
        <v>Conditioned</v>
      </c>
    </row>
    <row r="383" spans="1:17">
      <c r="A383" s="9">
        <v>11439</v>
      </c>
      <c r="B383" s="9">
        <v>1</v>
      </c>
      <c r="C383" s="9" t="s">
        <v>1589</v>
      </c>
      <c r="D383" s="9" t="s">
        <v>1590</v>
      </c>
      <c r="E383" s="9" t="s">
        <v>1602</v>
      </c>
      <c r="F383" s="9" t="s">
        <v>1603</v>
      </c>
      <c r="G383" s="9" t="s">
        <v>1592</v>
      </c>
      <c r="H383" s="9" t="s">
        <v>172</v>
      </c>
      <c r="I383" s="9" t="s">
        <v>1951</v>
      </c>
      <c r="J383" s="9" t="s">
        <v>1601</v>
      </c>
      <c r="K383" s="9">
        <v>1</v>
      </c>
      <c r="L383" s="9">
        <v>22</v>
      </c>
      <c r="M383" s="9">
        <v>2007</v>
      </c>
      <c r="O383" s="9" t="str">
        <f t="shared" si="19"/>
        <v>NO</v>
      </c>
      <c r="P383" s="9" t="str">
        <f t="shared" si="20"/>
        <v>NO</v>
      </c>
      <c r="Q383" s="9" t="str">
        <f t="shared" si="21"/>
        <v>Conditioned</v>
      </c>
    </row>
    <row r="384" spans="1:17">
      <c r="A384" s="9">
        <v>11439</v>
      </c>
      <c r="B384" s="9">
        <v>2</v>
      </c>
      <c r="C384" s="9" t="s">
        <v>1589</v>
      </c>
      <c r="D384" s="9" t="s">
        <v>1590</v>
      </c>
      <c r="E384" s="9" t="s">
        <v>1591</v>
      </c>
      <c r="F384" s="9" t="s">
        <v>1589</v>
      </c>
      <c r="G384" s="9" t="s">
        <v>1606</v>
      </c>
      <c r="H384" s="9" t="s">
        <v>1624</v>
      </c>
      <c r="I384" s="9" t="s">
        <v>1952</v>
      </c>
      <c r="J384" s="9" t="s">
        <v>1605</v>
      </c>
      <c r="K384" s="9">
        <v>1</v>
      </c>
      <c r="L384" s="9">
        <v>22</v>
      </c>
      <c r="M384" s="9">
        <v>2002</v>
      </c>
      <c r="O384" s="9" t="str">
        <f t="shared" si="19"/>
        <v>NO</v>
      </c>
      <c r="P384" s="9" t="str">
        <f t="shared" si="20"/>
        <v>YES</v>
      </c>
      <c r="Q384" s="9" t="str">
        <f t="shared" si="21"/>
        <v>Unconditioned</v>
      </c>
    </row>
    <row r="385" spans="1:17">
      <c r="A385" s="9">
        <v>11452</v>
      </c>
      <c r="B385" s="9">
        <v>1</v>
      </c>
      <c r="C385" s="9" t="s">
        <v>1589</v>
      </c>
      <c r="D385" s="9" t="s">
        <v>1590</v>
      </c>
      <c r="E385" s="9" t="s">
        <v>1613</v>
      </c>
      <c r="F385" s="9" t="s">
        <v>1603</v>
      </c>
      <c r="G385" s="9" t="s">
        <v>1592</v>
      </c>
      <c r="H385" s="9" t="s">
        <v>169</v>
      </c>
      <c r="I385" s="9" t="s">
        <v>1953</v>
      </c>
      <c r="J385" s="9" t="s">
        <v>1597</v>
      </c>
      <c r="K385" s="9">
        <v>1</v>
      </c>
      <c r="L385" s="9">
        <v>21</v>
      </c>
      <c r="M385" s="9">
        <v>2002</v>
      </c>
      <c r="O385" s="9" t="str">
        <f t="shared" si="19"/>
        <v>NO</v>
      </c>
      <c r="P385" s="9" t="str">
        <f t="shared" si="20"/>
        <v>NO</v>
      </c>
      <c r="Q385" s="9" t="str">
        <f t="shared" si="21"/>
        <v>Conditioned</v>
      </c>
    </row>
    <row r="386" spans="1:17">
      <c r="A386" s="9">
        <v>11467</v>
      </c>
      <c r="B386" s="9">
        <v>1</v>
      </c>
      <c r="C386" s="9" t="s">
        <v>1589</v>
      </c>
      <c r="D386" s="9" t="s">
        <v>1590</v>
      </c>
      <c r="E386" s="9" t="s">
        <v>1591</v>
      </c>
      <c r="F386" s="9" t="s">
        <v>1589</v>
      </c>
      <c r="G386" s="9" t="s">
        <v>1592</v>
      </c>
      <c r="H386" s="9" t="s">
        <v>1463</v>
      </c>
      <c r="I386" s="9" t="s">
        <v>1954</v>
      </c>
      <c r="J386" s="9" t="s">
        <v>1608</v>
      </c>
      <c r="K386" s="9">
        <v>1</v>
      </c>
      <c r="L386" s="9">
        <v>16</v>
      </c>
      <c r="M386" s="9">
        <v>1994</v>
      </c>
      <c r="O386" s="9" t="str">
        <f t="shared" si="19"/>
        <v>NO</v>
      </c>
      <c r="P386" s="9" t="str">
        <f t="shared" si="20"/>
        <v>NO</v>
      </c>
      <c r="Q386" s="9" t="str">
        <f t="shared" si="21"/>
        <v>Conditioned</v>
      </c>
    </row>
    <row r="387" spans="1:17">
      <c r="A387" s="9">
        <v>11472</v>
      </c>
      <c r="B387" s="9">
        <v>1</v>
      </c>
      <c r="C387" s="9" t="s">
        <v>1589</v>
      </c>
      <c r="D387" s="9" t="s">
        <v>1590</v>
      </c>
      <c r="E387" s="9" t="s">
        <v>1591</v>
      </c>
      <c r="F387" s="9" t="s">
        <v>1589</v>
      </c>
      <c r="G387" s="9" t="s">
        <v>1592</v>
      </c>
      <c r="H387" s="9" t="s">
        <v>1624</v>
      </c>
      <c r="I387" s="9" t="s">
        <v>1955</v>
      </c>
      <c r="J387" s="9" t="s">
        <v>1605</v>
      </c>
      <c r="K387" s="9">
        <v>1</v>
      </c>
      <c r="L387" s="9">
        <v>26</v>
      </c>
      <c r="M387" s="9">
        <v>1993</v>
      </c>
      <c r="O387" s="9" t="str">
        <f t="shared" si="19"/>
        <v>NO</v>
      </c>
      <c r="P387" s="9" t="str">
        <f t="shared" si="20"/>
        <v>YES</v>
      </c>
      <c r="Q387" s="9" t="str">
        <f t="shared" si="21"/>
        <v>Conditioned</v>
      </c>
    </row>
    <row r="388" spans="1:17">
      <c r="A388" s="9">
        <v>11472</v>
      </c>
      <c r="B388" s="9">
        <v>2</v>
      </c>
      <c r="C388" s="9" t="s">
        <v>1589</v>
      </c>
      <c r="D388" s="9" t="s">
        <v>1590</v>
      </c>
      <c r="E388" s="9" t="s">
        <v>1613</v>
      </c>
      <c r="F388" s="9" t="s">
        <v>1590</v>
      </c>
      <c r="G388" s="9" t="s">
        <v>1592</v>
      </c>
      <c r="H388" s="9" t="s">
        <v>1463</v>
      </c>
      <c r="I388" s="9" t="s">
        <v>1956</v>
      </c>
      <c r="J388" s="9" t="s">
        <v>1608</v>
      </c>
      <c r="K388" s="9">
        <v>1</v>
      </c>
      <c r="L388" s="9">
        <v>28</v>
      </c>
      <c r="M388" s="9">
        <v>1998</v>
      </c>
      <c r="O388" s="9" t="str">
        <f t="shared" si="19"/>
        <v>NO</v>
      </c>
      <c r="P388" s="9" t="str">
        <f t="shared" si="20"/>
        <v>NO</v>
      </c>
      <c r="Q388" s="9" t="str">
        <f t="shared" si="21"/>
        <v>Conditioned</v>
      </c>
    </row>
    <row r="389" spans="1:17">
      <c r="A389" s="9">
        <v>11475</v>
      </c>
      <c r="B389" s="9">
        <v>1</v>
      </c>
      <c r="C389" s="9" t="s">
        <v>1589</v>
      </c>
      <c r="D389" s="9" t="s">
        <v>1590</v>
      </c>
      <c r="E389" s="9" t="s">
        <v>1613</v>
      </c>
      <c r="F389" s="9" t="s">
        <v>1603</v>
      </c>
      <c r="G389" s="9" t="s">
        <v>1592</v>
      </c>
      <c r="H389" s="9" t="s">
        <v>177</v>
      </c>
      <c r="I389" s="9" t="s">
        <v>1957</v>
      </c>
      <c r="J389" s="9" t="s">
        <v>1597</v>
      </c>
      <c r="K389" s="9">
        <v>1</v>
      </c>
      <c r="L389" s="9">
        <v>25</v>
      </c>
      <c r="M389" s="9">
        <v>2008</v>
      </c>
      <c r="O389" s="9" t="str">
        <f t="shared" si="19"/>
        <v>NO</v>
      </c>
      <c r="P389" s="9" t="str">
        <f t="shared" si="20"/>
        <v>NO</v>
      </c>
      <c r="Q389" s="9" t="str">
        <f t="shared" si="21"/>
        <v>Conditioned</v>
      </c>
    </row>
    <row r="390" spans="1:17">
      <c r="A390" s="9">
        <v>11476</v>
      </c>
      <c r="B390" s="9">
        <v>1</v>
      </c>
      <c r="C390" s="9" t="s">
        <v>1589</v>
      </c>
      <c r="D390" s="9" t="s">
        <v>1590</v>
      </c>
      <c r="E390" s="9" t="s">
        <v>1591</v>
      </c>
      <c r="F390" s="9" t="s">
        <v>1589</v>
      </c>
      <c r="G390" s="9" t="s">
        <v>1592</v>
      </c>
      <c r="H390" s="9" t="s">
        <v>1599</v>
      </c>
      <c r="I390" s="9" t="s">
        <v>1958</v>
      </c>
      <c r="J390" s="9" t="s">
        <v>1601</v>
      </c>
      <c r="K390" s="9">
        <v>1</v>
      </c>
      <c r="L390" s="9">
        <v>22</v>
      </c>
      <c r="M390" s="9">
        <v>2001</v>
      </c>
      <c r="O390" s="9" t="str">
        <f t="shared" si="19"/>
        <v>NO</v>
      </c>
      <c r="P390" s="9" t="str">
        <f t="shared" si="20"/>
        <v>NO</v>
      </c>
      <c r="Q390" s="9" t="str">
        <f t="shared" si="21"/>
        <v>Conditioned</v>
      </c>
    </row>
    <row r="391" spans="1:17">
      <c r="A391" s="9">
        <v>11478</v>
      </c>
      <c r="B391" s="9">
        <v>1</v>
      </c>
      <c r="C391" s="9" t="s">
        <v>1589</v>
      </c>
      <c r="D391" s="9" t="s">
        <v>1590</v>
      </c>
      <c r="E391" s="9" t="s">
        <v>1591</v>
      </c>
      <c r="F391" s="9" t="s">
        <v>1589</v>
      </c>
      <c r="G391" s="9" t="s">
        <v>1592</v>
      </c>
      <c r="H391" s="9" t="s">
        <v>172</v>
      </c>
      <c r="I391" s="9" t="s">
        <v>1959</v>
      </c>
      <c r="J391" s="9" t="s">
        <v>1605</v>
      </c>
      <c r="K391" s="9">
        <v>1</v>
      </c>
      <c r="L391" s="9">
        <v>13</v>
      </c>
      <c r="M391" s="9">
        <v>1989</v>
      </c>
      <c r="O391" s="9" t="str">
        <f t="shared" si="19"/>
        <v>NO</v>
      </c>
      <c r="P391" s="9" t="str">
        <f t="shared" si="20"/>
        <v>YES</v>
      </c>
      <c r="Q391" s="9" t="str">
        <f t="shared" si="21"/>
        <v>Conditioned</v>
      </c>
    </row>
    <row r="392" spans="1:17">
      <c r="A392" s="9">
        <v>11478</v>
      </c>
      <c r="B392" s="9">
        <v>2</v>
      </c>
      <c r="C392" s="9" t="s">
        <v>1589</v>
      </c>
      <c r="D392" s="9" t="s">
        <v>1590</v>
      </c>
      <c r="E392" s="9" t="s">
        <v>1591</v>
      </c>
      <c r="F392" s="9" t="s">
        <v>1589</v>
      </c>
      <c r="G392" s="9" t="s">
        <v>1592</v>
      </c>
      <c r="H392" s="9" t="s">
        <v>177</v>
      </c>
      <c r="I392" s="9" t="s">
        <v>1960</v>
      </c>
      <c r="J392" s="9" t="s">
        <v>1597</v>
      </c>
      <c r="K392" s="9">
        <v>1</v>
      </c>
      <c r="L392" s="9">
        <v>21</v>
      </c>
      <c r="M392" s="9">
        <v>1997</v>
      </c>
      <c r="O392" s="9" t="str">
        <f t="shared" si="19"/>
        <v>NO</v>
      </c>
      <c r="P392" s="9" t="str">
        <f t="shared" si="20"/>
        <v>NO</v>
      </c>
      <c r="Q392" s="9" t="str">
        <f t="shared" si="21"/>
        <v>Conditioned</v>
      </c>
    </row>
    <row r="393" spans="1:17">
      <c r="A393" s="9">
        <v>11494</v>
      </c>
      <c r="B393" s="9">
        <v>1</v>
      </c>
      <c r="C393" s="9" t="s">
        <v>1589</v>
      </c>
      <c r="D393" s="9" t="s">
        <v>1590</v>
      </c>
      <c r="E393" s="9" t="s">
        <v>1591</v>
      </c>
      <c r="F393" s="9" t="s">
        <v>1589</v>
      </c>
      <c r="G393" s="9" t="s">
        <v>1592</v>
      </c>
      <c r="H393" s="9" t="s">
        <v>177</v>
      </c>
      <c r="I393" s="9" t="s">
        <v>1961</v>
      </c>
      <c r="J393" s="9" t="s">
        <v>1597</v>
      </c>
      <c r="K393" s="9">
        <v>1</v>
      </c>
      <c r="L393" s="9">
        <v>18</v>
      </c>
      <c r="M393" s="9">
        <v>2003</v>
      </c>
      <c r="O393" s="9" t="str">
        <f t="shared" si="19"/>
        <v>NO</v>
      </c>
      <c r="P393" s="9" t="str">
        <f t="shared" si="20"/>
        <v>NO</v>
      </c>
      <c r="Q393" s="9" t="str">
        <f t="shared" si="21"/>
        <v>Conditioned</v>
      </c>
    </row>
    <row r="394" spans="1:17">
      <c r="A394" s="9">
        <v>11496</v>
      </c>
      <c r="B394" s="9">
        <v>1</v>
      </c>
      <c r="C394" s="9" t="s">
        <v>1589</v>
      </c>
      <c r="D394" s="9" t="s">
        <v>1590</v>
      </c>
      <c r="E394" s="9" t="s">
        <v>1613</v>
      </c>
      <c r="F394" s="9" t="s">
        <v>1603</v>
      </c>
      <c r="G394" s="9" t="s">
        <v>1592</v>
      </c>
      <c r="H394" s="9" t="s">
        <v>177</v>
      </c>
      <c r="I394" s="9" t="s">
        <v>1962</v>
      </c>
      <c r="J394" s="9" t="s">
        <v>1597</v>
      </c>
      <c r="K394" s="9">
        <v>1</v>
      </c>
      <c r="L394" s="9">
        <v>18</v>
      </c>
      <c r="M394" s="9">
        <v>1998</v>
      </c>
      <c r="O394" s="9" t="str">
        <f t="shared" si="19"/>
        <v>NO</v>
      </c>
      <c r="P394" s="9" t="str">
        <f t="shared" si="20"/>
        <v>NO</v>
      </c>
      <c r="Q394" s="9" t="str">
        <f t="shared" si="21"/>
        <v>Conditioned</v>
      </c>
    </row>
    <row r="395" spans="1:17">
      <c r="A395" s="9">
        <v>11499</v>
      </c>
      <c r="B395" s="9">
        <v>1</v>
      </c>
      <c r="C395" s="9" t="s">
        <v>1589</v>
      </c>
      <c r="D395" s="9" t="s">
        <v>1590</v>
      </c>
      <c r="E395" s="9" t="s">
        <v>1591</v>
      </c>
      <c r="F395" s="9" t="s">
        <v>1589</v>
      </c>
      <c r="G395" s="9" t="s">
        <v>1592</v>
      </c>
      <c r="H395" s="9" t="s">
        <v>1624</v>
      </c>
      <c r="I395" s="9" t="s">
        <v>1963</v>
      </c>
      <c r="J395" s="9" t="s">
        <v>1597</v>
      </c>
      <c r="K395" s="9">
        <v>1</v>
      </c>
      <c r="L395" s="9">
        <v>18</v>
      </c>
      <c r="M395" s="9">
        <v>2005</v>
      </c>
      <c r="O395" s="9" t="str">
        <f t="shared" si="19"/>
        <v>NO</v>
      </c>
      <c r="P395" s="9" t="str">
        <f t="shared" si="20"/>
        <v>NO</v>
      </c>
      <c r="Q395" s="9" t="str">
        <f t="shared" si="21"/>
        <v>Conditioned</v>
      </c>
    </row>
    <row r="396" spans="1:17">
      <c r="A396" s="9">
        <v>11503</v>
      </c>
      <c r="B396" s="9">
        <v>1</v>
      </c>
      <c r="C396" s="9" t="s">
        <v>1589</v>
      </c>
      <c r="D396" s="9" t="s">
        <v>1590</v>
      </c>
      <c r="E396" s="9" t="s">
        <v>1602</v>
      </c>
      <c r="F396" s="9" t="s">
        <v>1603</v>
      </c>
      <c r="G396" s="9" t="s">
        <v>1592</v>
      </c>
      <c r="H396" s="9" t="s">
        <v>1638</v>
      </c>
      <c r="I396" s="9" t="s">
        <v>1964</v>
      </c>
      <c r="J396" s="9" t="s">
        <v>1610</v>
      </c>
      <c r="K396" s="9">
        <v>1</v>
      </c>
      <c r="L396" s="9">
        <v>25</v>
      </c>
      <c r="M396" s="9">
        <v>2007</v>
      </c>
      <c r="O396" s="9" t="str">
        <f t="shared" si="19"/>
        <v>NO</v>
      </c>
      <c r="P396" s="9" t="str">
        <f t="shared" si="20"/>
        <v>NO</v>
      </c>
      <c r="Q396" s="9" t="str">
        <f t="shared" si="21"/>
        <v>Conditioned</v>
      </c>
    </row>
    <row r="397" spans="1:17">
      <c r="A397" s="9">
        <v>11504</v>
      </c>
      <c r="B397" s="9">
        <v>1</v>
      </c>
      <c r="C397" s="9" t="s">
        <v>1589</v>
      </c>
      <c r="D397" s="9" t="s">
        <v>1590</v>
      </c>
      <c r="E397" s="9" t="s">
        <v>1589</v>
      </c>
      <c r="F397" s="9" t="s">
        <v>1589</v>
      </c>
      <c r="G397" s="9" t="s">
        <v>1592</v>
      </c>
      <c r="H397" s="9" t="s">
        <v>169</v>
      </c>
      <c r="I397" s="9" t="s">
        <v>1965</v>
      </c>
      <c r="J397" s="9" t="s">
        <v>1612</v>
      </c>
      <c r="K397" s="9">
        <v>1</v>
      </c>
      <c r="L397" s="9">
        <v>18</v>
      </c>
      <c r="M397" s="9">
        <v>1991</v>
      </c>
      <c r="O397" s="9" t="str">
        <f t="shared" si="19"/>
        <v>NO</v>
      </c>
      <c r="P397" s="9" t="str">
        <f t="shared" si="20"/>
        <v>NO</v>
      </c>
      <c r="Q397" s="9" t="str">
        <f t="shared" si="21"/>
        <v>Conditioned</v>
      </c>
    </row>
    <row r="398" spans="1:17">
      <c r="A398" s="9">
        <v>11504</v>
      </c>
      <c r="B398" s="9">
        <v>2</v>
      </c>
      <c r="C398" s="9" t="s">
        <v>1589</v>
      </c>
      <c r="D398" s="9" t="s">
        <v>1590</v>
      </c>
      <c r="E398" s="9" t="s">
        <v>1591</v>
      </c>
      <c r="F398" s="9" t="s">
        <v>1589</v>
      </c>
      <c r="G398" s="9" t="s">
        <v>1592</v>
      </c>
      <c r="H398" s="9" t="s">
        <v>169</v>
      </c>
      <c r="I398" s="9" t="s">
        <v>1966</v>
      </c>
      <c r="J398" s="9" t="s">
        <v>1605</v>
      </c>
      <c r="K398" s="9">
        <v>1</v>
      </c>
      <c r="L398" s="9">
        <v>13</v>
      </c>
      <c r="M398" s="9">
        <v>2008</v>
      </c>
      <c r="O398" s="9" t="str">
        <f t="shared" si="19"/>
        <v>NO</v>
      </c>
      <c r="P398" s="9" t="str">
        <f t="shared" si="20"/>
        <v>YES</v>
      </c>
      <c r="Q398" s="9" t="str">
        <f t="shared" si="21"/>
        <v>Conditioned</v>
      </c>
    </row>
    <row r="399" spans="1:17">
      <c r="A399" s="9">
        <v>11504</v>
      </c>
      <c r="B399" s="9">
        <v>3</v>
      </c>
      <c r="C399" s="9" t="s">
        <v>1589</v>
      </c>
      <c r="D399" s="9" t="s">
        <v>1590</v>
      </c>
      <c r="E399" s="9" t="s">
        <v>1591</v>
      </c>
      <c r="F399" s="9" t="s">
        <v>1589</v>
      </c>
      <c r="G399" s="9" t="s">
        <v>1592</v>
      </c>
      <c r="H399" s="9" t="s">
        <v>170</v>
      </c>
      <c r="I399" s="9" t="s">
        <v>1967</v>
      </c>
      <c r="J399" s="9" t="s">
        <v>1587</v>
      </c>
      <c r="K399" s="9">
        <v>1</v>
      </c>
      <c r="L399" s="9">
        <v>15</v>
      </c>
      <c r="M399" s="9">
        <v>2009</v>
      </c>
      <c r="O399" s="9" t="str">
        <f t="shared" si="19"/>
        <v>NO</v>
      </c>
      <c r="P399" s="9" t="str">
        <f t="shared" si="20"/>
        <v>YES</v>
      </c>
      <c r="Q399" s="9" t="str">
        <f t="shared" si="21"/>
        <v>Conditioned</v>
      </c>
    </row>
    <row r="400" spans="1:17">
      <c r="A400" s="9">
        <v>11512</v>
      </c>
      <c r="B400" s="9">
        <v>1</v>
      </c>
      <c r="C400" s="9" t="s">
        <v>1589</v>
      </c>
      <c r="D400" s="9" t="s">
        <v>1590</v>
      </c>
      <c r="E400" s="9" t="s">
        <v>1613</v>
      </c>
      <c r="F400" s="9" t="s">
        <v>1603</v>
      </c>
      <c r="G400" s="9" t="s">
        <v>1592</v>
      </c>
      <c r="H400" s="9" t="s">
        <v>169</v>
      </c>
      <c r="I400" s="9" t="s">
        <v>1968</v>
      </c>
      <c r="J400" s="9" t="s">
        <v>1597</v>
      </c>
      <c r="K400" s="9">
        <v>1</v>
      </c>
      <c r="L400" s="9">
        <v>22</v>
      </c>
      <c r="M400" s="9">
        <v>1999</v>
      </c>
      <c r="O400" s="9" t="str">
        <f t="shared" si="19"/>
        <v>NO</v>
      </c>
      <c r="P400" s="9" t="str">
        <f t="shared" si="20"/>
        <v>NO</v>
      </c>
      <c r="Q400" s="9" t="str">
        <f t="shared" si="21"/>
        <v>Conditioned</v>
      </c>
    </row>
    <row r="401" spans="1:17">
      <c r="A401" s="9">
        <v>11512</v>
      </c>
      <c r="B401" s="9">
        <v>2</v>
      </c>
      <c r="C401" s="9" t="s">
        <v>1589</v>
      </c>
      <c r="D401" s="9" t="s">
        <v>1590</v>
      </c>
      <c r="E401" s="9" t="s">
        <v>1591</v>
      </c>
      <c r="F401" s="9" t="s">
        <v>1589</v>
      </c>
      <c r="G401" s="9" t="s">
        <v>1592</v>
      </c>
      <c r="H401" s="9" t="s">
        <v>169</v>
      </c>
      <c r="I401" s="9" t="s">
        <v>1969</v>
      </c>
      <c r="J401" s="9" t="s">
        <v>1587</v>
      </c>
      <c r="K401" s="9">
        <v>1</v>
      </c>
      <c r="L401" s="9">
        <v>9</v>
      </c>
      <c r="M401" s="9">
        <v>2000</v>
      </c>
      <c r="O401" s="9" t="str">
        <f t="shared" si="19"/>
        <v>NO</v>
      </c>
      <c r="P401" s="9" t="str">
        <f t="shared" si="20"/>
        <v>YES</v>
      </c>
      <c r="Q401" s="9" t="str">
        <f t="shared" si="21"/>
        <v>Conditioned</v>
      </c>
    </row>
    <row r="402" spans="1:17">
      <c r="A402" s="9">
        <v>11516</v>
      </c>
      <c r="B402" s="9">
        <v>1</v>
      </c>
      <c r="C402" s="9" t="s">
        <v>1589</v>
      </c>
      <c r="D402" s="9" t="s">
        <v>1590</v>
      </c>
      <c r="E402" s="9" t="s">
        <v>1591</v>
      </c>
      <c r="F402" s="9" t="s">
        <v>1589</v>
      </c>
      <c r="G402" s="9" t="s">
        <v>1592</v>
      </c>
      <c r="H402" s="9" t="s">
        <v>170</v>
      </c>
      <c r="I402" s="9" t="s">
        <v>1970</v>
      </c>
      <c r="J402" s="9" t="s">
        <v>1597</v>
      </c>
      <c r="K402" s="9">
        <v>1</v>
      </c>
      <c r="L402" s="9">
        <v>20</v>
      </c>
      <c r="M402" s="9">
        <v>2008</v>
      </c>
      <c r="O402" s="9" t="str">
        <f t="shared" si="19"/>
        <v>NO</v>
      </c>
      <c r="P402" s="9" t="str">
        <f t="shared" si="20"/>
        <v>NO</v>
      </c>
      <c r="Q402" s="9" t="str">
        <f t="shared" si="21"/>
        <v>Conditioned</v>
      </c>
    </row>
    <row r="403" spans="1:17">
      <c r="A403" s="9">
        <v>11520</v>
      </c>
      <c r="B403" s="9">
        <v>1</v>
      </c>
      <c r="C403" s="9" t="s">
        <v>1589</v>
      </c>
      <c r="D403" s="9" t="s">
        <v>1590</v>
      </c>
      <c r="E403" s="9" t="s">
        <v>1613</v>
      </c>
      <c r="F403" s="9" t="s">
        <v>1603</v>
      </c>
      <c r="G403" s="9" t="s">
        <v>1592</v>
      </c>
      <c r="H403" s="9" t="s">
        <v>170</v>
      </c>
      <c r="I403" s="9" t="s">
        <v>1971</v>
      </c>
      <c r="J403" s="9" t="s">
        <v>1597</v>
      </c>
      <c r="K403" s="9">
        <v>1</v>
      </c>
      <c r="L403" s="9">
        <v>24</v>
      </c>
      <c r="M403" s="9">
        <v>2000</v>
      </c>
      <c r="O403" s="9" t="str">
        <f t="shared" si="19"/>
        <v>NO</v>
      </c>
      <c r="P403" s="9" t="str">
        <f t="shared" si="20"/>
        <v>NO</v>
      </c>
      <c r="Q403" s="9" t="str">
        <f t="shared" si="21"/>
        <v>Conditioned</v>
      </c>
    </row>
    <row r="404" spans="1:17">
      <c r="A404" s="9">
        <v>11531</v>
      </c>
      <c r="B404" s="9">
        <v>1</v>
      </c>
      <c r="C404" s="9" t="s">
        <v>1589</v>
      </c>
      <c r="D404" s="9" t="s">
        <v>1590</v>
      </c>
      <c r="E404" s="9" t="s">
        <v>1602</v>
      </c>
      <c r="F404" s="9" t="s">
        <v>1603</v>
      </c>
      <c r="G404" s="9" t="s">
        <v>1592</v>
      </c>
      <c r="H404" s="9" t="s">
        <v>176</v>
      </c>
      <c r="I404" s="9" t="s">
        <v>1633</v>
      </c>
      <c r="J404" s="9" t="s">
        <v>1601</v>
      </c>
      <c r="K404" s="9">
        <v>1</v>
      </c>
      <c r="L404" s="9">
        <v>20</v>
      </c>
      <c r="M404" s="9">
        <v>2007</v>
      </c>
      <c r="O404" s="9" t="str">
        <f t="shared" si="19"/>
        <v>NO</v>
      </c>
      <c r="P404" s="9" t="str">
        <f t="shared" si="20"/>
        <v>NO</v>
      </c>
      <c r="Q404" s="9" t="str">
        <f t="shared" si="21"/>
        <v>Conditioned</v>
      </c>
    </row>
    <row r="405" spans="1:17">
      <c r="A405" s="9">
        <v>11533</v>
      </c>
      <c r="B405" s="9">
        <v>1</v>
      </c>
      <c r="C405" s="9" t="s">
        <v>1589</v>
      </c>
      <c r="D405" s="9" t="s">
        <v>1590</v>
      </c>
      <c r="E405" s="9" t="s">
        <v>1591</v>
      </c>
      <c r="F405" s="9" t="s">
        <v>1589</v>
      </c>
      <c r="G405" s="9" t="s">
        <v>1592</v>
      </c>
      <c r="H405" s="9" t="s">
        <v>1972</v>
      </c>
      <c r="I405" s="9" t="s">
        <v>1973</v>
      </c>
      <c r="J405" s="9" t="s">
        <v>1605</v>
      </c>
      <c r="K405" s="9">
        <v>1</v>
      </c>
      <c r="L405" s="9">
        <v>16</v>
      </c>
      <c r="O405" s="9" t="str">
        <f t="shared" si="19"/>
        <v>NO</v>
      </c>
      <c r="P405" s="9" t="str">
        <f t="shared" si="20"/>
        <v>YES</v>
      </c>
      <c r="Q405" s="9" t="str">
        <f t="shared" si="21"/>
        <v>Conditioned</v>
      </c>
    </row>
    <row r="406" spans="1:17">
      <c r="A406" s="9">
        <v>11533</v>
      </c>
      <c r="B406" s="9">
        <v>2</v>
      </c>
      <c r="C406" s="9" t="s">
        <v>1589</v>
      </c>
      <c r="D406" s="9" t="s">
        <v>1590</v>
      </c>
      <c r="E406" s="9" t="s">
        <v>1591</v>
      </c>
      <c r="F406" s="9" t="s">
        <v>1589</v>
      </c>
      <c r="G406" s="9" t="s">
        <v>1592</v>
      </c>
      <c r="H406" s="9" t="s">
        <v>170</v>
      </c>
      <c r="I406" s="9" t="s">
        <v>1974</v>
      </c>
      <c r="J406" s="9" t="s">
        <v>1597</v>
      </c>
      <c r="K406" s="9">
        <v>1</v>
      </c>
      <c r="L406" s="9">
        <v>19</v>
      </c>
      <c r="M406" s="9">
        <v>2005</v>
      </c>
      <c r="O406" s="9" t="str">
        <f t="shared" si="19"/>
        <v>NO</v>
      </c>
      <c r="P406" s="9" t="str">
        <f t="shared" si="20"/>
        <v>NO</v>
      </c>
      <c r="Q406" s="9" t="str">
        <f t="shared" si="21"/>
        <v>Conditioned</v>
      </c>
    </row>
    <row r="407" spans="1:17">
      <c r="A407" s="9">
        <v>11533</v>
      </c>
      <c r="B407" s="9">
        <v>3</v>
      </c>
      <c r="C407" s="9" t="s">
        <v>1589</v>
      </c>
      <c r="D407" s="9" t="s">
        <v>1590</v>
      </c>
      <c r="E407" s="9" t="s">
        <v>1591</v>
      </c>
      <c r="F407" s="9" t="s">
        <v>1589</v>
      </c>
      <c r="G407" s="9" t="s">
        <v>1592</v>
      </c>
      <c r="H407" s="9" t="s">
        <v>173</v>
      </c>
      <c r="I407" s="9" t="s">
        <v>1589</v>
      </c>
      <c r="J407" s="9" t="s">
        <v>1597</v>
      </c>
      <c r="K407" s="9">
        <v>1</v>
      </c>
      <c r="L407" s="9">
        <v>4</v>
      </c>
      <c r="O407" s="9" t="str">
        <f t="shared" ref="O407:O470" si="22">IF(L407&lt;7.75,"YES","NO")</f>
        <v>YES</v>
      </c>
      <c r="P407" s="9" t="str">
        <f t="shared" ref="P407:P470" si="23">VLOOKUP(J407,$Z$21:$AA$27,2,FALSE)</f>
        <v>NO</v>
      </c>
      <c r="Q407" s="9" t="str">
        <f t="shared" ref="Q407:Q470" si="24">G407</f>
        <v>Conditioned</v>
      </c>
    </row>
    <row r="408" spans="1:17">
      <c r="A408" s="9">
        <v>11535</v>
      </c>
      <c r="B408" s="9">
        <v>1</v>
      </c>
      <c r="C408" s="9" t="s">
        <v>1589</v>
      </c>
      <c r="D408" s="9" t="s">
        <v>1603</v>
      </c>
      <c r="E408" s="9" t="s">
        <v>1602</v>
      </c>
      <c r="F408" s="9" t="s">
        <v>1603</v>
      </c>
      <c r="G408" s="9" t="s">
        <v>1592</v>
      </c>
      <c r="H408" s="9" t="s">
        <v>1599</v>
      </c>
      <c r="I408" s="9" t="s">
        <v>1975</v>
      </c>
      <c r="J408" s="9" t="s">
        <v>1601</v>
      </c>
      <c r="K408" s="9">
        <v>1</v>
      </c>
      <c r="L408" s="9">
        <v>22</v>
      </c>
      <c r="M408" s="9">
        <v>2010</v>
      </c>
      <c r="O408" s="9" t="str">
        <f t="shared" si="22"/>
        <v>NO</v>
      </c>
      <c r="P408" s="9" t="str">
        <f t="shared" si="23"/>
        <v>NO</v>
      </c>
      <c r="Q408" s="9" t="str">
        <f t="shared" si="24"/>
        <v>Conditioned</v>
      </c>
    </row>
    <row r="409" spans="1:17">
      <c r="A409" s="9">
        <v>11536</v>
      </c>
      <c r="B409" s="9">
        <v>1</v>
      </c>
      <c r="C409" s="9" t="s">
        <v>1589</v>
      </c>
      <c r="D409" s="9" t="s">
        <v>1590</v>
      </c>
      <c r="E409" s="9" t="s">
        <v>1613</v>
      </c>
      <c r="F409" s="9" t="s">
        <v>1603</v>
      </c>
      <c r="G409" s="9" t="s">
        <v>1592</v>
      </c>
      <c r="H409" s="9" t="s">
        <v>170</v>
      </c>
      <c r="I409" s="9" t="s">
        <v>1976</v>
      </c>
      <c r="J409" s="9" t="s">
        <v>1597</v>
      </c>
      <c r="K409" s="9">
        <v>1</v>
      </c>
      <c r="L409" s="9">
        <v>25</v>
      </c>
      <c r="M409" s="9">
        <v>2000</v>
      </c>
      <c r="O409" s="9" t="str">
        <f t="shared" si="22"/>
        <v>NO</v>
      </c>
      <c r="P409" s="9" t="str">
        <f t="shared" si="23"/>
        <v>NO</v>
      </c>
      <c r="Q409" s="9" t="str">
        <f t="shared" si="24"/>
        <v>Conditioned</v>
      </c>
    </row>
    <row r="410" spans="1:17">
      <c r="A410" s="9">
        <v>11539</v>
      </c>
      <c r="B410" s="9">
        <v>1</v>
      </c>
      <c r="C410" s="9" t="s">
        <v>1589</v>
      </c>
      <c r="D410" s="9" t="s">
        <v>1590</v>
      </c>
      <c r="E410" s="9" t="s">
        <v>1591</v>
      </c>
      <c r="F410" s="9" t="s">
        <v>1589</v>
      </c>
      <c r="G410" s="9" t="s">
        <v>1606</v>
      </c>
      <c r="H410" s="9" t="s">
        <v>170</v>
      </c>
      <c r="I410" s="9" t="s">
        <v>1977</v>
      </c>
      <c r="J410" s="9" t="s">
        <v>1597</v>
      </c>
      <c r="K410" s="9">
        <v>1</v>
      </c>
      <c r="L410" s="9">
        <v>18</v>
      </c>
      <c r="M410" s="9">
        <v>1997</v>
      </c>
      <c r="O410" s="9" t="str">
        <f t="shared" si="22"/>
        <v>NO</v>
      </c>
      <c r="P410" s="9" t="str">
        <f t="shared" si="23"/>
        <v>NO</v>
      </c>
      <c r="Q410" s="9" t="str">
        <f t="shared" si="24"/>
        <v>Unconditioned</v>
      </c>
    </row>
    <row r="411" spans="1:17">
      <c r="A411" s="9">
        <v>11544</v>
      </c>
      <c r="B411" s="9">
        <v>1</v>
      </c>
      <c r="C411" s="9" t="s">
        <v>1589</v>
      </c>
      <c r="D411" s="9" t="s">
        <v>1590</v>
      </c>
      <c r="E411" s="9" t="s">
        <v>1613</v>
      </c>
      <c r="F411" s="9" t="s">
        <v>1603</v>
      </c>
      <c r="G411" s="9" t="s">
        <v>1592</v>
      </c>
      <c r="H411" s="9" t="s">
        <v>1638</v>
      </c>
      <c r="I411" s="9" t="s">
        <v>1978</v>
      </c>
      <c r="J411" s="9" t="s">
        <v>1597</v>
      </c>
      <c r="K411" s="9">
        <v>1</v>
      </c>
      <c r="L411" s="9">
        <v>22</v>
      </c>
      <c r="M411" s="9">
        <v>1988</v>
      </c>
      <c r="O411" s="9" t="str">
        <f t="shared" si="22"/>
        <v>NO</v>
      </c>
      <c r="P411" s="9" t="str">
        <f t="shared" si="23"/>
        <v>NO</v>
      </c>
      <c r="Q411" s="9" t="str">
        <f t="shared" si="24"/>
        <v>Conditioned</v>
      </c>
    </row>
    <row r="412" spans="1:17">
      <c r="A412" s="9">
        <v>11549</v>
      </c>
      <c r="B412" s="9">
        <v>1</v>
      </c>
      <c r="C412" s="9" t="s">
        <v>1589</v>
      </c>
      <c r="D412" s="9" t="s">
        <v>1590</v>
      </c>
      <c r="E412" s="9" t="s">
        <v>1613</v>
      </c>
      <c r="F412" s="9" t="s">
        <v>1590</v>
      </c>
      <c r="G412" s="9" t="s">
        <v>1592</v>
      </c>
      <c r="H412" s="9" t="s">
        <v>177</v>
      </c>
      <c r="I412" s="9" t="s">
        <v>1979</v>
      </c>
      <c r="J412" s="9" t="s">
        <v>1597</v>
      </c>
      <c r="K412" s="9">
        <v>1</v>
      </c>
      <c r="L412" s="9">
        <v>21</v>
      </c>
      <c r="M412" s="9">
        <v>2009</v>
      </c>
      <c r="O412" s="9" t="str">
        <f t="shared" si="22"/>
        <v>NO</v>
      </c>
      <c r="P412" s="9" t="str">
        <f t="shared" si="23"/>
        <v>NO</v>
      </c>
      <c r="Q412" s="9" t="str">
        <f t="shared" si="24"/>
        <v>Conditioned</v>
      </c>
    </row>
    <row r="413" spans="1:17">
      <c r="A413" s="9">
        <v>11549</v>
      </c>
      <c r="B413" s="9">
        <v>2</v>
      </c>
      <c r="C413" s="9" t="s">
        <v>1980</v>
      </c>
      <c r="D413" s="9" t="s">
        <v>1590</v>
      </c>
      <c r="E413" s="9" t="s">
        <v>1591</v>
      </c>
      <c r="F413" s="9" t="s">
        <v>1589</v>
      </c>
      <c r="G413" s="9" t="s">
        <v>1606</v>
      </c>
      <c r="H413" s="9" t="s">
        <v>172</v>
      </c>
      <c r="I413" s="9" t="s">
        <v>1981</v>
      </c>
      <c r="J413" s="9" t="s">
        <v>1597</v>
      </c>
      <c r="K413" s="9">
        <v>1</v>
      </c>
      <c r="L413" s="9">
        <v>20</v>
      </c>
      <c r="O413" s="9" t="str">
        <f t="shared" si="22"/>
        <v>NO</v>
      </c>
      <c r="P413" s="9" t="str">
        <f t="shared" si="23"/>
        <v>NO</v>
      </c>
      <c r="Q413" s="9" t="str">
        <f t="shared" si="24"/>
        <v>Unconditioned</v>
      </c>
    </row>
    <row r="414" spans="1:17">
      <c r="A414" s="9">
        <v>11552</v>
      </c>
      <c r="B414" s="9">
        <v>1</v>
      </c>
      <c r="C414" s="9" t="s">
        <v>1589</v>
      </c>
      <c r="D414" s="9" t="s">
        <v>1590</v>
      </c>
      <c r="E414" s="9" t="s">
        <v>1613</v>
      </c>
      <c r="F414" s="9" t="s">
        <v>1603</v>
      </c>
      <c r="G414" s="9" t="s">
        <v>1592</v>
      </c>
      <c r="H414" s="9" t="s">
        <v>170</v>
      </c>
      <c r="I414" s="9" t="s">
        <v>1982</v>
      </c>
      <c r="J414" s="9" t="s">
        <v>1597</v>
      </c>
      <c r="K414" s="9">
        <v>1</v>
      </c>
      <c r="L414" s="9">
        <v>21</v>
      </c>
      <c r="M414" s="9">
        <v>2000</v>
      </c>
      <c r="O414" s="9" t="str">
        <f t="shared" si="22"/>
        <v>NO</v>
      </c>
      <c r="P414" s="9" t="str">
        <f t="shared" si="23"/>
        <v>NO</v>
      </c>
      <c r="Q414" s="9" t="str">
        <f t="shared" si="24"/>
        <v>Conditioned</v>
      </c>
    </row>
    <row r="415" spans="1:17">
      <c r="A415" s="9">
        <v>11552</v>
      </c>
      <c r="B415" s="9">
        <v>2</v>
      </c>
      <c r="C415" s="9" t="s">
        <v>1589</v>
      </c>
      <c r="D415" s="9" t="s">
        <v>1590</v>
      </c>
      <c r="E415" s="9" t="s">
        <v>1591</v>
      </c>
      <c r="F415" s="9" t="s">
        <v>1589</v>
      </c>
      <c r="G415" s="9" t="s">
        <v>1606</v>
      </c>
      <c r="H415" s="9" t="s">
        <v>1678</v>
      </c>
      <c r="I415" s="9" t="s">
        <v>1589</v>
      </c>
      <c r="J415" s="9" t="s">
        <v>1587</v>
      </c>
      <c r="K415" s="9">
        <v>1</v>
      </c>
      <c r="L415" s="9">
        <v>12</v>
      </c>
      <c r="O415" s="9" t="str">
        <f t="shared" si="22"/>
        <v>NO</v>
      </c>
      <c r="P415" s="9" t="str">
        <f t="shared" si="23"/>
        <v>YES</v>
      </c>
      <c r="Q415" s="9" t="str">
        <f t="shared" si="24"/>
        <v>Unconditioned</v>
      </c>
    </row>
    <row r="416" spans="1:17">
      <c r="A416" s="9">
        <v>11555</v>
      </c>
      <c r="B416" s="9">
        <v>1</v>
      </c>
      <c r="C416" s="9" t="s">
        <v>1589</v>
      </c>
      <c r="D416" s="9" t="s">
        <v>1590</v>
      </c>
      <c r="E416" s="9" t="s">
        <v>1591</v>
      </c>
      <c r="F416" s="9" t="s">
        <v>1589</v>
      </c>
      <c r="G416" s="9" t="s">
        <v>1592</v>
      </c>
      <c r="H416" s="9" t="s">
        <v>174</v>
      </c>
      <c r="I416" s="9" t="s">
        <v>1983</v>
      </c>
      <c r="J416" s="9" t="s">
        <v>1597</v>
      </c>
      <c r="K416" s="9">
        <v>1</v>
      </c>
      <c r="L416" s="9">
        <v>18</v>
      </c>
      <c r="M416" s="9">
        <v>2002</v>
      </c>
      <c r="O416" s="9" t="str">
        <f t="shared" si="22"/>
        <v>NO</v>
      </c>
      <c r="P416" s="9" t="str">
        <f t="shared" si="23"/>
        <v>NO</v>
      </c>
      <c r="Q416" s="9" t="str">
        <f t="shared" si="24"/>
        <v>Conditioned</v>
      </c>
    </row>
    <row r="417" spans="1:17">
      <c r="A417" s="9">
        <v>11574</v>
      </c>
      <c r="B417" s="9">
        <v>1</v>
      </c>
      <c r="C417" s="9" t="s">
        <v>1589</v>
      </c>
      <c r="D417" s="9" t="s">
        <v>1590</v>
      </c>
      <c r="E417" s="9" t="s">
        <v>1602</v>
      </c>
      <c r="F417" s="9" t="s">
        <v>1603</v>
      </c>
      <c r="G417" s="9" t="s">
        <v>1592</v>
      </c>
      <c r="H417" s="9" t="s">
        <v>173</v>
      </c>
      <c r="I417" s="9" t="s">
        <v>1984</v>
      </c>
      <c r="J417" s="9" t="s">
        <v>1601</v>
      </c>
      <c r="K417" s="9">
        <v>1</v>
      </c>
      <c r="L417" s="9">
        <v>22</v>
      </c>
      <c r="M417" s="9">
        <v>2001</v>
      </c>
      <c r="O417" s="9" t="str">
        <f t="shared" si="22"/>
        <v>NO</v>
      </c>
      <c r="P417" s="9" t="str">
        <f t="shared" si="23"/>
        <v>NO</v>
      </c>
      <c r="Q417" s="9" t="str">
        <f t="shared" si="24"/>
        <v>Conditioned</v>
      </c>
    </row>
    <row r="418" spans="1:17">
      <c r="A418" s="9">
        <v>11585</v>
      </c>
      <c r="B418" s="9">
        <v>1</v>
      </c>
      <c r="C418" s="9" t="s">
        <v>1589</v>
      </c>
      <c r="D418" s="9" t="s">
        <v>1590</v>
      </c>
      <c r="E418" s="9" t="s">
        <v>1591</v>
      </c>
      <c r="F418" s="9" t="s">
        <v>1589</v>
      </c>
      <c r="G418" s="9" t="s">
        <v>1592</v>
      </c>
      <c r="H418" s="9" t="s">
        <v>174</v>
      </c>
      <c r="I418" s="9" t="s">
        <v>1985</v>
      </c>
      <c r="J418" s="9" t="s">
        <v>1610</v>
      </c>
      <c r="K418" s="9">
        <v>1</v>
      </c>
      <c r="L418" s="9">
        <v>21</v>
      </c>
      <c r="M418" s="9">
        <v>2004</v>
      </c>
      <c r="O418" s="9" t="str">
        <f t="shared" si="22"/>
        <v>NO</v>
      </c>
      <c r="P418" s="9" t="str">
        <f t="shared" si="23"/>
        <v>NO</v>
      </c>
      <c r="Q418" s="9" t="str">
        <f t="shared" si="24"/>
        <v>Conditioned</v>
      </c>
    </row>
    <row r="419" spans="1:17">
      <c r="A419" s="9">
        <v>11585</v>
      </c>
      <c r="B419" s="9">
        <v>2</v>
      </c>
      <c r="C419" s="9" t="s">
        <v>1986</v>
      </c>
      <c r="D419" s="9" t="s">
        <v>1590</v>
      </c>
      <c r="E419" s="9" t="s">
        <v>1589</v>
      </c>
      <c r="F419" s="9" t="s">
        <v>1589</v>
      </c>
      <c r="G419" s="9" t="s">
        <v>1592</v>
      </c>
      <c r="H419" s="9" t="s">
        <v>1589</v>
      </c>
      <c r="I419" s="9" t="s">
        <v>1589</v>
      </c>
      <c r="J419" s="9" t="s">
        <v>1612</v>
      </c>
      <c r="K419" s="9">
        <v>1</v>
      </c>
      <c r="L419" s="9">
        <v>7</v>
      </c>
      <c r="O419" s="9" t="str">
        <f t="shared" si="22"/>
        <v>YES</v>
      </c>
      <c r="P419" s="9" t="str">
        <f t="shared" si="23"/>
        <v>NO</v>
      </c>
      <c r="Q419" s="9" t="str">
        <f t="shared" si="24"/>
        <v>Conditioned</v>
      </c>
    </row>
    <row r="420" spans="1:17">
      <c r="A420" s="9">
        <v>11585</v>
      </c>
      <c r="B420" s="9">
        <v>3</v>
      </c>
      <c r="C420" s="9" t="s">
        <v>1987</v>
      </c>
      <c r="D420" s="9" t="s">
        <v>1590</v>
      </c>
      <c r="E420" s="9" t="s">
        <v>1591</v>
      </c>
      <c r="F420" s="9" t="s">
        <v>1589</v>
      </c>
      <c r="G420" s="9" t="s">
        <v>1592</v>
      </c>
      <c r="H420" s="9" t="s">
        <v>168</v>
      </c>
      <c r="I420" s="9" t="s">
        <v>1589</v>
      </c>
      <c r="J420" s="9" t="s">
        <v>1605</v>
      </c>
      <c r="K420" s="9">
        <v>1</v>
      </c>
      <c r="L420" s="9">
        <v>8</v>
      </c>
      <c r="O420" s="9" t="str">
        <f t="shared" si="22"/>
        <v>NO</v>
      </c>
      <c r="P420" s="9" t="str">
        <f t="shared" si="23"/>
        <v>YES</v>
      </c>
      <c r="Q420" s="9" t="str">
        <f t="shared" si="24"/>
        <v>Conditioned</v>
      </c>
    </row>
    <row r="421" spans="1:17">
      <c r="A421" s="9">
        <v>11602</v>
      </c>
      <c r="B421" s="9">
        <v>1</v>
      </c>
      <c r="C421" s="9" t="s">
        <v>1589</v>
      </c>
      <c r="D421" s="9" t="s">
        <v>1590</v>
      </c>
      <c r="E421" s="9" t="s">
        <v>1602</v>
      </c>
      <c r="F421" s="9" t="s">
        <v>1603</v>
      </c>
      <c r="G421" s="9" t="s">
        <v>1592</v>
      </c>
      <c r="H421" s="9" t="s">
        <v>177</v>
      </c>
      <c r="I421" s="9" t="s">
        <v>1988</v>
      </c>
      <c r="J421" s="9" t="s">
        <v>1601</v>
      </c>
      <c r="K421" s="9">
        <v>1</v>
      </c>
      <c r="L421" s="9">
        <v>25</v>
      </c>
      <c r="M421" s="9">
        <v>2005</v>
      </c>
      <c r="O421" s="9" t="str">
        <f t="shared" si="22"/>
        <v>NO</v>
      </c>
      <c r="P421" s="9" t="str">
        <f t="shared" si="23"/>
        <v>NO</v>
      </c>
      <c r="Q421" s="9" t="str">
        <f t="shared" si="24"/>
        <v>Conditioned</v>
      </c>
    </row>
    <row r="422" spans="1:17">
      <c r="A422" s="9">
        <v>11633</v>
      </c>
      <c r="B422" s="9">
        <v>1</v>
      </c>
      <c r="C422" s="9" t="s">
        <v>1589</v>
      </c>
      <c r="D422" s="9" t="s">
        <v>1590</v>
      </c>
      <c r="E422" s="9" t="s">
        <v>1602</v>
      </c>
      <c r="F422" s="9" t="s">
        <v>1603</v>
      </c>
      <c r="G422" s="9" t="s">
        <v>1592</v>
      </c>
      <c r="H422" s="9" t="s">
        <v>170</v>
      </c>
      <c r="I422" s="9" t="s">
        <v>1989</v>
      </c>
      <c r="J422" s="9" t="s">
        <v>1601</v>
      </c>
      <c r="K422" s="9">
        <v>1</v>
      </c>
      <c r="L422" s="9">
        <v>24</v>
      </c>
      <c r="M422" s="9">
        <v>2001</v>
      </c>
      <c r="O422" s="9" t="str">
        <f t="shared" si="22"/>
        <v>NO</v>
      </c>
      <c r="P422" s="9" t="str">
        <f t="shared" si="23"/>
        <v>NO</v>
      </c>
      <c r="Q422" s="9" t="str">
        <f t="shared" si="24"/>
        <v>Conditioned</v>
      </c>
    </row>
    <row r="423" spans="1:17">
      <c r="A423" s="9">
        <v>11633</v>
      </c>
      <c r="B423" s="9">
        <v>2</v>
      </c>
      <c r="C423" s="9" t="s">
        <v>1589</v>
      </c>
      <c r="D423" s="9" t="s">
        <v>1590</v>
      </c>
      <c r="E423" s="9" t="s">
        <v>1613</v>
      </c>
      <c r="F423" s="9" t="s">
        <v>1590</v>
      </c>
      <c r="G423" s="9" t="s">
        <v>1592</v>
      </c>
      <c r="H423" s="9" t="s">
        <v>170</v>
      </c>
      <c r="I423" s="9" t="s">
        <v>1990</v>
      </c>
      <c r="J423" s="9" t="s">
        <v>1601</v>
      </c>
      <c r="K423" s="9">
        <v>1</v>
      </c>
      <c r="L423" s="9">
        <v>22</v>
      </c>
      <c r="M423" s="9">
        <v>1987</v>
      </c>
      <c r="O423" s="9" t="str">
        <f t="shared" si="22"/>
        <v>NO</v>
      </c>
      <c r="P423" s="9" t="str">
        <f t="shared" si="23"/>
        <v>NO</v>
      </c>
      <c r="Q423" s="9" t="str">
        <f t="shared" si="24"/>
        <v>Conditioned</v>
      </c>
    </row>
    <row r="424" spans="1:17">
      <c r="A424" s="9">
        <v>11633</v>
      </c>
      <c r="B424" s="9">
        <v>3</v>
      </c>
      <c r="C424" s="9" t="s">
        <v>1589</v>
      </c>
      <c r="D424" s="9" t="s">
        <v>1590</v>
      </c>
      <c r="E424" s="9" t="s">
        <v>1591</v>
      </c>
      <c r="F424" s="9" t="s">
        <v>1589</v>
      </c>
      <c r="G424" s="9" t="s">
        <v>1592</v>
      </c>
      <c r="H424" s="9" t="s">
        <v>1766</v>
      </c>
      <c r="I424" s="9" t="s">
        <v>1991</v>
      </c>
      <c r="J424" s="9" t="s">
        <v>1605</v>
      </c>
      <c r="K424" s="9">
        <v>1</v>
      </c>
      <c r="L424" s="9">
        <v>18</v>
      </c>
      <c r="M424" s="9">
        <v>1970</v>
      </c>
      <c r="O424" s="9" t="str">
        <f t="shared" si="22"/>
        <v>NO</v>
      </c>
      <c r="P424" s="9" t="str">
        <f t="shared" si="23"/>
        <v>YES</v>
      </c>
      <c r="Q424" s="9" t="str">
        <f t="shared" si="24"/>
        <v>Conditioned</v>
      </c>
    </row>
    <row r="425" spans="1:17">
      <c r="A425" s="9">
        <v>11633</v>
      </c>
      <c r="B425" s="9">
        <v>4</v>
      </c>
      <c r="C425" s="9" t="s">
        <v>1589</v>
      </c>
      <c r="D425" s="9" t="s">
        <v>1590</v>
      </c>
      <c r="E425" s="9" t="s">
        <v>1591</v>
      </c>
      <c r="F425" s="9" t="s">
        <v>1589</v>
      </c>
      <c r="G425" s="9" t="s">
        <v>1592</v>
      </c>
      <c r="H425" s="9" t="s">
        <v>1638</v>
      </c>
      <c r="I425" s="9" t="s">
        <v>1992</v>
      </c>
      <c r="J425" s="9" t="s">
        <v>1612</v>
      </c>
      <c r="K425" s="9">
        <v>1</v>
      </c>
      <c r="L425" s="9">
        <v>4</v>
      </c>
      <c r="M425" s="9">
        <v>2003</v>
      </c>
      <c r="O425" s="9" t="str">
        <f t="shared" si="22"/>
        <v>YES</v>
      </c>
      <c r="P425" s="9" t="str">
        <f t="shared" si="23"/>
        <v>NO</v>
      </c>
      <c r="Q425" s="9" t="str">
        <f t="shared" si="24"/>
        <v>Conditioned</v>
      </c>
    </row>
    <row r="426" spans="1:17">
      <c r="A426" s="9">
        <v>11636</v>
      </c>
      <c r="B426" s="9">
        <v>1</v>
      </c>
      <c r="C426" s="9" t="s">
        <v>1589</v>
      </c>
      <c r="D426" s="9" t="s">
        <v>1590</v>
      </c>
      <c r="E426" s="9" t="s">
        <v>1591</v>
      </c>
      <c r="F426" s="9" t="s">
        <v>1589</v>
      </c>
      <c r="G426" s="9" t="s">
        <v>1592</v>
      </c>
      <c r="H426" s="9" t="s">
        <v>169</v>
      </c>
      <c r="I426" s="9" t="s">
        <v>1993</v>
      </c>
      <c r="J426" s="9" t="s">
        <v>1597</v>
      </c>
      <c r="K426" s="9">
        <v>1</v>
      </c>
      <c r="L426" s="9">
        <v>18</v>
      </c>
      <c r="M426" s="9">
        <v>1996</v>
      </c>
      <c r="O426" s="9" t="str">
        <f t="shared" si="22"/>
        <v>NO</v>
      </c>
      <c r="P426" s="9" t="str">
        <f t="shared" si="23"/>
        <v>NO</v>
      </c>
      <c r="Q426" s="9" t="str">
        <f t="shared" si="24"/>
        <v>Conditioned</v>
      </c>
    </row>
    <row r="427" spans="1:17">
      <c r="A427" s="9">
        <v>11639</v>
      </c>
      <c r="B427" s="9">
        <v>1</v>
      </c>
      <c r="C427" s="9" t="s">
        <v>1589</v>
      </c>
      <c r="D427" s="9" t="s">
        <v>1590</v>
      </c>
      <c r="E427" s="9" t="s">
        <v>1602</v>
      </c>
      <c r="F427" s="9" t="s">
        <v>1603</v>
      </c>
      <c r="G427" s="9" t="s">
        <v>1592</v>
      </c>
      <c r="H427" s="9" t="s">
        <v>1638</v>
      </c>
      <c r="I427" s="9" t="s">
        <v>1994</v>
      </c>
      <c r="J427" s="9" t="s">
        <v>1610</v>
      </c>
      <c r="K427" s="9">
        <v>1</v>
      </c>
      <c r="L427" s="9">
        <v>26</v>
      </c>
      <c r="M427" s="9">
        <v>2003</v>
      </c>
      <c r="O427" s="9" t="str">
        <f t="shared" si="22"/>
        <v>NO</v>
      </c>
      <c r="P427" s="9" t="str">
        <f t="shared" si="23"/>
        <v>NO</v>
      </c>
      <c r="Q427" s="9" t="str">
        <f t="shared" si="24"/>
        <v>Conditioned</v>
      </c>
    </row>
    <row r="428" spans="1:17">
      <c r="A428" s="9">
        <v>11645</v>
      </c>
      <c r="B428" s="9">
        <v>1</v>
      </c>
      <c r="C428" s="9" t="s">
        <v>1589</v>
      </c>
      <c r="D428" s="9" t="s">
        <v>1590</v>
      </c>
      <c r="E428" s="9" t="s">
        <v>1591</v>
      </c>
      <c r="F428" s="9" t="s">
        <v>1589</v>
      </c>
      <c r="G428" s="9" t="s">
        <v>1592</v>
      </c>
      <c r="H428" s="9" t="s">
        <v>1624</v>
      </c>
      <c r="I428" s="9" t="s">
        <v>1995</v>
      </c>
      <c r="J428" s="9" t="s">
        <v>1597</v>
      </c>
      <c r="K428" s="9">
        <v>1</v>
      </c>
      <c r="L428" s="9">
        <v>14</v>
      </c>
      <c r="M428" s="9">
        <v>1989</v>
      </c>
      <c r="O428" s="9" t="str">
        <f t="shared" si="22"/>
        <v>NO</v>
      </c>
      <c r="P428" s="9" t="str">
        <f t="shared" si="23"/>
        <v>NO</v>
      </c>
      <c r="Q428" s="9" t="str">
        <f t="shared" si="24"/>
        <v>Conditioned</v>
      </c>
    </row>
    <row r="429" spans="1:17">
      <c r="A429" s="9">
        <v>11645</v>
      </c>
      <c r="B429" s="9">
        <v>2</v>
      </c>
      <c r="C429" s="9" t="s">
        <v>1589</v>
      </c>
      <c r="D429" s="9" t="s">
        <v>1590</v>
      </c>
      <c r="E429" s="9" t="s">
        <v>1591</v>
      </c>
      <c r="F429" s="9" t="s">
        <v>1589</v>
      </c>
      <c r="G429" s="9" t="s">
        <v>1592</v>
      </c>
      <c r="H429" s="9" t="s">
        <v>1552</v>
      </c>
      <c r="I429" s="9" t="s">
        <v>1996</v>
      </c>
      <c r="J429" s="9" t="s">
        <v>1601</v>
      </c>
      <c r="K429" s="9">
        <v>1</v>
      </c>
      <c r="L429" s="9">
        <v>22</v>
      </c>
      <c r="M429" s="9">
        <v>1996</v>
      </c>
      <c r="O429" s="9" t="str">
        <f t="shared" si="22"/>
        <v>NO</v>
      </c>
      <c r="P429" s="9" t="str">
        <f t="shared" si="23"/>
        <v>NO</v>
      </c>
      <c r="Q429" s="9" t="str">
        <f t="shared" si="24"/>
        <v>Conditioned</v>
      </c>
    </row>
    <row r="430" spans="1:17">
      <c r="A430" s="9">
        <v>11653</v>
      </c>
      <c r="B430" s="9">
        <v>1</v>
      </c>
      <c r="C430" s="9" t="s">
        <v>1589</v>
      </c>
      <c r="D430" s="9" t="s">
        <v>1590</v>
      </c>
      <c r="E430" s="9" t="s">
        <v>1591</v>
      </c>
      <c r="F430" s="9" t="s">
        <v>1589</v>
      </c>
      <c r="G430" s="9" t="s">
        <v>1592</v>
      </c>
      <c r="H430" s="9" t="s">
        <v>172</v>
      </c>
      <c r="I430" s="9" t="s">
        <v>1997</v>
      </c>
      <c r="J430" s="9" t="s">
        <v>1597</v>
      </c>
      <c r="K430" s="9">
        <v>1</v>
      </c>
      <c r="L430" s="9">
        <v>18</v>
      </c>
      <c r="M430" s="9">
        <v>2007</v>
      </c>
      <c r="O430" s="9" t="str">
        <f t="shared" si="22"/>
        <v>NO</v>
      </c>
      <c r="P430" s="9" t="str">
        <f t="shared" si="23"/>
        <v>NO</v>
      </c>
      <c r="Q430" s="9" t="str">
        <f t="shared" si="24"/>
        <v>Conditioned</v>
      </c>
    </row>
    <row r="431" spans="1:17">
      <c r="A431" s="9">
        <v>11653</v>
      </c>
      <c r="B431" s="9">
        <v>2</v>
      </c>
      <c r="C431" s="9" t="s">
        <v>1589</v>
      </c>
      <c r="D431" s="9" t="s">
        <v>1590</v>
      </c>
      <c r="E431" s="9" t="s">
        <v>1613</v>
      </c>
      <c r="F431" s="9" t="s">
        <v>1603</v>
      </c>
      <c r="G431" s="9" t="s">
        <v>1592</v>
      </c>
      <c r="H431" s="9" t="s">
        <v>1864</v>
      </c>
      <c r="I431" s="9" t="s">
        <v>1998</v>
      </c>
      <c r="J431" s="9" t="s">
        <v>1608</v>
      </c>
      <c r="K431" s="9">
        <v>1</v>
      </c>
      <c r="L431" s="9">
        <v>20</v>
      </c>
      <c r="M431" s="9">
        <v>2007</v>
      </c>
      <c r="O431" s="9" t="str">
        <f t="shared" si="22"/>
        <v>NO</v>
      </c>
      <c r="P431" s="9" t="str">
        <f t="shared" si="23"/>
        <v>NO</v>
      </c>
      <c r="Q431" s="9" t="str">
        <f t="shared" si="24"/>
        <v>Conditioned</v>
      </c>
    </row>
    <row r="432" spans="1:17">
      <c r="A432" s="9">
        <v>11670</v>
      </c>
      <c r="B432" s="9">
        <v>1</v>
      </c>
      <c r="C432" s="9" t="s">
        <v>1589</v>
      </c>
      <c r="D432" s="9" t="s">
        <v>1590</v>
      </c>
      <c r="E432" s="9" t="s">
        <v>1591</v>
      </c>
      <c r="F432" s="9" t="s">
        <v>1589</v>
      </c>
      <c r="G432" s="9" t="s">
        <v>1592</v>
      </c>
      <c r="H432" s="9" t="s">
        <v>1638</v>
      </c>
      <c r="I432" s="9" t="s">
        <v>1999</v>
      </c>
      <c r="J432" s="9" t="s">
        <v>1597</v>
      </c>
      <c r="K432" s="9">
        <v>1</v>
      </c>
      <c r="L432" s="9">
        <v>16</v>
      </c>
      <c r="M432" s="9">
        <v>1993</v>
      </c>
      <c r="O432" s="9" t="str">
        <f t="shared" si="22"/>
        <v>NO</v>
      </c>
      <c r="P432" s="9" t="str">
        <f t="shared" si="23"/>
        <v>NO</v>
      </c>
      <c r="Q432" s="9" t="str">
        <f t="shared" si="24"/>
        <v>Conditioned</v>
      </c>
    </row>
    <row r="433" spans="1:17">
      <c r="A433" s="9">
        <v>11675</v>
      </c>
      <c r="B433" s="9">
        <v>1</v>
      </c>
      <c r="C433" s="9" t="s">
        <v>1589</v>
      </c>
      <c r="D433" s="9" t="s">
        <v>1590</v>
      </c>
      <c r="E433" s="9" t="s">
        <v>1591</v>
      </c>
      <c r="F433" s="9" t="s">
        <v>1589</v>
      </c>
      <c r="G433" s="9" t="s">
        <v>1592</v>
      </c>
      <c r="H433" s="9" t="s">
        <v>174</v>
      </c>
      <c r="I433" s="9" t="s">
        <v>1589</v>
      </c>
      <c r="J433" s="9" t="s">
        <v>1601</v>
      </c>
      <c r="K433" s="9">
        <v>1</v>
      </c>
      <c r="L433" s="9">
        <v>22</v>
      </c>
      <c r="O433" s="9" t="str">
        <f t="shared" si="22"/>
        <v>NO</v>
      </c>
      <c r="P433" s="9" t="str">
        <f t="shared" si="23"/>
        <v>NO</v>
      </c>
      <c r="Q433" s="9" t="str">
        <f t="shared" si="24"/>
        <v>Conditioned</v>
      </c>
    </row>
    <row r="434" spans="1:17">
      <c r="A434" s="9">
        <v>11675</v>
      </c>
      <c r="B434" s="9">
        <v>2</v>
      </c>
      <c r="C434" s="9" t="s">
        <v>1589</v>
      </c>
      <c r="D434" s="9" t="s">
        <v>1590</v>
      </c>
      <c r="E434" s="9" t="s">
        <v>1591</v>
      </c>
      <c r="F434" s="9" t="s">
        <v>1589</v>
      </c>
      <c r="G434" s="9" t="s">
        <v>1606</v>
      </c>
      <c r="H434" s="9" t="s">
        <v>169</v>
      </c>
      <c r="I434" s="9" t="s">
        <v>2000</v>
      </c>
      <c r="J434" s="9" t="s">
        <v>1605</v>
      </c>
      <c r="K434" s="9">
        <v>1</v>
      </c>
      <c r="L434" s="9">
        <v>20</v>
      </c>
      <c r="M434" s="9">
        <v>2007</v>
      </c>
      <c r="O434" s="9" t="str">
        <f t="shared" si="22"/>
        <v>NO</v>
      </c>
      <c r="P434" s="9" t="str">
        <f t="shared" si="23"/>
        <v>YES</v>
      </c>
      <c r="Q434" s="9" t="str">
        <f t="shared" si="24"/>
        <v>Unconditioned</v>
      </c>
    </row>
    <row r="435" spans="1:17">
      <c r="A435" s="9">
        <v>11675</v>
      </c>
      <c r="B435" s="9">
        <v>3</v>
      </c>
      <c r="C435" s="9" t="s">
        <v>1589</v>
      </c>
      <c r="D435" s="9" t="s">
        <v>1590</v>
      </c>
      <c r="E435" s="9" t="s">
        <v>1589</v>
      </c>
      <c r="F435" s="9" t="s">
        <v>1589</v>
      </c>
      <c r="G435" s="9" t="s">
        <v>1589</v>
      </c>
      <c r="H435" s="9" t="s">
        <v>1632</v>
      </c>
      <c r="I435" s="9" t="s">
        <v>2001</v>
      </c>
      <c r="J435" s="9" t="s">
        <v>1597</v>
      </c>
      <c r="K435" s="9">
        <v>1</v>
      </c>
      <c r="L435" s="9">
        <v>20</v>
      </c>
      <c r="M435" s="9">
        <v>1993</v>
      </c>
      <c r="O435" s="9" t="str">
        <f t="shared" si="22"/>
        <v>NO</v>
      </c>
      <c r="P435" s="9" t="str">
        <f t="shared" si="23"/>
        <v>NO</v>
      </c>
      <c r="Q435" s="9" t="str">
        <f t="shared" si="24"/>
        <v/>
      </c>
    </row>
    <row r="436" spans="1:17">
      <c r="A436" s="9">
        <v>11677</v>
      </c>
      <c r="B436" s="9">
        <v>1</v>
      </c>
      <c r="C436" s="9" t="s">
        <v>1589</v>
      </c>
      <c r="D436" s="9" t="s">
        <v>1603</v>
      </c>
      <c r="E436" s="9" t="s">
        <v>1602</v>
      </c>
      <c r="F436" s="9" t="s">
        <v>1603</v>
      </c>
      <c r="G436" s="9" t="s">
        <v>1592</v>
      </c>
      <c r="H436" s="9" t="s">
        <v>177</v>
      </c>
      <c r="I436" s="9" t="s">
        <v>2002</v>
      </c>
      <c r="J436" s="9" t="s">
        <v>1601</v>
      </c>
      <c r="K436" s="9">
        <v>1</v>
      </c>
      <c r="L436" s="9">
        <v>25</v>
      </c>
      <c r="M436" s="9">
        <v>2009</v>
      </c>
      <c r="O436" s="9" t="str">
        <f t="shared" si="22"/>
        <v>NO</v>
      </c>
      <c r="P436" s="9" t="str">
        <f t="shared" si="23"/>
        <v>NO</v>
      </c>
      <c r="Q436" s="9" t="str">
        <f t="shared" si="24"/>
        <v>Conditioned</v>
      </c>
    </row>
    <row r="437" spans="1:17">
      <c r="A437" s="9">
        <v>11679</v>
      </c>
      <c r="B437" s="9">
        <v>1</v>
      </c>
      <c r="C437" s="9" t="s">
        <v>1589</v>
      </c>
      <c r="D437" s="9" t="s">
        <v>1590</v>
      </c>
      <c r="E437" s="9" t="s">
        <v>1613</v>
      </c>
      <c r="F437" s="9" t="s">
        <v>1603</v>
      </c>
      <c r="G437" s="9" t="s">
        <v>1592</v>
      </c>
      <c r="H437" s="9" t="s">
        <v>173</v>
      </c>
      <c r="I437" s="9" t="s">
        <v>2003</v>
      </c>
      <c r="J437" s="9" t="s">
        <v>1601</v>
      </c>
      <c r="K437" s="9">
        <v>1</v>
      </c>
      <c r="L437" s="9">
        <v>36</v>
      </c>
      <c r="M437" s="9">
        <v>2007</v>
      </c>
      <c r="O437" s="9" t="str">
        <f t="shared" si="22"/>
        <v>NO</v>
      </c>
      <c r="P437" s="9" t="str">
        <f t="shared" si="23"/>
        <v>NO</v>
      </c>
      <c r="Q437" s="9" t="str">
        <f t="shared" si="24"/>
        <v>Conditioned</v>
      </c>
    </row>
    <row r="438" spans="1:17">
      <c r="A438" s="9">
        <v>11684</v>
      </c>
      <c r="B438" s="9">
        <v>1</v>
      </c>
      <c r="C438" s="9" t="s">
        <v>1589</v>
      </c>
      <c r="D438" s="9" t="s">
        <v>1590</v>
      </c>
      <c r="E438" s="9" t="s">
        <v>1602</v>
      </c>
      <c r="F438" s="9" t="s">
        <v>1603</v>
      </c>
      <c r="G438" s="9" t="s">
        <v>1592</v>
      </c>
      <c r="H438" s="9" t="s">
        <v>170</v>
      </c>
      <c r="I438" s="9" t="s">
        <v>2004</v>
      </c>
      <c r="J438" s="9" t="s">
        <v>1608</v>
      </c>
      <c r="K438" s="9">
        <v>1</v>
      </c>
      <c r="L438" s="9">
        <v>20</v>
      </c>
      <c r="M438" s="9">
        <v>2006</v>
      </c>
      <c r="O438" s="9" t="str">
        <f t="shared" si="22"/>
        <v>NO</v>
      </c>
      <c r="P438" s="9" t="str">
        <f t="shared" si="23"/>
        <v>NO</v>
      </c>
      <c r="Q438" s="9" t="str">
        <f t="shared" si="24"/>
        <v>Conditioned</v>
      </c>
    </row>
    <row r="439" spans="1:17">
      <c r="A439" s="9">
        <v>11702</v>
      </c>
      <c r="B439" s="9">
        <v>1</v>
      </c>
      <c r="C439" s="9" t="s">
        <v>1589</v>
      </c>
      <c r="D439" s="9" t="s">
        <v>1590</v>
      </c>
      <c r="E439" s="9" t="s">
        <v>1602</v>
      </c>
      <c r="F439" s="9" t="s">
        <v>1590</v>
      </c>
      <c r="G439" s="9" t="s">
        <v>1592</v>
      </c>
      <c r="H439" s="9" t="s">
        <v>1638</v>
      </c>
      <c r="I439" s="9" t="s">
        <v>2005</v>
      </c>
      <c r="J439" s="9" t="s">
        <v>1601</v>
      </c>
      <c r="K439" s="9">
        <v>1</v>
      </c>
      <c r="L439" s="9">
        <v>22</v>
      </c>
      <c r="M439" s="9">
        <v>2002</v>
      </c>
      <c r="O439" s="9" t="str">
        <f t="shared" si="22"/>
        <v>NO</v>
      </c>
      <c r="P439" s="9" t="str">
        <f t="shared" si="23"/>
        <v>NO</v>
      </c>
      <c r="Q439" s="9" t="str">
        <f t="shared" si="24"/>
        <v>Conditioned</v>
      </c>
    </row>
    <row r="440" spans="1:17">
      <c r="A440" s="9">
        <v>11705</v>
      </c>
      <c r="B440" s="9">
        <v>1</v>
      </c>
      <c r="C440" s="9" t="s">
        <v>1589</v>
      </c>
      <c r="D440" s="9" t="s">
        <v>1590</v>
      </c>
      <c r="E440" s="9" t="s">
        <v>1613</v>
      </c>
      <c r="F440" s="9" t="s">
        <v>1590</v>
      </c>
      <c r="G440" s="9" t="s">
        <v>1592</v>
      </c>
      <c r="H440" s="9" t="s">
        <v>177</v>
      </c>
      <c r="I440" s="9" t="s">
        <v>2006</v>
      </c>
      <c r="J440" s="9" t="s">
        <v>1597</v>
      </c>
      <c r="K440" s="9">
        <v>1</v>
      </c>
      <c r="L440" s="9">
        <v>21</v>
      </c>
      <c r="M440" s="9">
        <v>1985</v>
      </c>
      <c r="O440" s="9" t="str">
        <f t="shared" si="22"/>
        <v>NO</v>
      </c>
      <c r="P440" s="9" t="str">
        <f t="shared" si="23"/>
        <v>NO</v>
      </c>
      <c r="Q440" s="9" t="str">
        <f t="shared" si="24"/>
        <v>Conditioned</v>
      </c>
    </row>
    <row r="441" spans="1:17">
      <c r="A441" s="9">
        <v>11705</v>
      </c>
      <c r="B441" s="9">
        <v>2</v>
      </c>
      <c r="C441" s="9" t="s">
        <v>2007</v>
      </c>
      <c r="D441" s="9" t="s">
        <v>1590</v>
      </c>
      <c r="E441" s="9" t="s">
        <v>1591</v>
      </c>
      <c r="F441" s="9" t="s">
        <v>1589</v>
      </c>
      <c r="G441" s="9" t="s">
        <v>1606</v>
      </c>
      <c r="H441" s="9" t="s">
        <v>170</v>
      </c>
      <c r="I441" s="9" t="s">
        <v>1589</v>
      </c>
      <c r="J441" s="9" t="s">
        <v>1597</v>
      </c>
      <c r="K441" s="9">
        <v>1</v>
      </c>
      <c r="L441" s="9">
        <v>5</v>
      </c>
      <c r="O441" s="9" t="str">
        <f t="shared" si="22"/>
        <v>YES</v>
      </c>
      <c r="P441" s="9" t="str">
        <f t="shared" si="23"/>
        <v>NO</v>
      </c>
      <c r="Q441" s="9" t="str">
        <f t="shared" si="24"/>
        <v>Unconditioned</v>
      </c>
    </row>
    <row r="442" spans="1:17">
      <c r="A442" s="9">
        <v>11713</v>
      </c>
      <c r="B442" s="9">
        <v>1</v>
      </c>
      <c r="C442" s="9" t="s">
        <v>1589</v>
      </c>
      <c r="D442" s="9" t="s">
        <v>1590</v>
      </c>
      <c r="E442" s="9" t="s">
        <v>1591</v>
      </c>
      <c r="F442" s="9" t="s">
        <v>1589</v>
      </c>
      <c r="G442" s="9" t="s">
        <v>1592</v>
      </c>
      <c r="H442" s="9" t="s">
        <v>170</v>
      </c>
      <c r="I442" s="9" t="s">
        <v>2008</v>
      </c>
      <c r="J442" s="9" t="s">
        <v>1597</v>
      </c>
      <c r="K442" s="9">
        <v>1</v>
      </c>
      <c r="L442" s="9">
        <v>18</v>
      </c>
      <c r="M442" s="9">
        <v>1986</v>
      </c>
      <c r="O442" s="9" t="str">
        <f t="shared" si="22"/>
        <v>NO</v>
      </c>
      <c r="P442" s="9" t="str">
        <f t="shared" si="23"/>
        <v>NO</v>
      </c>
      <c r="Q442" s="9" t="str">
        <f t="shared" si="24"/>
        <v>Conditioned</v>
      </c>
    </row>
    <row r="443" spans="1:17">
      <c r="A443" s="9">
        <v>11717</v>
      </c>
      <c r="B443" s="9">
        <v>1</v>
      </c>
      <c r="C443" s="9" t="s">
        <v>1589</v>
      </c>
      <c r="D443" s="9" t="s">
        <v>1590</v>
      </c>
      <c r="E443" s="9" t="s">
        <v>1591</v>
      </c>
      <c r="F443" s="9" t="s">
        <v>1589</v>
      </c>
      <c r="G443" s="9" t="s">
        <v>1592</v>
      </c>
      <c r="H443" s="9" t="s">
        <v>177</v>
      </c>
      <c r="I443" s="9" t="s">
        <v>2009</v>
      </c>
      <c r="J443" s="9" t="s">
        <v>1601</v>
      </c>
      <c r="K443" s="9">
        <v>1</v>
      </c>
      <c r="L443" s="9">
        <v>19</v>
      </c>
      <c r="O443" s="9" t="str">
        <f t="shared" si="22"/>
        <v>NO</v>
      </c>
      <c r="P443" s="9" t="str">
        <f t="shared" si="23"/>
        <v>NO</v>
      </c>
      <c r="Q443" s="9" t="str">
        <f t="shared" si="24"/>
        <v>Conditioned</v>
      </c>
    </row>
    <row r="444" spans="1:17">
      <c r="A444" s="9">
        <v>11725</v>
      </c>
      <c r="B444" s="9">
        <v>1</v>
      </c>
      <c r="C444" s="9" t="s">
        <v>2010</v>
      </c>
      <c r="D444" s="9" t="s">
        <v>1590</v>
      </c>
      <c r="E444" s="9" t="s">
        <v>1613</v>
      </c>
      <c r="F444" s="9" t="s">
        <v>1590</v>
      </c>
      <c r="G444" s="9" t="s">
        <v>1592</v>
      </c>
      <c r="H444" s="9" t="s">
        <v>1599</v>
      </c>
      <c r="I444" s="9" t="s">
        <v>1589</v>
      </c>
      <c r="J444" s="9" t="s">
        <v>1610</v>
      </c>
      <c r="K444" s="9">
        <v>1</v>
      </c>
      <c r="L444" s="9">
        <v>22</v>
      </c>
      <c r="O444" s="9" t="str">
        <f t="shared" si="22"/>
        <v>NO</v>
      </c>
      <c r="P444" s="9" t="str">
        <f t="shared" si="23"/>
        <v>NO</v>
      </c>
      <c r="Q444" s="9" t="str">
        <f t="shared" si="24"/>
        <v>Conditioned</v>
      </c>
    </row>
    <row r="445" spans="1:17">
      <c r="A445" s="9">
        <v>11725</v>
      </c>
      <c r="B445" s="9">
        <v>2</v>
      </c>
      <c r="C445" s="9" t="s">
        <v>2011</v>
      </c>
      <c r="D445" s="9" t="s">
        <v>1590</v>
      </c>
      <c r="E445" s="9" t="s">
        <v>1591</v>
      </c>
      <c r="F445" s="9" t="s">
        <v>1589</v>
      </c>
      <c r="G445" s="9" t="s">
        <v>1592</v>
      </c>
      <c r="H445" s="9" t="s">
        <v>170</v>
      </c>
      <c r="I445" s="9" t="s">
        <v>2012</v>
      </c>
      <c r="J445" s="9" t="s">
        <v>1587</v>
      </c>
      <c r="K445" s="9">
        <v>1</v>
      </c>
      <c r="L445" s="9">
        <v>6</v>
      </c>
      <c r="M445" s="9">
        <v>1987</v>
      </c>
      <c r="O445" s="9" t="str">
        <f t="shared" si="22"/>
        <v>YES</v>
      </c>
      <c r="P445" s="9" t="str">
        <f t="shared" si="23"/>
        <v>YES</v>
      </c>
      <c r="Q445" s="9" t="str">
        <f t="shared" si="24"/>
        <v>Conditioned</v>
      </c>
    </row>
    <row r="446" spans="1:17">
      <c r="A446" s="9">
        <v>11729</v>
      </c>
      <c r="B446" s="9">
        <v>1</v>
      </c>
      <c r="C446" s="9" t="s">
        <v>1589</v>
      </c>
      <c r="D446" s="9" t="s">
        <v>1590</v>
      </c>
      <c r="E446" s="9" t="s">
        <v>1613</v>
      </c>
      <c r="F446" s="9" t="s">
        <v>1603</v>
      </c>
      <c r="G446" s="9" t="s">
        <v>1592</v>
      </c>
      <c r="H446" s="9" t="s">
        <v>1638</v>
      </c>
      <c r="I446" s="9" t="s">
        <v>2013</v>
      </c>
      <c r="J446" s="9" t="s">
        <v>1597</v>
      </c>
      <c r="K446" s="9">
        <v>1</v>
      </c>
      <c r="L446" s="9">
        <v>30</v>
      </c>
      <c r="M446" s="9">
        <v>2003</v>
      </c>
      <c r="O446" s="9" t="str">
        <f t="shared" si="22"/>
        <v>NO</v>
      </c>
      <c r="P446" s="9" t="str">
        <f t="shared" si="23"/>
        <v>NO</v>
      </c>
      <c r="Q446" s="9" t="str">
        <f t="shared" si="24"/>
        <v>Conditioned</v>
      </c>
    </row>
    <row r="447" spans="1:17">
      <c r="A447" s="9">
        <v>11732</v>
      </c>
      <c r="B447" s="9">
        <v>1</v>
      </c>
      <c r="C447" s="9" t="s">
        <v>1589</v>
      </c>
      <c r="D447" s="9" t="s">
        <v>1590</v>
      </c>
      <c r="E447" s="9" t="s">
        <v>1602</v>
      </c>
      <c r="F447" s="9" t="s">
        <v>1603</v>
      </c>
      <c r="G447" s="9" t="s">
        <v>1592</v>
      </c>
      <c r="H447" s="9" t="s">
        <v>1599</v>
      </c>
      <c r="I447" s="9" t="s">
        <v>2014</v>
      </c>
      <c r="J447" s="9" t="s">
        <v>1601</v>
      </c>
      <c r="K447" s="9">
        <v>1</v>
      </c>
      <c r="L447" s="9">
        <v>25</v>
      </c>
      <c r="M447" s="9">
        <v>2004</v>
      </c>
      <c r="O447" s="9" t="str">
        <f t="shared" si="22"/>
        <v>NO</v>
      </c>
      <c r="P447" s="9" t="str">
        <f t="shared" si="23"/>
        <v>NO</v>
      </c>
      <c r="Q447" s="9" t="str">
        <f t="shared" si="24"/>
        <v>Conditioned</v>
      </c>
    </row>
    <row r="448" spans="1:17">
      <c r="A448" s="9">
        <v>11732</v>
      </c>
      <c r="B448" s="9">
        <v>2</v>
      </c>
      <c r="C448" s="9" t="s">
        <v>2015</v>
      </c>
      <c r="D448" s="9" t="s">
        <v>1590</v>
      </c>
      <c r="E448" s="9" t="s">
        <v>1591</v>
      </c>
      <c r="F448" s="9" t="s">
        <v>1589</v>
      </c>
      <c r="G448" s="9" t="s">
        <v>1606</v>
      </c>
      <c r="H448" s="9" t="s">
        <v>169</v>
      </c>
      <c r="I448" s="9" t="s">
        <v>1589</v>
      </c>
      <c r="J448" s="9" t="s">
        <v>1601</v>
      </c>
      <c r="K448" s="9">
        <v>1</v>
      </c>
      <c r="L448" s="9">
        <v>18</v>
      </c>
      <c r="M448" s="9">
        <v>1998</v>
      </c>
      <c r="O448" s="9" t="str">
        <f t="shared" si="22"/>
        <v>NO</v>
      </c>
      <c r="P448" s="9" t="str">
        <f t="shared" si="23"/>
        <v>NO</v>
      </c>
      <c r="Q448" s="9" t="str">
        <f t="shared" si="24"/>
        <v>Unconditioned</v>
      </c>
    </row>
    <row r="449" spans="1:17">
      <c r="A449" s="9">
        <v>11734</v>
      </c>
      <c r="B449" s="9">
        <v>1</v>
      </c>
      <c r="C449" s="9" t="s">
        <v>1589</v>
      </c>
      <c r="D449" s="9" t="s">
        <v>1590</v>
      </c>
      <c r="E449" s="9" t="s">
        <v>1613</v>
      </c>
      <c r="F449" s="9" t="s">
        <v>1603</v>
      </c>
      <c r="G449" s="9" t="s">
        <v>1592</v>
      </c>
      <c r="H449" s="9" t="s">
        <v>1638</v>
      </c>
      <c r="I449" s="9" t="s">
        <v>2016</v>
      </c>
      <c r="J449" s="9" t="s">
        <v>1587</v>
      </c>
      <c r="K449" s="9">
        <v>1</v>
      </c>
      <c r="L449" s="9">
        <v>21</v>
      </c>
      <c r="M449" s="9">
        <v>1998</v>
      </c>
      <c r="O449" s="9" t="str">
        <f t="shared" si="22"/>
        <v>NO</v>
      </c>
      <c r="P449" s="9" t="str">
        <f t="shared" si="23"/>
        <v>YES</v>
      </c>
      <c r="Q449" s="9" t="str">
        <f t="shared" si="24"/>
        <v>Conditioned</v>
      </c>
    </row>
    <row r="450" spans="1:17">
      <c r="A450" s="9">
        <v>11739</v>
      </c>
      <c r="B450" s="9">
        <v>1</v>
      </c>
      <c r="C450" s="9" t="s">
        <v>1589</v>
      </c>
      <c r="D450" s="9" t="s">
        <v>1590</v>
      </c>
      <c r="E450" s="9" t="s">
        <v>1602</v>
      </c>
      <c r="F450" s="9" t="s">
        <v>1603</v>
      </c>
      <c r="G450" s="9" t="s">
        <v>1592</v>
      </c>
      <c r="H450" s="9" t="s">
        <v>170</v>
      </c>
      <c r="I450" s="9" t="s">
        <v>2017</v>
      </c>
      <c r="J450" s="9" t="s">
        <v>1601</v>
      </c>
      <c r="K450" s="9">
        <v>1</v>
      </c>
      <c r="L450" s="9">
        <v>20</v>
      </c>
      <c r="M450" s="9">
        <v>2005</v>
      </c>
      <c r="O450" s="9" t="str">
        <f t="shared" si="22"/>
        <v>NO</v>
      </c>
      <c r="P450" s="9" t="str">
        <f t="shared" si="23"/>
        <v>NO</v>
      </c>
      <c r="Q450" s="9" t="str">
        <f t="shared" si="24"/>
        <v>Conditioned</v>
      </c>
    </row>
    <row r="451" spans="1:17">
      <c r="A451" s="9">
        <v>11739</v>
      </c>
      <c r="B451" s="9">
        <v>2</v>
      </c>
      <c r="C451" s="9" t="s">
        <v>1589</v>
      </c>
      <c r="D451" s="9" t="s">
        <v>1590</v>
      </c>
      <c r="E451" s="9" t="s">
        <v>1591</v>
      </c>
      <c r="F451" s="9" t="s">
        <v>1589</v>
      </c>
      <c r="G451" s="9" t="s">
        <v>1606</v>
      </c>
      <c r="H451" s="9" t="s">
        <v>177</v>
      </c>
      <c r="I451" s="9" t="s">
        <v>2018</v>
      </c>
      <c r="J451" s="9" t="s">
        <v>1605</v>
      </c>
      <c r="K451" s="9">
        <v>1</v>
      </c>
      <c r="L451" s="9">
        <v>20</v>
      </c>
      <c r="M451" s="9">
        <v>1992</v>
      </c>
      <c r="O451" s="9" t="str">
        <f t="shared" si="22"/>
        <v>NO</v>
      </c>
      <c r="P451" s="9" t="str">
        <f t="shared" si="23"/>
        <v>YES</v>
      </c>
      <c r="Q451" s="9" t="str">
        <f t="shared" si="24"/>
        <v>Unconditioned</v>
      </c>
    </row>
    <row r="452" spans="1:17">
      <c r="A452" s="9">
        <v>11749</v>
      </c>
      <c r="B452" s="9">
        <v>1</v>
      </c>
      <c r="C452" s="9" t="s">
        <v>1589</v>
      </c>
      <c r="D452" s="9" t="s">
        <v>1590</v>
      </c>
      <c r="E452" s="9" t="s">
        <v>1613</v>
      </c>
      <c r="F452" s="9" t="s">
        <v>1590</v>
      </c>
      <c r="G452" s="9" t="s">
        <v>1592</v>
      </c>
      <c r="H452" s="9" t="s">
        <v>1638</v>
      </c>
      <c r="I452" s="9" t="s">
        <v>2019</v>
      </c>
      <c r="J452" s="9" t="s">
        <v>1597</v>
      </c>
      <c r="K452" s="9">
        <v>1</v>
      </c>
      <c r="L452" s="9">
        <v>18</v>
      </c>
      <c r="M452" s="9">
        <v>2005</v>
      </c>
      <c r="O452" s="9" t="str">
        <f t="shared" si="22"/>
        <v>NO</v>
      </c>
      <c r="P452" s="9" t="str">
        <f t="shared" si="23"/>
        <v>NO</v>
      </c>
      <c r="Q452" s="9" t="str">
        <f t="shared" si="24"/>
        <v>Conditioned</v>
      </c>
    </row>
    <row r="453" spans="1:17">
      <c r="A453" s="9">
        <v>11752</v>
      </c>
      <c r="B453" s="9">
        <v>1</v>
      </c>
      <c r="C453" s="9" t="s">
        <v>1589</v>
      </c>
      <c r="D453" s="9" t="s">
        <v>1590</v>
      </c>
      <c r="E453" s="9" t="s">
        <v>1591</v>
      </c>
      <c r="F453" s="9" t="s">
        <v>1589</v>
      </c>
      <c r="G453" s="9" t="s">
        <v>1592</v>
      </c>
      <c r="H453" s="9" t="s">
        <v>177</v>
      </c>
      <c r="I453" s="9" t="s">
        <v>2020</v>
      </c>
      <c r="J453" s="9" t="s">
        <v>1597</v>
      </c>
      <c r="K453" s="9">
        <v>1</v>
      </c>
      <c r="L453" s="9">
        <v>18</v>
      </c>
      <c r="M453" s="9">
        <v>2004</v>
      </c>
      <c r="O453" s="9" t="str">
        <f t="shared" si="22"/>
        <v>NO</v>
      </c>
      <c r="P453" s="9" t="str">
        <f t="shared" si="23"/>
        <v>NO</v>
      </c>
      <c r="Q453" s="9" t="str">
        <f t="shared" si="24"/>
        <v>Conditioned</v>
      </c>
    </row>
    <row r="454" spans="1:17">
      <c r="A454" s="9">
        <v>11753</v>
      </c>
      <c r="B454" s="9">
        <v>1</v>
      </c>
      <c r="C454" s="9" t="s">
        <v>1589</v>
      </c>
      <c r="D454" s="9" t="s">
        <v>1590</v>
      </c>
      <c r="E454" s="9" t="s">
        <v>1591</v>
      </c>
      <c r="F454" s="9" t="s">
        <v>1589</v>
      </c>
      <c r="G454" s="9" t="s">
        <v>1592</v>
      </c>
      <c r="H454" s="9" t="s">
        <v>173</v>
      </c>
      <c r="I454" s="9" t="s">
        <v>2021</v>
      </c>
      <c r="J454" s="9" t="s">
        <v>1612</v>
      </c>
      <c r="K454" s="9">
        <v>1</v>
      </c>
      <c r="L454" s="9">
        <v>17</v>
      </c>
      <c r="M454" s="9">
        <v>1997</v>
      </c>
      <c r="O454" s="9" t="str">
        <f t="shared" si="22"/>
        <v>NO</v>
      </c>
      <c r="P454" s="9" t="str">
        <f t="shared" si="23"/>
        <v>NO</v>
      </c>
      <c r="Q454" s="9" t="str">
        <f t="shared" si="24"/>
        <v>Conditioned</v>
      </c>
    </row>
    <row r="455" spans="1:17">
      <c r="A455" s="9">
        <v>11753</v>
      </c>
      <c r="B455" s="9">
        <v>2</v>
      </c>
      <c r="C455" s="9" t="s">
        <v>1589</v>
      </c>
      <c r="D455" s="9" t="s">
        <v>1603</v>
      </c>
      <c r="E455" s="9" t="s">
        <v>1602</v>
      </c>
      <c r="F455" s="9" t="s">
        <v>1603</v>
      </c>
      <c r="G455" s="9" t="s">
        <v>1592</v>
      </c>
      <c r="H455" s="9" t="s">
        <v>1017</v>
      </c>
      <c r="I455" s="9" t="s">
        <v>2022</v>
      </c>
      <c r="J455" s="9" t="s">
        <v>1610</v>
      </c>
      <c r="K455" s="9">
        <v>1</v>
      </c>
      <c r="L455" s="9">
        <v>25</v>
      </c>
      <c r="M455" s="9">
        <v>2010</v>
      </c>
      <c r="O455" s="9" t="str">
        <f t="shared" si="22"/>
        <v>NO</v>
      </c>
      <c r="P455" s="9" t="str">
        <f t="shared" si="23"/>
        <v>NO</v>
      </c>
      <c r="Q455" s="9" t="str">
        <f t="shared" si="24"/>
        <v>Conditioned</v>
      </c>
    </row>
    <row r="456" spans="1:17">
      <c r="A456" s="9">
        <v>11753</v>
      </c>
      <c r="B456" s="9">
        <v>3</v>
      </c>
      <c r="C456" s="9" t="s">
        <v>1589</v>
      </c>
      <c r="D456" s="9" t="s">
        <v>1590</v>
      </c>
      <c r="E456" s="9" t="s">
        <v>1591</v>
      </c>
      <c r="F456" s="9" t="s">
        <v>1589</v>
      </c>
      <c r="G456" s="9" t="s">
        <v>1592</v>
      </c>
      <c r="H456" s="9" t="s">
        <v>173</v>
      </c>
      <c r="I456" s="9" t="s">
        <v>1589</v>
      </c>
      <c r="J456" s="9" t="s">
        <v>1587</v>
      </c>
      <c r="K456" s="9">
        <v>1</v>
      </c>
      <c r="L456" s="9">
        <v>14</v>
      </c>
      <c r="M456" s="9">
        <v>1997</v>
      </c>
      <c r="O456" s="9" t="str">
        <f t="shared" si="22"/>
        <v>NO</v>
      </c>
      <c r="P456" s="9" t="str">
        <f t="shared" si="23"/>
        <v>YES</v>
      </c>
      <c r="Q456" s="9" t="str">
        <f t="shared" si="24"/>
        <v>Conditioned</v>
      </c>
    </row>
    <row r="457" spans="1:17">
      <c r="A457" s="9">
        <v>11762</v>
      </c>
      <c r="B457" s="9">
        <v>1</v>
      </c>
      <c r="C457" s="9" t="s">
        <v>1589</v>
      </c>
      <c r="D457" s="9" t="s">
        <v>1603</v>
      </c>
      <c r="E457" s="9" t="s">
        <v>1602</v>
      </c>
      <c r="F457" s="9" t="s">
        <v>1603</v>
      </c>
      <c r="G457" s="9" t="s">
        <v>1592</v>
      </c>
      <c r="H457" s="9" t="s">
        <v>177</v>
      </c>
      <c r="I457" s="9" t="s">
        <v>2023</v>
      </c>
      <c r="J457" s="9" t="s">
        <v>1601</v>
      </c>
      <c r="K457" s="9">
        <v>1</v>
      </c>
      <c r="L457" s="9">
        <v>22</v>
      </c>
      <c r="M457" s="9">
        <v>2005</v>
      </c>
      <c r="O457" s="9" t="str">
        <f t="shared" si="22"/>
        <v>NO</v>
      </c>
      <c r="P457" s="9" t="str">
        <f t="shared" si="23"/>
        <v>NO</v>
      </c>
      <c r="Q457" s="9" t="str">
        <f t="shared" si="24"/>
        <v>Conditioned</v>
      </c>
    </row>
    <row r="458" spans="1:17">
      <c r="A458" s="9">
        <v>11762</v>
      </c>
      <c r="B458" s="9">
        <v>2</v>
      </c>
      <c r="C458" s="9" t="s">
        <v>1589</v>
      </c>
      <c r="D458" s="9" t="s">
        <v>1590</v>
      </c>
      <c r="E458" s="9" t="s">
        <v>1591</v>
      </c>
      <c r="F458" s="9" t="s">
        <v>1589</v>
      </c>
      <c r="G458" s="9" t="s">
        <v>1592</v>
      </c>
      <c r="H458" s="9" t="s">
        <v>1638</v>
      </c>
      <c r="I458" s="9" t="s">
        <v>2024</v>
      </c>
      <c r="J458" s="9" t="s">
        <v>1597</v>
      </c>
      <c r="K458" s="9">
        <v>1</v>
      </c>
      <c r="L458" s="9">
        <v>18</v>
      </c>
      <c r="M458" s="9">
        <v>1995</v>
      </c>
      <c r="O458" s="9" t="str">
        <f t="shared" si="22"/>
        <v>NO</v>
      </c>
      <c r="P458" s="9" t="str">
        <f t="shared" si="23"/>
        <v>NO</v>
      </c>
      <c r="Q458" s="9" t="str">
        <f t="shared" si="24"/>
        <v>Conditioned</v>
      </c>
    </row>
    <row r="459" spans="1:17">
      <c r="A459" s="9">
        <v>11762</v>
      </c>
      <c r="B459" s="9">
        <v>3</v>
      </c>
      <c r="C459" s="9" t="s">
        <v>2025</v>
      </c>
      <c r="D459" s="9" t="s">
        <v>1590</v>
      </c>
      <c r="E459" s="9" t="s">
        <v>1591</v>
      </c>
      <c r="F459" s="9" t="s">
        <v>1589</v>
      </c>
      <c r="G459" s="9" t="s">
        <v>1606</v>
      </c>
      <c r="H459" s="9" t="s">
        <v>169</v>
      </c>
      <c r="I459" s="9" t="s">
        <v>2026</v>
      </c>
      <c r="J459" s="9" t="s">
        <v>1605</v>
      </c>
      <c r="K459" s="9">
        <v>0.5</v>
      </c>
      <c r="L459" s="9">
        <v>16</v>
      </c>
      <c r="O459" s="9" t="str">
        <f t="shared" si="22"/>
        <v>NO</v>
      </c>
      <c r="P459" s="9" t="str">
        <f t="shared" si="23"/>
        <v>YES</v>
      </c>
      <c r="Q459" s="9" t="str">
        <f t="shared" si="24"/>
        <v>Unconditioned</v>
      </c>
    </row>
    <row r="460" spans="1:17">
      <c r="A460" s="9">
        <v>11766</v>
      </c>
      <c r="B460" s="9">
        <v>1</v>
      </c>
      <c r="C460" s="9" t="s">
        <v>1589</v>
      </c>
      <c r="D460" s="9" t="s">
        <v>1590</v>
      </c>
      <c r="E460" s="9" t="s">
        <v>1613</v>
      </c>
      <c r="F460" s="9" t="s">
        <v>1603</v>
      </c>
      <c r="G460" s="9" t="s">
        <v>1592</v>
      </c>
      <c r="H460" s="9" t="s">
        <v>1638</v>
      </c>
      <c r="I460" s="9" t="s">
        <v>2027</v>
      </c>
      <c r="J460" s="9" t="s">
        <v>1597</v>
      </c>
      <c r="K460" s="9">
        <v>1</v>
      </c>
      <c r="L460" s="9">
        <v>25</v>
      </c>
      <c r="M460" s="9">
        <v>2003</v>
      </c>
      <c r="O460" s="9" t="str">
        <f t="shared" si="22"/>
        <v>NO</v>
      </c>
      <c r="P460" s="9" t="str">
        <f t="shared" si="23"/>
        <v>NO</v>
      </c>
      <c r="Q460" s="9" t="str">
        <f t="shared" si="24"/>
        <v>Conditioned</v>
      </c>
    </row>
    <row r="461" spans="1:17">
      <c r="A461" s="9">
        <v>11766</v>
      </c>
      <c r="B461" s="9">
        <v>2</v>
      </c>
      <c r="C461" s="9" t="s">
        <v>1589</v>
      </c>
      <c r="D461" s="9" t="s">
        <v>1590</v>
      </c>
      <c r="E461" s="9" t="s">
        <v>1591</v>
      </c>
      <c r="F461" s="9" t="s">
        <v>1589</v>
      </c>
      <c r="G461" s="9" t="s">
        <v>1606</v>
      </c>
      <c r="H461" s="9" t="s">
        <v>170</v>
      </c>
      <c r="I461" s="9" t="s">
        <v>2028</v>
      </c>
      <c r="J461" s="9" t="s">
        <v>1605</v>
      </c>
      <c r="K461" s="9">
        <v>1</v>
      </c>
      <c r="L461" s="9">
        <v>16</v>
      </c>
      <c r="M461" s="9">
        <v>2002</v>
      </c>
      <c r="O461" s="9" t="str">
        <f t="shared" si="22"/>
        <v>NO</v>
      </c>
      <c r="P461" s="9" t="str">
        <f t="shared" si="23"/>
        <v>YES</v>
      </c>
      <c r="Q461" s="9" t="str">
        <f t="shared" si="24"/>
        <v>Unconditioned</v>
      </c>
    </row>
    <row r="462" spans="1:17">
      <c r="A462" s="9">
        <v>11769</v>
      </c>
      <c r="B462" s="9">
        <v>1</v>
      </c>
      <c r="C462" s="9" t="s">
        <v>1589</v>
      </c>
      <c r="D462" s="9" t="s">
        <v>1590</v>
      </c>
      <c r="E462" s="9" t="s">
        <v>1613</v>
      </c>
      <c r="F462" s="9" t="s">
        <v>1603</v>
      </c>
      <c r="G462" s="9" t="s">
        <v>1592</v>
      </c>
      <c r="H462" s="9" t="s">
        <v>1638</v>
      </c>
      <c r="I462" s="9" t="s">
        <v>1589</v>
      </c>
      <c r="J462" s="9" t="s">
        <v>1610</v>
      </c>
      <c r="K462" s="9">
        <v>1</v>
      </c>
      <c r="L462" s="9">
        <v>18</v>
      </c>
      <c r="M462" s="9">
        <v>2006</v>
      </c>
      <c r="O462" s="9" t="str">
        <f t="shared" si="22"/>
        <v>NO</v>
      </c>
      <c r="P462" s="9" t="str">
        <f t="shared" si="23"/>
        <v>NO</v>
      </c>
      <c r="Q462" s="9" t="str">
        <f t="shared" si="24"/>
        <v>Conditioned</v>
      </c>
    </row>
    <row r="463" spans="1:17">
      <c r="A463" s="9">
        <v>11772</v>
      </c>
      <c r="B463" s="9">
        <v>1</v>
      </c>
      <c r="C463" s="9" t="s">
        <v>1589</v>
      </c>
      <c r="D463" s="9" t="s">
        <v>1590</v>
      </c>
      <c r="E463" s="9" t="s">
        <v>1613</v>
      </c>
      <c r="F463" s="9" t="s">
        <v>1603</v>
      </c>
      <c r="G463" s="9" t="s">
        <v>1592</v>
      </c>
      <c r="H463" s="9" t="s">
        <v>1638</v>
      </c>
      <c r="I463" s="9" t="s">
        <v>2029</v>
      </c>
      <c r="J463" s="9" t="s">
        <v>1610</v>
      </c>
      <c r="K463" s="9">
        <v>1</v>
      </c>
      <c r="L463" s="9">
        <v>22</v>
      </c>
      <c r="M463" s="9">
        <v>2006</v>
      </c>
      <c r="O463" s="9" t="str">
        <f t="shared" si="22"/>
        <v>NO</v>
      </c>
      <c r="P463" s="9" t="str">
        <f t="shared" si="23"/>
        <v>NO</v>
      </c>
      <c r="Q463" s="9" t="str">
        <f t="shared" si="24"/>
        <v>Conditioned</v>
      </c>
    </row>
    <row r="464" spans="1:17">
      <c r="A464" s="9">
        <v>11774</v>
      </c>
      <c r="B464" s="9">
        <v>1</v>
      </c>
      <c r="C464" s="9" t="s">
        <v>1589</v>
      </c>
      <c r="D464" s="9" t="s">
        <v>1590</v>
      </c>
      <c r="E464" s="9" t="s">
        <v>1613</v>
      </c>
      <c r="F464" s="9" t="s">
        <v>1603</v>
      </c>
      <c r="G464" s="9" t="s">
        <v>1592</v>
      </c>
      <c r="H464" s="9" t="s">
        <v>1589</v>
      </c>
      <c r="I464" s="9" t="s">
        <v>1589</v>
      </c>
      <c r="J464" s="9" t="s">
        <v>1608</v>
      </c>
      <c r="K464" s="9">
        <v>1</v>
      </c>
      <c r="L464" s="9">
        <v>21</v>
      </c>
      <c r="M464" s="9">
        <v>2009</v>
      </c>
      <c r="O464" s="9" t="str">
        <f t="shared" si="22"/>
        <v>NO</v>
      </c>
      <c r="P464" s="9" t="str">
        <f t="shared" si="23"/>
        <v>NO</v>
      </c>
      <c r="Q464" s="9" t="str">
        <f t="shared" si="24"/>
        <v>Conditioned</v>
      </c>
    </row>
    <row r="465" spans="1:17">
      <c r="A465" s="9">
        <v>11774</v>
      </c>
      <c r="B465" s="9">
        <v>2</v>
      </c>
      <c r="C465" s="9" t="s">
        <v>1589</v>
      </c>
      <c r="D465" s="9" t="s">
        <v>1590</v>
      </c>
      <c r="E465" s="9" t="s">
        <v>1591</v>
      </c>
      <c r="F465" s="9" t="s">
        <v>1589</v>
      </c>
      <c r="G465" s="9" t="s">
        <v>1592</v>
      </c>
      <c r="H465" s="9" t="s">
        <v>1552</v>
      </c>
      <c r="I465" s="9" t="s">
        <v>2030</v>
      </c>
      <c r="J465" s="9" t="s">
        <v>1605</v>
      </c>
      <c r="K465" s="9">
        <v>1</v>
      </c>
      <c r="L465" s="9">
        <v>21</v>
      </c>
      <c r="M465" s="9">
        <v>1996</v>
      </c>
      <c r="O465" s="9" t="str">
        <f t="shared" si="22"/>
        <v>NO</v>
      </c>
      <c r="P465" s="9" t="str">
        <f t="shared" si="23"/>
        <v>YES</v>
      </c>
      <c r="Q465" s="9" t="str">
        <f t="shared" si="24"/>
        <v>Conditioned</v>
      </c>
    </row>
    <row r="466" spans="1:17">
      <c r="A466" s="9">
        <v>11774</v>
      </c>
      <c r="B466" s="9">
        <v>3</v>
      </c>
      <c r="C466" s="9" t="s">
        <v>1589</v>
      </c>
      <c r="D466" s="9" t="s">
        <v>1590</v>
      </c>
      <c r="E466" s="9" t="s">
        <v>1589</v>
      </c>
      <c r="F466" s="9" t="s">
        <v>1589</v>
      </c>
      <c r="G466" s="9" t="s">
        <v>1606</v>
      </c>
      <c r="H466" s="9" t="s">
        <v>167</v>
      </c>
      <c r="I466" s="9" t="s">
        <v>2031</v>
      </c>
      <c r="J466" s="9" t="s">
        <v>1612</v>
      </c>
      <c r="K466" s="9">
        <v>1</v>
      </c>
      <c r="L466" s="9">
        <v>10</v>
      </c>
      <c r="M466" s="9">
        <v>2002</v>
      </c>
      <c r="O466" s="9" t="str">
        <f t="shared" si="22"/>
        <v>NO</v>
      </c>
      <c r="P466" s="9" t="str">
        <f t="shared" si="23"/>
        <v>NO</v>
      </c>
      <c r="Q466" s="9" t="str">
        <f t="shared" si="24"/>
        <v>Unconditioned</v>
      </c>
    </row>
    <row r="467" spans="1:17">
      <c r="A467" s="9">
        <v>11775</v>
      </c>
      <c r="B467" s="9">
        <v>1</v>
      </c>
      <c r="C467" s="9" t="s">
        <v>2032</v>
      </c>
      <c r="D467" s="9" t="s">
        <v>1590</v>
      </c>
      <c r="E467" s="9" t="s">
        <v>1591</v>
      </c>
      <c r="F467" s="9" t="s">
        <v>1589</v>
      </c>
      <c r="G467" s="9" t="s">
        <v>1606</v>
      </c>
      <c r="H467" s="9" t="s">
        <v>1900</v>
      </c>
      <c r="I467" s="9" t="s">
        <v>2033</v>
      </c>
      <c r="J467" s="9" t="s">
        <v>1587</v>
      </c>
      <c r="K467" s="9">
        <v>1</v>
      </c>
      <c r="L467" s="9">
        <v>25</v>
      </c>
      <c r="O467" s="9" t="str">
        <f t="shared" si="22"/>
        <v>NO</v>
      </c>
      <c r="P467" s="9" t="str">
        <f t="shared" si="23"/>
        <v>YES</v>
      </c>
      <c r="Q467" s="9" t="str">
        <f t="shared" si="24"/>
        <v>Unconditioned</v>
      </c>
    </row>
    <row r="468" spans="1:17">
      <c r="A468" s="9">
        <v>11775</v>
      </c>
      <c r="B468" s="9">
        <v>2</v>
      </c>
      <c r="C468" s="9" t="s">
        <v>1589</v>
      </c>
      <c r="D468" s="9" t="s">
        <v>1590</v>
      </c>
      <c r="E468" s="9" t="s">
        <v>1591</v>
      </c>
      <c r="F468" s="9" t="s">
        <v>1589</v>
      </c>
      <c r="G468" s="9" t="s">
        <v>1606</v>
      </c>
      <c r="H468" s="9" t="s">
        <v>170</v>
      </c>
      <c r="I468" s="9" t="s">
        <v>2034</v>
      </c>
      <c r="J468" s="9" t="s">
        <v>1587</v>
      </c>
      <c r="K468" s="9">
        <v>1</v>
      </c>
      <c r="L468" s="9">
        <v>8</v>
      </c>
      <c r="M468" s="9">
        <v>1999</v>
      </c>
      <c r="O468" s="9" t="str">
        <f t="shared" si="22"/>
        <v>NO</v>
      </c>
      <c r="P468" s="9" t="str">
        <f t="shared" si="23"/>
        <v>YES</v>
      </c>
      <c r="Q468" s="9" t="str">
        <f t="shared" si="24"/>
        <v>Unconditioned</v>
      </c>
    </row>
    <row r="469" spans="1:17">
      <c r="A469" s="9">
        <v>11775</v>
      </c>
      <c r="B469" s="9">
        <v>3</v>
      </c>
      <c r="C469" s="9" t="s">
        <v>1589</v>
      </c>
      <c r="D469" s="9" t="s">
        <v>1590</v>
      </c>
      <c r="E469" s="9" t="s">
        <v>1602</v>
      </c>
      <c r="F469" s="9" t="s">
        <v>1603</v>
      </c>
      <c r="G469" s="9" t="s">
        <v>1592</v>
      </c>
      <c r="H469" s="9" t="s">
        <v>174</v>
      </c>
      <c r="I469" s="9" t="s">
        <v>2035</v>
      </c>
      <c r="J469" s="9" t="s">
        <v>1601</v>
      </c>
      <c r="K469" s="9">
        <v>1</v>
      </c>
      <c r="L469" s="9">
        <v>24</v>
      </c>
      <c r="M469" s="9">
        <v>1990</v>
      </c>
      <c r="O469" s="9" t="str">
        <f t="shared" si="22"/>
        <v>NO</v>
      </c>
      <c r="P469" s="9" t="str">
        <f t="shared" si="23"/>
        <v>NO</v>
      </c>
      <c r="Q469" s="9" t="str">
        <f t="shared" si="24"/>
        <v>Conditioned</v>
      </c>
    </row>
    <row r="470" spans="1:17">
      <c r="A470" s="9">
        <v>11775</v>
      </c>
      <c r="B470" s="9">
        <v>4</v>
      </c>
      <c r="C470" s="9" t="s">
        <v>1589</v>
      </c>
      <c r="D470" s="9" t="s">
        <v>1590</v>
      </c>
      <c r="E470" s="9" t="s">
        <v>1591</v>
      </c>
      <c r="F470" s="9" t="s">
        <v>1589</v>
      </c>
      <c r="G470" s="9" t="s">
        <v>1606</v>
      </c>
      <c r="H470" s="9" t="s">
        <v>173</v>
      </c>
      <c r="I470" s="9" t="s">
        <v>2036</v>
      </c>
      <c r="J470" s="9" t="s">
        <v>1597</v>
      </c>
      <c r="K470" s="9">
        <v>1</v>
      </c>
      <c r="L470" s="9">
        <v>19</v>
      </c>
      <c r="M470" s="9">
        <v>2001</v>
      </c>
      <c r="O470" s="9" t="str">
        <f t="shared" si="22"/>
        <v>NO</v>
      </c>
      <c r="P470" s="9" t="str">
        <f t="shared" si="23"/>
        <v>NO</v>
      </c>
      <c r="Q470" s="9" t="str">
        <f t="shared" si="24"/>
        <v>Unconditioned</v>
      </c>
    </row>
    <row r="471" spans="1:17">
      <c r="A471" s="9">
        <v>11779</v>
      </c>
      <c r="B471" s="9">
        <v>1</v>
      </c>
      <c r="C471" s="9" t="s">
        <v>1589</v>
      </c>
      <c r="D471" s="9" t="s">
        <v>1590</v>
      </c>
      <c r="E471" s="9" t="s">
        <v>1602</v>
      </c>
      <c r="F471" s="9" t="s">
        <v>1603</v>
      </c>
      <c r="G471" s="9" t="s">
        <v>1592</v>
      </c>
      <c r="H471" s="9" t="s">
        <v>1638</v>
      </c>
      <c r="I471" s="9" t="s">
        <v>2037</v>
      </c>
      <c r="J471" s="9" t="s">
        <v>1601</v>
      </c>
      <c r="K471" s="9">
        <v>1</v>
      </c>
      <c r="L471" s="9">
        <v>26</v>
      </c>
      <c r="M471" s="9">
        <v>2009</v>
      </c>
      <c r="O471" s="9" t="str">
        <f t="shared" ref="O471:O534" si="25">IF(L471&lt;7.75,"YES","NO")</f>
        <v>NO</v>
      </c>
      <c r="P471" s="9" t="str">
        <f t="shared" ref="P471:P534" si="26">VLOOKUP(J471,$Z$21:$AA$27,2,FALSE)</f>
        <v>NO</v>
      </c>
      <c r="Q471" s="9" t="str">
        <f t="shared" ref="Q471:Q534" si="27">G471</f>
        <v>Conditioned</v>
      </c>
    </row>
    <row r="472" spans="1:17">
      <c r="A472" s="9">
        <v>11779</v>
      </c>
      <c r="B472" s="9">
        <v>2</v>
      </c>
      <c r="C472" s="9" t="s">
        <v>1589</v>
      </c>
      <c r="D472" s="9" t="s">
        <v>1590</v>
      </c>
      <c r="E472" s="9" t="s">
        <v>1591</v>
      </c>
      <c r="F472" s="9" t="s">
        <v>1589</v>
      </c>
      <c r="G472" s="9" t="s">
        <v>1592</v>
      </c>
      <c r="H472" s="9" t="s">
        <v>170</v>
      </c>
      <c r="I472" s="9" t="s">
        <v>2038</v>
      </c>
      <c r="J472" s="9" t="s">
        <v>1587</v>
      </c>
      <c r="K472" s="9">
        <v>1</v>
      </c>
      <c r="L472" s="9">
        <v>16</v>
      </c>
      <c r="M472" s="9">
        <v>1963</v>
      </c>
      <c r="O472" s="9" t="str">
        <f t="shared" si="25"/>
        <v>NO</v>
      </c>
      <c r="P472" s="9" t="str">
        <f t="shared" si="26"/>
        <v>YES</v>
      </c>
      <c r="Q472" s="9" t="str">
        <f t="shared" si="27"/>
        <v>Conditioned</v>
      </c>
    </row>
    <row r="473" spans="1:17">
      <c r="A473" s="9">
        <v>11780</v>
      </c>
      <c r="B473" s="9">
        <v>1</v>
      </c>
      <c r="C473" s="9" t="s">
        <v>1589</v>
      </c>
      <c r="D473" s="9" t="s">
        <v>1590</v>
      </c>
      <c r="E473" s="9" t="s">
        <v>1613</v>
      </c>
      <c r="F473" s="9" t="s">
        <v>1603</v>
      </c>
      <c r="G473" s="9" t="s">
        <v>1592</v>
      </c>
      <c r="H473" s="9" t="s">
        <v>1638</v>
      </c>
      <c r="I473" s="9" t="s">
        <v>2039</v>
      </c>
      <c r="J473" s="9" t="s">
        <v>1608</v>
      </c>
      <c r="K473" s="9">
        <v>1</v>
      </c>
      <c r="L473" s="9">
        <v>26</v>
      </c>
      <c r="M473" s="9">
        <v>2007</v>
      </c>
      <c r="O473" s="9" t="str">
        <f t="shared" si="25"/>
        <v>NO</v>
      </c>
      <c r="P473" s="9" t="str">
        <f t="shared" si="26"/>
        <v>NO</v>
      </c>
      <c r="Q473" s="9" t="str">
        <f t="shared" si="27"/>
        <v>Conditioned</v>
      </c>
    </row>
    <row r="474" spans="1:17">
      <c r="A474" s="9">
        <v>11780</v>
      </c>
      <c r="B474" s="9">
        <v>2</v>
      </c>
      <c r="C474" s="9" t="s">
        <v>1589</v>
      </c>
      <c r="D474" s="9" t="s">
        <v>1590</v>
      </c>
      <c r="E474" s="9" t="s">
        <v>1602</v>
      </c>
      <c r="F474" s="9" t="s">
        <v>1590</v>
      </c>
      <c r="G474" s="9" t="s">
        <v>1606</v>
      </c>
      <c r="H474" s="9" t="s">
        <v>174</v>
      </c>
      <c r="I474" s="9" t="s">
        <v>2040</v>
      </c>
      <c r="J474" s="9" t="s">
        <v>1601</v>
      </c>
      <c r="K474" s="9">
        <v>1</v>
      </c>
      <c r="L474" s="9">
        <v>22</v>
      </c>
      <c r="M474" s="9">
        <v>1995</v>
      </c>
      <c r="O474" s="9" t="str">
        <f t="shared" si="25"/>
        <v>NO</v>
      </c>
      <c r="P474" s="9" t="str">
        <f t="shared" si="26"/>
        <v>NO</v>
      </c>
      <c r="Q474" s="9" t="str">
        <f t="shared" si="27"/>
        <v>Unconditioned</v>
      </c>
    </row>
    <row r="475" spans="1:17">
      <c r="A475" s="9">
        <v>11780</v>
      </c>
      <c r="B475" s="9">
        <v>3</v>
      </c>
      <c r="C475" s="9" t="s">
        <v>1589</v>
      </c>
      <c r="D475" s="9" t="s">
        <v>1590</v>
      </c>
      <c r="E475" s="9" t="s">
        <v>1591</v>
      </c>
      <c r="F475" s="9" t="s">
        <v>1589</v>
      </c>
      <c r="G475" s="9" t="s">
        <v>1592</v>
      </c>
      <c r="H475" s="9" t="s">
        <v>170</v>
      </c>
      <c r="I475" s="9" t="s">
        <v>2041</v>
      </c>
      <c r="J475" s="9" t="s">
        <v>1605</v>
      </c>
      <c r="K475" s="9">
        <v>1</v>
      </c>
      <c r="L475" s="9">
        <v>22</v>
      </c>
      <c r="M475" s="9">
        <v>2001</v>
      </c>
      <c r="O475" s="9" t="str">
        <f t="shared" si="25"/>
        <v>NO</v>
      </c>
      <c r="P475" s="9" t="str">
        <f t="shared" si="26"/>
        <v>YES</v>
      </c>
      <c r="Q475" s="9" t="str">
        <f t="shared" si="27"/>
        <v>Conditioned</v>
      </c>
    </row>
    <row r="476" spans="1:17">
      <c r="A476" s="9">
        <v>11788</v>
      </c>
      <c r="B476" s="9">
        <v>1</v>
      </c>
      <c r="C476" s="9" t="s">
        <v>1589</v>
      </c>
      <c r="D476" s="9" t="s">
        <v>1590</v>
      </c>
      <c r="E476" s="9" t="s">
        <v>1602</v>
      </c>
      <c r="F476" s="9" t="s">
        <v>1603</v>
      </c>
      <c r="G476" s="9" t="s">
        <v>1592</v>
      </c>
      <c r="H476" s="9" t="s">
        <v>169</v>
      </c>
      <c r="I476" s="9" t="s">
        <v>2042</v>
      </c>
      <c r="J476" s="9" t="s">
        <v>1601</v>
      </c>
      <c r="K476" s="9">
        <v>1</v>
      </c>
      <c r="L476" s="9">
        <v>22</v>
      </c>
      <c r="M476" s="9">
        <v>2010</v>
      </c>
      <c r="O476" s="9" t="str">
        <f t="shared" si="25"/>
        <v>NO</v>
      </c>
      <c r="P476" s="9" t="str">
        <f t="shared" si="26"/>
        <v>NO</v>
      </c>
      <c r="Q476" s="9" t="str">
        <f t="shared" si="27"/>
        <v>Conditioned</v>
      </c>
    </row>
    <row r="477" spans="1:17">
      <c r="A477" s="9">
        <v>11794</v>
      </c>
      <c r="B477" s="9">
        <v>1</v>
      </c>
      <c r="C477" s="9" t="s">
        <v>1589</v>
      </c>
      <c r="D477" s="9" t="s">
        <v>1590</v>
      </c>
      <c r="E477" s="9" t="s">
        <v>1613</v>
      </c>
      <c r="F477" s="9" t="s">
        <v>1603</v>
      </c>
      <c r="G477" s="9" t="s">
        <v>1592</v>
      </c>
      <c r="H477" s="9" t="s">
        <v>174</v>
      </c>
      <c r="I477" s="9" t="s">
        <v>2043</v>
      </c>
      <c r="J477" s="9" t="s">
        <v>1601</v>
      </c>
      <c r="K477" s="9">
        <v>1</v>
      </c>
      <c r="L477" s="9">
        <v>25</v>
      </c>
      <c r="M477" s="9">
        <v>1996</v>
      </c>
      <c r="O477" s="9" t="str">
        <f t="shared" si="25"/>
        <v>NO</v>
      </c>
      <c r="P477" s="9" t="str">
        <f t="shared" si="26"/>
        <v>NO</v>
      </c>
      <c r="Q477" s="9" t="str">
        <f t="shared" si="27"/>
        <v>Conditioned</v>
      </c>
    </row>
    <row r="478" spans="1:17">
      <c r="A478" s="9">
        <v>11802</v>
      </c>
      <c r="B478" s="9">
        <v>1</v>
      </c>
      <c r="C478" s="9" t="s">
        <v>1589</v>
      </c>
      <c r="D478" s="9" t="s">
        <v>1590</v>
      </c>
      <c r="E478" s="9" t="s">
        <v>1602</v>
      </c>
      <c r="F478" s="9" t="s">
        <v>1603</v>
      </c>
      <c r="G478" s="9" t="s">
        <v>1592</v>
      </c>
      <c r="H478" s="9" t="s">
        <v>1624</v>
      </c>
      <c r="I478" s="9" t="s">
        <v>2044</v>
      </c>
      <c r="J478" s="9" t="s">
        <v>1601</v>
      </c>
      <c r="K478" s="9">
        <v>1</v>
      </c>
      <c r="L478" s="9">
        <v>25</v>
      </c>
      <c r="M478" s="9">
        <v>2001</v>
      </c>
      <c r="O478" s="9" t="str">
        <f t="shared" si="25"/>
        <v>NO</v>
      </c>
      <c r="P478" s="9" t="str">
        <f t="shared" si="26"/>
        <v>NO</v>
      </c>
      <c r="Q478" s="9" t="str">
        <f t="shared" si="27"/>
        <v>Conditioned</v>
      </c>
    </row>
    <row r="479" spans="1:17">
      <c r="A479" s="9">
        <v>11808</v>
      </c>
      <c r="B479" s="9">
        <v>1</v>
      </c>
      <c r="C479" s="9" t="s">
        <v>1589</v>
      </c>
      <c r="D479" s="9" t="s">
        <v>1590</v>
      </c>
      <c r="E479" s="9" t="s">
        <v>1613</v>
      </c>
      <c r="F479" s="9" t="s">
        <v>1603</v>
      </c>
      <c r="G479" s="9" t="s">
        <v>1592</v>
      </c>
      <c r="H479" s="9" t="s">
        <v>177</v>
      </c>
      <c r="I479" s="9" t="s">
        <v>2045</v>
      </c>
      <c r="J479" s="9" t="s">
        <v>1608</v>
      </c>
      <c r="K479" s="9">
        <v>1</v>
      </c>
      <c r="L479" s="9">
        <v>21</v>
      </c>
      <c r="M479" s="9">
        <v>2008</v>
      </c>
      <c r="O479" s="9" t="str">
        <f t="shared" si="25"/>
        <v>NO</v>
      </c>
      <c r="P479" s="9" t="str">
        <f t="shared" si="26"/>
        <v>NO</v>
      </c>
      <c r="Q479" s="9" t="str">
        <f t="shared" si="27"/>
        <v>Conditioned</v>
      </c>
    </row>
    <row r="480" spans="1:17">
      <c r="A480" s="9">
        <v>11808</v>
      </c>
      <c r="B480" s="9">
        <v>2</v>
      </c>
      <c r="C480" s="9" t="s">
        <v>1589</v>
      </c>
      <c r="D480" s="9" t="s">
        <v>1590</v>
      </c>
      <c r="E480" s="9" t="s">
        <v>1591</v>
      </c>
      <c r="F480" s="9" t="s">
        <v>1589</v>
      </c>
      <c r="G480" s="9" t="s">
        <v>1606</v>
      </c>
      <c r="H480" s="9" t="s">
        <v>170</v>
      </c>
      <c r="I480" s="9" t="s">
        <v>2046</v>
      </c>
      <c r="J480" s="9" t="s">
        <v>1587</v>
      </c>
      <c r="K480" s="9">
        <v>1</v>
      </c>
      <c r="L480" s="9">
        <v>20</v>
      </c>
      <c r="M480" s="9">
        <v>2001</v>
      </c>
      <c r="O480" s="9" t="str">
        <f t="shared" si="25"/>
        <v>NO</v>
      </c>
      <c r="P480" s="9" t="str">
        <f t="shared" si="26"/>
        <v>YES</v>
      </c>
      <c r="Q480" s="9" t="str">
        <f t="shared" si="27"/>
        <v>Unconditioned</v>
      </c>
    </row>
    <row r="481" spans="1:17">
      <c r="A481" s="9">
        <v>11815</v>
      </c>
      <c r="B481" s="9">
        <v>1</v>
      </c>
      <c r="C481" s="9" t="s">
        <v>1589</v>
      </c>
      <c r="D481" s="9" t="s">
        <v>1590</v>
      </c>
      <c r="E481" s="9" t="s">
        <v>1591</v>
      </c>
      <c r="F481" s="9" t="s">
        <v>1589</v>
      </c>
      <c r="G481" s="9" t="s">
        <v>1592</v>
      </c>
      <c r="H481" s="9" t="s">
        <v>172</v>
      </c>
      <c r="I481" s="9" t="s">
        <v>2047</v>
      </c>
      <c r="J481" s="9" t="s">
        <v>1597</v>
      </c>
      <c r="K481" s="9">
        <v>1</v>
      </c>
      <c r="L481" s="9">
        <v>18</v>
      </c>
      <c r="M481" s="9">
        <v>1990</v>
      </c>
      <c r="O481" s="9" t="str">
        <f t="shared" si="25"/>
        <v>NO</v>
      </c>
      <c r="P481" s="9" t="str">
        <f t="shared" si="26"/>
        <v>NO</v>
      </c>
      <c r="Q481" s="9" t="str">
        <f t="shared" si="27"/>
        <v>Conditioned</v>
      </c>
    </row>
    <row r="482" spans="1:17">
      <c r="A482" s="9">
        <v>11825</v>
      </c>
      <c r="B482" s="9">
        <v>1</v>
      </c>
      <c r="C482" s="9" t="s">
        <v>1589</v>
      </c>
      <c r="D482" s="9" t="s">
        <v>1590</v>
      </c>
      <c r="E482" s="9" t="s">
        <v>1591</v>
      </c>
      <c r="F482" s="9" t="s">
        <v>1589</v>
      </c>
      <c r="G482" s="9" t="s">
        <v>1592</v>
      </c>
      <c r="H482" s="9" t="s">
        <v>172</v>
      </c>
      <c r="I482" s="9" t="s">
        <v>2048</v>
      </c>
      <c r="J482" s="9" t="s">
        <v>1597</v>
      </c>
      <c r="K482" s="9">
        <v>1</v>
      </c>
      <c r="L482" s="9">
        <v>23</v>
      </c>
      <c r="M482" s="9">
        <v>1999</v>
      </c>
      <c r="O482" s="9" t="str">
        <f t="shared" si="25"/>
        <v>NO</v>
      </c>
      <c r="P482" s="9" t="str">
        <f t="shared" si="26"/>
        <v>NO</v>
      </c>
      <c r="Q482" s="9" t="str">
        <f t="shared" si="27"/>
        <v>Conditioned</v>
      </c>
    </row>
    <row r="483" spans="1:17">
      <c r="A483" s="9">
        <v>11825</v>
      </c>
      <c r="B483" s="9">
        <v>2</v>
      </c>
      <c r="C483" s="9" t="s">
        <v>1589</v>
      </c>
      <c r="D483" s="9" t="s">
        <v>1590</v>
      </c>
      <c r="E483" s="9" t="s">
        <v>1591</v>
      </c>
      <c r="F483" s="9" t="s">
        <v>1589</v>
      </c>
      <c r="G483" s="9" t="s">
        <v>1606</v>
      </c>
      <c r="H483" s="9" t="s">
        <v>173</v>
      </c>
      <c r="I483" s="9" t="s">
        <v>2049</v>
      </c>
      <c r="J483" s="9" t="s">
        <v>1605</v>
      </c>
      <c r="K483" s="9">
        <v>1</v>
      </c>
      <c r="L483" s="9">
        <v>20</v>
      </c>
      <c r="M483" s="9">
        <v>2003</v>
      </c>
      <c r="O483" s="9" t="str">
        <f t="shared" si="25"/>
        <v>NO</v>
      </c>
      <c r="P483" s="9" t="str">
        <f t="shared" si="26"/>
        <v>YES</v>
      </c>
      <c r="Q483" s="9" t="str">
        <f t="shared" si="27"/>
        <v>Unconditioned</v>
      </c>
    </row>
    <row r="484" spans="1:17">
      <c r="A484" s="9">
        <v>11827</v>
      </c>
      <c r="B484" s="9">
        <v>1</v>
      </c>
      <c r="C484" s="9" t="s">
        <v>1589</v>
      </c>
      <c r="D484" s="9" t="s">
        <v>1590</v>
      </c>
      <c r="E484" s="9" t="s">
        <v>1613</v>
      </c>
      <c r="F484" s="9" t="s">
        <v>1603</v>
      </c>
      <c r="G484" s="9" t="s">
        <v>1592</v>
      </c>
      <c r="H484" s="9" t="s">
        <v>1638</v>
      </c>
      <c r="I484" s="9" t="s">
        <v>1589</v>
      </c>
      <c r="J484" s="9" t="s">
        <v>1608</v>
      </c>
      <c r="K484" s="9">
        <v>1</v>
      </c>
      <c r="L484" s="9">
        <v>26</v>
      </c>
      <c r="M484" s="9">
        <v>2007</v>
      </c>
      <c r="O484" s="9" t="str">
        <f t="shared" si="25"/>
        <v>NO</v>
      </c>
      <c r="P484" s="9" t="str">
        <f t="shared" si="26"/>
        <v>NO</v>
      </c>
      <c r="Q484" s="9" t="str">
        <f t="shared" si="27"/>
        <v>Conditioned</v>
      </c>
    </row>
    <row r="485" spans="1:17">
      <c r="A485" s="9">
        <v>11835</v>
      </c>
      <c r="B485" s="9">
        <v>1</v>
      </c>
      <c r="C485" s="9" t="s">
        <v>1589</v>
      </c>
      <c r="D485" s="9" t="s">
        <v>1590</v>
      </c>
      <c r="E485" s="9" t="s">
        <v>1602</v>
      </c>
      <c r="F485" s="9" t="s">
        <v>1603</v>
      </c>
      <c r="G485" s="9" t="s">
        <v>1592</v>
      </c>
      <c r="H485" s="9" t="s">
        <v>176</v>
      </c>
      <c r="I485" s="9" t="s">
        <v>2050</v>
      </c>
      <c r="J485" s="9" t="s">
        <v>1610</v>
      </c>
      <c r="K485" s="9">
        <v>1</v>
      </c>
      <c r="L485" s="9">
        <v>26</v>
      </c>
      <c r="M485" s="9">
        <v>2009</v>
      </c>
      <c r="O485" s="9" t="str">
        <f t="shared" si="25"/>
        <v>NO</v>
      </c>
      <c r="P485" s="9" t="str">
        <f t="shared" si="26"/>
        <v>NO</v>
      </c>
      <c r="Q485" s="9" t="str">
        <f t="shared" si="27"/>
        <v>Conditioned</v>
      </c>
    </row>
    <row r="486" spans="1:17">
      <c r="A486" s="9">
        <v>11835</v>
      </c>
      <c r="B486" s="9">
        <v>2</v>
      </c>
      <c r="C486" s="9" t="s">
        <v>1589</v>
      </c>
      <c r="D486" s="9" t="s">
        <v>1590</v>
      </c>
      <c r="E486" s="9" t="s">
        <v>1591</v>
      </c>
      <c r="F486" s="9" t="s">
        <v>1589</v>
      </c>
      <c r="G486" s="9" t="s">
        <v>1606</v>
      </c>
      <c r="H486" s="9" t="s">
        <v>1638</v>
      </c>
      <c r="I486" s="9" t="s">
        <v>1589</v>
      </c>
      <c r="J486" s="9" t="s">
        <v>1587</v>
      </c>
      <c r="K486" s="9">
        <v>1</v>
      </c>
      <c r="L486" s="9">
        <v>16</v>
      </c>
      <c r="M486" s="9">
        <v>2002</v>
      </c>
      <c r="O486" s="9" t="str">
        <f t="shared" si="25"/>
        <v>NO</v>
      </c>
      <c r="P486" s="9" t="str">
        <f t="shared" si="26"/>
        <v>YES</v>
      </c>
      <c r="Q486" s="9" t="str">
        <f t="shared" si="27"/>
        <v>Unconditioned</v>
      </c>
    </row>
    <row r="487" spans="1:17">
      <c r="A487" s="9">
        <v>11836</v>
      </c>
      <c r="B487" s="9">
        <v>1</v>
      </c>
      <c r="C487" s="9" t="s">
        <v>1589</v>
      </c>
      <c r="D487" s="9" t="s">
        <v>1590</v>
      </c>
      <c r="E487" s="9" t="s">
        <v>1591</v>
      </c>
      <c r="F487" s="9" t="s">
        <v>1589</v>
      </c>
      <c r="G487" s="9" t="s">
        <v>1592</v>
      </c>
      <c r="H487" s="9" t="s">
        <v>176</v>
      </c>
      <c r="I487" s="9" t="s">
        <v>2051</v>
      </c>
      <c r="J487" s="9" t="s">
        <v>1608</v>
      </c>
      <c r="K487" s="9">
        <v>1</v>
      </c>
      <c r="L487" s="9">
        <v>19</v>
      </c>
      <c r="M487" s="9">
        <v>2009</v>
      </c>
      <c r="O487" s="9" t="str">
        <f t="shared" si="25"/>
        <v>NO</v>
      </c>
      <c r="P487" s="9" t="str">
        <f t="shared" si="26"/>
        <v>NO</v>
      </c>
      <c r="Q487" s="9" t="str">
        <f t="shared" si="27"/>
        <v>Conditioned</v>
      </c>
    </row>
    <row r="488" spans="1:17">
      <c r="A488" s="9">
        <v>11838</v>
      </c>
      <c r="B488" s="9">
        <v>1</v>
      </c>
      <c r="C488" s="9" t="s">
        <v>1589</v>
      </c>
      <c r="D488" s="9" t="s">
        <v>1590</v>
      </c>
      <c r="E488" s="9" t="s">
        <v>1591</v>
      </c>
      <c r="F488" s="9" t="s">
        <v>1589</v>
      </c>
      <c r="G488" s="9" t="s">
        <v>1592</v>
      </c>
      <c r="H488" s="9" t="s">
        <v>174</v>
      </c>
      <c r="I488" s="9" t="s">
        <v>2052</v>
      </c>
      <c r="J488" s="9" t="s">
        <v>1608</v>
      </c>
      <c r="K488" s="9">
        <v>1</v>
      </c>
      <c r="L488" s="9">
        <v>20</v>
      </c>
      <c r="M488" s="9">
        <v>1997</v>
      </c>
      <c r="O488" s="9" t="str">
        <f t="shared" si="25"/>
        <v>NO</v>
      </c>
      <c r="P488" s="9" t="str">
        <f t="shared" si="26"/>
        <v>NO</v>
      </c>
      <c r="Q488" s="9" t="str">
        <f t="shared" si="27"/>
        <v>Conditioned</v>
      </c>
    </row>
    <row r="489" spans="1:17">
      <c r="A489" s="9">
        <v>11842</v>
      </c>
      <c r="B489" s="9">
        <v>1</v>
      </c>
      <c r="C489" s="9" t="s">
        <v>1589</v>
      </c>
      <c r="D489" s="9" t="s">
        <v>1590</v>
      </c>
      <c r="E489" s="9" t="s">
        <v>1591</v>
      </c>
      <c r="F489" s="9" t="s">
        <v>1589</v>
      </c>
      <c r="G489" s="9" t="s">
        <v>1592</v>
      </c>
      <c r="H489" s="9" t="s">
        <v>1589</v>
      </c>
      <c r="I489" s="9" t="s">
        <v>2053</v>
      </c>
      <c r="J489" s="9" t="s">
        <v>1597</v>
      </c>
      <c r="K489" s="9">
        <v>1</v>
      </c>
      <c r="L489" s="9">
        <v>20</v>
      </c>
      <c r="M489" s="9">
        <v>2003</v>
      </c>
      <c r="O489" s="9" t="str">
        <f t="shared" si="25"/>
        <v>NO</v>
      </c>
      <c r="P489" s="9" t="str">
        <f t="shared" si="26"/>
        <v>NO</v>
      </c>
      <c r="Q489" s="9" t="str">
        <f t="shared" si="27"/>
        <v>Conditioned</v>
      </c>
    </row>
    <row r="490" spans="1:17">
      <c r="A490" s="9">
        <v>11842</v>
      </c>
      <c r="B490" s="9">
        <v>2</v>
      </c>
      <c r="C490" s="9" t="s">
        <v>2054</v>
      </c>
      <c r="D490" s="9" t="s">
        <v>1590</v>
      </c>
      <c r="E490" s="9" t="s">
        <v>1591</v>
      </c>
      <c r="F490" s="9" t="s">
        <v>1589</v>
      </c>
      <c r="G490" s="9" t="s">
        <v>1592</v>
      </c>
      <c r="H490" s="9" t="s">
        <v>169</v>
      </c>
      <c r="I490" s="9" t="s">
        <v>1589</v>
      </c>
      <c r="J490" s="9" t="s">
        <v>1589</v>
      </c>
      <c r="K490" s="9">
        <v>1</v>
      </c>
      <c r="L490" s="9">
        <v>12</v>
      </c>
      <c r="O490" s="9" t="str">
        <f t="shared" si="25"/>
        <v>NO</v>
      </c>
      <c r="P490" s="9" t="e">
        <f t="shared" si="26"/>
        <v>#N/A</v>
      </c>
      <c r="Q490" s="9" t="str">
        <f t="shared" si="27"/>
        <v>Conditioned</v>
      </c>
    </row>
    <row r="491" spans="1:17">
      <c r="A491" s="9">
        <v>11844</v>
      </c>
      <c r="B491" s="9">
        <v>1</v>
      </c>
      <c r="C491" s="9" t="s">
        <v>1589</v>
      </c>
      <c r="D491" s="9" t="s">
        <v>1590</v>
      </c>
      <c r="E491" s="9" t="s">
        <v>1613</v>
      </c>
      <c r="F491" s="9" t="s">
        <v>1590</v>
      </c>
      <c r="G491" s="9" t="s">
        <v>1592</v>
      </c>
      <c r="H491" s="9" t="s">
        <v>1638</v>
      </c>
      <c r="I491" s="9" t="s">
        <v>2055</v>
      </c>
      <c r="J491" s="9" t="s">
        <v>1601</v>
      </c>
      <c r="K491" s="9">
        <v>1</v>
      </c>
      <c r="L491" s="9">
        <v>19</v>
      </c>
      <c r="M491" s="9">
        <v>1990</v>
      </c>
      <c r="O491" s="9" t="str">
        <f t="shared" si="25"/>
        <v>NO</v>
      </c>
      <c r="P491" s="9" t="str">
        <f t="shared" si="26"/>
        <v>NO</v>
      </c>
      <c r="Q491" s="9" t="str">
        <f t="shared" si="27"/>
        <v>Conditioned</v>
      </c>
    </row>
    <row r="492" spans="1:17">
      <c r="A492" s="9">
        <v>11860</v>
      </c>
      <c r="B492" s="9">
        <v>1</v>
      </c>
      <c r="C492" s="9" t="s">
        <v>1589</v>
      </c>
      <c r="D492" s="9" t="s">
        <v>1590</v>
      </c>
      <c r="E492" s="9" t="s">
        <v>1591</v>
      </c>
      <c r="F492" s="9" t="s">
        <v>1589</v>
      </c>
      <c r="G492" s="9" t="s">
        <v>1592</v>
      </c>
      <c r="H492" s="9" t="s">
        <v>2056</v>
      </c>
      <c r="I492" s="9" t="s">
        <v>2057</v>
      </c>
      <c r="J492" s="9" t="s">
        <v>1597</v>
      </c>
      <c r="K492" s="9">
        <v>1</v>
      </c>
      <c r="L492" s="9">
        <v>22</v>
      </c>
      <c r="M492" s="9">
        <v>2005</v>
      </c>
      <c r="O492" s="9" t="str">
        <f t="shared" si="25"/>
        <v>NO</v>
      </c>
      <c r="P492" s="9" t="str">
        <f t="shared" si="26"/>
        <v>NO</v>
      </c>
      <c r="Q492" s="9" t="str">
        <f t="shared" si="27"/>
        <v>Conditioned</v>
      </c>
    </row>
    <row r="493" spans="1:17">
      <c r="A493" s="9">
        <v>11860</v>
      </c>
      <c r="B493" s="9">
        <v>2</v>
      </c>
      <c r="C493" s="9" t="s">
        <v>1589</v>
      </c>
      <c r="D493" s="9" t="s">
        <v>1590</v>
      </c>
      <c r="E493" s="9" t="s">
        <v>1602</v>
      </c>
      <c r="F493" s="9" t="s">
        <v>1590</v>
      </c>
      <c r="G493" s="9" t="s">
        <v>1592</v>
      </c>
      <c r="H493" s="9" t="s">
        <v>170</v>
      </c>
      <c r="I493" s="9" t="s">
        <v>2058</v>
      </c>
      <c r="J493" s="9" t="s">
        <v>1587</v>
      </c>
      <c r="K493" s="9">
        <v>1</v>
      </c>
      <c r="L493" s="9">
        <v>25</v>
      </c>
      <c r="M493" s="9">
        <v>1987</v>
      </c>
      <c r="O493" s="9" t="str">
        <f t="shared" si="25"/>
        <v>NO</v>
      </c>
      <c r="P493" s="9" t="str">
        <f t="shared" si="26"/>
        <v>YES</v>
      </c>
      <c r="Q493" s="9" t="str">
        <f t="shared" si="27"/>
        <v>Conditioned</v>
      </c>
    </row>
    <row r="494" spans="1:17">
      <c r="A494" s="9">
        <v>11860</v>
      </c>
      <c r="B494" s="9">
        <v>3</v>
      </c>
      <c r="C494" s="9" t="s">
        <v>1589</v>
      </c>
      <c r="D494" s="9" t="s">
        <v>1590</v>
      </c>
      <c r="E494" s="9" t="s">
        <v>1591</v>
      </c>
      <c r="F494" s="9" t="s">
        <v>1589</v>
      </c>
      <c r="G494" s="9" t="s">
        <v>1592</v>
      </c>
      <c r="H494" s="9" t="s">
        <v>177</v>
      </c>
      <c r="I494" s="9" t="s">
        <v>2059</v>
      </c>
      <c r="J494" s="9" t="s">
        <v>1597</v>
      </c>
      <c r="K494" s="9">
        <v>1</v>
      </c>
      <c r="L494" s="9">
        <v>21</v>
      </c>
      <c r="M494" s="9">
        <v>2006</v>
      </c>
      <c r="O494" s="9" t="str">
        <f t="shared" si="25"/>
        <v>NO</v>
      </c>
      <c r="P494" s="9" t="str">
        <f t="shared" si="26"/>
        <v>NO</v>
      </c>
      <c r="Q494" s="9" t="str">
        <f t="shared" si="27"/>
        <v>Conditioned</v>
      </c>
    </row>
    <row r="495" spans="1:17">
      <c r="A495" s="9">
        <v>11860</v>
      </c>
      <c r="B495" s="9">
        <v>4</v>
      </c>
      <c r="C495" s="9" t="s">
        <v>1589</v>
      </c>
      <c r="D495" s="9" t="s">
        <v>1590</v>
      </c>
      <c r="E495" s="9" t="s">
        <v>1591</v>
      </c>
      <c r="F495" s="9" t="s">
        <v>1589</v>
      </c>
      <c r="G495" s="9" t="s">
        <v>1592</v>
      </c>
      <c r="H495" s="9" t="s">
        <v>174</v>
      </c>
      <c r="I495" s="9" t="s">
        <v>2060</v>
      </c>
      <c r="J495" s="9" t="s">
        <v>1608</v>
      </c>
      <c r="K495" s="9">
        <v>1</v>
      </c>
      <c r="L495" s="9">
        <v>23</v>
      </c>
      <c r="M495" s="9">
        <v>2011</v>
      </c>
      <c r="O495" s="9" t="str">
        <f t="shared" si="25"/>
        <v>NO</v>
      </c>
      <c r="P495" s="9" t="str">
        <f t="shared" si="26"/>
        <v>NO</v>
      </c>
      <c r="Q495" s="9" t="str">
        <f t="shared" si="27"/>
        <v>Conditioned</v>
      </c>
    </row>
    <row r="496" spans="1:17">
      <c r="A496" s="9">
        <v>11871</v>
      </c>
      <c r="B496" s="9">
        <v>1</v>
      </c>
      <c r="C496" s="9" t="s">
        <v>1589</v>
      </c>
      <c r="D496" s="9" t="s">
        <v>1590</v>
      </c>
      <c r="E496" s="9" t="s">
        <v>1591</v>
      </c>
      <c r="F496" s="9" t="s">
        <v>1589</v>
      </c>
      <c r="G496" s="9" t="s">
        <v>1592</v>
      </c>
      <c r="H496" s="9" t="s">
        <v>177</v>
      </c>
      <c r="I496" s="9" t="s">
        <v>2061</v>
      </c>
      <c r="J496" s="9" t="s">
        <v>1597</v>
      </c>
      <c r="K496" s="9">
        <v>1</v>
      </c>
      <c r="L496" s="9">
        <v>18</v>
      </c>
      <c r="M496" s="9">
        <v>2005</v>
      </c>
      <c r="O496" s="9" t="str">
        <f t="shared" si="25"/>
        <v>NO</v>
      </c>
      <c r="P496" s="9" t="str">
        <f t="shared" si="26"/>
        <v>NO</v>
      </c>
      <c r="Q496" s="9" t="str">
        <f t="shared" si="27"/>
        <v>Conditioned</v>
      </c>
    </row>
    <row r="497" spans="1:17">
      <c r="A497" s="9">
        <v>11872</v>
      </c>
      <c r="B497" s="9">
        <v>1</v>
      </c>
      <c r="C497" s="9" t="s">
        <v>1589</v>
      </c>
      <c r="D497" s="9" t="s">
        <v>1590</v>
      </c>
      <c r="E497" s="9" t="s">
        <v>1591</v>
      </c>
      <c r="F497" s="9" t="s">
        <v>1589</v>
      </c>
      <c r="G497" s="9" t="s">
        <v>1592</v>
      </c>
      <c r="H497" s="9" t="s">
        <v>174</v>
      </c>
      <c r="I497" s="9" t="s">
        <v>2062</v>
      </c>
      <c r="J497" s="9" t="s">
        <v>1597</v>
      </c>
      <c r="K497" s="9">
        <v>1</v>
      </c>
      <c r="L497" s="9">
        <v>18</v>
      </c>
      <c r="M497" s="9">
        <v>1994</v>
      </c>
      <c r="O497" s="9" t="str">
        <f t="shared" si="25"/>
        <v>NO</v>
      </c>
      <c r="P497" s="9" t="str">
        <f t="shared" si="26"/>
        <v>NO</v>
      </c>
      <c r="Q497" s="9" t="str">
        <f t="shared" si="27"/>
        <v>Conditioned</v>
      </c>
    </row>
    <row r="498" spans="1:17">
      <c r="A498" s="9">
        <v>11872</v>
      </c>
      <c r="B498" s="9">
        <v>2</v>
      </c>
      <c r="C498" s="9" t="s">
        <v>2063</v>
      </c>
      <c r="D498" s="9" t="s">
        <v>1590</v>
      </c>
      <c r="E498" s="9" t="s">
        <v>1591</v>
      </c>
      <c r="F498" s="9" t="s">
        <v>1589</v>
      </c>
      <c r="G498" s="9" t="s">
        <v>1606</v>
      </c>
      <c r="H498" s="9" t="s">
        <v>170</v>
      </c>
      <c r="I498" s="9" t="s">
        <v>2064</v>
      </c>
      <c r="J498" s="9" t="s">
        <v>1589</v>
      </c>
      <c r="K498" s="9">
        <v>1</v>
      </c>
      <c r="L498" s="9">
        <v>8</v>
      </c>
      <c r="M498" s="9">
        <v>2001</v>
      </c>
      <c r="O498" s="9" t="str">
        <f t="shared" si="25"/>
        <v>NO</v>
      </c>
      <c r="P498" s="9" t="e">
        <f t="shared" si="26"/>
        <v>#N/A</v>
      </c>
      <c r="Q498" s="9" t="str">
        <f t="shared" si="27"/>
        <v>Unconditioned</v>
      </c>
    </row>
    <row r="499" spans="1:17">
      <c r="A499" s="9">
        <v>11873</v>
      </c>
      <c r="B499" s="9">
        <v>1</v>
      </c>
      <c r="C499" s="9" t="s">
        <v>1589</v>
      </c>
      <c r="D499" s="9" t="s">
        <v>1590</v>
      </c>
      <c r="E499" s="9" t="s">
        <v>1591</v>
      </c>
      <c r="F499" s="9" t="s">
        <v>1589</v>
      </c>
      <c r="G499" s="9" t="s">
        <v>1592</v>
      </c>
      <c r="H499" s="9" t="s">
        <v>1638</v>
      </c>
      <c r="I499" s="9" t="s">
        <v>2065</v>
      </c>
      <c r="J499" s="9" t="s">
        <v>1608</v>
      </c>
      <c r="K499" s="9">
        <v>1</v>
      </c>
      <c r="L499" s="9">
        <v>18</v>
      </c>
      <c r="M499" s="9">
        <v>2003</v>
      </c>
      <c r="O499" s="9" t="str">
        <f t="shared" si="25"/>
        <v>NO</v>
      </c>
      <c r="P499" s="9" t="str">
        <f t="shared" si="26"/>
        <v>NO</v>
      </c>
      <c r="Q499" s="9" t="str">
        <f t="shared" si="27"/>
        <v>Conditioned</v>
      </c>
    </row>
    <row r="500" spans="1:17">
      <c r="A500" s="9">
        <v>11880</v>
      </c>
      <c r="B500" s="9">
        <v>1</v>
      </c>
      <c r="C500" s="9" t="s">
        <v>1589</v>
      </c>
      <c r="D500" s="9" t="s">
        <v>1590</v>
      </c>
      <c r="E500" s="9" t="s">
        <v>1591</v>
      </c>
      <c r="F500" s="9" t="s">
        <v>1589</v>
      </c>
      <c r="G500" s="9" t="s">
        <v>1592</v>
      </c>
      <c r="H500" s="9" t="s">
        <v>177</v>
      </c>
      <c r="I500" s="9" t="s">
        <v>2066</v>
      </c>
      <c r="J500" s="9" t="s">
        <v>1597</v>
      </c>
      <c r="K500" s="9">
        <v>1</v>
      </c>
      <c r="L500" s="9">
        <v>18</v>
      </c>
      <c r="M500" s="9">
        <v>1972</v>
      </c>
      <c r="O500" s="9" t="str">
        <f t="shared" si="25"/>
        <v>NO</v>
      </c>
      <c r="P500" s="9" t="str">
        <f t="shared" si="26"/>
        <v>NO</v>
      </c>
      <c r="Q500" s="9" t="str">
        <f t="shared" si="27"/>
        <v>Conditioned</v>
      </c>
    </row>
    <row r="501" spans="1:17">
      <c r="A501" s="9">
        <v>11880</v>
      </c>
      <c r="B501" s="9">
        <v>2</v>
      </c>
      <c r="C501" s="9" t="s">
        <v>1589</v>
      </c>
      <c r="D501" s="9" t="s">
        <v>1590</v>
      </c>
      <c r="E501" s="9" t="s">
        <v>1591</v>
      </c>
      <c r="F501" s="9" t="s">
        <v>1589</v>
      </c>
      <c r="G501" s="9" t="s">
        <v>1592</v>
      </c>
      <c r="H501" s="9" t="s">
        <v>169</v>
      </c>
      <c r="I501" s="9" t="s">
        <v>1633</v>
      </c>
      <c r="J501" s="9" t="s">
        <v>1587</v>
      </c>
      <c r="K501" s="9">
        <v>1</v>
      </c>
      <c r="L501" s="9">
        <v>12</v>
      </c>
      <c r="M501" s="9">
        <v>2000</v>
      </c>
      <c r="O501" s="9" t="str">
        <f t="shared" si="25"/>
        <v>NO</v>
      </c>
      <c r="P501" s="9" t="str">
        <f t="shared" si="26"/>
        <v>YES</v>
      </c>
      <c r="Q501" s="9" t="str">
        <f t="shared" si="27"/>
        <v>Conditioned</v>
      </c>
    </row>
    <row r="502" spans="1:17">
      <c r="A502" s="9">
        <v>11880</v>
      </c>
      <c r="B502" s="9">
        <v>3</v>
      </c>
      <c r="C502" s="9" t="s">
        <v>1589</v>
      </c>
      <c r="D502" s="9" t="s">
        <v>1590</v>
      </c>
      <c r="E502" s="9" t="s">
        <v>1591</v>
      </c>
      <c r="F502" s="9" t="s">
        <v>1589</v>
      </c>
      <c r="G502" s="9" t="s">
        <v>1606</v>
      </c>
      <c r="H502" s="9" t="s">
        <v>177</v>
      </c>
      <c r="I502" s="9" t="s">
        <v>2067</v>
      </c>
      <c r="J502" s="9" t="s">
        <v>1597</v>
      </c>
      <c r="K502" s="9">
        <v>1</v>
      </c>
      <c r="L502" s="9">
        <v>18</v>
      </c>
      <c r="M502" s="9">
        <v>1986</v>
      </c>
      <c r="O502" s="9" t="str">
        <f t="shared" si="25"/>
        <v>NO</v>
      </c>
      <c r="P502" s="9" t="str">
        <f t="shared" si="26"/>
        <v>NO</v>
      </c>
      <c r="Q502" s="9" t="str">
        <f t="shared" si="27"/>
        <v>Unconditioned</v>
      </c>
    </row>
    <row r="503" spans="1:17">
      <c r="A503" s="9">
        <v>11880</v>
      </c>
      <c r="B503" s="9">
        <v>4</v>
      </c>
      <c r="C503" s="9" t="s">
        <v>1589</v>
      </c>
      <c r="D503" s="9" t="s">
        <v>1590</v>
      </c>
      <c r="E503" s="9" t="s">
        <v>1591</v>
      </c>
      <c r="F503" s="9" t="s">
        <v>1589</v>
      </c>
      <c r="G503" s="9" t="s">
        <v>1606</v>
      </c>
      <c r="H503" s="9" t="s">
        <v>1754</v>
      </c>
      <c r="I503" s="9" t="s">
        <v>1589</v>
      </c>
      <c r="J503" s="9" t="s">
        <v>1605</v>
      </c>
      <c r="K503" s="9">
        <v>1</v>
      </c>
      <c r="L503" s="9">
        <v>12</v>
      </c>
      <c r="M503" s="9">
        <v>2000</v>
      </c>
      <c r="O503" s="9" t="str">
        <f t="shared" si="25"/>
        <v>NO</v>
      </c>
      <c r="P503" s="9" t="str">
        <f t="shared" si="26"/>
        <v>YES</v>
      </c>
      <c r="Q503" s="9" t="str">
        <f t="shared" si="27"/>
        <v>Unconditioned</v>
      </c>
    </row>
    <row r="504" spans="1:17">
      <c r="A504" s="9">
        <v>11894</v>
      </c>
      <c r="B504" s="9">
        <v>1</v>
      </c>
      <c r="C504" s="9" t="s">
        <v>1589</v>
      </c>
      <c r="D504" s="9" t="s">
        <v>1590</v>
      </c>
      <c r="E504" s="9" t="s">
        <v>1613</v>
      </c>
      <c r="F504" s="9" t="s">
        <v>1603</v>
      </c>
      <c r="G504" s="9" t="s">
        <v>1592</v>
      </c>
      <c r="H504" s="9" t="s">
        <v>169</v>
      </c>
      <c r="I504" s="9" t="s">
        <v>2068</v>
      </c>
      <c r="J504" s="9" t="s">
        <v>1597</v>
      </c>
      <c r="K504" s="9">
        <v>1</v>
      </c>
      <c r="L504" s="9">
        <v>21</v>
      </c>
      <c r="M504" s="9">
        <v>2005</v>
      </c>
      <c r="O504" s="9" t="str">
        <f t="shared" si="25"/>
        <v>NO</v>
      </c>
      <c r="P504" s="9" t="str">
        <f t="shared" si="26"/>
        <v>NO</v>
      </c>
      <c r="Q504" s="9" t="str">
        <f t="shared" si="27"/>
        <v>Conditioned</v>
      </c>
    </row>
    <row r="505" spans="1:17">
      <c r="A505" s="9">
        <v>11896</v>
      </c>
      <c r="B505" s="9">
        <v>1</v>
      </c>
      <c r="C505" s="9" t="s">
        <v>1589</v>
      </c>
      <c r="D505" s="9" t="s">
        <v>1590</v>
      </c>
      <c r="E505" s="9" t="s">
        <v>1613</v>
      </c>
      <c r="F505" s="9" t="s">
        <v>1603</v>
      </c>
      <c r="G505" s="9" t="s">
        <v>1592</v>
      </c>
      <c r="H505" s="9" t="s">
        <v>1638</v>
      </c>
      <c r="I505" s="9" t="s">
        <v>2069</v>
      </c>
      <c r="J505" s="9" t="s">
        <v>1608</v>
      </c>
      <c r="K505" s="9">
        <v>1</v>
      </c>
      <c r="L505" s="9">
        <v>20</v>
      </c>
      <c r="M505" s="9">
        <v>2007</v>
      </c>
      <c r="O505" s="9" t="str">
        <f t="shared" si="25"/>
        <v>NO</v>
      </c>
      <c r="P505" s="9" t="str">
        <f t="shared" si="26"/>
        <v>NO</v>
      </c>
      <c r="Q505" s="9" t="str">
        <f t="shared" si="27"/>
        <v>Conditioned</v>
      </c>
    </row>
    <row r="506" spans="1:17">
      <c r="A506" s="9">
        <v>11896</v>
      </c>
      <c r="B506" s="9">
        <v>2</v>
      </c>
      <c r="C506" s="9" t="s">
        <v>1589</v>
      </c>
      <c r="D506" s="9" t="s">
        <v>1590</v>
      </c>
      <c r="E506" s="9" t="s">
        <v>1591</v>
      </c>
      <c r="F506" s="9" t="s">
        <v>1589</v>
      </c>
      <c r="G506" s="9" t="s">
        <v>1606</v>
      </c>
      <c r="H506" s="9" t="s">
        <v>170</v>
      </c>
      <c r="I506" s="9" t="s">
        <v>1633</v>
      </c>
      <c r="J506" s="9" t="s">
        <v>1587</v>
      </c>
      <c r="K506" s="9">
        <v>1</v>
      </c>
      <c r="L506" s="9">
        <v>12</v>
      </c>
      <c r="M506" s="9">
        <v>2009</v>
      </c>
      <c r="O506" s="9" t="str">
        <f t="shared" si="25"/>
        <v>NO</v>
      </c>
      <c r="P506" s="9" t="str">
        <f t="shared" si="26"/>
        <v>YES</v>
      </c>
      <c r="Q506" s="9" t="str">
        <f t="shared" si="27"/>
        <v>Unconditioned</v>
      </c>
    </row>
    <row r="507" spans="1:17">
      <c r="A507" s="9">
        <v>11900</v>
      </c>
      <c r="B507" s="9">
        <v>1</v>
      </c>
      <c r="C507" s="9" t="s">
        <v>1589</v>
      </c>
      <c r="D507" s="9" t="s">
        <v>1590</v>
      </c>
      <c r="E507" s="9" t="s">
        <v>1613</v>
      </c>
      <c r="F507" s="9" t="s">
        <v>1590</v>
      </c>
      <c r="G507" s="9" t="s">
        <v>1592</v>
      </c>
      <c r="H507" s="9" t="s">
        <v>172</v>
      </c>
      <c r="I507" s="9" t="s">
        <v>2070</v>
      </c>
      <c r="J507" s="9" t="s">
        <v>1597</v>
      </c>
      <c r="K507" s="9">
        <v>1</v>
      </c>
      <c r="L507" s="9">
        <v>19</v>
      </c>
      <c r="M507" s="9">
        <v>2004</v>
      </c>
      <c r="O507" s="9" t="str">
        <f t="shared" si="25"/>
        <v>NO</v>
      </c>
      <c r="P507" s="9" t="str">
        <f t="shared" si="26"/>
        <v>NO</v>
      </c>
      <c r="Q507" s="9" t="str">
        <f t="shared" si="27"/>
        <v>Conditioned</v>
      </c>
    </row>
    <row r="508" spans="1:17">
      <c r="A508" s="9">
        <v>11900</v>
      </c>
      <c r="B508" s="9">
        <v>2</v>
      </c>
      <c r="C508" s="9" t="s">
        <v>1589</v>
      </c>
      <c r="D508" s="9" t="s">
        <v>1590</v>
      </c>
      <c r="E508" s="9" t="s">
        <v>1591</v>
      </c>
      <c r="F508" s="9" t="s">
        <v>1589</v>
      </c>
      <c r="G508" s="9" t="s">
        <v>1592</v>
      </c>
      <c r="H508" s="9" t="s">
        <v>1638</v>
      </c>
      <c r="I508" s="9" t="s">
        <v>2071</v>
      </c>
      <c r="J508" s="9" t="s">
        <v>1605</v>
      </c>
      <c r="K508" s="9">
        <v>1</v>
      </c>
      <c r="L508" s="9">
        <v>19</v>
      </c>
      <c r="M508" s="9">
        <v>2008</v>
      </c>
      <c r="O508" s="9" t="str">
        <f t="shared" si="25"/>
        <v>NO</v>
      </c>
      <c r="P508" s="9" t="str">
        <f t="shared" si="26"/>
        <v>YES</v>
      </c>
      <c r="Q508" s="9" t="str">
        <f t="shared" si="27"/>
        <v>Conditioned</v>
      </c>
    </row>
    <row r="509" spans="1:17">
      <c r="A509" s="9">
        <v>11904</v>
      </c>
      <c r="B509" s="9">
        <v>1</v>
      </c>
      <c r="C509" s="9" t="s">
        <v>1589</v>
      </c>
      <c r="D509" s="9" t="s">
        <v>1590</v>
      </c>
      <c r="E509" s="9" t="s">
        <v>1602</v>
      </c>
      <c r="F509" s="9" t="s">
        <v>1603</v>
      </c>
      <c r="G509" s="9" t="s">
        <v>1592</v>
      </c>
      <c r="H509" s="9" t="s">
        <v>1624</v>
      </c>
      <c r="I509" s="9" t="s">
        <v>2072</v>
      </c>
      <c r="J509" s="9" t="s">
        <v>1601</v>
      </c>
      <c r="K509" s="9">
        <v>1</v>
      </c>
      <c r="L509" s="9">
        <v>22</v>
      </c>
      <c r="M509" s="9">
        <v>2002</v>
      </c>
      <c r="O509" s="9" t="str">
        <f t="shared" si="25"/>
        <v>NO</v>
      </c>
      <c r="P509" s="9" t="str">
        <f t="shared" si="26"/>
        <v>NO</v>
      </c>
      <c r="Q509" s="9" t="str">
        <f t="shared" si="27"/>
        <v>Conditioned</v>
      </c>
    </row>
    <row r="510" spans="1:17">
      <c r="A510" s="9">
        <v>11904</v>
      </c>
      <c r="B510" s="9">
        <v>2</v>
      </c>
      <c r="C510" s="9" t="s">
        <v>1589</v>
      </c>
      <c r="D510" s="9" t="s">
        <v>1590</v>
      </c>
      <c r="E510" s="9" t="s">
        <v>1591</v>
      </c>
      <c r="F510" s="9" t="s">
        <v>1589</v>
      </c>
      <c r="G510" s="9" t="s">
        <v>1606</v>
      </c>
      <c r="H510" s="9" t="s">
        <v>1624</v>
      </c>
      <c r="I510" s="9" t="s">
        <v>1589</v>
      </c>
      <c r="J510" s="9" t="s">
        <v>1605</v>
      </c>
      <c r="K510" s="9">
        <v>1</v>
      </c>
      <c r="L510" s="9">
        <v>15</v>
      </c>
      <c r="O510" s="9" t="str">
        <f t="shared" si="25"/>
        <v>NO</v>
      </c>
      <c r="P510" s="9" t="str">
        <f t="shared" si="26"/>
        <v>YES</v>
      </c>
      <c r="Q510" s="9" t="str">
        <f t="shared" si="27"/>
        <v>Unconditioned</v>
      </c>
    </row>
    <row r="511" spans="1:17">
      <c r="A511" s="9">
        <v>11904</v>
      </c>
      <c r="B511" s="9">
        <v>3</v>
      </c>
      <c r="C511" s="9" t="s">
        <v>1589</v>
      </c>
      <c r="D511" s="9" t="s">
        <v>1590</v>
      </c>
      <c r="E511" s="9" t="s">
        <v>1591</v>
      </c>
      <c r="F511" s="9" t="s">
        <v>1589</v>
      </c>
      <c r="G511" s="9" t="s">
        <v>1606</v>
      </c>
      <c r="H511" s="9" t="s">
        <v>1624</v>
      </c>
      <c r="I511" s="9" t="s">
        <v>2073</v>
      </c>
      <c r="J511" s="9" t="s">
        <v>1597</v>
      </c>
      <c r="K511" s="9">
        <v>1</v>
      </c>
      <c r="L511" s="9">
        <v>21</v>
      </c>
      <c r="M511" s="9">
        <v>1998</v>
      </c>
      <c r="O511" s="9" t="str">
        <f t="shared" si="25"/>
        <v>NO</v>
      </c>
      <c r="P511" s="9" t="str">
        <f t="shared" si="26"/>
        <v>NO</v>
      </c>
      <c r="Q511" s="9" t="str">
        <f t="shared" si="27"/>
        <v>Unconditioned</v>
      </c>
    </row>
    <row r="512" spans="1:17">
      <c r="A512" s="9">
        <v>11908</v>
      </c>
      <c r="B512" s="9">
        <v>1</v>
      </c>
      <c r="C512" s="9" t="s">
        <v>1589</v>
      </c>
      <c r="D512" s="9" t="s">
        <v>1590</v>
      </c>
      <c r="E512" s="9" t="s">
        <v>1602</v>
      </c>
      <c r="F512" s="9" t="s">
        <v>1603</v>
      </c>
      <c r="G512" s="9" t="s">
        <v>1592</v>
      </c>
      <c r="H512" s="9" t="s">
        <v>1638</v>
      </c>
      <c r="I512" s="9" t="s">
        <v>2074</v>
      </c>
      <c r="J512" s="9" t="s">
        <v>1601</v>
      </c>
      <c r="K512" s="9">
        <v>1</v>
      </c>
      <c r="L512" s="9">
        <v>23</v>
      </c>
      <c r="M512" s="9">
        <v>2009</v>
      </c>
      <c r="O512" s="9" t="str">
        <f t="shared" si="25"/>
        <v>NO</v>
      </c>
      <c r="P512" s="9" t="str">
        <f t="shared" si="26"/>
        <v>NO</v>
      </c>
      <c r="Q512" s="9" t="str">
        <f t="shared" si="27"/>
        <v>Conditioned</v>
      </c>
    </row>
    <row r="513" spans="1:17">
      <c r="A513" s="9">
        <v>11910</v>
      </c>
      <c r="B513" s="9">
        <v>1</v>
      </c>
      <c r="C513" s="9" t="s">
        <v>1589</v>
      </c>
      <c r="D513" s="9" t="s">
        <v>1590</v>
      </c>
      <c r="E513" s="9" t="s">
        <v>1602</v>
      </c>
      <c r="F513" s="9" t="s">
        <v>1603</v>
      </c>
      <c r="G513" s="9" t="s">
        <v>1592</v>
      </c>
      <c r="H513" s="9" t="s">
        <v>170</v>
      </c>
      <c r="I513" s="9" t="s">
        <v>2075</v>
      </c>
      <c r="J513" s="9" t="s">
        <v>1601</v>
      </c>
      <c r="K513" s="9">
        <v>1</v>
      </c>
      <c r="L513" s="9">
        <v>26</v>
      </c>
      <c r="M513" s="9">
        <v>2002</v>
      </c>
      <c r="O513" s="9" t="str">
        <f t="shared" si="25"/>
        <v>NO</v>
      </c>
      <c r="P513" s="9" t="str">
        <f t="shared" si="26"/>
        <v>NO</v>
      </c>
      <c r="Q513" s="9" t="str">
        <f t="shared" si="27"/>
        <v>Conditioned</v>
      </c>
    </row>
    <row r="514" spans="1:17">
      <c r="A514" s="9">
        <v>11910</v>
      </c>
      <c r="B514" s="9">
        <v>2</v>
      </c>
      <c r="C514" s="9" t="s">
        <v>1589</v>
      </c>
      <c r="D514" s="9" t="s">
        <v>1590</v>
      </c>
      <c r="E514" s="9" t="s">
        <v>1591</v>
      </c>
      <c r="F514" s="9" t="s">
        <v>1589</v>
      </c>
      <c r="G514" s="9" t="s">
        <v>1592</v>
      </c>
      <c r="H514" s="9" t="s">
        <v>170</v>
      </c>
      <c r="I514" s="9" t="s">
        <v>2076</v>
      </c>
      <c r="J514" s="9" t="s">
        <v>1601</v>
      </c>
      <c r="K514" s="9">
        <v>1</v>
      </c>
      <c r="L514" s="9">
        <v>22</v>
      </c>
      <c r="M514" s="9">
        <v>1988</v>
      </c>
      <c r="O514" s="9" t="str">
        <f t="shared" si="25"/>
        <v>NO</v>
      </c>
      <c r="P514" s="9" t="str">
        <f t="shared" si="26"/>
        <v>NO</v>
      </c>
      <c r="Q514" s="9" t="str">
        <f t="shared" si="27"/>
        <v>Conditioned</v>
      </c>
    </row>
    <row r="515" spans="1:17">
      <c r="A515" s="9">
        <v>11914</v>
      </c>
      <c r="B515" s="9">
        <v>1</v>
      </c>
      <c r="C515" s="9" t="s">
        <v>1589</v>
      </c>
      <c r="D515" s="9" t="s">
        <v>1590</v>
      </c>
      <c r="E515" s="9" t="s">
        <v>1602</v>
      </c>
      <c r="F515" s="9" t="s">
        <v>1590</v>
      </c>
      <c r="G515" s="9" t="s">
        <v>1592</v>
      </c>
      <c r="H515" s="9" t="s">
        <v>173</v>
      </c>
      <c r="I515" s="9" t="s">
        <v>2077</v>
      </c>
      <c r="J515" s="9" t="s">
        <v>1608</v>
      </c>
      <c r="K515" s="9">
        <v>1</v>
      </c>
      <c r="L515" s="9">
        <v>25</v>
      </c>
      <c r="M515" s="9">
        <v>2006</v>
      </c>
      <c r="O515" s="9" t="str">
        <f t="shared" si="25"/>
        <v>NO</v>
      </c>
      <c r="P515" s="9" t="str">
        <f t="shared" si="26"/>
        <v>NO</v>
      </c>
      <c r="Q515" s="9" t="str">
        <f t="shared" si="27"/>
        <v>Conditioned</v>
      </c>
    </row>
    <row r="516" spans="1:17">
      <c r="A516" s="9">
        <v>11914</v>
      </c>
      <c r="B516" s="9">
        <v>2</v>
      </c>
      <c r="C516" s="9" t="s">
        <v>1589</v>
      </c>
      <c r="D516" s="9" t="s">
        <v>1590</v>
      </c>
      <c r="E516" s="9" t="s">
        <v>1591</v>
      </c>
      <c r="F516" s="9" t="s">
        <v>1589</v>
      </c>
      <c r="G516" s="9" t="s">
        <v>1592</v>
      </c>
      <c r="H516" s="9" t="s">
        <v>1624</v>
      </c>
      <c r="I516" s="9" t="s">
        <v>2078</v>
      </c>
      <c r="J516" s="9" t="s">
        <v>1597</v>
      </c>
      <c r="K516" s="9">
        <v>1</v>
      </c>
      <c r="L516" s="9">
        <v>22</v>
      </c>
      <c r="M516" s="9">
        <v>1996</v>
      </c>
      <c r="O516" s="9" t="str">
        <f t="shared" si="25"/>
        <v>NO</v>
      </c>
      <c r="P516" s="9" t="str">
        <f t="shared" si="26"/>
        <v>NO</v>
      </c>
      <c r="Q516" s="9" t="str">
        <f t="shared" si="27"/>
        <v>Conditioned</v>
      </c>
    </row>
    <row r="517" spans="1:17">
      <c r="A517" s="9">
        <v>11914</v>
      </c>
      <c r="B517" s="9">
        <v>3</v>
      </c>
      <c r="C517" s="9" t="s">
        <v>1589</v>
      </c>
      <c r="D517" s="9" t="s">
        <v>1590</v>
      </c>
      <c r="E517" s="9" t="s">
        <v>1589</v>
      </c>
      <c r="F517" s="9" t="s">
        <v>1589</v>
      </c>
      <c r="G517" s="9" t="s">
        <v>1592</v>
      </c>
      <c r="H517" s="9" t="s">
        <v>1624</v>
      </c>
      <c r="I517" s="9" t="s">
        <v>2079</v>
      </c>
      <c r="J517" s="9" t="s">
        <v>1612</v>
      </c>
      <c r="K517" s="9">
        <v>1</v>
      </c>
      <c r="L517" s="9">
        <v>20</v>
      </c>
      <c r="M517" s="9">
        <v>1996</v>
      </c>
      <c r="O517" s="9" t="str">
        <f t="shared" si="25"/>
        <v>NO</v>
      </c>
      <c r="P517" s="9" t="str">
        <f t="shared" si="26"/>
        <v>NO</v>
      </c>
      <c r="Q517" s="9" t="str">
        <f t="shared" si="27"/>
        <v>Conditioned</v>
      </c>
    </row>
    <row r="518" spans="1:17">
      <c r="A518" s="9">
        <v>11925</v>
      </c>
      <c r="B518" s="9">
        <v>1</v>
      </c>
      <c r="C518" s="9" t="s">
        <v>1589</v>
      </c>
      <c r="D518" s="9" t="s">
        <v>1590</v>
      </c>
      <c r="E518" s="9" t="s">
        <v>1602</v>
      </c>
      <c r="F518" s="9" t="s">
        <v>1603</v>
      </c>
      <c r="G518" s="9" t="s">
        <v>1592</v>
      </c>
      <c r="H518" s="9" t="s">
        <v>1599</v>
      </c>
      <c r="I518" s="9" t="s">
        <v>2080</v>
      </c>
      <c r="J518" s="9" t="s">
        <v>1601</v>
      </c>
      <c r="K518" s="9">
        <v>1</v>
      </c>
      <c r="L518" s="9">
        <v>25</v>
      </c>
      <c r="M518" s="9">
        <v>2009</v>
      </c>
      <c r="O518" s="9" t="str">
        <f t="shared" si="25"/>
        <v>NO</v>
      </c>
      <c r="P518" s="9" t="str">
        <f t="shared" si="26"/>
        <v>NO</v>
      </c>
      <c r="Q518" s="9" t="str">
        <f t="shared" si="27"/>
        <v>Conditioned</v>
      </c>
    </row>
    <row r="519" spans="1:17">
      <c r="A519" s="9">
        <v>11933</v>
      </c>
      <c r="B519" s="9">
        <v>1</v>
      </c>
      <c r="C519" s="9" t="s">
        <v>1589</v>
      </c>
      <c r="D519" s="9" t="s">
        <v>1590</v>
      </c>
      <c r="E519" s="9" t="s">
        <v>1602</v>
      </c>
      <c r="F519" s="9" t="s">
        <v>1603</v>
      </c>
      <c r="G519" s="9" t="s">
        <v>1592</v>
      </c>
      <c r="H519" s="9" t="s">
        <v>177</v>
      </c>
      <c r="I519" s="9" t="s">
        <v>2081</v>
      </c>
      <c r="J519" s="9" t="s">
        <v>1601</v>
      </c>
      <c r="K519" s="9">
        <v>1</v>
      </c>
      <c r="L519" s="9">
        <v>28</v>
      </c>
      <c r="M519" s="9">
        <v>2005</v>
      </c>
      <c r="O519" s="9" t="str">
        <f t="shared" si="25"/>
        <v>NO</v>
      </c>
      <c r="P519" s="9" t="str">
        <f t="shared" si="26"/>
        <v>NO</v>
      </c>
      <c r="Q519" s="9" t="str">
        <f t="shared" si="27"/>
        <v>Conditioned</v>
      </c>
    </row>
    <row r="520" spans="1:17">
      <c r="A520" s="9">
        <v>11943</v>
      </c>
      <c r="B520" s="9">
        <v>1</v>
      </c>
      <c r="C520" s="9" t="s">
        <v>2082</v>
      </c>
      <c r="D520" s="9" t="s">
        <v>1590</v>
      </c>
      <c r="E520" s="9" t="s">
        <v>1591</v>
      </c>
      <c r="F520" s="9" t="s">
        <v>1589</v>
      </c>
      <c r="G520" s="9" t="s">
        <v>1592</v>
      </c>
      <c r="H520" s="9" t="s">
        <v>181</v>
      </c>
      <c r="I520" s="9" t="s">
        <v>1589</v>
      </c>
      <c r="J520" s="9" t="s">
        <v>1597</v>
      </c>
      <c r="K520" s="9">
        <v>1</v>
      </c>
      <c r="L520" s="9">
        <v>18</v>
      </c>
      <c r="M520" s="9">
        <v>2009</v>
      </c>
      <c r="O520" s="9" t="str">
        <f t="shared" si="25"/>
        <v>NO</v>
      </c>
      <c r="P520" s="9" t="str">
        <f t="shared" si="26"/>
        <v>NO</v>
      </c>
      <c r="Q520" s="9" t="str">
        <f t="shared" si="27"/>
        <v>Conditioned</v>
      </c>
    </row>
    <row r="521" spans="1:17">
      <c r="A521" s="9">
        <v>11953</v>
      </c>
      <c r="B521" s="9">
        <v>1</v>
      </c>
      <c r="C521" s="9" t="s">
        <v>1589</v>
      </c>
      <c r="D521" s="9" t="s">
        <v>1590</v>
      </c>
      <c r="E521" s="9" t="s">
        <v>1591</v>
      </c>
      <c r="F521" s="9" t="s">
        <v>1589</v>
      </c>
      <c r="G521" s="9" t="s">
        <v>1592</v>
      </c>
      <c r="H521" s="9" t="s">
        <v>177</v>
      </c>
      <c r="I521" s="9" t="s">
        <v>2083</v>
      </c>
      <c r="J521" s="9" t="s">
        <v>1597</v>
      </c>
      <c r="K521" s="9">
        <v>1</v>
      </c>
      <c r="L521" s="9">
        <v>18</v>
      </c>
      <c r="M521" s="9">
        <v>1999</v>
      </c>
      <c r="O521" s="9" t="str">
        <f t="shared" si="25"/>
        <v>NO</v>
      </c>
      <c r="P521" s="9" t="str">
        <f t="shared" si="26"/>
        <v>NO</v>
      </c>
      <c r="Q521" s="9" t="str">
        <f t="shared" si="27"/>
        <v>Conditioned</v>
      </c>
    </row>
    <row r="522" spans="1:17">
      <c r="A522" s="9">
        <v>11953</v>
      </c>
      <c r="B522" s="9">
        <v>2</v>
      </c>
      <c r="C522" s="9" t="s">
        <v>1589</v>
      </c>
      <c r="D522" s="9" t="s">
        <v>1590</v>
      </c>
      <c r="E522" s="9" t="s">
        <v>1591</v>
      </c>
      <c r="F522" s="9" t="s">
        <v>1589</v>
      </c>
      <c r="G522" s="9" t="s">
        <v>1592</v>
      </c>
      <c r="H522" s="9" t="s">
        <v>170</v>
      </c>
      <c r="I522" s="9" t="s">
        <v>2084</v>
      </c>
      <c r="J522" s="9" t="s">
        <v>1597</v>
      </c>
      <c r="K522" s="9">
        <v>1</v>
      </c>
      <c r="L522" s="9">
        <v>5</v>
      </c>
      <c r="M522" s="9">
        <v>2002</v>
      </c>
      <c r="O522" s="9" t="str">
        <f t="shared" si="25"/>
        <v>YES</v>
      </c>
      <c r="P522" s="9" t="str">
        <f t="shared" si="26"/>
        <v>NO</v>
      </c>
      <c r="Q522" s="9" t="str">
        <f t="shared" si="27"/>
        <v>Conditioned</v>
      </c>
    </row>
    <row r="523" spans="1:17">
      <c r="A523" s="9">
        <v>11953</v>
      </c>
      <c r="B523" s="9">
        <v>3</v>
      </c>
      <c r="C523" s="9" t="s">
        <v>2085</v>
      </c>
      <c r="D523" s="9" t="s">
        <v>1590</v>
      </c>
      <c r="E523" s="9" t="s">
        <v>1589</v>
      </c>
      <c r="F523" s="9" t="s">
        <v>1589</v>
      </c>
      <c r="G523" s="9" t="s">
        <v>1592</v>
      </c>
      <c r="H523" s="9" t="s">
        <v>1632</v>
      </c>
      <c r="I523" s="9" t="s">
        <v>2086</v>
      </c>
      <c r="J523" s="9" t="s">
        <v>1612</v>
      </c>
      <c r="K523" s="9">
        <v>1</v>
      </c>
      <c r="L523" s="9">
        <v>2</v>
      </c>
      <c r="M523" s="9">
        <v>2000</v>
      </c>
      <c r="O523" s="9" t="str">
        <f t="shared" si="25"/>
        <v>YES</v>
      </c>
      <c r="P523" s="9" t="str">
        <f t="shared" si="26"/>
        <v>NO</v>
      </c>
      <c r="Q523" s="9" t="str">
        <f t="shared" si="27"/>
        <v>Conditioned</v>
      </c>
    </row>
    <row r="524" spans="1:17">
      <c r="A524" s="9">
        <v>11953</v>
      </c>
      <c r="B524" s="9">
        <v>4</v>
      </c>
      <c r="C524" s="9" t="s">
        <v>1589</v>
      </c>
      <c r="D524" s="9" t="s">
        <v>1590</v>
      </c>
      <c r="E524" s="9" t="s">
        <v>1589</v>
      </c>
      <c r="F524" s="9" t="s">
        <v>1589</v>
      </c>
      <c r="G524" s="9" t="s">
        <v>1592</v>
      </c>
      <c r="H524" s="9" t="s">
        <v>2087</v>
      </c>
      <c r="I524" s="9" t="s">
        <v>2088</v>
      </c>
      <c r="J524" s="9" t="s">
        <v>1612</v>
      </c>
      <c r="K524" s="9">
        <v>1</v>
      </c>
      <c r="L524" s="9">
        <v>2</v>
      </c>
      <c r="M524" s="9">
        <v>2009</v>
      </c>
      <c r="O524" s="9" t="str">
        <f t="shared" si="25"/>
        <v>YES</v>
      </c>
      <c r="P524" s="9" t="str">
        <f t="shared" si="26"/>
        <v>NO</v>
      </c>
      <c r="Q524" s="9" t="str">
        <f t="shared" si="27"/>
        <v>Conditioned</v>
      </c>
    </row>
    <row r="525" spans="1:17">
      <c r="A525" s="9">
        <v>11954</v>
      </c>
      <c r="B525" s="9">
        <v>1</v>
      </c>
      <c r="C525" s="9" t="s">
        <v>1589</v>
      </c>
      <c r="D525" s="9" t="s">
        <v>1590</v>
      </c>
      <c r="E525" s="9" t="s">
        <v>1591</v>
      </c>
      <c r="F525" s="9" t="s">
        <v>1589</v>
      </c>
      <c r="G525" s="9" t="s">
        <v>1592</v>
      </c>
      <c r="H525" s="9" t="s">
        <v>170</v>
      </c>
      <c r="I525" s="9" t="s">
        <v>2089</v>
      </c>
      <c r="J525" s="9" t="s">
        <v>1597</v>
      </c>
      <c r="K525" s="9">
        <v>1</v>
      </c>
      <c r="L525" s="9">
        <v>19</v>
      </c>
      <c r="M525" s="9">
        <v>1999</v>
      </c>
      <c r="O525" s="9" t="str">
        <f t="shared" si="25"/>
        <v>NO</v>
      </c>
      <c r="P525" s="9" t="str">
        <f t="shared" si="26"/>
        <v>NO</v>
      </c>
      <c r="Q525" s="9" t="str">
        <f t="shared" si="27"/>
        <v>Conditioned</v>
      </c>
    </row>
    <row r="526" spans="1:17">
      <c r="A526" s="9">
        <v>11958</v>
      </c>
      <c r="B526" s="9">
        <v>1</v>
      </c>
      <c r="C526" s="9" t="s">
        <v>1589</v>
      </c>
      <c r="D526" s="9" t="s">
        <v>1590</v>
      </c>
      <c r="E526" s="9" t="s">
        <v>1613</v>
      </c>
      <c r="F526" s="9" t="s">
        <v>1603</v>
      </c>
      <c r="G526" s="9" t="s">
        <v>1592</v>
      </c>
      <c r="H526" s="9" t="s">
        <v>1638</v>
      </c>
      <c r="I526" s="9" t="s">
        <v>2090</v>
      </c>
      <c r="J526" s="9" t="s">
        <v>1608</v>
      </c>
      <c r="K526" s="9">
        <v>1</v>
      </c>
      <c r="L526" s="9">
        <v>19</v>
      </c>
      <c r="M526" s="9">
        <v>2010</v>
      </c>
      <c r="O526" s="9" t="str">
        <f t="shared" si="25"/>
        <v>NO</v>
      </c>
      <c r="P526" s="9" t="str">
        <f t="shared" si="26"/>
        <v>NO</v>
      </c>
      <c r="Q526" s="9" t="str">
        <f t="shared" si="27"/>
        <v>Conditioned</v>
      </c>
    </row>
    <row r="527" spans="1:17">
      <c r="A527" s="9">
        <v>11958</v>
      </c>
      <c r="B527" s="9">
        <v>2</v>
      </c>
      <c r="C527" s="9" t="s">
        <v>1589</v>
      </c>
      <c r="D527" s="9" t="s">
        <v>1590</v>
      </c>
      <c r="E527" s="9" t="s">
        <v>1613</v>
      </c>
      <c r="F527" s="9" t="s">
        <v>1603</v>
      </c>
      <c r="G527" s="9" t="s">
        <v>1592</v>
      </c>
      <c r="H527" s="9" t="s">
        <v>1638</v>
      </c>
      <c r="I527" s="9" t="s">
        <v>2091</v>
      </c>
      <c r="J527" s="9" t="s">
        <v>1597</v>
      </c>
      <c r="K527" s="9">
        <v>1</v>
      </c>
      <c r="L527" s="9">
        <v>19</v>
      </c>
      <c r="M527" s="9">
        <v>2010</v>
      </c>
      <c r="O527" s="9" t="str">
        <f t="shared" si="25"/>
        <v>NO</v>
      </c>
      <c r="P527" s="9" t="str">
        <f t="shared" si="26"/>
        <v>NO</v>
      </c>
      <c r="Q527" s="9" t="str">
        <f t="shared" si="27"/>
        <v>Conditioned</v>
      </c>
    </row>
    <row r="528" spans="1:17">
      <c r="A528" s="9">
        <v>11958</v>
      </c>
      <c r="B528" s="9">
        <v>3</v>
      </c>
      <c r="C528" s="9" t="s">
        <v>1589</v>
      </c>
      <c r="D528" s="9" t="s">
        <v>1590</v>
      </c>
      <c r="E528" s="9" t="s">
        <v>1591</v>
      </c>
      <c r="F528" s="9" t="s">
        <v>1589</v>
      </c>
      <c r="G528" s="9" t="s">
        <v>1606</v>
      </c>
      <c r="H528" s="9" t="s">
        <v>1589</v>
      </c>
      <c r="I528" s="9" t="s">
        <v>2092</v>
      </c>
      <c r="J528" s="9" t="s">
        <v>1605</v>
      </c>
      <c r="K528" s="9">
        <v>1</v>
      </c>
      <c r="L528" s="9">
        <v>12</v>
      </c>
      <c r="M528" s="9">
        <v>2009</v>
      </c>
      <c r="O528" s="9" t="str">
        <f t="shared" si="25"/>
        <v>NO</v>
      </c>
      <c r="P528" s="9" t="str">
        <f t="shared" si="26"/>
        <v>YES</v>
      </c>
      <c r="Q528" s="9" t="str">
        <f t="shared" si="27"/>
        <v>Unconditioned</v>
      </c>
    </row>
    <row r="529" spans="1:17">
      <c r="A529" s="9">
        <v>11967</v>
      </c>
      <c r="B529" s="9">
        <v>1</v>
      </c>
      <c r="C529" s="9" t="s">
        <v>1589</v>
      </c>
      <c r="D529" s="9" t="s">
        <v>1590</v>
      </c>
      <c r="E529" s="9" t="s">
        <v>1591</v>
      </c>
      <c r="F529" s="9" t="s">
        <v>1589</v>
      </c>
      <c r="G529" s="9" t="s">
        <v>1592</v>
      </c>
      <c r="H529" s="9" t="s">
        <v>173</v>
      </c>
      <c r="I529" s="9" t="s">
        <v>1728</v>
      </c>
      <c r="J529" s="9" t="s">
        <v>1608</v>
      </c>
      <c r="K529" s="9">
        <v>1</v>
      </c>
      <c r="L529" s="9">
        <v>20</v>
      </c>
      <c r="M529" s="9">
        <v>2006</v>
      </c>
      <c r="O529" s="9" t="str">
        <f t="shared" si="25"/>
        <v>NO</v>
      </c>
      <c r="P529" s="9" t="str">
        <f t="shared" si="26"/>
        <v>NO</v>
      </c>
      <c r="Q529" s="9" t="str">
        <f t="shared" si="27"/>
        <v>Conditioned</v>
      </c>
    </row>
    <row r="530" spans="1:17">
      <c r="A530" s="9">
        <v>11967</v>
      </c>
      <c r="B530" s="9">
        <v>2</v>
      </c>
      <c r="C530" s="9" t="s">
        <v>1589</v>
      </c>
      <c r="D530" s="9" t="s">
        <v>1590</v>
      </c>
      <c r="E530" s="9" t="s">
        <v>1589</v>
      </c>
      <c r="F530" s="9" t="s">
        <v>1589</v>
      </c>
      <c r="G530" s="9" t="s">
        <v>1606</v>
      </c>
      <c r="H530" s="9" t="s">
        <v>177</v>
      </c>
      <c r="I530" s="9" t="s">
        <v>2093</v>
      </c>
      <c r="J530" s="9" t="s">
        <v>1612</v>
      </c>
      <c r="K530" s="9">
        <v>1</v>
      </c>
      <c r="L530" s="9">
        <v>25</v>
      </c>
      <c r="M530" s="9">
        <v>1979</v>
      </c>
      <c r="O530" s="9" t="str">
        <f t="shared" si="25"/>
        <v>NO</v>
      </c>
      <c r="P530" s="9" t="str">
        <f t="shared" si="26"/>
        <v>NO</v>
      </c>
      <c r="Q530" s="9" t="str">
        <f t="shared" si="27"/>
        <v>Unconditioned</v>
      </c>
    </row>
    <row r="531" spans="1:17">
      <c r="A531" s="9">
        <v>11967</v>
      </c>
      <c r="B531" s="9">
        <v>3</v>
      </c>
      <c r="C531" s="9" t="s">
        <v>1589</v>
      </c>
      <c r="D531" s="9" t="s">
        <v>1590</v>
      </c>
      <c r="E531" s="9" t="s">
        <v>1591</v>
      </c>
      <c r="F531" s="9" t="s">
        <v>1589</v>
      </c>
      <c r="G531" s="9" t="s">
        <v>1606</v>
      </c>
      <c r="H531" s="9" t="s">
        <v>170</v>
      </c>
      <c r="I531" s="9" t="s">
        <v>1589</v>
      </c>
      <c r="J531" s="9" t="s">
        <v>1605</v>
      </c>
      <c r="K531" s="9">
        <v>1</v>
      </c>
      <c r="L531" s="9">
        <v>14</v>
      </c>
      <c r="O531" s="9" t="str">
        <f t="shared" si="25"/>
        <v>NO</v>
      </c>
      <c r="P531" s="9" t="str">
        <f t="shared" si="26"/>
        <v>YES</v>
      </c>
      <c r="Q531" s="9" t="str">
        <f t="shared" si="27"/>
        <v>Unconditioned</v>
      </c>
    </row>
    <row r="532" spans="1:17">
      <c r="A532" s="9">
        <v>11971</v>
      </c>
      <c r="B532" s="9">
        <v>1</v>
      </c>
      <c r="C532" s="9" t="s">
        <v>1589</v>
      </c>
      <c r="D532" s="9" t="s">
        <v>1603</v>
      </c>
      <c r="E532" s="9" t="s">
        <v>1591</v>
      </c>
      <c r="F532" s="9" t="s">
        <v>1589</v>
      </c>
      <c r="G532" s="9" t="s">
        <v>1592</v>
      </c>
      <c r="H532" s="9" t="s">
        <v>171</v>
      </c>
      <c r="I532" s="9" t="s">
        <v>2094</v>
      </c>
      <c r="J532" s="9" t="s">
        <v>1608</v>
      </c>
      <c r="K532" s="9">
        <v>1</v>
      </c>
      <c r="L532" s="9">
        <v>18</v>
      </c>
      <c r="M532" s="9">
        <v>2006</v>
      </c>
      <c r="O532" s="9" t="str">
        <f t="shared" si="25"/>
        <v>NO</v>
      </c>
      <c r="P532" s="9" t="str">
        <f t="shared" si="26"/>
        <v>NO</v>
      </c>
      <c r="Q532" s="9" t="str">
        <f t="shared" si="27"/>
        <v>Conditioned</v>
      </c>
    </row>
    <row r="533" spans="1:17">
      <c r="A533" s="9">
        <v>11971</v>
      </c>
      <c r="B533" s="9">
        <v>2</v>
      </c>
      <c r="C533" s="9" t="s">
        <v>1589</v>
      </c>
      <c r="D533" s="9" t="s">
        <v>1590</v>
      </c>
      <c r="E533" s="9" t="s">
        <v>1591</v>
      </c>
      <c r="F533" s="9" t="s">
        <v>1589</v>
      </c>
      <c r="G533" s="9" t="s">
        <v>1606</v>
      </c>
      <c r="H533" s="9" t="s">
        <v>174</v>
      </c>
      <c r="I533" s="9" t="s">
        <v>2095</v>
      </c>
      <c r="J533" s="9" t="s">
        <v>1608</v>
      </c>
      <c r="K533" s="9">
        <v>1</v>
      </c>
      <c r="L533" s="9">
        <v>18</v>
      </c>
      <c r="M533" s="9">
        <v>2010</v>
      </c>
      <c r="O533" s="9" t="str">
        <f t="shared" si="25"/>
        <v>NO</v>
      </c>
      <c r="P533" s="9" t="str">
        <f t="shared" si="26"/>
        <v>NO</v>
      </c>
      <c r="Q533" s="9" t="str">
        <f t="shared" si="27"/>
        <v>Unconditioned</v>
      </c>
    </row>
    <row r="534" spans="1:17">
      <c r="A534" s="9">
        <v>11978</v>
      </c>
      <c r="B534" s="9">
        <v>1</v>
      </c>
      <c r="C534" s="9" t="s">
        <v>1589</v>
      </c>
      <c r="D534" s="9" t="s">
        <v>1590</v>
      </c>
      <c r="E534" s="9" t="s">
        <v>1602</v>
      </c>
      <c r="F534" s="9" t="s">
        <v>1603</v>
      </c>
      <c r="G534" s="9" t="s">
        <v>1592</v>
      </c>
      <c r="H534" s="9" t="s">
        <v>170</v>
      </c>
      <c r="I534" s="9" t="s">
        <v>2096</v>
      </c>
      <c r="J534" s="9" t="s">
        <v>1601</v>
      </c>
      <c r="K534" s="9">
        <v>0.75</v>
      </c>
      <c r="L534" s="9">
        <v>20</v>
      </c>
      <c r="M534" s="9">
        <v>1998</v>
      </c>
      <c r="O534" s="9" t="str">
        <f t="shared" si="25"/>
        <v>NO</v>
      </c>
      <c r="P534" s="9" t="str">
        <f t="shared" si="26"/>
        <v>NO</v>
      </c>
      <c r="Q534" s="9" t="str">
        <f t="shared" si="27"/>
        <v>Conditioned</v>
      </c>
    </row>
    <row r="535" spans="1:17">
      <c r="A535" s="9">
        <v>11980</v>
      </c>
      <c r="B535" s="9">
        <v>1</v>
      </c>
      <c r="C535" s="9" t="s">
        <v>1589</v>
      </c>
      <c r="D535" s="9" t="s">
        <v>1590</v>
      </c>
      <c r="E535" s="9" t="s">
        <v>1613</v>
      </c>
      <c r="F535" s="9" t="s">
        <v>1603</v>
      </c>
      <c r="G535" s="9" t="s">
        <v>1592</v>
      </c>
      <c r="H535" s="9" t="s">
        <v>1638</v>
      </c>
      <c r="I535" s="9" t="s">
        <v>2097</v>
      </c>
      <c r="J535" s="9" t="s">
        <v>1597</v>
      </c>
      <c r="K535" s="9">
        <v>1</v>
      </c>
      <c r="L535" s="9">
        <v>18</v>
      </c>
      <c r="M535" s="9">
        <v>2011</v>
      </c>
      <c r="O535" s="9" t="str">
        <f t="shared" ref="O535:O598" si="28">IF(L535&lt;7.75,"YES","NO")</f>
        <v>NO</v>
      </c>
      <c r="P535" s="9" t="str">
        <f t="shared" ref="P535:P598" si="29">VLOOKUP(J535,$Z$21:$AA$27,2,FALSE)</f>
        <v>NO</v>
      </c>
      <c r="Q535" s="9" t="str">
        <f t="shared" ref="Q535:Q598" si="30">G535</f>
        <v>Conditioned</v>
      </c>
    </row>
    <row r="536" spans="1:17">
      <c r="A536" s="9">
        <v>11988</v>
      </c>
      <c r="B536" s="9">
        <v>1</v>
      </c>
      <c r="C536" s="9" t="s">
        <v>1589</v>
      </c>
      <c r="D536" s="9" t="s">
        <v>1590</v>
      </c>
      <c r="E536" s="9" t="s">
        <v>1591</v>
      </c>
      <c r="F536" s="9" t="s">
        <v>1589</v>
      </c>
      <c r="G536" s="9" t="s">
        <v>1592</v>
      </c>
      <c r="H536" s="9" t="s">
        <v>1599</v>
      </c>
      <c r="I536" s="9" t="s">
        <v>2098</v>
      </c>
      <c r="J536" s="9" t="s">
        <v>1608</v>
      </c>
      <c r="K536" s="9">
        <v>1</v>
      </c>
      <c r="L536" s="9">
        <v>22</v>
      </c>
      <c r="M536" s="9">
        <v>2002</v>
      </c>
      <c r="O536" s="9" t="str">
        <f t="shared" si="28"/>
        <v>NO</v>
      </c>
      <c r="P536" s="9" t="str">
        <f t="shared" si="29"/>
        <v>NO</v>
      </c>
      <c r="Q536" s="9" t="str">
        <f t="shared" si="30"/>
        <v>Conditioned</v>
      </c>
    </row>
    <row r="537" spans="1:17">
      <c r="A537" s="9">
        <v>11992</v>
      </c>
      <c r="B537" s="9">
        <v>1</v>
      </c>
      <c r="C537" s="9" t="s">
        <v>1589</v>
      </c>
      <c r="D537" s="9" t="s">
        <v>1590</v>
      </c>
      <c r="E537" s="9" t="s">
        <v>1591</v>
      </c>
      <c r="F537" s="9" t="s">
        <v>1589</v>
      </c>
      <c r="G537" s="9" t="s">
        <v>1592</v>
      </c>
      <c r="H537" s="9" t="s">
        <v>1624</v>
      </c>
      <c r="I537" s="9" t="s">
        <v>1589</v>
      </c>
      <c r="J537" s="9" t="s">
        <v>1597</v>
      </c>
      <c r="K537" s="9">
        <v>1</v>
      </c>
      <c r="L537" s="9">
        <v>9</v>
      </c>
      <c r="O537" s="9" t="str">
        <f t="shared" si="28"/>
        <v>NO</v>
      </c>
      <c r="P537" s="9" t="str">
        <f t="shared" si="29"/>
        <v>NO</v>
      </c>
      <c r="Q537" s="9" t="str">
        <f t="shared" si="30"/>
        <v>Conditioned</v>
      </c>
    </row>
    <row r="538" spans="1:17">
      <c r="A538" s="9">
        <v>11992</v>
      </c>
      <c r="B538" s="9">
        <v>2</v>
      </c>
      <c r="C538" s="9" t="s">
        <v>1589</v>
      </c>
      <c r="D538" s="9" t="s">
        <v>1590</v>
      </c>
      <c r="E538" s="9" t="s">
        <v>1591</v>
      </c>
      <c r="F538" s="9" t="s">
        <v>1589</v>
      </c>
      <c r="G538" s="9" t="s">
        <v>1606</v>
      </c>
      <c r="H538" s="9" t="s">
        <v>169</v>
      </c>
      <c r="I538" s="9" t="s">
        <v>2099</v>
      </c>
      <c r="J538" s="9" t="s">
        <v>1597</v>
      </c>
      <c r="K538" s="9">
        <v>1</v>
      </c>
      <c r="L538" s="9">
        <v>16</v>
      </c>
      <c r="M538" s="9">
        <v>2008</v>
      </c>
      <c r="O538" s="9" t="str">
        <f t="shared" si="28"/>
        <v>NO</v>
      </c>
      <c r="P538" s="9" t="str">
        <f t="shared" si="29"/>
        <v>NO</v>
      </c>
      <c r="Q538" s="9" t="str">
        <f t="shared" si="30"/>
        <v>Unconditioned</v>
      </c>
    </row>
    <row r="539" spans="1:17">
      <c r="A539" s="9">
        <v>11992</v>
      </c>
      <c r="B539" s="9">
        <v>3</v>
      </c>
      <c r="C539" s="9" t="s">
        <v>1589</v>
      </c>
      <c r="D539" s="9" t="s">
        <v>1590</v>
      </c>
      <c r="E539" s="9" t="s">
        <v>1591</v>
      </c>
      <c r="F539" s="9" t="s">
        <v>1589</v>
      </c>
      <c r="G539" s="9" t="s">
        <v>1592</v>
      </c>
      <c r="H539" s="9" t="s">
        <v>1463</v>
      </c>
      <c r="I539" s="9" t="s">
        <v>2100</v>
      </c>
      <c r="J539" s="9" t="s">
        <v>1601</v>
      </c>
      <c r="K539" s="9">
        <v>1</v>
      </c>
      <c r="L539" s="9">
        <v>34</v>
      </c>
      <c r="M539" s="9">
        <v>1996</v>
      </c>
      <c r="O539" s="9" t="str">
        <f t="shared" si="28"/>
        <v>NO</v>
      </c>
      <c r="P539" s="9" t="str">
        <f t="shared" si="29"/>
        <v>NO</v>
      </c>
      <c r="Q539" s="9" t="str">
        <f t="shared" si="30"/>
        <v>Conditioned</v>
      </c>
    </row>
    <row r="540" spans="1:17">
      <c r="A540" s="9">
        <v>11992</v>
      </c>
      <c r="B540" s="9">
        <v>4</v>
      </c>
      <c r="C540" s="9" t="s">
        <v>1589</v>
      </c>
      <c r="D540" s="9" t="s">
        <v>1590</v>
      </c>
      <c r="E540" s="9" t="s">
        <v>1591</v>
      </c>
      <c r="F540" s="9" t="s">
        <v>1589</v>
      </c>
      <c r="G540" s="9" t="s">
        <v>1606</v>
      </c>
      <c r="H540" s="9" t="s">
        <v>1678</v>
      </c>
      <c r="I540" s="9" t="s">
        <v>1589</v>
      </c>
      <c r="J540" s="9" t="s">
        <v>1587</v>
      </c>
      <c r="K540" s="9">
        <v>1</v>
      </c>
      <c r="L540" s="9">
        <v>8</v>
      </c>
      <c r="O540" s="9" t="str">
        <f t="shared" si="28"/>
        <v>NO</v>
      </c>
      <c r="P540" s="9" t="str">
        <f t="shared" si="29"/>
        <v>YES</v>
      </c>
      <c r="Q540" s="9" t="str">
        <f t="shared" si="30"/>
        <v>Unconditioned</v>
      </c>
    </row>
    <row r="541" spans="1:17">
      <c r="A541" s="9">
        <v>11993</v>
      </c>
      <c r="B541" s="9">
        <v>1</v>
      </c>
      <c r="C541" s="9" t="s">
        <v>1589</v>
      </c>
      <c r="D541" s="9" t="s">
        <v>1590</v>
      </c>
      <c r="E541" s="9" t="s">
        <v>1591</v>
      </c>
      <c r="F541" s="9" t="s">
        <v>1589</v>
      </c>
      <c r="G541" s="9" t="s">
        <v>1592</v>
      </c>
      <c r="H541" s="9" t="s">
        <v>177</v>
      </c>
      <c r="I541" s="9" t="s">
        <v>2101</v>
      </c>
      <c r="J541" s="9" t="s">
        <v>1597</v>
      </c>
      <c r="K541" s="9">
        <v>1</v>
      </c>
      <c r="L541" s="9">
        <v>18</v>
      </c>
      <c r="M541" s="9">
        <v>2002</v>
      </c>
      <c r="O541" s="9" t="str">
        <f t="shared" si="28"/>
        <v>NO</v>
      </c>
      <c r="P541" s="9" t="str">
        <f t="shared" si="29"/>
        <v>NO</v>
      </c>
      <c r="Q541" s="9" t="str">
        <f t="shared" si="30"/>
        <v>Conditioned</v>
      </c>
    </row>
    <row r="542" spans="1:17">
      <c r="A542" s="9">
        <v>12016</v>
      </c>
      <c r="B542" s="9">
        <v>1</v>
      </c>
      <c r="C542" s="9" t="s">
        <v>1589</v>
      </c>
      <c r="D542" s="9" t="s">
        <v>1590</v>
      </c>
      <c r="E542" s="9" t="s">
        <v>1591</v>
      </c>
      <c r="F542" s="9" t="s">
        <v>1589</v>
      </c>
      <c r="G542" s="9" t="s">
        <v>1592</v>
      </c>
      <c r="H542" s="9" t="s">
        <v>1552</v>
      </c>
      <c r="I542" s="9" t="s">
        <v>2102</v>
      </c>
      <c r="J542" s="9" t="s">
        <v>1597</v>
      </c>
      <c r="K542" s="9">
        <v>1</v>
      </c>
      <c r="L542" s="9">
        <v>18</v>
      </c>
      <c r="M542" s="9">
        <v>1999</v>
      </c>
      <c r="O542" s="9" t="str">
        <f t="shared" si="28"/>
        <v>NO</v>
      </c>
      <c r="P542" s="9" t="str">
        <f t="shared" si="29"/>
        <v>NO</v>
      </c>
      <c r="Q542" s="9" t="str">
        <f t="shared" si="30"/>
        <v>Conditioned</v>
      </c>
    </row>
    <row r="543" spans="1:17">
      <c r="A543" s="9">
        <v>12018</v>
      </c>
      <c r="B543" s="9">
        <v>1</v>
      </c>
      <c r="C543" s="9" t="s">
        <v>1589</v>
      </c>
      <c r="D543" s="9" t="s">
        <v>1590</v>
      </c>
      <c r="E543" s="9" t="s">
        <v>1591</v>
      </c>
      <c r="F543" s="9" t="s">
        <v>1589</v>
      </c>
      <c r="G543" s="9" t="s">
        <v>1589</v>
      </c>
      <c r="H543" s="9" t="s">
        <v>1589</v>
      </c>
      <c r="I543" s="9" t="s">
        <v>1589</v>
      </c>
      <c r="J543" s="9" t="s">
        <v>1589</v>
      </c>
      <c r="O543" s="9" t="str">
        <f t="shared" si="28"/>
        <v>YES</v>
      </c>
      <c r="P543" s="9" t="e">
        <f t="shared" si="29"/>
        <v>#N/A</v>
      </c>
      <c r="Q543" s="9" t="str">
        <f t="shared" si="30"/>
        <v/>
      </c>
    </row>
    <row r="544" spans="1:17">
      <c r="A544" s="9">
        <v>12022</v>
      </c>
      <c r="B544" s="9">
        <v>1</v>
      </c>
      <c r="C544" s="9" t="s">
        <v>1589</v>
      </c>
      <c r="D544" s="9" t="s">
        <v>1590</v>
      </c>
      <c r="E544" s="9" t="s">
        <v>1591</v>
      </c>
      <c r="F544" s="9" t="s">
        <v>1589</v>
      </c>
      <c r="G544" s="9" t="s">
        <v>1592</v>
      </c>
      <c r="H544" s="9" t="s">
        <v>170</v>
      </c>
      <c r="I544" s="9" t="s">
        <v>2103</v>
      </c>
      <c r="J544" s="9" t="s">
        <v>1587</v>
      </c>
      <c r="K544" s="9">
        <v>1</v>
      </c>
      <c r="L544" s="9">
        <v>9</v>
      </c>
      <c r="M544" s="9">
        <v>2002</v>
      </c>
      <c r="O544" s="9" t="str">
        <f t="shared" si="28"/>
        <v>NO</v>
      </c>
      <c r="P544" s="9" t="str">
        <f t="shared" si="29"/>
        <v>YES</v>
      </c>
      <c r="Q544" s="9" t="str">
        <f t="shared" si="30"/>
        <v>Conditioned</v>
      </c>
    </row>
    <row r="545" spans="1:17">
      <c r="A545" s="9">
        <v>12022</v>
      </c>
      <c r="B545" s="9">
        <v>2</v>
      </c>
      <c r="C545" s="9" t="s">
        <v>1589</v>
      </c>
      <c r="D545" s="9" t="s">
        <v>1590</v>
      </c>
      <c r="E545" s="9" t="s">
        <v>1591</v>
      </c>
      <c r="F545" s="9" t="s">
        <v>1589</v>
      </c>
      <c r="G545" s="9" t="s">
        <v>1592</v>
      </c>
      <c r="H545" s="9" t="s">
        <v>172</v>
      </c>
      <c r="I545" s="9" t="s">
        <v>2104</v>
      </c>
      <c r="J545" s="9" t="s">
        <v>1597</v>
      </c>
      <c r="K545" s="9">
        <v>1</v>
      </c>
      <c r="L545" s="9">
        <v>19</v>
      </c>
      <c r="M545" s="9">
        <v>2005</v>
      </c>
      <c r="O545" s="9" t="str">
        <f t="shared" si="28"/>
        <v>NO</v>
      </c>
      <c r="P545" s="9" t="str">
        <f t="shared" si="29"/>
        <v>NO</v>
      </c>
      <c r="Q545" s="9" t="str">
        <f t="shared" si="30"/>
        <v>Conditioned</v>
      </c>
    </row>
    <row r="546" spans="1:17">
      <c r="A546" s="9">
        <v>12029</v>
      </c>
      <c r="B546" s="9">
        <v>1</v>
      </c>
      <c r="C546" s="9" t="s">
        <v>1589</v>
      </c>
      <c r="D546" s="9" t="s">
        <v>1590</v>
      </c>
      <c r="E546" s="9" t="s">
        <v>1613</v>
      </c>
      <c r="F546" s="9" t="s">
        <v>1590</v>
      </c>
      <c r="G546" s="9" t="s">
        <v>1592</v>
      </c>
      <c r="H546" s="9" t="s">
        <v>177</v>
      </c>
      <c r="I546" s="9" t="s">
        <v>2105</v>
      </c>
      <c r="J546" s="9" t="s">
        <v>1597</v>
      </c>
      <c r="K546" s="9">
        <v>1</v>
      </c>
      <c r="L546" s="9">
        <v>20</v>
      </c>
      <c r="M546" s="9">
        <v>1993</v>
      </c>
      <c r="O546" s="9" t="str">
        <f t="shared" si="28"/>
        <v>NO</v>
      </c>
      <c r="P546" s="9" t="str">
        <f t="shared" si="29"/>
        <v>NO</v>
      </c>
      <c r="Q546" s="9" t="str">
        <f t="shared" si="30"/>
        <v>Conditioned</v>
      </c>
    </row>
    <row r="547" spans="1:17">
      <c r="A547" s="9">
        <v>12029</v>
      </c>
      <c r="B547" s="9">
        <v>2</v>
      </c>
      <c r="C547" s="9" t="s">
        <v>1589</v>
      </c>
      <c r="D547" s="9" t="s">
        <v>1590</v>
      </c>
      <c r="E547" s="9" t="s">
        <v>1591</v>
      </c>
      <c r="F547" s="9" t="s">
        <v>1589</v>
      </c>
      <c r="G547" s="9" t="s">
        <v>1592</v>
      </c>
      <c r="H547" s="9" t="s">
        <v>169</v>
      </c>
      <c r="I547" s="9" t="s">
        <v>2106</v>
      </c>
      <c r="J547" s="9" t="s">
        <v>1597</v>
      </c>
      <c r="K547" s="9">
        <v>1</v>
      </c>
      <c r="L547" s="9">
        <v>14</v>
      </c>
      <c r="M547" s="9">
        <v>2008</v>
      </c>
      <c r="O547" s="9" t="str">
        <f t="shared" si="28"/>
        <v>NO</v>
      </c>
      <c r="P547" s="9" t="str">
        <f t="shared" si="29"/>
        <v>NO</v>
      </c>
      <c r="Q547" s="9" t="str">
        <f t="shared" si="30"/>
        <v>Conditioned</v>
      </c>
    </row>
    <row r="548" spans="1:17">
      <c r="A548" s="9">
        <v>12033</v>
      </c>
      <c r="B548" s="9">
        <v>1</v>
      </c>
      <c r="C548" s="9" t="s">
        <v>1589</v>
      </c>
      <c r="D548" s="9" t="s">
        <v>1590</v>
      </c>
      <c r="E548" s="9" t="s">
        <v>1602</v>
      </c>
      <c r="F548" s="9" t="s">
        <v>1603</v>
      </c>
      <c r="G548" s="9" t="s">
        <v>1592</v>
      </c>
      <c r="H548" s="9" t="s">
        <v>170</v>
      </c>
      <c r="I548" s="9" t="s">
        <v>2107</v>
      </c>
      <c r="J548" s="9" t="s">
        <v>1601</v>
      </c>
      <c r="K548" s="9">
        <v>1</v>
      </c>
      <c r="L548" s="9">
        <v>25</v>
      </c>
      <c r="M548" s="9">
        <v>2001</v>
      </c>
      <c r="O548" s="9" t="str">
        <f t="shared" si="28"/>
        <v>NO</v>
      </c>
      <c r="P548" s="9" t="str">
        <f t="shared" si="29"/>
        <v>NO</v>
      </c>
      <c r="Q548" s="9" t="str">
        <f t="shared" si="30"/>
        <v>Conditioned</v>
      </c>
    </row>
    <row r="549" spans="1:17">
      <c r="A549" s="9">
        <v>12035</v>
      </c>
      <c r="B549" s="9">
        <v>1</v>
      </c>
      <c r="C549" s="9" t="s">
        <v>1589</v>
      </c>
      <c r="D549" s="9" t="s">
        <v>1590</v>
      </c>
      <c r="E549" s="9" t="s">
        <v>1591</v>
      </c>
      <c r="F549" s="9" t="s">
        <v>1589</v>
      </c>
      <c r="G549" s="9" t="s">
        <v>1592</v>
      </c>
      <c r="H549" s="9" t="s">
        <v>170</v>
      </c>
      <c r="I549" s="9" t="s">
        <v>2108</v>
      </c>
      <c r="J549" s="9" t="s">
        <v>1608</v>
      </c>
      <c r="K549" s="9">
        <v>1</v>
      </c>
      <c r="L549" s="9">
        <v>23</v>
      </c>
      <c r="M549" s="9">
        <v>2008</v>
      </c>
      <c r="O549" s="9" t="str">
        <f t="shared" si="28"/>
        <v>NO</v>
      </c>
      <c r="P549" s="9" t="str">
        <f t="shared" si="29"/>
        <v>NO</v>
      </c>
      <c r="Q549" s="9" t="str">
        <f t="shared" si="30"/>
        <v>Conditioned</v>
      </c>
    </row>
    <row r="550" spans="1:17">
      <c r="A550" s="9">
        <v>12035</v>
      </c>
      <c r="B550" s="9">
        <v>2</v>
      </c>
      <c r="C550" s="9" t="s">
        <v>1589</v>
      </c>
      <c r="D550" s="9" t="s">
        <v>1590</v>
      </c>
      <c r="E550" s="9" t="s">
        <v>1591</v>
      </c>
      <c r="F550" s="9" t="s">
        <v>1589</v>
      </c>
      <c r="G550" s="9" t="s">
        <v>1606</v>
      </c>
      <c r="H550" s="9" t="s">
        <v>1624</v>
      </c>
      <c r="I550" s="9" t="s">
        <v>1589</v>
      </c>
      <c r="J550" s="9" t="s">
        <v>1587</v>
      </c>
      <c r="K550" s="9">
        <v>1</v>
      </c>
      <c r="L550" s="9">
        <v>14</v>
      </c>
      <c r="M550" s="9">
        <v>1990</v>
      </c>
      <c r="O550" s="9" t="str">
        <f t="shared" si="28"/>
        <v>NO</v>
      </c>
      <c r="P550" s="9" t="str">
        <f t="shared" si="29"/>
        <v>YES</v>
      </c>
      <c r="Q550" s="9" t="str">
        <f t="shared" si="30"/>
        <v>Unconditioned</v>
      </c>
    </row>
    <row r="551" spans="1:17">
      <c r="A551" s="9">
        <v>12039</v>
      </c>
      <c r="B551" s="9">
        <v>1</v>
      </c>
      <c r="C551" s="9" t="s">
        <v>1589</v>
      </c>
      <c r="D551" s="9" t="s">
        <v>1590</v>
      </c>
      <c r="E551" s="9" t="s">
        <v>1613</v>
      </c>
      <c r="F551" s="9" t="s">
        <v>1590</v>
      </c>
      <c r="G551" s="9" t="s">
        <v>1592</v>
      </c>
      <c r="H551" s="9" t="s">
        <v>174</v>
      </c>
      <c r="I551" s="9" t="s">
        <v>2109</v>
      </c>
      <c r="J551" s="9" t="s">
        <v>1608</v>
      </c>
      <c r="K551" s="9">
        <v>1</v>
      </c>
      <c r="L551" s="9">
        <v>21</v>
      </c>
      <c r="M551" s="9">
        <v>1999</v>
      </c>
      <c r="O551" s="9" t="str">
        <f t="shared" si="28"/>
        <v>NO</v>
      </c>
      <c r="P551" s="9" t="str">
        <f t="shared" si="29"/>
        <v>NO</v>
      </c>
      <c r="Q551" s="9" t="str">
        <f t="shared" si="30"/>
        <v>Conditioned</v>
      </c>
    </row>
    <row r="552" spans="1:17">
      <c r="A552" s="9">
        <v>12039</v>
      </c>
      <c r="B552" s="9">
        <v>2</v>
      </c>
      <c r="C552" s="9" t="s">
        <v>1589</v>
      </c>
      <c r="D552" s="9" t="s">
        <v>1590</v>
      </c>
      <c r="E552" s="9" t="s">
        <v>1591</v>
      </c>
      <c r="F552" s="9" t="s">
        <v>1589</v>
      </c>
      <c r="G552" s="9" t="s">
        <v>1606</v>
      </c>
      <c r="H552" s="9" t="s">
        <v>1638</v>
      </c>
      <c r="I552" s="9" t="s">
        <v>2110</v>
      </c>
      <c r="J552" s="9" t="s">
        <v>1597</v>
      </c>
      <c r="K552" s="9">
        <v>1</v>
      </c>
      <c r="L552" s="9">
        <v>21</v>
      </c>
      <c r="M552" s="9">
        <v>1992</v>
      </c>
      <c r="O552" s="9" t="str">
        <f t="shared" si="28"/>
        <v>NO</v>
      </c>
      <c r="P552" s="9" t="str">
        <f t="shared" si="29"/>
        <v>NO</v>
      </c>
      <c r="Q552" s="9" t="str">
        <f t="shared" si="30"/>
        <v>Unconditioned</v>
      </c>
    </row>
    <row r="553" spans="1:17">
      <c r="A553" s="9">
        <v>12039</v>
      </c>
      <c r="B553" s="9">
        <v>3</v>
      </c>
      <c r="C553" s="9" t="s">
        <v>1589</v>
      </c>
      <c r="D553" s="9" t="s">
        <v>1590</v>
      </c>
      <c r="E553" s="9" t="s">
        <v>1591</v>
      </c>
      <c r="F553" s="9" t="s">
        <v>1589</v>
      </c>
      <c r="G553" s="9" t="s">
        <v>1606</v>
      </c>
      <c r="H553" s="9" t="s">
        <v>1624</v>
      </c>
      <c r="I553" s="9" t="s">
        <v>2111</v>
      </c>
      <c r="J553" s="9" t="s">
        <v>1605</v>
      </c>
      <c r="K553" s="9">
        <v>1</v>
      </c>
      <c r="L553" s="9">
        <v>25</v>
      </c>
      <c r="M553" s="9">
        <v>1985</v>
      </c>
      <c r="O553" s="9" t="str">
        <f t="shared" si="28"/>
        <v>NO</v>
      </c>
      <c r="P553" s="9" t="str">
        <f t="shared" si="29"/>
        <v>YES</v>
      </c>
      <c r="Q553" s="9" t="str">
        <f t="shared" si="30"/>
        <v>Unconditioned</v>
      </c>
    </row>
    <row r="554" spans="1:17">
      <c r="A554" s="9">
        <v>12049</v>
      </c>
      <c r="B554" s="9">
        <v>1</v>
      </c>
      <c r="C554" s="9" t="s">
        <v>1589</v>
      </c>
      <c r="D554" s="9" t="s">
        <v>1590</v>
      </c>
      <c r="E554" s="9" t="s">
        <v>1613</v>
      </c>
      <c r="F554" s="9" t="s">
        <v>1603</v>
      </c>
      <c r="G554" s="9" t="s">
        <v>1592</v>
      </c>
      <c r="H554" s="9" t="s">
        <v>170</v>
      </c>
      <c r="I554" s="9" t="s">
        <v>2112</v>
      </c>
      <c r="J554" s="9" t="s">
        <v>1597</v>
      </c>
      <c r="K554" s="9">
        <v>1</v>
      </c>
      <c r="L554" s="9">
        <v>21</v>
      </c>
      <c r="M554" s="9">
        <v>2005</v>
      </c>
      <c r="O554" s="9" t="str">
        <f t="shared" si="28"/>
        <v>NO</v>
      </c>
      <c r="P554" s="9" t="str">
        <f t="shared" si="29"/>
        <v>NO</v>
      </c>
      <c r="Q554" s="9" t="str">
        <f t="shared" si="30"/>
        <v>Conditioned</v>
      </c>
    </row>
    <row r="555" spans="1:17">
      <c r="A555" s="9">
        <v>12054</v>
      </c>
      <c r="B555" s="9">
        <v>1</v>
      </c>
      <c r="C555" s="9" t="s">
        <v>1589</v>
      </c>
      <c r="D555" s="9" t="s">
        <v>1590</v>
      </c>
      <c r="E555" s="9" t="s">
        <v>1602</v>
      </c>
      <c r="F555" s="9" t="s">
        <v>1590</v>
      </c>
      <c r="G555" s="9" t="s">
        <v>1592</v>
      </c>
      <c r="H555" s="9" t="s">
        <v>1638</v>
      </c>
      <c r="I555" s="9" t="s">
        <v>2113</v>
      </c>
      <c r="J555" s="9" t="s">
        <v>1597</v>
      </c>
      <c r="K555" s="9">
        <v>1</v>
      </c>
      <c r="L555" s="9">
        <v>12</v>
      </c>
      <c r="M555" s="9">
        <v>2004</v>
      </c>
      <c r="O555" s="9" t="str">
        <f t="shared" si="28"/>
        <v>NO</v>
      </c>
      <c r="P555" s="9" t="str">
        <f t="shared" si="29"/>
        <v>NO</v>
      </c>
      <c r="Q555" s="9" t="str">
        <f t="shared" si="30"/>
        <v>Conditioned</v>
      </c>
    </row>
    <row r="556" spans="1:17">
      <c r="A556" s="9">
        <v>12054</v>
      </c>
      <c r="B556" s="9">
        <v>2</v>
      </c>
      <c r="C556" s="9" t="s">
        <v>1589</v>
      </c>
      <c r="D556" s="9" t="s">
        <v>1590</v>
      </c>
      <c r="E556" s="9" t="s">
        <v>1591</v>
      </c>
      <c r="F556" s="9" t="s">
        <v>1589</v>
      </c>
      <c r="G556" s="9" t="s">
        <v>1592</v>
      </c>
      <c r="H556" s="9" t="s">
        <v>170</v>
      </c>
      <c r="I556" s="9" t="s">
        <v>2114</v>
      </c>
      <c r="J556" s="9" t="s">
        <v>1597</v>
      </c>
      <c r="K556" s="9">
        <v>1</v>
      </c>
      <c r="L556" s="9">
        <v>24</v>
      </c>
      <c r="M556" s="9">
        <v>2001</v>
      </c>
      <c r="O556" s="9" t="str">
        <f t="shared" si="28"/>
        <v>NO</v>
      </c>
      <c r="P556" s="9" t="str">
        <f t="shared" si="29"/>
        <v>NO</v>
      </c>
      <c r="Q556" s="9" t="str">
        <f t="shared" si="30"/>
        <v>Conditioned</v>
      </c>
    </row>
    <row r="557" spans="1:17">
      <c r="A557" s="9">
        <v>12060</v>
      </c>
      <c r="B557" s="9">
        <v>1</v>
      </c>
      <c r="C557" s="9" t="s">
        <v>1589</v>
      </c>
      <c r="D557" s="9" t="s">
        <v>1590</v>
      </c>
      <c r="E557" s="9" t="s">
        <v>1591</v>
      </c>
      <c r="F557" s="9" t="s">
        <v>1589</v>
      </c>
      <c r="G557" s="9" t="s">
        <v>1592</v>
      </c>
      <c r="H557" s="9" t="s">
        <v>1638</v>
      </c>
      <c r="I557" s="9" t="s">
        <v>2115</v>
      </c>
      <c r="J557" s="9" t="s">
        <v>1587</v>
      </c>
      <c r="K557" s="9">
        <v>1</v>
      </c>
      <c r="L557" s="9">
        <v>10</v>
      </c>
      <c r="M557" s="9">
        <v>2009</v>
      </c>
      <c r="O557" s="9" t="str">
        <f t="shared" si="28"/>
        <v>NO</v>
      </c>
      <c r="P557" s="9" t="str">
        <f t="shared" si="29"/>
        <v>YES</v>
      </c>
      <c r="Q557" s="9" t="str">
        <f t="shared" si="30"/>
        <v>Conditioned</v>
      </c>
    </row>
    <row r="558" spans="1:17">
      <c r="A558" s="9">
        <v>12060</v>
      </c>
      <c r="B558" s="9">
        <v>2</v>
      </c>
      <c r="C558" s="9" t="s">
        <v>1589</v>
      </c>
      <c r="D558" s="9" t="s">
        <v>1590</v>
      </c>
      <c r="E558" s="9" t="s">
        <v>1613</v>
      </c>
      <c r="F558" s="9" t="s">
        <v>1603</v>
      </c>
      <c r="G558" s="9" t="s">
        <v>1592</v>
      </c>
      <c r="H558" s="9" t="s">
        <v>173</v>
      </c>
      <c r="I558" s="9" t="s">
        <v>2116</v>
      </c>
      <c r="J558" s="9" t="s">
        <v>1597</v>
      </c>
      <c r="K558" s="9">
        <v>1</v>
      </c>
      <c r="L558" s="9">
        <v>23</v>
      </c>
      <c r="M558" s="9">
        <v>2008</v>
      </c>
      <c r="O558" s="9" t="str">
        <f t="shared" si="28"/>
        <v>NO</v>
      </c>
      <c r="P558" s="9" t="str">
        <f t="shared" si="29"/>
        <v>NO</v>
      </c>
      <c r="Q558" s="9" t="str">
        <f t="shared" si="30"/>
        <v>Conditioned</v>
      </c>
    </row>
    <row r="559" spans="1:17">
      <c r="A559" s="9">
        <v>12062</v>
      </c>
      <c r="B559" s="9">
        <v>1</v>
      </c>
      <c r="C559" s="9" t="s">
        <v>1589</v>
      </c>
      <c r="D559" s="9" t="s">
        <v>1590</v>
      </c>
      <c r="E559" s="9" t="s">
        <v>1602</v>
      </c>
      <c r="F559" s="9" t="s">
        <v>1603</v>
      </c>
      <c r="G559" s="9" t="s">
        <v>1592</v>
      </c>
      <c r="H559" s="9" t="s">
        <v>1638</v>
      </c>
      <c r="I559" s="9" t="s">
        <v>2117</v>
      </c>
      <c r="J559" s="9" t="s">
        <v>1608</v>
      </c>
      <c r="K559" s="9">
        <v>1</v>
      </c>
      <c r="L559" s="9">
        <v>25</v>
      </c>
      <c r="M559" s="9">
        <v>2007</v>
      </c>
      <c r="O559" s="9" t="str">
        <f t="shared" si="28"/>
        <v>NO</v>
      </c>
      <c r="P559" s="9" t="str">
        <f t="shared" si="29"/>
        <v>NO</v>
      </c>
      <c r="Q559" s="9" t="str">
        <f t="shared" si="30"/>
        <v>Conditioned</v>
      </c>
    </row>
    <row r="560" spans="1:17">
      <c r="A560" s="9">
        <v>12062</v>
      </c>
      <c r="B560" s="9">
        <v>2</v>
      </c>
      <c r="C560" s="9" t="s">
        <v>1589</v>
      </c>
      <c r="D560" s="9" t="s">
        <v>1590</v>
      </c>
      <c r="E560" s="9" t="s">
        <v>1591</v>
      </c>
      <c r="F560" s="9" t="s">
        <v>1589</v>
      </c>
      <c r="G560" s="9" t="s">
        <v>1606</v>
      </c>
      <c r="H560" s="9" t="s">
        <v>1552</v>
      </c>
      <c r="I560" s="9" t="s">
        <v>1589</v>
      </c>
      <c r="J560" s="9" t="s">
        <v>1605</v>
      </c>
      <c r="K560" s="9">
        <v>1</v>
      </c>
      <c r="L560" s="9">
        <v>15</v>
      </c>
      <c r="M560" s="9">
        <v>1980</v>
      </c>
      <c r="O560" s="9" t="str">
        <f t="shared" si="28"/>
        <v>NO</v>
      </c>
      <c r="P560" s="9" t="str">
        <f t="shared" si="29"/>
        <v>YES</v>
      </c>
      <c r="Q560" s="9" t="str">
        <f t="shared" si="30"/>
        <v>Unconditioned</v>
      </c>
    </row>
    <row r="561" spans="1:17">
      <c r="A561" s="9">
        <v>12062</v>
      </c>
      <c r="B561" s="9">
        <v>3</v>
      </c>
      <c r="C561" s="9" t="s">
        <v>1589</v>
      </c>
      <c r="D561" s="9" t="s">
        <v>1590</v>
      </c>
      <c r="E561" s="9" t="s">
        <v>1591</v>
      </c>
      <c r="F561" s="9" t="s">
        <v>1589</v>
      </c>
      <c r="G561" s="9" t="s">
        <v>1606</v>
      </c>
      <c r="H561" s="9" t="s">
        <v>1638</v>
      </c>
      <c r="I561" s="9" t="s">
        <v>1589</v>
      </c>
      <c r="J561" s="9" t="s">
        <v>1587</v>
      </c>
      <c r="K561" s="9">
        <v>1</v>
      </c>
      <c r="L561" s="9">
        <v>10</v>
      </c>
      <c r="M561" s="9">
        <v>1980</v>
      </c>
      <c r="O561" s="9" t="str">
        <f t="shared" si="28"/>
        <v>NO</v>
      </c>
      <c r="P561" s="9" t="str">
        <f t="shared" si="29"/>
        <v>YES</v>
      </c>
      <c r="Q561" s="9" t="str">
        <f t="shared" si="30"/>
        <v>Unconditioned</v>
      </c>
    </row>
    <row r="562" spans="1:17">
      <c r="A562" s="9">
        <v>12063</v>
      </c>
      <c r="B562" s="9">
        <v>1</v>
      </c>
      <c r="C562" s="9" t="s">
        <v>1589</v>
      </c>
      <c r="D562" s="9" t="s">
        <v>1590</v>
      </c>
      <c r="E562" s="9" t="s">
        <v>1613</v>
      </c>
      <c r="F562" s="9" t="s">
        <v>1603</v>
      </c>
      <c r="G562" s="9" t="s">
        <v>1592</v>
      </c>
      <c r="H562" s="9" t="s">
        <v>1638</v>
      </c>
      <c r="I562" s="9" t="s">
        <v>2118</v>
      </c>
      <c r="J562" s="9" t="s">
        <v>1597</v>
      </c>
      <c r="K562" s="9">
        <v>1</v>
      </c>
      <c r="L562" s="9">
        <v>19</v>
      </c>
      <c r="M562" s="9">
        <v>2008</v>
      </c>
      <c r="O562" s="9" t="str">
        <f t="shared" si="28"/>
        <v>NO</v>
      </c>
      <c r="P562" s="9" t="str">
        <f t="shared" si="29"/>
        <v>NO</v>
      </c>
      <c r="Q562" s="9" t="str">
        <f t="shared" si="30"/>
        <v>Conditioned</v>
      </c>
    </row>
    <row r="563" spans="1:17">
      <c r="A563" s="9">
        <v>12064</v>
      </c>
      <c r="B563" s="9">
        <v>1</v>
      </c>
      <c r="C563" s="9" t="s">
        <v>1589</v>
      </c>
      <c r="D563" s="9" t="s">
        <v>1590</v>
      </c>
      <c r="E563" s="9" t="s">
        <v>1591</v>
      </c>
      <c r="F563" s="9" t="s">
        <v>1589</v>
      </c>
      <c r="G563" s="9" t="s">
        <v>1592</v>
      </c>
      <c r="H563" s="9" t="s">
        <v>172</v>
      </c>
      <c r="I563" s="9" t="s">
        <v>1924</v>
      </c>
      <c r="J563" s="9" t="s">
        <v>1597</v>
      </c>
      <c r="K563" s="9">
        <v>1</v>
      </c>
      <c r="L563" s="9">
        <v>18</v>
      </c>
      <c r="M563" s="9">
        <v>2004</v>
      </c>
      <c r="O563" s="9" t="str">
        <f t="shared" si="28"/>
        <v>NO</v>
      </c>
      <c r="P563" s="9" t="str">
        <f t="shared" si="29"/>
        <v>NO</v>
      </c>
      <c r="Q563" s="9" t="str">
        <f t="shared" si="30"/>
        <v>Conditioned</v>
      </c>
    </row>
    <row r="564" spans="1:17">
      <c r="A564" s="9">
        <v>12086</v>
      </c>
      <c r="B564" s="9">
        <v>1</v>
      </c>
      <c r="C564" s="9" t="s">
        <v>1589</v>
      </c>
      <c r="D564" s="9" t="s">
        <v>1590</v>
      </c>
      <c r="E564" s="9" t="s">
        <v>1602</v>
      </c>
      <c r="F564" s="9" t="s">
        <v>1603</v>
      </c>
      <c r="G564" s="9" t="s">
        <v>1592</v>
      </c>
      <c r="H564" s="9" t="s">
        <v>169</v>
      </c>
      <c r="I564" s="9" t="s">
        <v>2119</v>
      </c>
      <c r="J564" s="9" t="s">
        <v>1601</v>
      </c>
      <c r="K564" s="9">
        <v>1</v>
      </c>
      <c r="L564" s="9">
        <v>22</v>
      </c>
      <c r="M564" s="9">
        <v>2009</v>
      </c>
      <c r="O564" s="9" t="str">
        <f t="shared" si="28"/>
        <v>NO</v>
      </c>
      <c r="P564" s="9" t="str">
        <f t="shared" si="29"/>
        <v>NO</v>
      </c>
      <c r="Q564" s="9" t="str">
        <f t="shared" si="30"/>
        <v>Conditioned</v>
      </c>
    </row>
    <row r="565" spans="1:17">
      <c r="A565" s="9">
        <v>12092</v>
      </c>
      <c r="B565" s="9">
        <v>1</v>
      </c>
      <c r="C565" s="9" t="s">
        <v>2120</v>
      </c>
      <c r="D565" s="9" t="s">
        <v>1590</v>
      </c>
      <c r="E565" s="9" t="s">
        <v>1591</v>
      </c>
      <c r="F565" s="9" t="s">
        <v>1589</v>
      </c>
      <c r="G565" s="9" t="s">
        <v>1592</v>
      </c>
      <c r="H565" s="9" t="s">
        <v>2121</v>
      </c>
      <c r="I565" s="9" t="s">
        <v>2122</v>
      </c>
      <c r="J565" s="9" t="s">
        <v>1597</v>
      </c>
      <c r="K565" s="9">
        <v>1</v>
      </c>
      <c r="L565" s="9">
        <v>18</v>
      </c>
      <c r="O565" s="9" t="str">
        <f t="shared" si="28"/>
        <v>NO</v>
      </c>
      <c r="P565" s="9" t="str">
        <f t="shared" si="29"/>
        <v>NO</v>
      </c>
      <c r="Q565" s="9" t="str">
        <f t="shared" si="30"/>
        <v>Conditioned</v>
      </c>
    </row>
    <row r="566" spans="1:17">
      <c r="A566" s="9">
        <v>12092</v>
      </c>
      <c r="B566" s="9">
        <v>2</v>
      </c>
      <c r="C566" s="9" t="s">
        <v>2123</v>
      </c>
      <c r="D566" s="9" t="s">
        <v>1590</v>
      </c>
      <c r="E566" s="9" t="s">
        <v>1591</v>
      </c>
      <c r="F566" s="9" t="s">
        <v>1589</v>
      </c>
      <c r="G566" s="9" t="s">
        <v>1592</v>
      </c>
      <c r="H566" s="9" t="s">
        <v>1900</v>
      </c>
      <c r="I566" s="9" t="s">
        <v>2124</v>
      </c>
      <c r="J566" s="9" t="s">
        <v>1605</v>
      </c>
      <c r="K566" s="9">
        <v>1</v>
      </c>
      <c r="L566" s="9">
        <v>21</v>
      </c>
      <c r="O566" s="9" t="str">
        <f t="shared" si="28"/>
        <v>NO</v>
      </c>
      <c r="P566" s="9" t="str">
        <f t="shared" si="29"/>
        <v>YES</v>
      </c>
      <c r="Q566" s="9" t="str">
        <f t="shared" si="30"/>
        <v>Conditioned</v>
      </c>
    </row>
    <row r="567" spans="1:17">
      <c r="A567" s="9">
        <v>12092</v>
      </c>
      <c r="B567" s="9">
        <v>3</v>
      </c>
      <c r="C567" s="9" t="s">
        <v>2125</v>
      </c>
      <c r="D567" s="9" t="s">
        <v>1590</v>
      </c>
      <c r="E567" s="9" t="s">
        <v>1591</v>
      </c>
      <c r="F567" s="9" t="s">
        <v>1589</v>
      </c>
      <c r="G567" s="9" t="s">
        <v>1592</v>
      </c>
      <c r="H567" s="9" t="s">
        <v>1632</v>
      </c>
      <c r="I567" s="9" t="s">
        <v>2126</v>
      </c>
      <c r="J567" s="9" t="s">
        <v>1597</v>
      </c>
      <c r="K567" s="9">
        <v>1</v>
      </c>
      <c r="L567" s="9">
        <v>9</v>
      </c>
      <c r="M567" s="9">
        <v>2005</v>
      </c>
      <c r="O567" s="9" t="str">
        <f t="shared" si="28"/>
        <v>NO</v>
      </c>
      <c r="P567" s="9" t="str">
        <f t="shared" si="29"/>
        <v>NO</v>
      </c>
      <c r="Q567" s="9" t="str">
        <f t="shared" si="30"/>
        <v>Conditioned</v>
      </c>
    </row>
    <row r="568" spans="1:17">
      <c r="A568" s="9">
        <v>12101</v>
      </c>
      <c r="B568" s="9">
        <v>1</v>
      </c>
      <c r="C568" s="9" t="s">
        <v>1589</v>
      </c>
      <c r="D568" s="9" t="s">
        <v>1590</v>
      </c>
      <c r="E568" s="9" t="s">
        <v>1602</v>
      </c>
      <c r="F568" s="9" t="s">
        <v>1603</v>
      </c>
      <c r="G568" s="9" t="s">
        <v>1592</v>
      </c>
      <c r="H568" s="9" t="s">
        <v>1638</v>
      </c>
      <c r="I568" s="9" t="s">
        <v>1589</v>
      </c>
      <c r="J568" s="9" t="s">
        <v>1601</v>
      </c>
      <c r="K568" s="9">
        <v>1</v>
      </c>
      <c r="L568" s="9">
        <v>23</v>
      </c>
      <c r="M568" s="9">
        <v>2009</v>
      </c>
      <c r="O568" s="9" t="str">
        <f t="shared" si="28"/>
        <v>NO</v>
      </c>
      <c r="P568" s="9" t="str">
        <f t="shared" si="29"/>
        <v>NO</v>
      </c>
      <c r="Q568" s="9" t="str">
        <f t="shared" si="30"/>
        <v>Conditioned</v>
      </c>
    </row>
    <row r="569" spans="1:17">
      <c r="A569" s="9">
        <v>12101</v>
      </c>
      <c r="B569" s="9">
        <v>2</v>
      </c>
      <c r="C569" s="9" t="s">
        <v>1589</v>
      </c>
      <c r="D569" s="9" t="s">
        <v>1590</v>
      </c>
      <c r="E569" s="9" t="s">
        <v>1591</v>
      </c>
      <c r="F569" s="9" t="s">
        <v>1589</v>
      </c>
      <c r="G569" s="9" t="s">
        <v>1606</v>
      </c>
      <c r="H569" s="9" t="s">
        <v>177</v>
      </c>
      <c r="I569" s="9" t="s">
        <v>2127</v>
      </c>
      <c r="J569" s="9" t="s">
        <v>1597</v>
      </c>
      <c r="K569" s="9">
        <v>1</v>
      </c>
      <c r="L569" s="9">
        <v>22</v>
      </c>
      <c r="M569" s="9">
        <v>2006</v>
      </c>
      <c r="O569" s="9" t="str">
        <f t="shared" si="28"/>
        <v>NO</v>
      </c>
      <c r="P569" s="9" t="str">
        <f t="shared" si="29"/>
        <v>NO</v>
      </c>
      <c r="Q569" s="9" t="str">
        <f t="shared" si="30"/>
        <v>Unconditioned</v>
      </c>
    </row>
    <row r="570" spans="1:17">
      <c r="A570" s="9">
        <v>12103</v>
      </c>
      <c r="B570" s="9">
        <v>1</v>
      </c>
      <c r="C570" s="9" t="s">
        <v>1589</v>
      </c>
      <c r="D570" s="9" t="s">
        <v>1590</v>
      </c>
      <c r="E570" s="9" t="s">
        <v>1591</v>
      </c>
      <c r="F570" s="9" t="s">
        <v>1589</v>
      </c>
      <c r="G570" s="9" t="s">
        <v>1592</v>
      </c>
      <c r="H570" s="9" t="s">
        <v>174</v>
      </c>
      <c r="I570" s="9" t="s">
        <v>2128</v>
      </c>
      <c r="J570" s="9" t="s">
        <v>1608</v>
      </c>
      <c r="K570" s="9">
        <v>1</v>
      </c>
      <c r="L570" s="9">
        <v>20</v>
      </c>
      <c r="M570" s="9">
        <v>1990</v>
      </c>
      <c r="O570" s="9" t="str">
        <f t="shared" si="28"/>
        <v>NO</v>
      </c>
      <c r="P570" s="9" t="str">
        <f t="shared" si="29"/>
        <v>NO</v>
      </c>
      <c r="Q570" s="9" t="str">
        <f t="shared" si="30"/>
        <v>Conditioned</v>
      </c>
    </row>
    <row r="571" spans="1:17">
      <c r="A571" s="9">
        <v>12103</v>
      </c>
      <c r="B571" s="9">
        <v>2</v>
      </c>
      <c r="C571" s="9" t="s">
        <v>1589</v>
      </c>
      <c r="D571" s="9" t="s">
        <v>1590</v>
      </c>
      <c r="E571" s="9" t="s">
        <v>1591</v>
      </c>
      <c r="F571" s="9" t="s">
        <v>1589</v>
      </c>
      <c r="G571" s="9" t="s">
        <v>1606</v>
      </c>
      <c r="H571" s="9" t="s">
        <v>169</v>
      </c>
      <c r="I571" s="9" t="s">
        <v>2129</v>
      </c>
      <c r="J571" s="9" t="s">
        <v>1605</v>
      </c>
      <c r="K571" s="9">
        <v>1</v>
      </c>
      <c r="L571" s="9">
        <v>14</v>
      </c>
      <c r="M571" s="9">
        <v>2003</v>
      </c>
      <c r="O571" s="9" t="str">
        <f t="shared" si="28"/>
        <v>NO</v>
      </c>
      <c r="P571" s="9" t="str">
        <f t="shared" si="29"/>
        <v>YES</v>
      </c>
      <c r="Q571" s="9" t="str">
        <f t="shared" si="30"/>
        <v>Unconditioned</v>
      </c>
    </row>
    <row r="572" spans="1:17">
      <c r="A572" s="9">
        <v>12103</v>
      </c>
      <c r="B572" s="9">
        <v>3</v>
      </c>
      <c r="C572" s="9" t="s">
        <v>1589</v>
      </c>
      <c r="D572" s="9" t="s">
        <v>1590</v>
      </c>
      <c r="E572" s="9" t="s">
        <v>1591</v>
      </c>
      <c r="F572" s="9" t="s">
        <v>1589</v>
      </c>
      <c r="G572" s="9" t="s">
        <v>1606</v>
      </c>
      <c r="H572" s="9" t="s">
        <v>1805</v>
      </c>
      <c r="I572" s="9" t="s">
        <v>2130</v>
      </c>
      <c r="J572" s="9" t="s">
        <v>1597</v>
      </c>
      <c r="K572" s="9">
        <v>1</v>
      </c>
      <c r="L572" s="9">
        <v>14</v>
      </c>
      <c r="M572" s="9">
        <v>1997</v>
      </c>
      <c r="O572" s="9" t="str">
        <f t="shared" si="28"/>
        <v>NO</v>
      </c>
      <c r="P572" s="9" t="str">
        <f t="shared" si="29"/>
        <v>NO</v>
      </c>
      <c r="Q572" s="9" t="str">
        <f t="shared" si="30"/>
        <v>Unconditioned</v>
      </c>
    </row>
    <row r="573" spans="1:17">
      <c r="A573" s="9">
        <v>12105</v>
      </c>
      <c r="B573" s="9">
        <v>1</v>
      </c>
      <c r="C573" s="9" t="s">
        <v>1589</v>
      </c>
      <c r="D573" s="9" t="s">
        <v>1590</v>
      </c>
      <c r="E573" s="9" t="s">
        <v>1613</v>
      </c>
      <c r="F573" s="9" t="s">
        <v>1603</v>
      </c>
      <c r="G573" s="9" t="s">
        <v>1592</v>
      </c>
      <c r="H573" s="9" t="s">
        <v>169</v>
      </c>
      <c r="I573" s="9" t="s">
        <v>2131</v>
      </c>
      <c r="J573" s="9" t="s">
        <v>1605</v>
      </c>
      <c r="K573" s="9">
        <v>1</v>
      </c>
      <c r="L573" s="9">
        <v>24</v>
      </c>
      <c r="M573" s="9">
        <v>2007</v>
      </c>
      <c r="O573" s="9" t="str">
        <f t="shared" si="28"/>
        <v>NO</v>
      </c>
      <c r="P573" s="9" t="str">
        <f t="shared" si="29"/>
        <v>YES</v>
      </c>
      <c r="Q573" s="9" t="str">
        <f t="shared" si="30"/>
        <v>Conditioned</v>
      </c>
    </row>
    <row r="574" spans="1:17">
      <c r="A574" s="9">
        <v>12105</v>
      </c>
      <c r="B574" s="9">
        <v>2</v>
      </c>
      <c r="C574" s="9" t="s">
        <v>1589</v>
      </c>
      <c r="D574" s="9" t="s">
        <v>1590</v>
      </c>
      <c r="E574" s="9" t="s">
        <v>1591</v>
      </c>
      <c r="F574" s="9" t="s">
        <v>1589</v>
      </c>
      <c r="G574" s="9" t="s">
        <v>1592</v>
      </c>
      <c r="H574" s="9" t="s">
        <v>169</v>
      </c>
      <c r="I574" s="9" t="s">
        <v>2132</v>
      </c>
      <c r="J574" s="9" t="s">
        <v>1612</v>
      </c>
      <c r="K574" s="9">
        <v>1</v>
      </c>
      <c r="L574" s="9">
        <v>24</v>
      </c>
      <c r="M574" s="9">
        <v>2007</v>
      </c>
      <c r="O574" s="9" t="str">
        <f t="shared" si="28"/>
        <v>NO</v>
      </c>
      <c r="P574" s="9" t="str">
        <f t="shared" si="29"/>
        <v>NO</v>
      </c>
      <c r="Q574" s="9" t="str">
        <f t="shared" si="30"/>
        <v>Conditioned</v>
      </c>
    </row>
    <row r="575" spans="1:17">
      <c r="A575" s="9">
        <v>12107</v>
      </c>
      <c r="B575" s="9">
        <v>1</v>
      </c>
      <c r="C575" s="9" t="s">
        <v>1589</v>
      </c>
      <c r="D575" s="9" t="s">
        <v>1590</v>
      </c>
      <c r="E575" s="9" t="s">
        <v>1613</v>
      </c>
      <c r="F575" s="9" t="s">
        <v>1590</v>
      </c>
      <c r="G575" s="9" t="s">
        <v>1592</v>
      </c>
      <c r="H575" s="9" t="s">
        <v>1017</v>
      </c>
      <c r="I575" s="9" t="s">
        <v>2133</v>
      </c>
      <c r="J575" s="9" t="s">
        <v>1608</v>
      </c>
      <c r="K575" s="9">
        <v>1</v>
      </c>
      <c r="L575" s="9">
        <v>19</v>
      </c>
      <c r="M575" s="9">
        <v>2007</v>
      </c>
      <c r="O575" s="9" t="str">
        <f t="shared" si="28"/>
        <v>NO</v>
      </c>
      <c r="P575" s="9" t="str">
        <f t="shared" si="29"/>
        <v>NO</v>
      </c>
      <c r="Q575" s="9" t="str">
        <f t="shared" si="30"/>
        <v>Conditioned</v>
      </c>
    </row>
    <row r="576" spans="1:17">
      <c r="A576" s="9">
        <v>12107</v>
      </c>
      <c r="B576" s="9">
        <v>2</v>
      </c>
      <c r="C576" s="9" t="s">
        <v>1589</v>
      </c>
      <c r="D576" s="9" t="s">
        <v>1590</v>
      </c>
      <c r="E576" s="9" t="s">
        <v>1591</v>
      </c>
      <c r="F576" s="9" t="s">
        <v>1589</v>
      </c>
      <c r="G576" s="9" t="s">
        <v>1592</v>
      </c>
      <c r="H576" s="9" t="s">
        <v>170</v>
      </c>
      <c r="I576" s="9" t="s">
        <v>1589</v>
      </c>
      <c r="J576" s="9" t="s">
        <v>1605</v>
      </c>
      <c r="K576" s="9">
        <v>1</v>
      </c>
      <c r="L576" s="9">
        <v>9</v>
      </c>
      <c r="M576" s="9">
        <v>2006</v>
      </c>
      <c r="O576" s="9" t="str">
        <f t="shared" si="28"/>
        <v>NO</v>
      </c>
      <c r="P576" s="9" t="str">
        <f t="shared" si="29"/>
        <v>YES</v>
      </c>
      <c r="Q576" s="9" t="str">
        <f t="shared" si="30"/>
        <v>Conditioned</v>
      </c>
    </row>
    <row r="577" spans="1:17">
      <c r="A577" s="9">
        <v>12107</v>
      </c>
      <c r="B577" s="9">
        <v>3</v>
      </c>
      <c r="C577" s="9" t="s">
        <v>1589</v>
      </c>
      <c r="D577" s="9" t="s">
        <v>1590</v>
      </c>
      <c r="E577" s="9" t="s">
        <v>1591</v>
      </c>
      <c r="F577" s="9" t="s">
        <v>1589</v>
      </c>
      <c r="G577" s="9" t="s">
        <v>1592</v>
      </c>
      <c r="H577" s="9" t="s">
        <v>170</v>
      </c>
      <c r="I577" s="9" t="s">
        <v>1589</v>
      </c>
      <c r="J577" s="9" t="s">
        <v>1612</v>
      </c>
      <c r="K577" s="9">
        <v>1</v>
      </c>
      <c r="L577" s="9">
        <v>16</v>
      </c>
      <c r="M577" s="9">
        <v>2006</v>
      </c>
      <c r="O577" s="9" t="str">
        <f t="shared" si="28"/>
        <v>NO</v>
      </c>
      <c r="P577" s="9" t="str">
        <f t="shared" si="29"/>
        <v>NO</v>
      </c>
      <c r="Q577" s="9" t="str">
        <f t="shared" si="30"/>
        <v>Conditioned</v>
      </c>
    </row>
    <row r="578" spans="1:17">
      <c r="A578" s="9">
        <v>12108</v>
      </c>
      <c r="B578" s="9">
        <v>1</v>
      </c>
      <c r="C578" s="9" t="s">
        <v>1589</v>
      </c>
      <c r="D578" s="9" t="s">
        <v>1590</v>
      </c>
      <c r="E578" s="9" t="s">
        <v>1591</v>
      </c>
      <c r="F578" s="9" t="s">
        <v>1589</v>
      </c>
      <c r="G578" s="9" t="s">
        <v>1606</v>
      </c>
      <c r="H578" s="9" t="s">
        <v>1624</v>
      </c>
      <c r="I578" s="9" t="s">
        <v>1633</v>
      </c>
      <c r="J578" s="9" t="s">
        <v>1612</v>
      </c>
      <c r="K578" s="9">
        <v>1</v>
      </c>
      <c r="L578" s="9">
        <v>10</v>
      </c>
      <c r="M578" s="9">
        <v>2007</v>
      </c>
      <c r="O578" s="9" t="str">
        <f t="shared" si="28"/>
        <v>NO</v>
      </c>
      <c r="P578" s="9" t="str">
        <f t="shared" si="29"/>
        <v>NO</v>
      </c>
      <c r="Q578" s="9" t="str">
        <f t="shared" si="30"/>
        <v>Unconditioned</v>
      </c>
    </row>
    <row r="579" spans="1:17">
      <c r="A579" s="9">
        <v>12108</v>
      </c>
      <c r="B579" s="9">
        <v>2</v>
      </c>
      <c r="C579" s="9" t="s">
        <v>1589</v>
      </c>
      <c r="D579" s="9" t="s">
        <v>1590</v>
      </c>
      <c r="E579" s="9" t="s">
        <v>1591</v>
      </c>
      <c r="F579" s="9" t="s">
        <v>1589</v>
      </c>
      <c r="G579" s="9" t="s">
        <v>1592</v>
      </c>
      <c r="H579" s="9" t="s">
        <v>177</v>
      </c>
      <c r="I579" s="9" t="s">
        <v>2134</v>
      </c>
      <c r="J579" s="9" t="s">
        <v>1597</v>
      </c>
      <c r="K579" s="9">
        <v>1</v>
      </c>
      <c r="L579" s="9">
        <v>18</v>
      </c>
      <c r="M579" s="9">
        <v>2001</v>
      </c>
      <c r="O579" s="9" t="str">
        <f t="shared" si="28"/>
        <v>NO</v>
      </c>
      <c r="P579" s="9" t="str">
        <f t="shared" si="29"/>
        <v>NO</v>
      </c>
      <c r="Q579" s="9" t="str">
        <f t="shared" si="30"/>
        <v>Conditioned</v>
      </c>
    </row>
    <row r="580" spans="1:17">
      <c r="A580" s="9">
        <v>12111</v>
      </c>
      <c r="B580" s="9">
        <v>1</v>
      </c>
      <c r="C580" s="9" t="s">
        <v>1589</v>
      </c>
      <c r="D580" s="9" t="s">
        <v>1590</v>
      </c>
      <c r="E580" s="9" t="s">
        <v>1591</v>
      </c>
      <c r="F580" s="9" t="s">
        <v>1589</v>
      </c>
      <c r="G580" s="9" t="s">
        <v>1592</v>
      </c>
      <c r="H580" s="9" t="s">
        <v>170</v>
      </c>
      <c r="I580" s="9" t="s">
        <v>2135</v>
      </c>
      <c r="J580" s="9" t="s">
        <v>1597</v>
      </c>
      <c r="K580" s="9">
        <v>1</v>
      </c>
      <c r="L580" s="9">
        <v>22</v>
      </c>
      <c r="M580" s="9">
        <v>2002</v>
      </c>
      <c r="O580" s="9" t="str">
        <f t="shared" si="28"/>
        <v>NO</v>
      </c>
      <c r="P580" s="9" t="str">
        <f t="shared" si="29"/>
        <v>NO</v>
      </c>
      <c r="Q580" s="9" t="str">
        <f t="shared" si="30"/>
        <v>Conditioned</v>
      </c>
    </row>
    <row r="581" spans="1:17">
      <c r="A581" s="9">
        <v>12111</v>
      </c>
      <c r="B581" s="9">
        <v>2</v>
      </c>
      <c r="C581" s="9" t="s">
        <v>1589</v>
      </c>
      <c r="D581" s="9" t="s">
        <v>1590</v>
      </c>
      <c r="E581" s="9" t="s">
        <v>1591</v>
      </c>
      <c r="F581" s="9" t="s">
        <v>1589</v>
      </c>
      <c r="G581" s="9" t="s">
        <v>1606</v>
      </c>
      <c r="H581" s="9" t="s">
        <v>2121</v>
      </c>
      <c r="I581" s="9" t="s">
        <v>2136</v>
      </c>
      <c r="J581" s="9" t="s">
        <v>1605</v>
      </c>
      <c r="K581" s="9">
        <v>1</v>
      </c>
      <c r="L581" s="9">
        <v>15</v>
      </c>
      <c r="M581" s="9">
        <v>1986</v>
      </c>
      <c r="O581" s="9" t="str">
        <f t="shared" si="28"/>
        <v>NO</v>
      </c>
      <c r="P581" s="9" t="str">
        <f t="shared" si="29"/>
        <v>YES</v>
      </c>
      <c r="Q581" s="9" t="str">
        <f t="shared" si="30"/>
        <v>Unconditioned</v>
      </c>
    </row>
    <row r="582" spans="1:17">
      <c r="A582" s="9">
        <v>12114</v>
      </c>
      <c r="B582" s="9">
        <v>1</v>
      </c>
      <c r="C582" s="9" t="s">
        <v>1589</v>
      </c>
      <c r="D582" s="9" t="s">
        <v>1590</v>
      </c>
      <c r="E582" s="9" t="s">
        <v>1591</v>
      </c>
      <c r="F582" s="9" t="s">
        <v>1589</v>
      </c>
      <c r="G582" s="9" t="s">
        <v>1592</v>
      </c>
      <c r="H582" s="9" t="s">
        <v>177</v>
      </c>
      <c r="I582" s="9" t="s">
        <v>2137</v>
      </c>
      <c r="J582" s="9" t="s">
        <v>1587</v>
      </c>
      <c r="K582" s="9">
        <v>1</v>
      </c>
      <c r="L582" s="9">
        <v>8</v>
      </c>
      <c r="M582" s="9">
        <v>2007</v>
      </c>
      <c r="O582" s="9" t="str">
        <f t="shared" si="28"/>
        <v>NO</v>
      </c>
      <c r="P582" s="9" t="str">
        <f t="shared" si="29"/>
        <v>YES</v>
      </c>
      <c r="Q582" s="9" t="str">
        <f t="shared" si="30"/>
        <v>Conditioned</v>
      </c>
    </row>
    <row r="583" spans="1:17">
      <c r="A583" s="9">
        <v>12114</v>
      </c>
      <c r="B583" s="9">
        <v>2</v>
      </c>
      <c r="C583" s="9" t="s">
        <v>1589</v>
      </c>
      <c r="D583" s="9" t="s">
        <v>1590</v>
      </c>
      <c r="E583" s="9" t="s">
        <v>1591</v>
      </c>
      <c r="F583" s="9" t="s">
        <v>1589</v>
      </c>
      <c r="G583" s="9" t="s">
        <v>1592</v>
      </c>
      <c r="H583" s="9" t="s">
        <v>170</v>
      </c>
      <c r="I583" s="9" t="s">
        <v>2138</v>
      </c>
      <c r="J583" s="9" t="s">
        <v>1612</v>
      </c>
      <c r="K583" s="9">
        <v>1</v>
      </c>
      <c r="L583" s="9">
        <v>20</v>
      </c>
      <c r="M583" s="9">
        <v>1999</v>
      </c>
      <c r="O583" s="9" t="str">
        <f t="shared" si="28"/>
        <v>NO</v>
      </c>
      <c r="P583" s="9" t="str">
        <f t="shared" si="29"/>
        <v>NO</v>
      </c>
      <c r="Q583" s="9" t="str">
        <f t="shared" si="30"/>
        <v>Conditioned</v>
      </c>
    </row>
    <row r="584" spans="1:17">
      <c r="A584" s="9">
        <v>12114</v>
      </c>
      <c r="B584" s="9">
        <v>3</v>
      </c>
      <c r="C584" s="9" t="s">
        <v>1589</v>
      </c>
      <c r="D584" s="9" t="s">
        <v>1590</v>
      </c>
      <c r="E584" s="9" t="s">
        <v>1591</v>
      </c>
      <c r="F584" s="9" t="s">
        <v>1589</v>
      </c>
      <c r="G584" s="9" t="s">
        <v>1592</v>
      </c>
      <c r="H584" s="9" t="s">
        <v>1017</v>
      </c>
      <c r="I584" s="9" t="s">
        <v>2139</v>
      </c>
      <c r="J584" s="9" t="s">
        <v>1608</v>
      </c>
      <c r="K584" s="9">
        <v>1</v>
      </c>
      <c r="L584" s="9">
        <v>25</v>
      </c>
      <c r="M584" s="9">
        <v>2010</v>
      </c>
      <c r="O584" s="9" t="str">
        <f t="shared" si="28"/>
        <v>NO</v>
      </c>
      <c r="P584" s="9" t="str">
        <f t="shared" si="29"/>
        <v>NO</v>
      </c>
      <c r="Q584" s="9" t="str">
        <f t="shared" si="30"/>
        <v>Conditioned</v>
      </c>
    </row>
    <row r="585" spans="1:17">
      <c r="A585" s="9">
        <v>12131</v>
      </c>
      <c r="B585" s="9">
        <v>1</v>
      </c>
      <c r="C585" s="9" t="s">
        <v>1589</v>
      </c>
      <c r="D585" s="9" t="s">
        <v>1590</v>
      </c>
      <c r="E585" s="9" t="s">
        <v>1613</v>
      </c>
      <c r="F585" s="9" t="s">
        <v>1603</v>
      </c>
      <c r="G585" s="9" t="s">
        <v>1592</v>
      </c>
      <c r="H585" s="9" t="s">
        <v>1599</v>
      </c>
      <c r="I585" s="9" t="s">
        <v>2140</v>
      </c>
      <c r="J585" s="9" t="s">
        <v>1601</v>
      </c>
      <c r="K585" s="9">
        <v>1</v>
      </c>
      <c r="L585" s="9">
        <v>22</v>
      </c>
      <c r="M585" s="9">
        <v>2000</v>
      </c>
      <c r="O585" s="9" t="str">
        <f t="shared" si="28"/>
        <v>NO</v>
      </c>
      <c r="P585" s="9" t="str">
        <f t="shared" si="29"/>
        <v>NO</v>
      </c>
      <c r="Q585" s="9" t="str">
        <f t="shared" si="30"/>
        <v>Conditioned</v>
      </c>
    </row>
    <row r="586" spans="1:17">
      <c r="A586" s="9">
        <v>12142</v>
      </c>
      <c r="B586" s="9">
        <v>1</v>
      </c>
      <c r="C586" s="9" t="s">
        <v>1589</v>
      </c>
      <c r="D586" s="9" t="s">
        <v>1590</v>
      </c>
      <c r="E586" s="9" t="s">
        <v>1602</v>
      </c>
      <c r="F586" s="9" t="s">
        <v>1603</v>
      </c>
      <c r="G586" s="9" t="s">
        <v>1592</v>
      </c>
      <c r="H586" s="9" t="s">
        <v>170</v>
      </c>
      <c r="I586" s="9" t="s">
        <v>2141</v>
      </c>
      <c r="J586" s="9" t="s">
        <v>1610</v>
      </c>
      <c r="K586" s="9">
        <v>1</v>
      </c>
      <c r="L586" s="9">
        <v>21</v>
      </c>
      <c r="M586" s="9">
        <v>2005</v>
      </c>
      <c r="O586" s="9" t="str">
        <f t="shared" si="28"/>
        <v>NO</v>
      </c>
      <c r="P586" s="9" t="str">
        <f t="shared" si="29"/>
        <v>NO</v>
      </c>
      <c r="Q586" s="9" t="str">
        <f t="shared" si="30"/>
        <v>Conditioned</v>
      </c>
    </row>
    <row r="587" spans="1:17">
      <c r="A587" s="9">
        <v>12144</v>
      </c>
      <c r="B587" s="9">
        <v>1</v>
      </c>
      <c r="C587" s="9" t="s">
        <v>1589</v>
      </c>
      <c r="D587" s="9" t="s">
        <v>1603</v>
      </c>
      <c r="E587" s="9" t="s">
        <v>1602</v>
      </c>
      <c r="F587" s="9" t="s">
        <v>1603</v>
      </c>
      <c r="G587" s="9" t="s">
        <v>1592</v>
      </c>
      <c r="H587" s="9" t="s">
        <v>169</v>
      </c>
      <c r="I587" s="9" t="s">
        <v>2142</v>
      </c>
      <c r="J587" s="9" t="s">
        <v>1601</v>
      </c>
      <c r="K587" s="9">
        <v>1</v>
      </c>
      <c r="L587" s="9">
        <v>26</v>
      </c>
      <c r="M587" s="9">
        <v>2006</v>
      </c>
      <c r="O587" s="9" t="str">
        <f t="shared" si="28"/>
        <v>NO</v>
      </c>
      <c r="P587" s="9" t="str">
        <f t="shared" si="29"/>
        <v>NO</v>
      </c>
      <c r="Q587" s="9" t="str">
        <f t="shared" si="30"/>
        <v>Conditioned</v>
      </c>
    </row>
    <row r="588" spans="1:17">
      <c r="A588" s="9">
        <v>12144</v>
      </c>
      <c r="B588" s="9">
        <v>2</v>
      </c>
      <c r="C588" s="9" t="s">
        <v>1589</v>
      </c>
      <c r="D588" s="9" t="s">
        <v>1603</v>
      </c>
      <c r="E588" s="9" t="s">
        <v>1591</v>
      </c>
      <c r="F588" s="9" t="s">
        <v>1589</v>
      </c>
      <c r="G588" s="9" t="s">
        <v>1606</v>
      </c>
      <c r="H588" s="9" t="s">
        <v>174</v>
      </c>
      <c r="I588" s="9" t="s">
        <v>2143</v>
      </c>
      <c r="J588" s="9" t="s">
        <v>1605</v>
      </c>
      <c r="K588" s="9">
        <v>1</v>
      </c>
      <c r="L588" s="9">
        <v>15</v>
      </c>
      <c r="M588" s="9">
        <v>2009</v>
      </c>
      <c r="O588" s="9" t="str">
        <f t="shared" si="28"/>
        <v>NO</v>
      </c>
      <c r="P588" s="9" t="str">
        <f t="shared" si="29"/>
        <v>YES</v>
      </c>
      <c r="Q588" s="9" t="str">
        <f t="shared" si="30"/>
        <v>Unconditioned</v>
      </c>
    </row>
    <row r="589" spans="1:17">
      <c r="A589" s="9">
        <v>12145</v>
      </c>
      <c r="B589" s="9">
        <v>1</v>
      </c>
      <c r="C589" s="9" t="s">
        <v>1589</v>
      </c>
      <c r="D589" s="9" t="s">
        <v>1590</v>
      </c>
      <c r="E589" s="9" t="s">
        <v>1591</v>
      </c>
      <c r="F589" s="9" t="s">
        <v>1589</v>
      </c>
      <c r="G589" s="9" t="s">
        <v>1592</v>
      </c>
      <c r="H589" s="9" t="s">
        <v>170</v>
      </c>
      <c r="I589" s="9" t="s">
        <v>2144</v>
      </c>
      <c r="J589" s="9" t="s">
        <v>1601</v>
      </c>
      <c r="K589" s="9">
        <v>1</v>
      </c>
      <c r="L589" s="9">
        <v>22</v>
      </c>
      <c r="M589" s="9">
        <v>1996</v>
      </c>
      <c r="O589" s="9" t="str">
        <f t="shared" si="28"/>
        <v>NO</v>
      </c>
      <c r="P589" s="9" t="str">
        <f t="shared" si="29"/>
        <v>NO</v>
      </c>
      <c r="Q589" s="9" t="str">
        <f t="shared" si="30"/>
        <v>Conditioned</v>
      </c>
    </row>
    <row r="590" spans="1:17">
      <c r="A590" s="9">
        <v>12146</v>
      </c>
      <c r="B590" s="9">
        <v>1</v>
      </c>
      <c r="C590" s="9" t="s">
        <v>1589</v>
      </c>
      <c r="D590" s="9" t="s">
        <v>1590</v>
      </c>
      <c r="E590" s="9" t="s">
        <v>1613</v>
      </c>
      <c r="F590" s="9" t="s">
        <v>1603</v>
      </c>
      <c r="G590" s="9" t="s">
        <v>1592</v>
      </c>
      <c r="H590" s="9" t="s">
        <v>1638</v>
      </c>
      <c r="I590" s="9" t="s">
        <v>2145</v>
      </c>
      <c r="J590" s="9" t="s">
        <v>1601</v>
      </c>
      <c r="K590" s="9">
        <v>1</v>
      </c>
      <c r="L590" s="9">
        <v>20</v>
      </c>
      <c r="M590" s="9">
        <v>1996</v>
      </c>
      <c r="O590" s="9" t="str">
        <f t="shared" si="28"/>
        <v>NO</v>
      </c>
      <c r="P590" s="9" t="str">
        <f t="shared" si="29"/>
        <v>NO</v>
      </c>
      <c r="Q590" s="9" t="str">
        <f t="shared" si="30"/>
        <v>Conditioned</v>
      </c>
    </row>
    <row r="591" spans="1:17">
      <c r="A591" s="9">
        <v>12146</v>
      </c>
      <c r="B591" s="9">
        <v>2</v>
      </c>
      <c r="C591" s="9" t="s">
        <v>1589</v>
      </c>
      <c r="D591" s="9" t="s">
        <v>1590</v>
      </c>
      <c r="E591" s="9" t="s">
        <v>1591</v>
      </c>
      <c r="F591" s="9" t="s">
        <v>1589</v>
      </c>
      <c r="G591" s="9" t="s">
        <v>1592</v>
      </c>
      <c r="H591" s="9" t="s">
        <v>1638</v>
      </c>
      <c r="I591" s="9" t="s">
        <v>2145</v>
      </c>
      <c r="J591" s="9" t="s">
        <v>1597</v>
      </c>
      <c r="K591" s="9">
        <v>1</v>
      </c>
      <c r="L591" s="9">
        <v>20</v>
      </c>
      <c r="M591" s="9">
        <v>1984</v>
      </c>
      <c r="O591" s="9" t="str">
        <f t="shared" si="28"/>
        <v>NO</v>
      </c>
      <c r="P591" s="9" t="str">
        <f t="shared" si="29"/>
        <v>NO</v>
      </c>
      <c r="Q591" s="9" t="str">
        <f t="shared" si="30"/>
        <v>Conditioned</v>
      </c>
    </row>
    <row r="592" spans="1:17">
      <c r="A592" s="9">
        <v>12146</v>
      </c>
      <c r="B592" s="9">
        <v>3</v>
      </c>
      <c r="C592" s="9" t="s">
        <v>1589</v>
      </c>
      <c r="D592" s="9" t="s">
        <v>1590</v>
      </c>
      <c r="E592" s="9" t="s">
        <v>1591</v>
      </c>
      <c r="F592" s="9" t="s">
        <v>1589</v>
      </c>
      <c r="G592" s="9" t="s">
        <v>1592</v>
      </c>
      <c r="H592" s="9" t="s">
        <v>1624</v>
      </c>
      <c r="I592" s="9" t="s">
        <v>2146</v>
      </c>
      <c r="J592" s="9" t="s">
        <v>1597</v>
      </c>
      <c r="K592" s="9">
        <v>1</v>
      </c>
      <c r="L592" s="9">
        <v>18</v>
      </c>
      <c r="M592" s="9">
        <v>1985</v>
      </c>
      <c r="O592" s="9" t="str">
        <f t="shared" si="28"/>
        <v>NO</v>
      </c>
      <c r="P592" s="9" t="str">
        <f t="shared" si="29"/>
        <v>NO</v>
      </c>
      <c r="Q592" s="9" t="str">
        <f t="shared" si="30"/>
        <v>Conditioned</v>
      </c>
    </row>
    <row r="593" spans="1:17">
      <c r="A593" s="9">
        <v>12148</v>
      </c>
      <c r="B593" s="9">
        <v>1</v>
      </c>
      <c r="C593" s="9" t="s">
        <v>1589</v>
      </c>
      <c r="D593" s="9" t="s">
        <v>1590</v>
      </c>
      <c r="E593" s="9" t="s">
        <v>1591</v>
      </c>
      <c r="F593" s="9" t="s">
        <v>1589</v>
      </c>
      <c r="G593" s="9" t="s">
        <v>1592</v>
      </c>
      <c r="H593" s="9" t="s">
        <v>169</v>
      </c>
      <c r="I593" s="9" t="s">
        <v>2147</v>
      </c>
      <c r="J593" s="9" t="s">
        <v>1597</v>
      </c>
      <c r="K593" s="9">
        <v>1</v>
      </c>
      <c r="L593" s="9">
        <v>19</v>
      </c>
      <c r="M593" s="9">
        <v>2007</v>
      </c>
      <c r="O593" s="9" t="str">
        <f t="shared" si="28"/>
        <v>NO</v>
      </c>
      <c r="P593" s="9" t="str">
        <f t="shared" si="29"/>
        <v>NO</v>
      </c>
      <c r="Q593" s="9" t="str">
        <f t="shared" si="30"/>
        <v>Conditioned</v>
      </c>
    </row>
    <row r="594" spans="1:17">
      <c r="A594" s="9">
        <v>12153</v>
      </c>
      <c r="B594" s="9">
        <v>1</v>
      </c>
      <c r="C594" s="9" t="s">
        <v>1589</v>
      </c>
      <c r="D594" s="9" t="s">
        <v>1590</v>
      </c>
      <c r="E594" s="9" t="s">
        <v>1591</v>
      </c>
      <c r="F594" s="9" t="s">
        <v>1589</v>
      </c>
      <c r="G594" s="9" t="s">
        <v>1592</v>
      </c>
      <c r="H594" s="9" t="s">
        <v>170</v>
      </c>
      <c r="I594" s="9" t="s">
        <v>2148</v>
      </c>
      <c r="J594" s="9" t="s">
        <v>1597</v>
      </c>
      <c r="K594" s="9">
        <v>1</v>
      </c>
      <c r="L594" s="9">
        <v>18</v>
      </c>
      <c r="M594" s="9">
        <v>1993</v>
      </c>
      <c r="O594" s="9" t="str">
        <f t="shared" si="28"/>
        <v>NO</v>
      </c>
      <c r="P594" s="9" t="str">
        <f t="shared" si="29"/>
        <v>NO</v>
      </c>
      <c r="Q594" s="9" t="str">
        <f t="shared" si="30"/>
        <v>Conditioned</v>
      </c>
    </row>
    <row r="595" spans="1:17">
      <c r="A595" s="9">
        <v>12163</v>
      </c>
      <c r="B595" s="9">
        <v>1</v>
      </c>
      <c r="C595" s="9" t="s">
        <v>1589</v>
      </c>
      <c r="D595" s="9" t="s">
        <v>1590</v>
      </c>
      <c r="E595" s="9" t="s">
        <v>1591</v>
      </c>
      <c r="F595" s="9" t="s">
        <v>1589</v>
      </c>
      <c r="G595" s="9" t="s">
        <v>1592</v>
      </c>
      <c r="H595" s="9" t="s">
        <v>170</v>
      </c>
      <c r="I595" s="9" t="s">
        <v>2149</v>
      </c>
      <c r="J595" s="9" t="s">
        <v>1597</v>
      </c>
      <c r="K595" s="9">
        <v>1</v>
      </c>
      <c r="L595" s="9">
        <v>24</v>
      </c>
      <c r="M595" s="9">
        <v>2003</v>
      </c>
      <c r="O595" s="9" t="str">
        <f t="shared" si="28"/>
        <v>NO</v>
      </c>
      <c r="P595" s="9" t="str">
        <f t="shared" si="29"/>
        <v>NO</v>
      </c>
      <c r="Q595" s="9" t="str">
        <f t="shared" si="30"/>
        <v>Conditioned</v>
      </c>
    </row>
    <row r="596" spans="1:17">
      <c r="A596" s="9">
        <v>12169</v>
      </c>
      <c r="B596" s="9">
        <v>1</v>
      </c>
      <c r="C596" s="9" t="s">
        <v>1589</v>
      </c>
      <c r="D596" s="9" t="s">
        <v>1603</v>
      </c>
      <c r="E596" s="9" t="s">
        <v>1602</v>
      </c>
      <c r="F596" s="9" t="s">
        <v>1603</v>
      </c>
      <c r="G596" s="9" t="s">
        <v>1592</v>
      </c>
      <c r="H596" s="9" t="s">
        <v>170</v>
      </c>
      <c r="I596" s="9" t="s">
        <v>2150</v>
      </c>
      <c r="J596" s="9" t="s">
        <v>1601</v>
      </c>
      <c r="K596" s="9">
        <v>1</v>
      </c>
      <c r="L596" s="9">
        <v>20</v>
      </c>
      <c r="M596" s="9">
        <v>2006</v>
      </c>
      <c r="O596" s="9" t="str">
        <f t="shared" si="28"/>
        <v>NO</v>
      </c>
      <c r="P596" s="9" t="str">
        <f t="shared" si="29"/>
        <v>NO</v>
      </c>
      <c r="Q596" s="9" t="str">
        <f t="shared" si="30"/>
        <v>Conditioned</v>
      </c>
    </row>
    <row r="597" spans="1:17">
      <c r="A597" s="9">
        <v>12169</v>
      </c>
      <c r="B597" s="9">
        <v>2</v>
      </c>
      <c r="C597" s="9" t="s">
        <v>1589</v>
      </c>
      <c r="D597" s="9" t="s">
        <v>1590</v>
      </c>
      <c r="E597" s="9" t="s">
        <v>1591</v>
      </c>
      <c r="F597" s="9" t="s">
        <v>1589</v>
      </c>
      <c r="G597" s="9" t="s">
        <v>1606</v>
      </c>
      <c r="H597" s="9" t="s">
        <v>1638</v>
      </c>
      <c r="I597" s="9" t="s">
        <v>1831</v>
      </c>
      <c r="J597" s="9" t="s">
        <v>1587</v>
      </c>
      <c r="K597" s="9">
        <v>1</v>
      </c>
      <c r="L597" s="9">
        <v>15</v>
      </c>
      <c r="M597" s="9">
        <v>2004</v>
      </c>
      <c r="O597" s="9" t="str">
        <f t="shared" si="28"/>
        <v>NO</v>
      </c>
      <c r="P597" s="9" t="str">
        <f t="shared" si="29"/>
        <v>YES</v>
      </c>
      <c r="Q597" s="9" t="str">
        <f t="shared" si="30"/>
        <v>Unconditioned</v>
      </c>
    </row>
    <row r="598" spans="1:17">
      <c r="A598" s="9">
        <v>12176</v>
      </c>
      <c r="B598" s="9">
        <v>1</v>
      </c>
      <c r="C598" s="9" t="s">
        <v>1589</v>
      </c>
      <c r="D598" s="9" t="s">
        <v>1590</v>
      </c>
      <c r="E598" s="9" t="s">
        <v>1602</v>
      </c>
      <c r="F598" s="9" t="s">
        <v>1603</v>
      </c>
      <c r="G598" s="9" t="s">
        <v>1592</v>
      </c>
      <c r="H598" s="9" t="s">
        <v>174</v>
      </c>
      <c r="I598" s="9" t="s">
        <v>2151</v>
      </c>
      <c r="J598" s="9" t="s">
        <v>1601</v>
      </c>
      <c r="K598" s="9">
        <v>1</v>
      </c>
      <c r="L598" s="9">
        <v>25</v>
      </c>
      <c r="M598" s="9">
        <v>1992</v>
      </c>
      <c r="O598" s="9" t="str">
        <f t="shared" si="28"/>
        <v>NO</v>
      </c>
      <c r="P598" s="9" t="str">
        <f t="shared" si="29"/>
        <v>NO</v>
      </c>
      <c r="Q598" s="9" t="str">
        <f t="shared" si="30"/>
        <v>Conditioned</v>
      </c>
    </row>
    <row r="599" spans="1:17">
      <c r="A599" s="9">
        <v>12183</v>
      </c>
      <c r="B599" s="9">
        <v>1</v>
      </c>
      <c r="C599" s="9" t="s">
        <v>1589</v>
      </c>
      <c r="D599" s="9" t="s">
        <v>1590</v>
      </c>
      <c r="E599" s="9" t="s">
        <v>1602</v>
      </c>
      <c r="F599" s="9" t="s">
        <v>1603</v>
      </c>
      <c r="G599" s="9" t="s">
        <v>1592</v>
      </c>
      <c r="H599" s="9" t="s">
        <v>177</v>
      </c>
      <c r="I599" s="9" t="s">
        <v>2152</v>
      </c>
      <c r="J599" s="9" t="s">
        <v>1601</v>
      </c>
      <c r="K599" s="9">
        <v>1</v>
      </c>
      <c r="L599" s="9">
        <v>22</v>
      </c>
      <c r="M599" s="9">
        <v>1997</v>
      </c>
      <c r="O599" s="9" t="str">
        <f t="shared" ref="O599:O662" si="31">IF(L599&lt;7.75,"YES","NO")</f>
        <v>NO</v>
      </c>
      <c r="P599" s="9" t="str">
        <f t="shared" ref="P599:P662" si="32">VLOOKUP(J599,$Z$21:$AA$27,2,FALSE)</f>
        <v>NO</v>
      </c>
      <c r="Q599" s="9" t="str">
        <f t="shared" ref="Q599:Q662" si="33">G599</f>
        <v>Conditioned</v>
      </c>
    </row>
    <row r="600" spans="1:17">
      <c r="A600" s="9">
        <v>12183</v>
      </c>
      <c r="B600" s="9">
        <v>2</v>
      </c>
      <c r="C600" s="9" t="s">
        <v>1589</v>
      </c>
      <c r="D600" s="9" t="s">
        <v>1590</v>
      </c>
      <c r="E600" s="9" t="s">
        <v>1591</v>
      </c>
      <c r="F600" s="9" t="s">
        <v>1589</v>
      </c>
      <c r="G600" s="9" t="s">
        <v>1606</v>
      </c>
      <c r="H600" s="9" t="s">
        <v>181</v>
      </c>
      <c r="I600" s="9" t="s">
        <v>2153</v>
      </c>
      <c r="J600" s="9" t="s">
        <v>1587</v>
      </c>
      <c r="K600" s="9">
        <v>1</v>
      </c>
      <c r="L600" s="9">
        <v>5</v>
      </c>
      <c r="M600" s="9">
        <v>2006</v>
      </c>
      <c r="O600" s="9" t="str">
        <f t="shared" si="31"/>
        <v>YES</v>
      </c>
      <c r="P600" s="9" t="str">
        <f t="shared" si="32"/>
        <v>YES</v>
      </c>
      <c r="Q600" s="9" t="str">
        <f t="shared" si="33"/>
        <v>Unconditioned</v>
      </c>
    </row>
    <row r="601" spans="1:17">
      <c r="A601" s="9">
        <v>12186</v>
      </c>
      <c r="B601" s="9">
        <v>1</v>
      </c>
      <c r="C601" s="9" t="s">
        <v>1589</v>
      </c>
      <c r="D601" s="9" t="s">
        <v>1590</v>
      </c>
      <c r="E601" s="9" t="s">
        <v>1602</v>
      </c>
      <c r="F601" s="9" t="s">
        <v>1603</v>
      </c>
      <c r="G601" s="9" t="s">
        <v>1592</v>
      </c>
      <c r="H601" s="9" t="s">
        <v>170</v>
      </c>
      <c r="I601" s="9" t="s">
        <v>2154</v>
      </c>
      <c r="J601" s="9" t="s">
        <v>1601</v>
      </c>
      <c r="K601" s="9">
        <v>1</v>
      </c>
      <c r="L601" s="9">
        <v>22</v>
      </c>
      <c r="M601" s="9">
        <v>1999</v>
      </c>
      <c r="O601" s="9" t="str">
        <f t="shared" si="31"/>
        <v>NO</v>
      </c>
      <c r="P601" s="9" t="str">
        <f t="shared" si="32"/>
        <v>NO</v>
      </c>
      <c r="Q601" s="9" t="str">
        <f t="shared" si="33"/>
        <v>Conditioned</v>
      </c>
    </row>
    <row r="602" spans="1:17">
      <c r="A602" s="9">
        <v>12186</v>
      </c>
      <c r="B602" s="9">
        <v>2</v>
      </c>
      <c r="C602" s="9" t="s">
        <v>1589</v>
      </c>
      <c r="D602" s="9" t="s">
        <v>1590</v>
      </c>
      <c r="E602" s="9" t="s">
        <v>1591</v>
      </c>
      <c r="F602" s="9" t="s">
        <v>1589</v>
      </c>
      <c r="G602" s="9" t="s">
        <v>1606</v>
      </c>
      <c r="H602" s="9" t="s">
        <v>1638</v>
      </c>
      <c r="I602" s="9" t="s">
        <v>2155</v>
      </c>
      <c r="J602" s="9" t="s">
        <v>1597</v>
      </c>
      <c r="K602" s="9">
        <v>1</v>
      </c>
      <c r="L602" s="9">
        <v>18</v>
      </c>
      <c r="M602" s="9">
        <v>1996</v>
      </c>
      <c r="O602" s="9" t="str">
        <f t="shared" si="31"/>
        <v>NO</v>
      </c>
      <c r="P602" s="9" t="str">
        <f t="shared" si="32"/>
        <v>NO</v>
      </c>
      <c r="Q602" s="9" t="str">
        <f t="shared" si="33"/>
        <v>Unconditioned</v>
      </c>
    </row>
    <row r="603" spans="1:17">
      <c r="A603" s="9">
        <v>12190</v>
      </c>
      <c r="B603" s="9">
        <v>1</v>
      </c>
      <c r="C603" s="9" t="s">
        <v>1589</v>
      </c>
      <c r="D603" s="9" t="s">
        <v>1590</v>
      </c>
      <c r="E603" s="9" t="s">
        <v>1602</v>
      </c>
      <c r="F603" s="9" t="s">
        <v>1603</v>
      </c>
      <c r="G603" s="9" t="s">
        <v>1592</v>
      </c>
      <c r="H603" s="9" t="s">
        <v>1638</v>
      </c>
      <c r="I603" s="9" t="s">
        <v>2156</v>
      </c>
      <c r="J603" s="9" t="s">
        <v>1610</v>
      </c>
      <c r="K603" s="9">
        <v>1</v>
      </c>
      <c r="L603" s="9">
        <v>25</v>
      </c>
      <c r="M603" s="9">
        <v>2007</v>
      </c>
      <c r="O603" s="9" t="str">
        <f t="shared" si="31"/>
        <v>NO</v>
      </c>
      <c r="P603" s="9" t="str">
        <f t="shared" si="32"/>
        <v>NO</v>
      </c>
      <c r="Q603" s="9" t="str">
        <f t="shared" si="33"/>
        <v>Conditioned</v>
      </c>
    </row>
    <row r="604" spans="1:17">
      <c r="A604" s="9">
        <v>12190</v>
      </c>
      <c r="B604" s="9">
        <v>2</v>
      </c>
      <c r="C604" s="9" t="s">
        <v>1589</v>
      </c>
      <c r="D604" s="9" t="s">
        <v>1590</v>
      </c>
      <c r="E604" s="9" t="s">
        <v>1591</v>
      </c>
      <c r="F604" s="9" t="s">
        <v>1589</v>
      </c>
      <c r="G604" s="9" t="s">
        <v>1606</v>
      </c>
      <c r="H604" s="9" t="s">
        <v>178</v>
      </c>
      <c r="I604" s="9" t="s">
        <v>2157</v>
      </c>
      <c r="J604" s="9" t="s">
        <v>1597</v>
      </c>
      <c r="K604" s="9">
        <v>1</v>
      </c>
      <c r="L604" s="9">
        <v>17</v>
      </c>
      <c r="M604" s="9">
        <v>2007</v>
      </c>
      <c r="O604" s="9" t="str">
        <f t="shared" si="31"/>
        <v>NO</v>
      </c>
      <c r="P604" s="9" t="str">
        <f t="shared" si="32"/>
        <v>NO</v>
      </c>
      <c r="Q604" s="9" t="str">
        <f t="shared" si="33"/>
        <v>Unconditioned</v>
      </c>
    </row>
    <row r="605" spans="1:17">
      <c r="A605" s="9">
        <v>12190</v>
      </c>
      <c r="B605" s="9">
        <v>3</v>
      </c>
      <c r="C605" s="9" t="s">
        <v>1589</v>
      </c>
      <c r="D605" s="9" t="s">
        <v>1590</v>
      </c>
      <c r="E605" s="9" t="s">
        <v>1591</v>
      </c>
      <c r="F605" s="9" t="s">
        <v>1589</v>
      </c>
      <c r="G605" s="9" t="s">
        <v>1606</v>
      </c>
      <c r="H605" s="9" t="s">
        <v>178</v>
      </c>
      <c r="I605" s="9" t="s">
        <v>2158</v>
      </c>
      <c r="J605" s="9" t="s">
        <v>1605</v>
      </c>
      <c r="K605" s="9">
        <v>1</v>
      </c>
      <c r="L605" s="9">
        <v>17</v>
      </c>
      <c r="M605" s="9">
        <v>2007</v>
      </c>
      <c r="O605" s="9" t="str">
        <f t="shared" si="31"/>
        <v>NO</v>
      </c>
      <c r="P605" s="9" t="str">
        <f t="shared" si="32"/>
        <v>YES</v>
      </c>
      <c r="Q605" s="9" t="str">
        <f t="shared" si="33"/>
        <v>Unconditioned</v>
      </c>
    </row>
    <row r="606" spans="1:17">
      <c r="A606" s="9">
        <v>12197</v>
      </c>
      <c r="B606" s="9">
        <v>1</v>
      </c>
      <c r="C606" s="9" t="s">
        <v>1589</v>
      </c>
      <c r="D606" s="9" t="s">
        <v>1590</v>
      </c>
      <c r="E606" s="9" t="s">
        <v>1613</v>
      </c>
      <c r="F606" s="9" t="s">
        <v>1603</v>
      </c>
      <c r="G606" s="9" t="s">
        <v>1592</v>
      </c>
      <c r="H606" s="9" t="s">
        <v>176</v>
      </c>
      <c r="I606" s="9" t="s">
        <v>2159</v>
      </c>
      <c r="J606" s="9" t="s">
        <v>1608</v>
      </c>
      <c r="K606" s="9">
        <v>1</v>
      </c>
      <c r="L606" s="9">
        <v>22</v>
      </c>
      <c r="M606" s="9">
        <v>2004</v>
      </c>
      <c r="O606" s="9" t="str">
        <f t="shared" si="31"/>
        <v>NO</v>
      </c>
      <c r="P606" s="9" t="str">
        <f t="shared" si="32"/>
        <v>NO</v>
      </c>
      <c r="Q606" s="9" t="str">
        <f t="shared" si="33"/>
        <v>Conditioned</v>
      </c>
    </row>
    <row r="607" spans="1:17">
      <c r="A607" s="9">
        <v>12199</v>
      </c>
      <c r="B607" s="9">
        <v>1</v>
      </c>
      <c r="C607" s="9" t="s">
        <v>1589</v>
      </c>
      <c r="D607" s="9" t="s">
        <v>1590</v>
      </c>
      <c r="E607" s="9" t="s">
        <v>1602</v>
      </c>
      <c r="F607" s="9" t="s">
        <v>1603</v>
      </c>
      <c r="G607" s="9" t="s">
        <v>1592</v>
      </c>
      <c r="H607" s="9" t="s">
        <v>177</v>
      </c>
      <c r="I607" s="9" t="s">
        <v>2160</v>
      </c>
      <c r="J607" s="9" t="s">
        <v>1601</v>
      </c>
      <c r="K607" s="9">
        <v>1</v>
      </c>
      <c r="L607" s="9">
        <v>30</v>
      </c>
      <c r="M607" s="9">
        <v>2006</v>
      </c>
      <c r="O607" s="9" t="str">
        <f t="shared" si="31"/>
        <v>NO</v>
      </c>
      <c r="P607" s="9" t="str">
        <f t="shared" si="32"/>
        <v>NO</v>
      </c>
      <c r="Q607" s="9" t="str">
        <f t="shared" si="33"/>
        <v>Conditioned</v>
      </c>
    </row>
    <row r="608" spans="1:17">
      <c r="A608" s="9">
        <v>12203</v>
      </c>
      <c r="B608" s="9">
        <v>1</v>
      </c>
      <c r="C608" s="9" t="s">
        <v>1589</v>
      </c>
      <c r="D608" s="9" t="s">
        <v>1590</v>
      </c>
      <c r="E608" s="9" t="s">
        <v>1613</v>
      </c>
      <c r="F608" s="9" t="s">
        <v>1603</v>
      </c>
      <c r="G608" s="9" t="s">
        <v>1592</v>
      </c>
      <c r="H608" s="9" t="s">
        <v>170</v>
      </c>
      <c r="I608" s="9" t="s">
        <v>2161</v>
      </c>
      <c r="J608" s="9" t="s">
        <v>1608</v>
      </c>
      <c r="K608" s="9">
        <v>1</v>
      </c>
      <c r="L608" s="9">
        <v>28</v>
      </c>
      <c r="M608" s="9">
        <v>2006</v>
      </c>
      <c r="O608" s="9" t="str">
        <f t="shared" si="31"/>
        <v>NO</v>
      </c>
      <c r="P608" s="9" t="str">
        <f t="shared" si="32"/>
        <v>NO</v>
      </c>
      <c r="Q608" s="9" t="str">
        <f t="shared" si="33"/>
        <v>Conditioned</v>
      </c>
    </row>
    <row r="609" spans="1:17">
      <c r="A609" s="9">
        <v>12207</v>
      </c>
      <c r="B609" s="9">
        <v>1</v>
      </c>
      <c r="C609" s="9" t="s">
        <v>1589</v>
      </c>
      <c r="D609" s="9" t="s">
        <v>1590</v>
      </c>
      <c r="E609" s="9" t="s">
        <v>1613</v>
      </c>
      <c r="F609" s="9" t="s">
        <v>1603</v>
      </c>
      <c r="G609" s="9" t="s">
        <v>1592</v>
      </c>
      <c r="H609" s="9" t="s">
        <v>170</v>
      </c>
      <c r="I609" s="9" t="s">
        <v>2162</v>
      </c>
      <c r="J609" s="9" t="s">
        <v>1597</v>
      </c>
      <c r="K609" s="9">
        <v>1</v>
      </c>
      <c r="L609" s="9">
        <v>21</v>
      </c>
      <c r="M609" s="9">
        <v>2001</v>
      </c>
      <c r="O609" s="9" t="str">
        <f t="shared" si="31"/>
        <v>NO</v>
      </c>
      <c r="P609" s="9" t="str">
        <f t="shared" si="32"/>
        <v>NO</v>
      </c>
      <c r="Q609" s="9" t="str">
        <f t="shared" si="33"/>
        <v>Conditioned</v>
      </c>
    </row>
    <row r="610" spans="1:17">
      <c r="A610" s="9">
        <v>12207</v>
      </c>
      <c r="B610" s="9">
        <v>2</v>
      </c>
      <c r="C610" s="9" t="s">
        <v>1589</v>
      </c>
      <c r="D610" s="9" t="s">
        <v>1590</v>
      </c>
      <c r="E610" s="9" t="s">
        <v>1591</v>
      </c>
      <c r="F610" s="9" t="s">
        <v>1589</v>
      </c>
      <c r="G610" s="9" t="s">
        <v>1592</v>
      </c>
      <c r="H610" s="9" t="s">
        <v>169</v>
      </c>
      <c r="I610" s="9" t="s">
        <v>2163</v>
      </c>
      <c r="J610" s="9" t="s">
        <v>1587</v>
      </c>
      <c r="K610" s="9">
        <v>1</v>
      </c>
      <c r="L610" s="9">
        <v>18</v>
      </c>
      <c r="M610" s="9">
        <v>2009</v>
      </c>
      <c r="O610" s="9" t="str">
        <f t="shared" si="31"/>
        <v>NO</v>
      </c>
      <c r="P610" s="9" t="str">
        <f t="shared" si="32"/>
        <v>YES</v>
      </c>
      <c r="Q610" s="9" t="str">
        <f t="shared" si="33"/>
        <v>Conditioned</v>
      </c>
    </row>
    <row r="611" spans="1:17">
      <c r="A611" s="9">
        <v>12213</v>
      </c>
      <c r="B611" s="9">
        <v>1</v>
      </c>
      <c r="C611" s="9" t="s">
        <v>1589</v>
      </c>
      <c r="D611" s="9" t="s">
        <v>1590</v>
      </c>
      <c r="E611" s="9" t="s">
        <v>1613</v>
      </c>
      <c r="F611" s="9" t="s">
        <v>1603</v>
      </c>
      <c r="G611" s="9" t="s">
        <v>1592</v>
      </c>
      <c r="H611" s="9" t="s">
        <v>1638</v>
      </c>
      <c r="I611" s="9" t="s">
        <v>2164</v>
      </c>
      <c r="J611" s="9" t="s">
        <v>1597</v>
      </c>
      <c r="K611" s="9">
        <v>1</v>
      </c>
      <c r="L611" s="9">
        <v>18</v>
      </c>
      <c r="M611" s="9">
        <v>1991</v>
      </c>
      <c r="O611" s="9" t="str">
        <f t="shared" si="31"/>
        <v>NO</v>
      </c>
      <c r="P611" s="9" t="str">
        <f t="shared" si="32"/>
        <v>NO</v>
      </c>
      <c r="Q611" s="9" t="str">
        <f t="shared" si="33"/>
        <v>Conditioned</v>
      </c>
    </row>
    <row r="612" spans="1:17">
      <c r="A612" s="9">
        <v>12213</v>
      </c>
      <c r="B612" s="9">
        <v>2</v>
      </c>
      <c r="C612" s="9" t="s">
        <v>1589</v>
      </c>
      <c r="D612" s="9" t="s">
        <v>1590</v>
      </c>
      <c r="E612" s="9" t="s">
        <v>1591</v>
      </c>
      <c r="F612" s="9" t="s">
        <v>1589</v>
      </c>
      <c r="G612" s="9" t="s">
        <v>1606</v>
      </c>
      <c r="H612" s="9" t="s">
        <v>170</v>
      </c>
      <c r="I612" s="9" t="s">
        <v>2165</v>
      </c>
      <c r="J612" s="9" t="s">
        <v>1597</v>
      </c>
      <c r="K612" s="9">
        <v>1</v>
      </c>
      <c r="L612" s="9">
        <v>20</v>
      </c>
      <c r="M612" s="9">
        <v>1995</v>
      </c>
      <c r="O612" s="9" t="str">
        <f t="shared" si="31"/>
        <v>NO</v>
      </c>
      <c r="P612" s="9" t="str">
        <f t="shared" si="32"/>
        <v>NO</v>
      </c>
      <c r="Q612" s="9" t="str">
        <f t="shared" si="33"/>
        <v>Unconditioned</v>
      </c>
    </row>
    <row r="613" spans="1:17">
      <c r="A613" s="9">
        <v>12214</v>
      </c>
      <c r="B613" s="9">
        <v>1</v>
      </c>
      <c r="C613" s="9" t="s">
        <v>1589</v>
      </c>
      <c r="D613" s="9" t="s">
        <v>1590</v>
      </c>
      <c r="E613" s="9" t="s">
        <v>1591</v>
      </c>
      <c r="F613" s="9" t="s">
        <v>1589</v>
      </c>
      <c r="G613" s="9" t="s">
        <v>1592</v>
      </c>
      <c r="H613" s="9" t="s">
        <v>170</v>
      </c>
      <c r="I613" s="9" t="s">
        <v>2166</v>
      </c>
      <c r="J613" s="9" t="s">
        <v>1597</v>
      </c>
      <c r="K613" s="9">
        <v>1</v>
      </c>
      <c r="L613" s="9">
        <v>18</v>
      </c>
      <c r="M613" s="9">
        <v>1998</v>
      </c>
      <c r="O613" s="9" t="str">
        <f t="shared" si="31"/>
        <v>NO</v>
      </c>
      <c r="P613" s="9" t="str">
        <f t="shared" si="32"/>
        <v>NO</v>
      </c>
      <c r="Q613" s="9" t="str">
        <f t="shared" si="33"/>
        <v>Conditioned</v>
      </c>
    </row>
    <row r="614" spans="1:17">
      <c r="A614" s="9">
        <v>12214</v>
      </c>
      <c r="B614" s="9">
        <v>2</v>
      </c>
      <c r="C614" s="9" t="s">
        <v>1589</v>
      </c>
      <c r="D614" s="9" t="s">
        <v>1590</v>
      </c>
      <c r="E614" s="9" t="s">
        <v>1591</v>
      </c>
      <c r="F614" s="9" t="s">
        <v>1589</v>
      </c>
      <c r="G614" s="9" t="s">
        <v>1606</v>
      </c>
      <c r="H614" s="9" t="s">
        <v>169</v>
      </c>
      <c r="I614" s="9" t="s">
        <v>2167</v>
      </c>
      <c r="J614" s="9" t="s">
        <v>1587</v>
      </c>
      <c r="K614" s="9">
        <v>1</v>
      </c>
      <c r="L614" s="9">
        <v>10</v>
      </c>
      <c r="M614" s="9">
        <v>2009</v>
      </c>
      <c r="O614" s="9" t="str">
        <f t="shared" si="31"/>
        <v>NO</v>
      </c>
      <c r="P614" s="9" t="str">
        <f t="shared" si="32"/>
        <v>YES</v>
      </c>
      <c r="Q614" s="9" t="str">
        <f t="shared" si="33"/>
        <v>Unconditioned</v>
      </c>
    </row>
    <row r="615" spans="1:17">
      <c r="A615" s="9">
        <v>12215</v>
      </c>
      <c r="B615" s="9">
        <v>1</v>
      </c>
      <c r="C615" s="9" t="s">
        <v>1589</v>
      </c>
      <c r="D615" s="9" t="s">
        <v>1590</v>
      </c>
      <c r="E615" s="9" t="s">
        <v>1591</v>
      </c>
      <c r="F615" s="9" t="s">
        <v>1589</v>
      </c>
      <c r="G615" s="9" t="s">
        <v>1606</v>
      </c>
      <c r="H615" s="9" t="s">
        <v>177</v>
      </c>
      <c r="I615" s="9" t="s">
        <v>2168</v>
      </c>
      <c r="J615" s="9" t="s">
        <v>1587</v>
      </c>
      <c r="K615" s="9">
        <v>1</v>
      </c>
      <c r="L615" s="9">
        <v>15</v>
      </c>
      <c r="M615" s="9">
        <v>2002</v>
      </c>
      <c r="O615" s="9" t="str">
        <f t="shared" si="31"/>
        <v>NO</v>
      </c>
      <c r="P615" s="9" t="str">
        <f t="shared" si="32"/>
        <v>YES</v>
      </c>
      <c r="Q615" s="9" t="str">
        <f t="shared" si="33"/>
        <v>Unconditioned</v>
      </c>
    </row>
    <row r="616" spans="1:17">
      <c r="A616" s="9">
        <v>12215</v>
      </c>
      <c r="B616" s="9">
        <v>2</v>
      </c>
      <c r="C616" s="9" t="s">
        <v>1589</v>
      </c>
      <c r="D616" s="9" t="s">
        <v>1590</v>
      </c>
      <c r="E616" s="9" t="s">
        <v>1591</v>
      </c>
      <c r="F616" s="9" t="s">
        <v>1589</v>
      </c>
      <c r="G616" s="9" t="s">
        <v>1592</v>
      </c>
      <c r="H616" s="9" t="s">
        <v>170</v>
      </c>
      <c r="I616" s="9" t="s">
        <v>2169</v>
      </c>
      <c r="J616" s="9" t="s">
        <v>1597</v>
      </c>
      <c r="K616" s="9">
        <v>1</v>
      </c>
      <c r="L616" s="9">
        <v>19</v>
      </c>
      <c r="M616" s="9">
        <v>1996</v>
      </c>
      <c r="O616" s="9" t="str">
        <f t="shared" si="31"/>
        <v>NO</v>
      </c>
      <c r="P616" s="9" t="str">
        <f t="shared" si="32"/>
        <v>NO</v>
      </c>
      <c r="Q616" s="9" t="str">
        <f t="shared" si="33"/>
        <v>Conditioned</v>
      </c>
    </row>
    <row r="617" spans="1:17">
      <c r="A617" s="9">
        <v>12226</v>
      </c>
      <c r="B617" s="9">
        <v>1</v>
      </c>
      <c r="C617" s="9" t="s">
        <v>1589</v>
      </c>
      <c r="D617" s="9" t="s">
        <v>1590</v>
      </c>
      <c r="E617" s="9" t="s">
        <v>1602</v>
      </c>
      <c r="F617" s="9" t="s">
        <v>1603</v>
      </c>
      <c r="G617" s="9" t="s">
        <v>1592</v>
      </c>
      <c r="H617" s="9" t="s">
        <v>775</v>
      </c>
      <c r="I617" s="9" t="s">
        <v>2170</v>
      </c>
      <c r="J617" s="9" t="s">
        <v>1608</v>
      </c>
      <c r="K617" s="9">
        <v>1</v>
      </c>
      <c r="L617" s="9">
        <v>26</v>
      </c>
      <c r="M617" s="9">
        <v>2008</v>
      </c>
      <c r="O617" s="9" t="str">
        <f t="shared" si="31"/>
        <v>NO</v>
      </c>
      <c r="P617" s="9" t="str">
        <f t="shared" si="32"/>
        <v>NO</v>
      </c>
      <c r="Q617" s="9" t="str">
        <f t="shared" si="33"/>
        <v>Conditioned</v>
      </c>
    </row>
    <row r="618" spans="1:17">
      <c r="A618" s="9">
        <v>12226</v>
      </c>
      <c r="B618" s="9">
        <v>2</v>
      </c>
      <c r="C618" s="9" t="s">
        <v>1589</v>
      </c>
      <c r="D618" s="9" t="s">
        <v>1590</v>
      </c>
      <c r="E618" s="9" t="s">
        <v>1591</v>
      </c>
      <c r="F618" s="9" t="s">
        <v>1589</v>
      </c>
      <c r="G618" s="9" t="s">
        <v>1606</v>
      </c>
      <c r="H618" s="9" t="s">
        <v>169</v>
      </c>
      <c r="I618" s="9" t="s">
        <v>2171</v>
      </c>
      <c r="J618" s="9" t="s">
        <v>1605</v>
      </c>
      <c r="K618" s="9">
        <v>1</v>
      </c>
      <c r="L618" s="9">
        <v>22</v>
      </c>
      <c r="M618" s="9">
        <v>2004</v>
      </c>
      <c r="O618" s="9" t="str">
        <f t="shared" si="31"/>
        <v>NO</v>
      </c>
      <c r="P618" s="9" t="str">
        <f t="shared" si="32"/>
        <v>YES</v>
      </c>
      <c r="Q618" s="9" t="str">
        <f t="shared" si="33"/>
        <v>Unconditioned</v>
      </c>
    </row>
    <row r="619" spans="1:17">
      <c r="A619" s="9">
        <v>12229</v>
      </c>
      <c r="B619" s="9">
        <v>1</v>
      </c>
      <c r="C619" s="9" t="s">
        <v>1589</v>
      </c>
      <c r="D619" s="9" t="s">
        <v>1603</v>
      </c>
      <c r="E619" s="9" t="s">
        <v>1591</v>
      </c>
      <c r="F619" s="9" t="s">
        <v>1589</v>
      </c>
      <c r="G619" s="9" t="s">
        <v>1592</v>
      </c>
      <c r="H619" s="9" t="s">
        <v>177</v>
      </c>
      <c r="I619" s="9" t="s">
        <v>2172</v>
      </c>
      <c r="J619" s="9" t="s">
        <v>1597</v>
      </c>
      <c r="K619" s="9">
        <v>0.75</v>
      </c>
      <c r="L619" s="9">
        <v>22</v>
      </c>
      <c r="M619" s="9">
        <v>2007</v>
      </c>
      <c r="O619" s="9" t="str">
        <f t="shared" si="31"/>
        <v>NO</v>
      </c>
      <c r="P619" s="9" t="str">
        <f t="shared" si="32"/>
        <v>NO</v>
      </c>
      <c r="Q619" s="9" t="str">
        <f t="shared" si="33"/>
        <v>Conditioned</v>
      </c>
    </row>
    <row r="620" spans="1:17">
      <c r="A620" s="9">
        <v>12230</v>
      </c>
      <c r="B620" s="9">
        <v>1</v>
      </c>
      <c r="C620" s="9" t="s">
        <v>1589</v>
      </c>
      <c r="D620" s="9" t="s">
        <v>1590</v>
      </c>
      <c r="E620" s="9" t="s">
        <v>1613</v>
      </c>
      <c r="F620" s="9" t="s">
        <v>1603</v>
      </c>
      <c r="G620" s="9" t="s">
        <v>1592</v>
      </c>
      <c r="H620" s="9" t="s">
        <v>170</v>
      </c>
      <c r="I620" s="9" t="s">
        <v>2173</v>
      </c>
      <c r="J620" s="9" t="s">
        <v>1597</v>
      </c>
      <c r="K620" s="9">
        <v>1</v>
      </c>
      <c r="L620" s="9">
        <v>25</v>
      </c>
      <c r="M620" s="9">
        <v>1999</v>
      </c>
      <c r="O620" s="9" t="str">
        <f t="shared" si="31"/>
        <v>NO</v>
      </c>
      <c r="P620" s="9" t="str">
        <f t="shared" si="32"/>
        <v>NO</v>
      </c>
      <c r="Q620" s="9" t="str">
        <f t="shared" si="33"/>
        <v>Conditioned</v>
      </c>
    </row>
    <row r="621" spans="1:17">
      <c r="A621" s="9">
        <v>12232</v>
      </c>
      <c r="B621" s="9">
        <v>1</v>
      </c>
      <c r="C621" s="9" t="s">
        <v>1589</v>
      </c>
      <c r="D621" s="9" t="s">
        <v>1590</v>
      </c>
      <c r="E621" s="9" t="s">
        <v>1591</v>
      </c>
      <c r="F621" s="9" t="s">
        <v>1589</v>
      </c>
      <c r="G621" s="9" t="s">
        <v>1592</v>
      </c>
      <c r="H621" s="9" t="s">
        <v>170</v>
      </c>
      <c r="I621" s="9" t="s">
        <v>2174</v>
      </c>
      <c r="J621" s="9" t="s">
        <v>1597</v>
      </c>
      <c r="K621" s="9">
        <v>1</v>
      </c>
      <c r="L621" s="9">
        <v>20</v>
      </c>
      <c r="M621" s="9">
        <v>2006</v>
      </c>
      <c r="O621" s="9" t="str">
        <f t="shared" si="31"/>
        <v>NO</v>
      </c>
      <c r="P621" s="9" t="str">
        <f t="shared" si="32"/>
        <v>NO</v>
      </c>
      <c r="Q621" s="9" t="str">
        <f t="shared" si="33"/>
        <v>Conditioned</v>
      </c>
    </row>
    <row r="622" spans="1:17">
      <c r="A622" s="9">
        <v>12232</v>
      </c>
      <c r="B622" s="9">
        <v>2</v>
      </c>
      <c r="C622" s="9" t="s">
        <v>1589</v>
      </c>
      <c r="D622" s="9" t="s">
        <v>1590</v>
      </c>
      <c r="E622" s="9" t="s">
        <v>1591</v>
      </c>
      <c r="F622" s="9" t="s">
        <v>1589</v>
      </c>
      <c r="G622" s="9" t="s">
        <v>1592</v>
      </c>
      <c r="H622" s="9" t="s">
        <v>170</v>
      </c>
      <c r="I622" s="9" t="s">
        <v>2175</v>
      </c>
      <c r="J622" s="9" t="s">
        <v>1597</v>
      </c>
      <c r="K622" s="9">
        <v>1</v>
      </c>
      <c r="L622" s="9">
        <v>20</v>
      </c>
      <c r="M622" s="9">
        <v>2002</v>
      </c>
      <c r="O622" s="9" t="str">
        <f t="shared" si="31"/>
        <v>NO</v>
      </c>
      <c r="P622" s="9" t="str">
        <f t="shared" si="32"/>
        <v>NO</v>
      </c>
      <c r="Q622" s="9" t="str">
        <f t="shared" si="33"/>
        <v>Conditioned</v>
      </c>
    </row>
    <row r="623" spans="1:17">
      <c r="A623" s="9">
        <v>12232</v>
      </c>
      <c r="B623" s="9">
        <v>3</v>
      </c>
      <c r="C623" s="9" t="s">
        <v>1589</v>
      </c>
      <c r="D623" s="9" t="s">
        <v>1590</v>
      </c>
      <c r="E623" s="9" t="s">
        <v>1591</v>
      </c>
      <c r="F623" s="9" t="s">
        <v>1589</v>
      </c>
      <c r="G623" s="9" t="s">
        <v>1592</v>
      </c>
      <c r="H623" s="9" t="s">
        <v>173</v>
      </c>
      <c r="I623" s="9" t="s">
        <v>2176</v>
      </c>
      <c r="J623" s="9" t="s">
        <v>1605</v>
      </c>
      <c r="K623" s="9">
        <v>0.75</v>
      </c>
      <c r="L623" s="9">
        <v>10</v>
      </c>
      <c r="M623" s="9">
        <v>1998</v>
      </c>
      <c r="O623" s="9" t="str">
        <f t="shared" si="31"/>
        <v>NO</v>
      </c>
      <c r="P623" s="9" t="str">
        <f t="shared" si="32"/>
        <v>YES</v>
      </c>
      <c r="Q623" s="9" t="str">
        <f t="shared" si="33"/>
        <v>Conditioned</v>
      </c>
    </row>
    <row r="624" spans="1:17">
      <c r="A624" s="9">
        <v>12232</v>
      </c>
      <c r="B624" s="9">
        <v>4</v>
      </c>
      <c r="C624" s="9" t="s">
        <v>1589</v>
      </c>
      <c r="D624" s="9" t="s">
        <v>1590</v>
      </c>
      <c r="E624" s="9" t="s">
        <v>1591</v>
      </c>
      <c r="F624" s="9" t="s">
        <v>1589</v>
      </c>
      <c r="G624" s="9" t="s">
        <v>1592</v>
      </c>
      <c r="H624" s="9" t="s">
        <v>1624</v>
      </c>
      <c r="I624" s="9" t="s">
        <v>2177</v>
      </c>
      <c r="J624" s="9" t="s">
        <v>1597</v>
      </c>
      <c r="K624" s="9">
        <v>1</v>
      </c>
      <c r="L624" s="9">
        <v>20</v>
      </c>
      <c r="M624" s="9">
        <v>1993</v>
      </c>
      <c r="O624" s="9" t="str">
        <f t="shared" si="31"/>
        <v>NO</v>
      </c>
      <c r="P624" s="9" t="str">
        <f t="shared" si="32"/>
        <v>NO</v>
      </c>
      <c r="Q624" s="9" t="str">
        <f t="shared" si="33"/>
        <v>Conditioned</v>
      </c>
    </row>
    <row r="625" spans="1:17">
      <c r="A625" s="9">
        <v>12242</v>
      </c>
      <c r="B625" s="9">
        <v>1</v>
      </c>
      <c r="C625" s="9" t="s">
        <v>1589</v>
      </c>
      <c r="D625" s="9" t="s">
        <v>1590</v>
      </c>
      <c r="E625" s="9" t="s">
        <v>1591</v>
      </c>
      <c r="F625" s="9" t="s">
        <v>1589</v>
      </c>
      <c r="G625" s="9" t="s">
        <v>1606</v>
      </c>
      <c r="H625" s="9" t="s">
        <v>170</v>
      </c>
      <c r="I625" s="9" t="s">
        <v>1589</v>
      </c>
      <c r="J625" s="9" t="s">
        <v>1587</v>
      </c>
      <c r="K625" s="9">
        <v>1</v>
      </c>
      <c r="L625" s="9">
        <v>11</v>
      </c>
      <c r="O625" s="9" t="str">
        <f t="shared" si="31"/>
        <v>NO</v>
      </c>
      <c r="P625" s="9" t="str">
        <f t="shared" si="32"/>
        <v>YES</v>
      </c>
      <c r="Q625" s="9" t="str">
        <f t="shared" si="33"/>
        <v>Unconditioned</v>
      </c>
    </row>
    <row r="626" spans="1:17">
      <c r="A626" s="9">
        <v>12242</v>
      </c>
      <c r="B626" s="9">
        <v>2</v>
      </c>
      <c r="C626" s="9" t="s">
        <v>1589</v>
      </c>
      <c r="D626" s="9" t="s">
        <v>1590</v>
      </c>
      <c r="E626" s="9" t="s">
        <v>1591</v>
      </c>
      <c r="F626" s="9" t="s">
        <v>1589</v>
      </c>
      <c r="G626" s="9" t="s">
        <v>1592</v>
      </c>
      <c r="H626" s="9" t="s">
        <v>174</v>
      </c>
      <c r="I626" s="9" t="s">
        <v>2178</v>
      </c>
      <c r="J626" s="9" t="s">
        <v>1597</v>
      </c>
      <c r="K626" s="9">
        <v>1</v>
      </c>
      <c r="L626" s="9">
        <v>19</v>
      </c>
      <c r="M626" s="9">
        <v>1999</v>
      </c>
      <c r="O626" s="9" t="str">
        <f t="shared" si="31"/>
        <v>NO</v>
      </c>
      <c r="P626" s="9" t="str">
        <f t="shared" si="32"/>
        <v>NO</v>
      </c>
      <c r="Q626" s="9" t="str">
        <f t="shared" si="33"/>
        <v>Conditioned</v>
      </c>
    </row>
    <row r="627" spans="1:17">
      <c r="A627" s="9">
        <v>12247</v>
      </c>
      <c r="B627" s="9">
        <v>1</v>
      </c>
      <c r="C627" s="9" t="s">
        <v>1589</v>
      </c>
      <c r="D627" s="9" t="s">
        <v>1590</v>
      </c>
      <c r="E627" s="9" t="s">
        <v>1602</v>
      </c>
      <c r="F627" s="9" t="s">
        <v>1603</v>
      </c>
      <c r="G627" s="9" t="s">
        <v>1592</v>
      </c>
      <c r="H627" s="9" t="s">
        <v>177</v>
      </c>
      <c r="I627" s="9" t="s">
        <v>2179</v>
      </c>
      <c r="J627" s="9" t="s">
        <v>1597</v>
      </c>
      <c r="K627" s="9">
        <v>1</v>
      </c>
      <c r="L627" s="9">
        <v>22</v>
      </c>
      <c r="M627" s="9">
        <v>1997</v>
      </c>
      <c r="O627" s="9" t="str">
        <f t="shared" si="31"/>
        <v>NO</v>
      </c>
      <c r="P627" s="9" t="str">
        <f t="shared" si="32"/>
        <v>NO</v>
      </c>
      <c r="Q627" s="9" t="str">
        <f t="shared" si="33"/>
        <v>Conditioned</v>
      </c>
    </row>
    <row r="628" spans="1:17">
      <c r="A628" s="9">
        <v>12247</v>
      </c>
      <c r="B628" s="9">
        <v>2</v>
      </c>
      <c r="C628" s="9" t="s">
        <v>1589</v>
      </c>
      <c r="D628" s="9" t="s">
        <v>1590</v>
      </c>
      <c r="E628" s="9" t="s">
        <v>1613</v>
      </c>
      <c r="F628" s="9" t="s">
        <v>1590</v>
      </c>
      <c r="G628" s="9" t="s">
        <v>1606</v>
      </c>
      <c r="H628" s="9" t="s">
        <v>170</v>
      </c>
      <c r="I628" s="9" t="s">
        <v>2180</v>
      </c>
      <c r="J628" s="9" t="s">
        <v>1597</v>
      </c>
      <c r="K628" s="9">
        <v>1</v>
      </c>
      <c r="L628" s="9">
        <v>16</v>
      </c>
      <c r="M628" s="9">
        <v>2000</v>
      </c>
      <c r="O628" s="9" t="str">
        <f t="shared" si="31"/>
        <v>NO</v>
      </c>
      <c r="P628" s="9" t="str">
        <f t="shared" si="32"/>
        <v>NO</v>
      </c>
      <c r="Q628" s="9" t="str">
        <f t="shared" si="33"/>
        <v>Unconditioned</v>
      </c>
    </row>
    <row r="629" spans="1:17">
      <c r="A629" s="9">
        <v>12247</v>
      </c>
      <c r="B629" s="9">
        <v>3</v>
      </c>
      <c r="C629" s="9" t="s">
        <v>1589</v>
      </c>
      <c r="D629" s="9" t="s">
        <v>1590</v>
      </c>
      <c r="E629" s="9" t="s">
        <v>1591</v>
      </c>
      <c r="F629" s="9" t="s">
        <v>1589</v>
      </c>
      <c r="G629" s="9" t="s">
        <v>1606</v>
      </c>
      <c r="H629" s="9" t="s">
        <v>169</v>
      </c>
      <c r="I629" s="9" t="s">
        <v>2181</v>
      </c>
      <c r="J629" s="9" t="s">
        <v>1605</v>
      </c>
      <c r="K629" s="9">
        <v>1</v>
      </c>
      <c r="L629" s="9">
        <v>19</v>
      </c>
      <c r="M629" s="9">
        <v>2006</v>
      </c>
      <c r="O629" s="9" t="str">
        <f t="shared" si="31"/>
        <v>NO</v>
      </c>
      <c r="P629" s="9" t="str">
        <f t="shared" si="32"/>
        <v>YES</v>
      </c>
      <c r="Q629" s="9" t="str">
        <f t="shared" si="33"/>
        <v>Unconditioned</v>
      </c>
    </row>
    <row r="630" spans="1:17">
      <c r="A630" s="9">
        <v>12255</v>
      </c>
      <c r="B630" s="9">
        <v>1</v>
      </c>
      <c r="C630" s="9" t="s">
        <v>1589</v>
      </c>
      <c r="D630" s="9" t="s">
        <v>1590</v>
      </c>
      <c r="E630" s="9" t="s">
        <v>1602</v>
      </c>
      <c r="F630" s="9" t="s">
        <v>1590</v>
      </c>
      <c r="G630" s="9" t="s">
        <v>1592</v>
      </c>
      <c r="H630" s="9" t="s">
        <v>1638</v>
      </c>
      <c r="I630" s="9" t="s">
        <v>2182</v>
      </c>
      <c r="J630" s="9" t="s">
        <v>1601</v>
      </c>
      <c r="K630" s="9">
        <v>1</v>
      </c>
      <c r="L630" s="9">
        <v>22</v>
      </c>
      <c r="O630" s="9" t="str">
        <f t="shared" si="31"/>
        <v>NO</v>
      </c>
      <c r="P630" s="9" t="str">
        <f t="shared" si="32"/>
        <v>NO</v>
      </c>
      <c r="Q630" s="9" t="str">
        <f t="shared" si="33"/>
        <v>Conditioned</v>
      </c>
    </row>
    <row r="631" spans="1:17">
      <c r="A631" s="9">
        <v>12263</v>
      </c>
      <c r="B631" s="9">
        <v>1</v>
      </c>
      <c r="C631" s="9" t="s">
        <v>1589</v>
      </c>
      <c r="D631" s="9" t="s">
        <v>1590</v>
      </c>
      <c r="E631" s="9" t="s">
        <v>1591</v>
      </c>
      <c r="F631" s="9" t="s">
        <v>1589</v>
      </c>
      <c r="G631" s="9" t="s">
        <v>1592</v>
      </c>
      <c r="H631" s="9" t="s">
        <v>169</v>
      </c>
      <c r="I631" s="9" t="s">
        <v>1589</v>
      </c>
      <c r="J631" s="9" t="s">
        <v>1597</v>
      </c>
      <c r="K631" s="9">
        <v>1</v>
      </c>
      <c r="L631" s="9">
        <v>5</v>
      </c>
      <c r="O631" s="9" t="str">
        <f t="shared" si="31"/>
        <v>YES</v>
      </c>
      <c r="P631" s="9" t="str">
        <f t="shared" si="32"/>
        <v>NO</v>
      </c>
      <c r="Q631" s="9" t="str">
        <f t="shared" si="33"/>
        <v>Conditioned</v>
      </c>
    </row>
    <row r="632" spans="1:17">
      <c r="A632" s="9">
        <v>12263</v>
      </c>
      <c r="B632" s="9">
        <v>2</v>
      </c>
      <c r="C632" s="9" t="s">
        <v>1589</v>
      </c>
      <c r="D632" s="9" t="s">
        <v>1590</v>
      </c>
      <c r="E632" s="9" t="s">
        <v>1591</v>
      </c>
      <c r="F632" s="9" t="s">
        <v>1589</v>
      </c>
      <c r="G632" s="9" t="s">
        <v>1592</v>
      </c>
      <c r="H632" s="9" t="s">
        <v>1552</v>
      </c>
      <c r="I632" s="9" t="s">
        <v>2183</v>
      </c>
      <c r="J632" s="9" t="s">
        <v>1597</v>
      </c>
      <c r="K632" s="9">
        <v>1</v>
      </c>
      <c r="L632" s="9">
        <v>26</v>
      </c>
      <c r="M632" s="9">
        <v>1998</v>
      </c>
      <c r="O632" s="9" t="str">
        <f t="shared" si="31"/>
        <v>NO</v>
      </c>
      <c r="P632" s="9" t="str">
        <f t="shared" si="32"/>
        <v>NO</v>
      </c>
      <c r="Q632" s="9" t="str">
        <f t="shared" si="33"/>
        <v>Conditioned</v>
      </c>
    </row>
    <row r="633" spans="1:17">
      <c r="A633" s="9">
        <v>12264</v>
      </c>
      <c r="B633" s="9">
        <v>1</v>
      </c>
      <c r="C633" s="9" t="s">
        <v>1589</v>
      </c>
      <c r="D633" s="9" t="s">
        <v>1603</v>
      </c>
      <c r="E633" s="9" t="s">
        <v>1602</v>
      </c>
      <c r="F633" s="9" t="s">
        <v>1603</v>
      </c>
      <c r="G633" s="9" t="s">
        <v>1592</v>
      </c>
      <c r="H633" s="9" t="s">
        <v>178</v>
      </c>
      <c r="I633" s="9" t="s">
        <v>2184</v>
      </c>
      <c r="J633" s="9" t="s">
        <v>1601</v>
      </c>
      <c r="K633" s="9">
        <v>1</v>
      </c>
      <c r="L633" s="9">
        <v>23</v>
      </c>
      <c r="M633" s="9">
        <v>2008</v>
      </c>
      <c r="O633" s="9" t="str">
        <f t="shared" si="31"/>
        <v>NO</v>
      </c>
      <c r="P633" s="9" t="str">
        <f t="shared" si="32"/>
        <v>NO</v>
      </c>
      <c r="Q633" s="9" t="str">
        <f t="shared" si="33"/>
        <v>Conditioned</v>
      </c>
    </row>
    <row r="634" spans="1:17">
      <c r="A634" s="9">
        <v>12264</v>
      </c>
      <c r="B634" s="9">
        <v>2</v>
      </c>
      <c r="C634" s="9" t="s">
        <v>1589</v>
      </c>
      <c r="D634" s="9" t="s">
        <v>1590</v>
      </c>
      <c r="E634" s="9" t="s">
        <v>1602</v>
      </c>
      <c r="F634" s="9" t="s">
        <v>1603</v>
      </c>
      <c r="G634" s="9" t="s">
        <v>1592</v>
      </c>
      <c r="H634" s="9" t="s">
        <v>170</v>
      </c>
      <c r="I634" s="9" t="s">
        <v>2185</v>
      </c>
      <c r="J634" s="9" t="s">
        <v>1601</v>
      </c>
      <c r="K634" s="9">
        <v>1</v>
      </c>
      <c r="L634" s="9">
        <v>22</v>
      </c>
      <c r="M634" s="9">
        <v>2002</v>
      </c>
      <c r="O634" s="9" t="str">
        <f t="shared" si="31"/>
        <v>NO</v>
      </c>
      <c r="P634" s="9" t="str">
        <f t="shared" si="32"/>
        <v>NO</v>
      </c>
      <c r="Q634" s="9" t="str">
        <f t="shared" si="33"/>
        <v>Conditioned</v>
      </c>
    </row>
    <row r="635" spans="1:17">
      <c r="A635" s="9">
        <v>12264</v>
      </c>
      <c r="B635" s="9">
        <v>3</v>
      </c>
      <c r="C635" s="9" t="s">
        <v>1589</v>
      </c>
      <c r="D635" s="9" t="s">
        <v>1603</v>
      </c>
      <c r="E635" s="9" t="s">
        <v>1591</v>
      </c>
      <c r="F635" s="9" t="s">
        <v>1589</v>
      </c>
      <c r="G635" s="9" t="s">
        <v>1592</v>
      </c>
      <c r="H635" s="9" t="s">
        <v>169</v>
      </c>
      <c r="I635" s="9" t="s">
        <v>2186</v>
      </c>
      <c r="J635" s="9" t="s">
        <v>1605</v>
      </c>
      <c r="K635" s="9">
        <v>1</v>
      </c>
      <c r="L635" s="9">
        <v>14</v>
      </c>
      <c r="M635" s="9">
        <v>2009</v>
      </c>
      <c r="O635" s="9" t="str">
        <f t="shared" si="31"/>
        <v>NO</v>
      </c>
      <c r="P635" s="9" t="str">
        <f t="shared" si="32"/>
        <v>YES</v>
      </c>
      <c r="Q635" s="9" t="str">
        <f t="shared" si="33"/>
        <v>Conditioned</v>
      </c>
    </row>
    <row r="636" spans="1:17">
      <c r="A636" s="9">
        <v>12266</v>
      </c>
      <c r="B636" s="9">
        <v>1</v>
      </c>
      <c r="C636" s="9" t="s">
        <v>1589</v>
      </c>
      <c r="D636" s="9" t="s">
        <v>1590</v>
      </c>
      <c r="E636" s="9" t="s">
        <v>1591</v>
      </c>
      <c r="F636" s="9" t="s">
        <v>1589</v>
      </c>
      <c r="G636" s="9" t="s">
        <v>1592</v>
      </c>
      <c r="H636" s="9" t="s">
        <v>174</v>
      </c>
      <c r="I636" s="9" t="s">
        <v>2187</v>
      </c>
      <c r="J636" s="9" t="s">
        <v>1597</v>
      </c>
      <c r="K636" s="9">
        <v>1</v>
      </c>
      <c r="L636" s="9">
        <v>21</v>
      </c>
      <c r="M636" s="9">
        <v>1997</v>
      </c>
      <c r="O636" s="9" t="str">
        <f t="shared" si="31"/>
        <v>NO</v>
      </c>
      <c r="P636" s="9" t="str">
        <f t="shared" si="32"/>
        <v>NO</v>
      </c>
      <c r="Q636" s="9" t="str">
        <f t="shared" si="33"/>
        <v>Conditioned</v>
      </c>
    </row>
    <row r="637" spans="1:17">
      <c r="A637" s="9">
        <v>12270</v>
      </c>
      <c r="B637" s="9">
        <v>1</v>
      </c>
      <c r="C637" s="9" t="s">
        <v>1589</v>
      </c>
      <c r="D637" s="9" t="s">
        <v>1590</v>
      </c>
      <c r="E637" s="9" t="s">
        <v>1591</v>
      </c>
      <c r="F637" s="9" t="s">
        <v>1589</v>
      </c>
      <c r="G637" s="9" t="s">
        <v>1606</v>
      </c>
      <c r="H637" s="9" t="s">
        <v>173</v>
      </c>
      <c r="I637" s="9" t="s">
        <v>2188</v>
      </c>
      <c r="J637" s="9" t="s">
        <v>1597</v>
      </c>
      <c r="K637" s="9">
        <v>1</v>
      </c>
      <c r="L637" s="9">
        <v>18</v>
      </c>
      <c r="M637" s="9">
        <v>2002</v>
      </c>
      <c r="O637" s="9" t="str">
        <f t="shared" si="31"/>
        <v>NO</v>
      </c>
      <c r="P637" s="9" t="str">
        <f t="shared" si="32"/>
        <v>NO</v>
      </c>
      <c r="Q637" s="9" t="str">
        <f t="shared" si="33"/>
        <v>Unconditioned</v>
      </c>
    </row>
    <row r="638" spans="1:17">
      <c r="A638" s="9">
        <v>12270</v>
      </c>
      <c r="B638" s="9">
        <v>2</v>
      </c>
      <c r="C638" s="9" t="s">
        <v>1589</v>
      </c>
      <c r="D638" s="9" t="s">
        <v>1590</v>
      </c>
      <c r="E638" s="9" t="s">
        <v>1591</v>
      </c>
      <c r="F638" s="9" t="s">
        <v>1589</v>
      </c>
      <c r="G638" s="9" t="s">
        <v>1592</v>
      </c>
      <c r="H638" s="9" t="s">
        <v>1624</v>
      </c>
      <c r="I638" s="9" t="s">
        <v>1589</v>
      </c>
      <c r="J638" s="9" t="s">
        <v>1587</v>
      </c>
      <c r="K638" s="9">
        <v>1</v>
      </c>
      <c r="L638" s="9">
        <v>12</v>
      </c>
      <c r="M638" s="9">
        <v>1995</v>
      </c>
      <c r="O638" s="9" t="str">
        <f t="shared" si="31"/>
        <v>NO</v>
      </c>
      <c r="P638" s="9" t="str">
        <f t="shared" si="32"/>
        <v>YES</v>
      </c>
      <c r="Q638" s="9" t="str">
        <f t="shared" si="33"/>
        <v>Conditioned</v>
      </c>
    </row>
    <row r="639" spans="1:17">
      <c r="A639" s="9">
        <v>12271</v>
      </c>
      <c r="B639" s="9">
        <v>1</v>
      </c>
      <c r="C639" s="9" t="s">
        <v>1589</v>
      </c>
      <c r="D639" s="9" t="s">
        <v>1590</v>
      </c>
      <c r="E639" s="9" t="s">
        <v>1602</v>
      </c>
      <c r="F639" s="9" t="s">
        <v>1603</v>
      </c>
      <c r="G639" s="9" t="s">
        <v>1592</v>
      </c>
      <c r="H639" s="9" t="s">
        <v>170</v>
      </c>
      <c r="I639" s="9" t="s">
        <v>2189</v>
      </c>
      <c r="J639" s="9" t="s">
        <v>1601</v>
      </c>
      <c r="K639" s="9">
        <v>1</v>
      </c>
      <c r="L639" s="9">
        <v>24</v>
      </c>
      <c r="M639" s="9">
        <v>2002</v>
      </c>
      <c r="O639" s="9" t="str">
        <f t="shared" si="31"/>
        <v>NO</v>
      </c>
      <c r="P639" s="9" t="str">
        <f t="shared" si="32"/>
        <v>NO</v>
      </c>
      <c r="Q639" s="9" t="str">
        <f t="shared" si="33"/>
        <v>Conditioned</v>
      </c>
    </row>
    <row r="640" spans="1:17">
      <c r="A640" s="9">
        <v>12274</v>
      </c>
      <c r="B640" s="9">
        <v>1</v>
      </c>
      <c r="C640" s="9" t="s">
        <v>1589</v>
      </c>
      <c r="D640" s="9" t="s">
        <v>1590</v>
      </c>
      <c r="E640" s="9" t="s">
        <v>1613</v>
      </c>
      <c r="F640" s="9" t="s">
        <v>1590</v>
      </c>
      <c r="G640" s="9" t="s">
        <v>1592</v>
      </c>
      <c r="H640" s="9" t="s">
        <v>177</v>
      </c>
      <c r="I640" s="9" t="s">
        <v>2190</v>
      </c>
      <c r="J640" s="9" t="s">
        <v>1597</v>
      </c>
      <c r="K640" s="9">
        <v>1</v>
      </c>
      <c r="L640" s="9">
        <v>22</v>
      </c>
      <c r="M640" s="9">
        <v>1994</v>
      </c>
      <c r="O640" s="9" t="str">
        <f t="shared" si="31"/>
        <v>NO</v>
      </c>
      <c r="P640" s="9" t="str">
        <f t="shared" si="32"/>
        <v>NO</v>
      </c>
      <c r="Q640" s="9" t="str">
        <f t="shared" si="33"/>
        <v>Conditioned</v>
      </c>
    </row>
    <row r="641" spans="1:17">
      <c r="A641" s="9">
        <v>12278</v>
      </c>
      <c r="B641" s="9">
        <v>1</v>
      </c>
      <c r="C641" s="9" t="s">
        <v>1589</v>
      </c>
      <c r="D641" s="9" t="s">
        <v>1590</v>
      </c>
      <c r="E641" s="9" t="s">
        <v>1591</v>
      </c>
      <c r="F641" s="9" t="s">
        <v>1589</v>
      </c>
      <c r="G641" s="9" t="s">
        <v>1592</v>
      </c>
      <c r="H641" s="9" t="s">
        <v>170</v>
      </c>
      <c r="I641" s="9" t="s">
        <v>2191</v>
      </c>
      <c r="J641" s="9" t="s">
        <v>1597</v>
      </c>
      <c r="K641" s="9">
        <v>1</v>
      </c>
      <c r="L641" s="9">
        <v>19</v>
      </c>
      <c r="M641" s="9">
        <v>2006</v>
      </c>
      <c r="O641" s="9" t="str">
        <f t="shared" si="31"/>
        <v>NO</v>
      </c>
      <c r="P641" s="9" t="str">
        <f t="shared" si="32"/>
        <v>NO</v>
      </c>
      <c r="Q641" s="9" t="str">
        <f t="shared" si="33"/>
        <v>Conditioned</v>
      </c>
    </row>
    <row r="642" spans="1:17">
      <c r="A642" s="9">
        <v>12295</v>
      </c>
      <c r="B642" s="9">
        <v>1</v>
      </c>
      <c r="C642" s="9" t="s">
        <v>1589</v>
      </c>
      <c r="D642" s="9" t="s">
        <v>1590</v>
      </c>
      <c r="E642" s="9" t="s">
        <v>1591</v>
      </c>
      <c r="F642" s="9" t="s">
        <v>1589</v>
      </c>
      <c r="G642" s="9" t="s">
        <v>1592</v>
      </c>
      <c r="H642" s="9" t="s">
        <v>173</v>
      </c>
      <c r="I642" s="9" t="s">
        <v>2192</v>
      </c>
      <c r="J642" s="9" t="s">
        <v>1597</v>
      </c>
      <c r="K642" s="9">
        <v>1</v>
      </c>
      <c r="L642" s="9">
        <v>20</v>
      </c>
      <c r="M642" s="9">
        <v>1997</v>
      </c>
      <c r="O642" s="9" t="str">
        <f t="shared" si="31"/>
        <v>NO</v>
      </c>
      <c r="P642" s="9" t="str">
        <f t="shared" si="32"/>
        <v>NO</v>
      </c>
      <c r="Q642" s="9" t="str">
        <f t="shared" si="33"/>
        <v>Conditioned</v>
      </c>
    </row>
    <row r="643" spans="1:17">
      <c r="A643" s="9">
        <v>12295</v>
      </c>
      <c r="B643" s="9">
        <v>2</v>
      </c>
      <c r="C643" s="9" t="s">
        <v>1589</v>
      </c>
      <c r="D643" s="9" t="s">
        <v>1590</v>
      </c>
      <c r="E643" s="9" t="s">
        <v>1591</v>
      </c>
      <c r="F643" s="9" t="s">
        <v>1589</v>
      </c>
      <c r="G643" s="9" t="s">
        <v>1606</v>
      </c>
      <c r="H643" s="9" t="s">
        <v>170</v>
      </c>
      <c r="I643" s="9" t="s">
        <v>2193</v>
      </c>
      <c r="J643" s="9" t="s">
        <v>1605</v>
      </c>
      <c r="K643" s="9">
        <v>1</v>
      </c>
      <c r="L643" s="9">
        <v>21</v>
      </c>
      <c r="M643" s="9">
        <v>2005</v>
      </c>
      <c r="O643" s="9" t="str">
        <f t="shared" si="31"/>
        <v>NO</v>
      </c>
      <c r="P643" s="9" t="str">
        <f t="shared" si="32"/>
        <v>YES</v>
      </c>
      <c r="Q643" s="9" t="str">
        <f t="shared" si="33"/>
        <v>Unconditioned</v>
      </c>
    </row>
    <row r="644" spans="1:17">
      <c r="A644" s="9">
        <v>12303</v>
      </c>
      <c r="B644" s="9">
        <v>1</v>
      </c>
      <c r="C644" s="9" t="s">
        <v>1589</v>
      </c>
      <c r="D644" s="9" t="s">
        <v>1590</v>
      </c>
      <c r="E644" s="9" t="s">
        <v>1591</v>
      </c>
      <c r="F644" s="9" t="s">
        <v>1589</v>
      </c>
      <c r="G644" s="9" t="s">
        <v>1606</v>
      </c>
      <c r="H644" s="9" t="s">
        <v>169</v>
      </c>
      <c r="I644" s="9" t="s">
        <v>2194</v>
      </c>
      <c r="J644" s="9" t="s">
        <v>1605</v>
      </c>
      <c r="K644" s="9">
        <v>1</v>
      </c>
      <c r="L644" s="9">
        <v>10</v>
      </c>
      <c r="M644" s="9">
        <v>2003</v>
      </c>
      <c r="O644" s="9" t="str">
        <f t="shared" si="31"/>
        <v>NO</v>
      </c>
      <c r="P644" s="9" t="str">
        <f t="shared" si="32"/>
        <v>YES</v>
      </c>
      <c r="Q644" s="9" t="str">
        <f t="shared" si="33"/>
        <v>Unconditioned</v>
      </c>
    </row>
    <row r="645" spans="1:17">
      <c r="A645" s="9">
        <v>12303</v>
      </c>
      <c r="B645" s="9">
        <v>2</v>
      </c>
      <c r="C645" s="9" t="s">
        <v>1589</v>
      </c>
      <c r="D645" s="9" t="s">
        <v>1590</v>
      </c>
      <c r="E645" s="9" t="s">
        <v>1613</v>
      </c>
      <c r="F645" s="9" t="s">
        <v>1603</v>
      </c>
      <c r="G645" s="9" t="s">
        <v>1592</v>
      </c>
      <c r="H645" s="9" t="s">
        <v>174</v>
      </c>
      <c r="I645" s="9" t="s">
        <v>2195</v>
      </c>
      <c r="J645" s="9" t="s">
        <v>1608</v>
      </c>
      <c r="K645" s="9">
        <v>1</v>
      </c>
      <c r="L645" s="9">
        <v>23</v>
      </c>
      <c r="M645" s="9">
        <v>2010</v>
      </c>
      <c r="O645" s="9" t="str">
        <f t="shared" si="31"/>
        <v>NO</v>
      </c>
      <c r="P645" s="9" t="str">
        <f t="shared" si="32"/>
        <v>NO</v>
      </c>
      <c r="Q645" s="9" t="str">
        <f t="shared" si="33"/>
        <v>Conditioned</v>
      </c>
    </row>
    <row r="646" spans="1:17">
      <c r="A646" s="9">
        <v>12305</v>
      </c>
      <c r="B646" s="9">
        <v>1</v>
      </c>
      <c r="C646" s="9" t="s">
        <v>1589</v>
      </c>
      <c r="D646" s="9" t="s">
        <v>1590</v>
      </c>
      <c r="E646" s="9" t="s">
        <v>1613</v>
      </c>
      <c r="F646" s="9" t="s">
        <v>1590</v>
      </c>
      <c r="G646" s="9" t="s">
        <v>1592</v>
      </c>
      <c r="H646" s="9" t="s">
        <v>1624</v>
      </c>
      <c r="I646" s="9" t="s">
        <v>2196</v>
      </c>
      <c r="J646" s="9" t="s">
        <v>1597</v>
      </c>
      <c r="K646" s="9">
        <v>1</v>
      </c>
      <c r="L646" s="9">
        <v>25</v>
      </c>
      <c r="M646" s="9">
        <v>1995</v>
      </c>
      <c r="O646" s="9" t="str">
        <f t="shared" si="31"/>
        <v>NO</v>
      </c>
      <c r="P646" s="9" t="str">
        <f t="shared" si="32"/>
        <v>NO</v>
      </c>
      <c r="Q646" s="9" t="str">
        <f t="shared" si="33"/>
        <v>Conditioned</v>
      </c>
    </row>
    <row r="647" spans="1:17">
      <c r="A647" s="9">
        <v>12305</v>
      </c>
      <c r="B647" s="9">
        <v>2</v>
      </c>
      <c r="C647" s="9" t="s">
        <v>2197</v>
      </c>
      <c r="D647" s="9" t="s">
        <v>1590</v>
      </c>
      <c r="E647" s="9" t="s">
        <v>1591</v>
      </c>
      <c r="F647" s="9" t="s">
        <v>1589</v>
      </c>
      <c r="G647" s="9" t="s">
        <v>1606</v>
      </c>
      <c r="H647" s="9" t="s">
        <v>1589</v>
      </c>
      <c r="I647" s="9" t="s">
        <v>1589</v>
      </c>
      <c r="J647" s="9" t="s">
        <v>1587</v>
      </c>
      <c r="K647" s="9">
        <v>1</v>
      </c>
      <c r="L647" s="9">
        <v>14</v>
      </c>
      <c r="O647" s="9" t="str">
        <f t="shared" si="31"/>
        <v>NO</v>
      </c>
      <c r="P647" s="9" t="str">
        <f t="shared" si="32"/>
        <v>YES</v>
      </c>
      <c r="Q647" s="9" t="str">
        <f t="shared" si="33"/>
        <v>Unconditioned</v>
      </c>
    </row>
    <row r="648" spans="1:17">
      <c r="A648" s="9">
        <v>12307</v>
      </c>
      <c r="B648" s="9">
        <v>1</v>
      </c>
      <c r="C648" s="9" t="s">
        <v>2198</v>
      </c>
      <c r="D648" s="9" t="s">
        <v>1590</v>
      </c>
      <c r="E648" s="9" t="s">
        <v>1591</v>
      </c>
      <c r="F648" s="9" t="s">
        <v>1589</v>
      </c>
      <c r="G648" s="9" t="s">
        <v>1606</v>
      </c>
      <c r="H648" s="9" t="s">
        <v>172</v>
      </c>
      <c r="I648" s="9" t="s">
        <v>1589</v>
      </c>
      <c r="J648" s="9" t="s">
        <v>1612</v>
      </c>
      <c r="K648" s="9">
        <v>1</v>
      </c>
      <c r="L648" s="9">
        <v>7</v>
      </c>
      <c r="O648" s="9" t="str">
        <f t="shared" si="31"/>
        <v>YES</v>
      </c>
      <c r="P648" s="9" t="str">
        <f t="shared" si="32"/>
        <v>NO</v>
      </c>
      <c r="Q648" s="9" t="str">
        <f t="shared" si="33"/>
        <v>Unconditioned</v>
      </c>
    </row>
    <row r="649" spans="1:17">
      <c r="A649" s="9">
        <v>12307</v>
      </c>
      <c r="B649" s="9">
        <v>2</v>
      </c>
      <c r="C649" s="9" t="s">
        <v>1589</v>
      </c>
      <c r="D649" s="9" t="s">
        <v>1590</v>
      </c>
      <c r="E649" s="9" t="s">
        <v>1613</v>
      </c>
      <c r="F649" s="9" t="s">
        <v>1603</v>
      </c>
      <c r="G649" s="9" t="s">
        <v>1592</v>
      </c>
      <c r="H649" s="9" t="s">
        <v>1589</v>
      </c>
      <c r="I649" s="9" t="s">
        <v>1589</v>
      </c>
      <c r="J649" s="9" t="s">
        <v>1601</v>
      </c>
      <c r="K649" s="9">
        <v>1</v>
      </c>
      <c r="O649" s="9" t="str">
        <f t="shared" si="31"/>
        <v>YES</v>
      </c>
      <c r="P649" s="9" t="str">
        <f t="shared" si="32"/>
        <v>NO</v>
      </c>
      <c r="Q649" s="9" t="str">
        <f t="shared" si="33"/>
        <v>Conditioned</v>
      </c>
    </row>
    <row r="650" spans="1:17">
      <c r="A650" s="9">
        <v>12307</v>
      </c>
      <c r="B650" s="9">
        <v>3</v>
      </c>
      <c r="C650" s="9" t="s">
        <v>1589</v>
      </c>
      <c r="D650" s="9" t="s">
        <v>1590</v>
      </c>
      <c r="E650" s="9" t="s">
        <v>1591</v>
      </c>
      <c r="F650" s="9" t="s">
        <v>1589</v>
      </c>
      <c r="G650" s="9" t="s">
        <v>1592</v>
      </c>
      <c r="H650" s="9" t="s">
        <v>173</v>
      </c>
      <c r="I650" s="9" t="s">
        <v>2199</v>
      </c>
      <c r="J650" s="9" t="s">
        <v>1587</v>
      </c>
      <c r="K650" s="9">
        <v>1</v>
      </c>
      <c r="L650" s="9">
        <v>2</v>
      </c>
      <c r="O650" s="9" t="str">
        <f t="shared" si="31"/>
        <v>YES</v>
      </c>
      <c r="P650" s="9" t="str">
        <f t="shared" si="32"/>
        <v>YES</v>
      </c>
      <c r="Q650" s="9" t="str">
        <f t="shared" si="33"/>
        <v>Conditioned</v>
      </c>
    </row>
    <row r="651" spans="1:17">
      <c r="A651" s="9">
        <v>12315</v>
      </c>
      <c r="B651" s="9">
        <v>1</v>
      </c>
      <c r="C651" s="9" t="s">
        <v>1589</v>
      </c>
      <c r="D651" s="9" t="s">
        <v>1590</v>
      </c>
      <c r="E651" s="9" t="s">
        <v>1602</v>
      </c>
      <c r="F651" s="9" t="s">
        <v>1603</v>
      </c>
      <c r="G651" s="9" t="s">
        <v>1592</v>
      </c>
      <c r="H651" s="9" t="s">
        <v>170</v>
      </c>
      <c r="I651" s="9" t="s">
        <v>2200</v>
      </c>
      <c r="J651" s="9" t="s">
        <v>1608</v>
      </c>
      <c r="K651" s="9">
        <v>1</v>
      </c>
      <c r="L651" s="9">
        <v>17</v>
      </c>
      <c r="M651" s="9">
        <v>2008</v>
      </c>
      <c r="O651" s="9" t="str">
        <f t="shared" si="31"/>
        <v>NO</v>
      </c>
      <c r="P651" s="9" t="str">
        <f t="shared" si="32"/>
        <v>NO</v>
      </c>
      <c r="Q651" s="9" t="str">
        <f t="shared" si="33"/>
        <v>Conditioned</v>
      </c>
    </row>
    <row r="652" spans="1:17">
      <c r="A652" s="9">
        <v>12315</v>
      </c>
      <c r="B652" s="9">
        <v>2</v>
      </c>
      <c r="C652" s="9" t="s">
        <v>1589</v>
      </c>
      <c r="D652" s="9" t="s">
        <v>1590</v>
      </c>
      <c r="E652" s="9" t="s">
        <v>1591</v>
      </c>
      <c r="F652" s="9" t="s">
        <v>1589</v>
      </c>
      <c r="G652" s="9" t="s">
        <v>1606</v>
      </c>
      <c r="H652" s="9" t="s">
        <v>169</v>
      </c>
      <c r="I652" s="9" t="s">
        <v>2201</v>
      </c>
      <c r="J652" s="9" t="s">
        <v>1605</v>
      </c>
      <c r="K652" s="9">
        <v>1</v>
      </c>
      <c r="L652" s="9">
        <v>20.100000381469727</v>
      </c>
      <c r="M652" s="9">
        <v>2007</v>
      </c>
      <c r="O652" s="9" t="str">
        <f t="shared" si="31"/>
        <v>NO</v>
      </c>
      <c r="P652" s="9" t="str">
        <f t="shared" si="32"/>
        <v>YES</v>
      </c>
      <c r="Q652" s="9" t="str">
        <f t="shared" si="33"/>
        <v>Unconditioned</v>
      </c>
    </row>
    <row r="653" spans="1:17">
      <c r="A653" s="9">
        <v>12315</v>
      </c>
      <c r="B653" s="9">
        <v>3</v>
      </c>
      <c r="C653" s="9" t="s">
        <v>1589</v>
      </c>
      <c r="D653" s="9" t="s">
        <v>1590</v>
      </c>
      <c r="E653" s="9" t="s">
        <v>1591</v>
      </c>
      <c r="F653" s="9" t="s">
        <v>1589</v>
      </c>
      <c r="G653" s="9" t="s">
        <v>1606</v>
      </c>
      <c r="H653" s="9" t="s">
        <v>169</v>
      </c>
      <c r="I653" s="9" t="s">
        <v>2202</v>
      </c>
      <c r="J653" s="9" t="s">
        <v>1605</v>
      </c>
      <c r="K653" s="9">
        <v>1</v>
      </c>
      <c r="L653" s="9">
        <v>21</v>
      </c>
      <c r="M653" s="9">
        <v>1984</v>
      </c>
      <c r="O653" s="9" t="str">
        <f t="shared" si="31"/>
        <v>NO</v>
      </c>
      <c r="P653" s="9" t="str">
        <f t="shared" si="32"/>
        <v>YES</v>
      </c>
      <c r="Q653" s="9" t="str">
        <f t="shared" si="33"/>
        <v>Unconditioned</v>
      </c>
    </row>
    <row r="654" spans="1:17">
      <c r="A654" s="9">
        <v>12315</v>
      </c>
      <c r="B654" s="9">
        <v>4</v>
      </c>
      <c r="C654" s="9" t="s">
        <v>2203</v>
      </c>
      <c r="D654" s="9" t="s">
        <v>1590</v>
      </c>
      <c r="E654" s="9" t="s">
        <v>1591</v>
      </c>
      <c r="F654" s="9" t="s">
        <v>1589</v>
      </c>
      <c r="G654" s="9" t="s">
        <v>1592</v>
      </c>
      <c r="H654" s="9" t="s">
        <v>1589</v>
      </c>
      <c r="I654" s="9" t="s">
        <v>1589</v>
      </c>
      <c r="J654" s="9" t="s">
        <v>1612</v>
      </c>
      <c r="K654" s="9">
        <v>1</v>
      </c>
      <c r="L654" s="9">
        <v>3</v>
      </c>
      <c r="M654" s="9">
        <v>2010</v>
      </c>
      <c r="O654" s="9" t="str">
        <f t="shared" si="31"/>
        <v>YES</v>
      </c>
      <c r="P654" s="9" t="str">
        <f t="shared" si="32"/>
        <v>NO</v>
      </c>
      <c r="Q654" s="9" t="str">
        <f t="shared" si="33"/>
        <v>Conditioned</v>
      </c>
    </row>
    <row r="655" spans="1:17">
      <c r="A655" s="9">
        <v>12320</v>
      </c>
      <c r="B655" s="9">
        <v>1</v>
      </c>
      <c r="C655" s="9" t="s">
        <v>1589</v>
      </c>
      <c r="D655" s="9" t="s">
        <v>1590</v>
      </c>
      <c r="E655" s="9" t="s">
        <v>1591</v>
      </c>
      <c r="F655" s="9" t="s">
        <v>1589</v>
      </c>
      <c r="G655" s="9" t="s">
        <v>1592</v>
      </c>
      <c r="H655" s="9" t="s">
        <v>1017</v>
      </c>
      <c r="I655" s="9" t="s">
        <v>2204</v>
      </c>
      <c r="J655" s="9" t="s">
        <v>1608</v>
      </c>
      <c r="K655" s="9">
        <v>1</v>
      </c>
      <c r="L655" s="9">
        <v>25</v>
      </c>
      <c r="M655" s="9">
        <v>2006</v>
      </c>
      <c r="O655" s="9" t="str">
        <f t="shared" si="31"/>
        <v>NO</v>
      </c>
      <c r="P655" s="9" t="str">
        <f t="shared" si="32"/>
        <v>NO</v>
      </c>
      <c r="Q655" s="9" t="str">
        <f t="shared" si="33"/>
        <v>Conditioned</v>
      </c>
    </row>
    <row r="656" spans="1:17">
      <c r="A656" s="9">
        <v>12320</v>
      </c>
      <c r="B656" s="9">
        <v>2</v>
      </c>
      <c r="C656" s="9" t="s">
        <v>1589</v>
      </c>
      <c r="D656" s="9" t="s">
        <v>1590</v>
      </c>
      <c r="E656" s="9" t="s">
        <v>1591</v>
      </c>
      <c r="F656" s="9" t="s">
        <v>1589</v>
      </c>
      <c r="G656" s="9" t="s">
        <v>1592</v>
      </c>
      <c r="H656" s="9" t="s">
        <v>170</v>
      </c>
      <c r="I656" s="9" t="s">
        <v>2205</v>
      </c>
      <c r="J656" s="9" t="s">
        <v>1597</v>
      </c>
      <c r="K656" s="9">
        <v>1</v>
      </c>
      <c r="L656" s="9">
        <v>18</v>
      </c>
      <c r="M656" s="9">
        <v>2009</v>
      </c>
      <c r="O656" s="9" t="str">
        <f t="shared" si="31"/>
        <v>NO</v>
      </c>
      <c r="P656" s="9" t="str">
        <f t="shared" si="32"/>
        <v>NO</v>
      </c>
      <c r="Q656" s="9" t="str">
        <f t="shared" si="33"/>
        <v>Conditioned</v>
      </c>
    </row>
    <row r="657" spans="1:17">
      <c r="A657" s="9">
        <v>12321</v>
      </c>
      <c r="B657" s="9">
        <v>1</v>
      </c>
      <c r="C657" s="9" t="s">
        <v>2206</v>
      </c>
      <c r="D657" s="9" t="s">
        <v>1590</v>
      </c>
      <c r="E657" s="9" t="s">
        <v>1591</v>
      </c>
      <c r="F657" s="9" t="s">
        <v>1589</v>
      </c>
      <c r="G657" s="9" t="s">
        <v>1592</v>
      </c>
      <c r="H657" s="9" t="s">
        <v>1463</v>
      </c>
      <c r="I657" s="9" t="s">
        <v>1589</v>
      </c>
      <c r="J657" s="9" t="s">
        <v>1608</v>
      </c>
      <c r="K657" s="9">
        <v>1</v>
      </c>
      <c r="L657" s="9">
        <v>25</v>
      </c>
      <c r="O657" s="9" t="str">
        <f t="shared" si="31"/>
        <v>NO</v>
      </c>
      <c r="P657" s="9" t="str">
        <f t="shared" si="32"/>
        <v>NO</v>
      </c>
      <c r="Q657" s="9" t="str">
        <f t="shared" si="33"/>
        <v>Conditioned</v>
      </c>
    </row>
    <row r="658" spans="1:17">
      <c r="A658" s="9">
        <v>12339</v>
      </c>
      <c r="B658" s="9">
        <v>1</v>
      </c>
      <c r="C658" s="9" t="s">
        <v>1589</v>
      </c>
      <c r="D658" s="9" t="s">
        <v>1590</v>
      </c>
      <c r="E658" s="9" t="s">
        <v>1613</v>
      </c>
      <c r="F658" s="9" t="s">
        <v>1603</v>
      </c>
      <c r="G658" s="9" t="s">
        <v>1606</v>
      </c>
      <c r="H658" s="9" t="s">
        <v>174</v>
      </c>
      <c r="I658" s="9" t="s">
        <v>2207</v>
      </c>
      <c r="J658" s="9" t="s">
        <v>1608</v>
      </c>
      <c r="K658" s="9">
        <v>1</v>
      </c>
      <c r="L658" s="9">
        <v>20</v>
      </c>
      <c r="M658" s="9">
        <v>2010</v>
      </c>
      <c r="O658" s="9" t="str">
        <f t="shared" si="31"/>
        <v>NO</v>
      </c>
      <c r="P658" s="9" t="str">
        <f t="shared" si="32"/>
        <v>NO</v>
      </c>
      <c r="Q658" s="9" t="str">
        <f t="shared" si="33"/>
        <v>Unconditioned</v>
      </c>
    </row>
    <row r="659" spans="1:17">
      <c r="A659" s="9">
        <v>12341</v>
      </c>
      <c r="B659" s="9">
        <v>1</v>
      </c>
      <c r="C659" s="9" t="s">
        <v>1589</v>
      </c>
      <c r="D659" s="9" t="s">
        <v>1590</v>
      </c>
      <c r="E659" s="9" t="s">
        <v>1591</v>
      </c>
      <c r="F659" s="9" t="s">
        <v>1589</v>
      </c>
      <c r="G659" s="9" t="s">
        <v>1592</v>
      </c>
      <c r="H659" s="9" t="s">
        <v>170</v>
      </c>
      <c r="I659" s="9" t="s">
        <v>2208</v>
      </c>
      <c r="J659" s="9" t="s">
        <v>1597</v>
      </c>
      <c r="K659" s="9">
        <v>1</v>
      </c>
      <c r="L659" s="9">
        <v>21</v>
      </c>
      <c r="M659" s="9">
        <v>2007</v>
      </c>
      <c r="O659" s="9" t="str">
        <f t="shared" si="31"/>
        <v>NO</v>
      </c>
      <c r="P659" s="9" t="str">
        <f t="shared" si="32"/>
        <v>NO</v>
      </c>
      <c r="Q659" s="9" t="str">
        <f t="shared" si="33"/>
        <v>Conditioned</v>
      </c>
    </row>
    <row r="660" spans="1:17">
      <c r="A660" s="9">
        <v>12348</v>
      </c>
      <c r="B660" s="9">
        <v>1</v>
      </c>
      <c r="C660" s="9" t="s">
        <v>1589</v>
      </c>
      <c r="D660" s="9" t="s">
        <v>1590</v>
      </c>
      <c r="E660" s="9" t="s">
        <v>1591</v>
      </c>
      <c r="F660" s="9" t="s">
        <v>1589</v>
      </c>
      <c r="G660" s="9" t="s">
        <v>1592</v>
      </c>
      <c r="H660" s="9" t="s">
        <v>177</v>
      </c>
      <c r="I660" s="9" t="s">
        <v>2209</v>
      </c>
      <c r="J660" s="9" t="s">
        <v>1597</v>
      </c>
      <c r="K660" s="9">
        <v>1</v>
      </c>
      <c r="L660" s="9">
        <v>23</v>
      </c>
      <c r="M660" s="9">
        <v>1999</v>
      </c>
      <c r="O660" s="9" t="str">
        <f t="shared" si="31"/>
        <v>NO</v>
      </c>
      <c r="P660" s="9" t="str">
        <f t="shared" si="32"/>
        <v>NO</v>
      </c>
      <c r="Q660" s="9" t="str">
        <f t="shared" si="33"/>
        <v>Conditioned</v>
      </c>
    </row>
    <row r="661" spans="1:17">
      <c r="A661" s="9">
        <v>12358</v>
      </c>
      <c r="B661" s="9">
        <v>1</v>
      </c>
      <c r="C661" s="9" t="s">
        <v>2210</v>
      </c>
      <c r="D661" s="9" t="s">
        <v>1603</v>
      </c>
      <c r="E661" s="9" t="s">
        <v>1591</v>
      </c>
      <c r="F661" s="9" t="s">
        <v>1589</v>
      </c>
      <c r="G661" s="9" t="s">
        <v>1606</v>
      </c>
      <c r="H661" s="9" t="s">
        <v>170</v>
      </c>
      <c r="I661" s="9" t="s">
        <v>1589</v>
      </c>
      <c r="J661" s="9" t="s">
        <v>1587</v>
      </c>
      <c r="K661" s="9">
        <v>1</v>
      </c>
      <c r="L661" s="9">
        <v>12</v>
      </c>
      <c r="O661" s="9" t="str">
        <f t="shared" si="31"/>
        <v>NO</v>
      </c>
      <c r="P661" s="9" t="str">
        <f t="shared" si="32"/>
        <v>YES</v>
      </c>
      <c r="Q661" s="9" t="str">
        <f t="shared" si="33"/>
        <v>Unconditioned</v>
      </c>
    </row>
    <row r="662" spans="1:17">
      <c r="A662" s="9">
        <v>12358</v>
      </c>
      <c r="B662" s="9">
        <v>2</v>
      </c>
      <c r="C662" s="9" t="s">
        <v>1589</v>
      </c>
      <c r="D662" s="9" t="s">
        <v>1590</v>
      </c>
      <c r="E662" s="9" t="s">
        <v>1602</v>
      </c>
      <c r="F662" s="9" t="s">
        <v>1603</v>
      </c>
      <c r="G662" s="9" t="s">
        <v>1592</v>
      </c>
      <c r="H662" s="9" t="s">
        <v>170</v>
      </c>
      <c r="I662" s="9" t="s">
        <v>2211</v>
      </c>
      <c r="J662" s="9" t="s">
        <v>1610</v>
      </c>
      <c r="K662" s="9">
        <v>1</v>
      </c>
      <c r="L662" s="9">
        <v>22</v>
      </c>
      <c r="M662" s="9">
        <v>2005</v>
      </c>
      <c r="O662" s="9" t="str">
        <f t="shared" si="31"/>
        <v>NO</v>
      </c>
      <c r="P662" s="9" t="str">
        <f t="shared" si="32"/>
        <v>NO</v>
      </c>
      <c r="Q662" s="9" t="str">
        <f t="shared" si="33"/>
        <v>Conditioned</v>
      </c>
    </row>
    <row r="663" spans="1:17">
      <c r="A663" s="9">
        <v>12358</v>
      </c>
      <c r="B663" s="9">
        <v>3</v>
      </c>
      <c r="C663" s="9" t="s">
        <v>1589</v>
      </c>
      <c r="D663" s="9" t="s">
        <v>1603</v>
      </c>
      <c r="E663" s="9" t="s">
        <v>1602</v>
      </c>
      <c r="F663" s="9" t="s">
        <v>1603</v>
      </c>
      <c r="G663" s="9" t="s">
        <v>1606</v>
      </c>
      <c r="H663" s="9" t="s">
        <v>1638</v>
      </c>
      <c r="I663" s="9" t="s">
        <v>2212</v>
      </c>
      <c r="J663" s="9" t="s">
        <v>1601</v>
      </c>
      <c r="K663" s="9">
        <v>1</v>
      </c>
      <c r="L663" s="9">
        <v>24</v>
      </c>
      <c r="M663" s="9">
        <v>1993</v>
      </c>
      <c r="O663" s="9" t="str">
        <f t="shared" ref="O663:O726" si="34">IF(L663&lt;7.75,"YES","NO")</f>
        <v>NO</v>
      </c>
      <c r="P663" s="9" t="str">
        <f t="shared" ref="P663:P726" si="35">VLOOKUP(J663,$Z$21:$AA$27,2,FALSE)</f>
        <v>NO</v>
      </c>
      <c r="Q663" s="9" t="str">
        <f t="shared" ref="Q663:Q726" si="36">G663</f>
        <v>Unconditioned</v>
      </c>
    </row>
    <row r="664" spans="1:17">
      <c r="A664" s="9">
        <v>12370</v>
      </c>
      <c r="B664" s="9">
        <v>1</v>
      </c>
      <c r="C664" s="9" t="s">
        <v>1589</v>
      </c>
      <c r="D664" s="9" t="s">
        <v>1590</v>
      </c>
      <c r="E664" s="9" t="s">
        <v>1613</v>
      </c>
      <c r="F664" s="9" t="s">
        <v>1603</v>
      </c>
      <c r="G664" s="9" t="s">
        <v>1592</v>
      </c>
      <c r="H664" s="9" t="s">
        <v>170</v>
      </c>
      <c r="I664" s="9" t="s">
        <v>2213</v>
      </c>
      <c r="J664" s="9" t="s">
        <v>1608</v>
      </c>
      <c r="K664" s="9">
        <v>1</v>
      </c>
      <c r="L664" s="9">
        <v>20</v>
      </c>
      <c r="M664" s="9">
        <v>2005</v>
      </c>
      <c r="O664" s="9" t="str">
        <f t="shared" si="34"/>
        <v>NO</v>
      </c>
      <c r="P664" s="9" t="str">
        <f t="shared" si="35"/>
        <v>NO</v>
      </c>
      <c r="Q664" s="9" t="str">
        <f t="shared" si="36"/>
        <v>Conditioned</v>
      </c>
    </row>
    <row r="665" spans="1:17">
      <c r="A665" s="9">
        <v>12370</v>
      </c>
      <c r="B665" s="9">
        <v>2</v>
      </c>
      <c r="C665" s="9" t="s">
        <v>1589</v>
      </c>
      <c r="D665" s="9" t="s">
        <v>1590</v>
      </c>
      <c r="E665" s="9" t="s">
        <v>1591</v>
      </c>
      <c r="F665" s="9" t="s">
        <v>1589</v>
      </c>
      <c r="G665" s="9" t="s">
        <v>1592</v>
      </c>
      <c r="H665" s="9" t="s">
        <v>169</v>
      </c>
      <c r="I665" s="9" t="s">
        <v>2214</v>
      </c>
      <c r="J665" s="9" t="s">
        <v>1587</v>
      </c>
      <c r="K665" s="9">
        <v>1</v>
      </c>
      <c r="L665" s="9">
        <v>14</v>
      </c>
      <c r="M665" s="9">
        <v>1992</v>
      </c>
      <c r="O665" s="9" t="str">
        <f t="shared" si="34"/>
        <v>NO</v>
      </c>
      <c r="P665" s="9" t="str">
        <f t="shared" si="35"/>
        <v>YES</v>
      </c>
      <c r="Q665" s="9" t="str">
        <f t="shared" si="36"/>
        <v>Conditioned</v>
      </c>
    </row>
    <row r="666" spans="1:17">
      <c r="A666" s="9">
        <v>12370</v>
      </c>
      <c r="B666" s="9">
        <v>3</v>
      </c>
      <c r="C666" s="9" t="s">
        <v>1589</v>
      </c>
      <c r="D666" s="9" t="s">
        <v>1590</v>
      </c>
      <c r="E666" s="9" t="s">
        <v>1591</v>
      </c>
      <c r="F666" s="9" t="s">
        <v>1589</v>
      </c>
      <c r="G666" s="9" t="s">
        <v>1592</v>
      </c>
      <c r="H666" s="9" t="s">
        <v>169</v>
      </c>
      <c r="I666" s="9" t="s">
        <v>2215</v>
      </c>
      <c r="J666" s="9" t="s">
        <v>1605</v>
      </c>
      <c r="K666" s="9">
        <v>1</v>
      </c>
      <c r="L666" s="9">
        <v>14</v>
      </c>
      <c r="M666" s="9">
        <v>2000</v>
      </c>
      <c r="O666" s="9" t="str">
        <f t="shared" si="34"/>
        <v>NO</v>
      </c>
      <c r="P666" s="9" t="str">
        <f t="shared" si="35"/>
        <v>YES</v>
      </c>
      <c r="Q666" s="9" t="str">
        <f t="shared" si="36"/>
        <v>Conditioned</v>
      </c>
    </row>
    <row r="667" spans="1:17">
      <c r="A667" s="9">
        <v>12372</v>
      </c>
      <c r="B667" s="9">
        <v>1</v>
      </c>
      <c r="C667" s="9" t="s">
        <v>1589</v>
      </c>
      <c r="D667" s="9" t="s">
        <v>1590</v>
      </c>
      <c r="E667" s="9" t="s">
        <v>1591</v>
      </c>
      <c r="F667" s="9" t="s">
        <v>1589</v>
      </c>
      <c r="G667" s="9" t="s">
        <v>1592</v>
      </c>
      <c r="H667" s="9" t="s">
        <v>177</v>
      </c>
      <c r="I667" s="9" t="s">
        <v>2216</v>
      </c>
      <c r="J667" s="9" t="s">
        <v>1597</v>
      </c>
      <c r="K667" s="9">
        <v>1</v>
      </c>
      <c r="L667" s="9">
        <v>18</v>
      </c>
      <c r="M667" s="9">
        <v>1998</v>
      </c>
      <c r="O667" s="9" t="str">
        <f t="shared" si="34"/>
        <v>NO</v>
      </c>
      <c r="P667" s="9" t="str">
        <f t="shared" si="35"/>
        <v>NO</v>
      </c>
      <c r="Q667" s="9" t="str">
        <f t="shared" si="36"/>
        <v>Conditioned</v>
      </c>
    </row>
    <row r="668" spans="1:17">
      <c r="A668" s="9">
        <v>12376</v>
      </c>
      <c r="B668" s="9">
        <v>1</v>
      </c>
      <c r="C668" s="9" t="s">
        <v>1589</v>
      </c>
      <c r="D668" s="9" t="s">
        <v>1590</v>
      </c>
      <c r="E668" s="9" t="s">
        <v>1591</v>
      </c>
      <c r="F668" s="9" t="s">
        <v>1589</v>
      </c>
      <c r="G668" s="9" t="s">
        <v>1592</v>
      </c>
      <c r="H668" s="9" t="s">
        <v>177</v>
      </c>
      <c r="I668" s="9" t="s">
        <v>2217</v>
      </c>
      <c r="J668" s="9" t="s">
        <v>1597</v>
      </c>
      <c r="K668" s="9">
        <v>1</v>
      </c>
      <c r="L668" s="9">
        <v>15</v>
      </c>
      <c r="M668" s="9">
        <v>2000</v>
      </c>
      <c r="O668" s="9" t="str">
        <f t="shared" si="34"/>
        <v>NO</v>
      </c>
      <c r="P668" s="9" t="str">
        <f t="shared" si="35"/>
        <v>NO</v>
      </c>
      <c r="Q668" s="9" t="str">
        <f t="shared" si="36"/>
        <v>Conditioned</v>
      </c>
    </row>
    <row r="669" spans="1:17">
      <c r="A669" s="9">
        <v>12377</v>
      </c>
      <c r="B669" s="9">
        <v>1</v>
      </c>
      <c r="C669" s="9" t="s">
        <v>1589</v>
      </c>
      <c r="D669" s="9" t="s">
        <v>1590</v>
      </c>
      <c r="E669" s="9" t="s">
        <v>1613</v>
      </c>
      <c r="F669" s="9" t="s">
        <v>1603</v>
      </c>
      <c r="G669" s="9" t="s">
        <v>1592</v>
      </c>
      <c r="H669" s="9" t="s">
        <v>177</v>
      </c>
      <c r="I669" s="9" t="s">
        <v>2218</v>
      </c>
      <c r="J669" s="9" t="s">
        <v>1608</v>
      </c>
      <c r="K669" s="9">
        <v>1</v>
      </c>
      <c r="L669" s="9">
        <v>22</v>
      </c>
      <c r="M669" s="9">
        <v>1996</v>
      </c>
      <c r="O669" s="9" t="str">
        <f t="shared" si="34"/>
        <v>NO</v>
      </c>
      <c r="P669" s="9" t="str">
        <f t="shared" si="35"/>
        <v>NO</v>
      </c>
      <c r="Q669" s="9" t="str">
        <f t="shared" si="36"/>
        <v>Conditioned</v>
      </c>
    </row>
    <row r="670" spans="1:17">
      <c r="A670" s="9">
        <v>12398</v>
      </c>
      <c r="B670" s="9">
        <v>1</v>
      </c>
      <c r="C670" s="9" t="s">
        <v>1589</v>
      </c>
      <c r="D670" s="9" t="s">
        <v>1603</v>
      </c>
      <c r="E670" s="9" t="s">
        <v>1602</v>
      </c>
      <c r="F670" s="9" t="s">
        <v>1603</v>
      </c>
      <c r="G670" s="9" t="s">
        <v>1592</v>
      </c>
      <c r="H670" s="9" t="s">
        <v>176</v>
      </c>
      <c r="I670" s="9" t="s">
        <v>2219</v>
      </c>
      <c r="J670" s="9" t="s">
        <v>1610</v>
      </c>
      <c r="K670" s="9">
        <v>1</v>
      </c>
      <c r="L670" s="9">
        <v>23</v>
      </c>
      <c r="M670" s="9">
        <v>2010</v>
      </c>
      <c r="O670" s="9" t="str">
        <f t="shared" si="34"/>
        <v>NO</v>
      </c>
      <c r="P670" s="9" t="str">
        <f t="shared" si="35"/>
        <v>NO</v>
      </c>
      <c r="Q670" s="9" t="str">
        <f t="shared" si="36"/>
        <v>Conditioned</v>
      </c>
    </row>
    <row r="671" spans="1:17">
      <c r="A671" s="9">
        <v>12399</v>
      </c>
      <c r="B671" s="9">
        <v>1</v>
      </c>
      <c r="C671" s="9" t="s">
        <v>1589</v>
      </c>
      <c r="D671" s="9" t="s">
        <v>1590</v>
      </c>
      <c r="E671" s="9" t="s">
        <v>1591</v>
      </c>
      <c r="F671" s="9" t="s">
        <v>1589</v>
      </c>
      <c r="G671" s="9" t="s">
        <v>1592</v>
      </c>
      <c r="H671" s="9" t="s">
        <v>172</v>
      </c>
      <c r="I671" s="9" t="s">
        <v>2220</v>
      </c>
      <c r="J671" s="9" t="s">
        <v>1601</v>
      </c>
      <c r="K671" s="9">
        <v>1</v>
      </c>
      <c r="L671" s="9">
        <v>20</v>
      </c>
      <c r="M671" s="9">
        <v>1995</v>
      </c>
      <c r="O671" s="9" t="str">
        <f t="shared" si="34"/>
        <v>NO</v>
      </c>
      <c r="P671" s="9" t="str">
        <f t="shared" si="35"/>
        <v>NO</v>
      </c>
      <c r="Q671" s="9" t="str">
        <f t="shared" si="36"/>
        <v>Conditioned</v>
      </c>
    </row>
    <row r="672" spans="1:17">
      <c r="A672" s="9">
        <v>12404</v>
      </c>
      <c r="B672" s="9">
        <v>1</v>
      </c>
      <c r="C672" s="9" t="s">
        <v>1589</v>
      </c>
      <c r="D672" s="9" t="s">
        <v>1590</v>
      </c>
      <c r="E672" s="9" t="s">
        <v>1591</v>
      </c>
      <c r="F672" s="9" t="s">
        <v>1589</v>
      </c>
      <c r="G672" s="9" t="s">
        <v>1592</v>
      </c>
      <c r="H672" s="9" t="s">
        <v>172</v>
      </c>
      <c r="I672" s="9" t="s">
        <v>2221</v>
      </c>
      <c r="J672" s="9" t="s">
        <v>1597</v>
      </c>
      <c r="K672" s="9">
        <v>1</v>
      </c>
      <c r="L672" s="9">
        <v>21</v>
      </c>
      <c r="M672" s="9">
        <v>1991</v>
      </c>
      <c r="O672" s="9" t="str">
        <f t="shared" si="34"/>
        <v>NO</v>
      </c>
      <c r="P672" s="9" t="str">
        <f t="shared" si="35"/>
        <v>NO</v>
      </c>
      <c r="Q672" s="9" t="str">
        <f t="shared" si="36"/>
        <v>Conditioned</v>
      </c>
    </row>
    <row r="673" spans="1:17">
      <c r="A673" s="9">
        <v>12407</v>
      </c>
      <c r="B673" s="9">
        <v>1</v>
      </c>
      <c r="C673" s="9" t="s">
        <v>1589</v>
      </c>
      <c r="D673" s="9" t="s">
        <v>1590</v>
      </c>
      <c r="E673" s="9" t="s">
        <v>1613</v>
      </c>
      <c r="F673" s="9" t="s">
        <v>1603</v>
      </c>
      <c r="G673" s="9" t="s">
        <v>1592</v>
      </c>
      <c r="H673" s="9" t="s">
        <v>1599</v>
      </c>
      <c r="I673" s="9" t="s">
        <v>2222</v>
      </c>
      <c r="J673" s="9" t="s">
        <v>1597</v>
      </c>
      <c r="K673" s="9">
        <v>1</v>
      </c>
      <c r="L673" s="9">
        <v>28</v>
      </c>
      <c r="M673" s="9">
        <v>1995</v>
      </c>
      <c r="O673" s="9" t="str">
        <f t="shared" si="34"/>
        <v>NO</v>
      </c>
      <c r="P673" s="9" t="str">
        <f t="shared" si="35"/>
        <v>NO</v>
      </c>
      <c r="Q673" s="9" t="str">
        <f t="shared" si="36"/>
        <v>Conditioned</v>
      </c>
    </row>
    <row r="674" spans="1:17">
      <c r="A674" s="9">
        <v>12407</v>
      </c>
      <c r="B674" s="9">
        <v>2</v>
      </c>
      <c r="C674" s="9" t="s">
        <v>2223</v>
      </c>
      <c r="D674" s="9" t="s">
        <v>1590</v>
      </c>
      <c r="E674" s="9" t="s">
        <v>1591</v>
      </c>
      <c r="F674" s="9" t="s">
        <v>1589</v>
      </c>
      <c r="G674" s="9" t="s">
        <v>1606</v>
      </c>
      <c r="H674" s="9" t="s">
        <v>174</v>
      </c>
      <c r="I674" s="9" t="s">
        <v>1589</v>
      </c>
      <c r="J674" s="9" t="s">
        <v>1597</v>
      </c>
      <c r="K674" s="9">
        <v>1</v>
      </c>
      <c r="L674" s="9">
        <v>27</v>
      </c>
      <c r="O674" s="9" t="str">
        <f t="shared" si="34"/>
        <v>NO</v>
      </c>
      <c r="P674" s="9" t="str">
        <f t="shared" si="35"/>
        <v>NO</v>
      </c>
      <c r="Q674" s="9" t="str">
        <f t="shared" si="36"/>
        <v>Unconditioned</v>
      </c>
    </row>
    <row r="675" spans="1:17">
      <c r="A675" s="9">
        <v>12407</v>
      </c>
      <c r="B675" s="9">
        <v>3</v>
      </c>
      <c r="C675" s="9" t="s">
        <v>2224</v>
      </c>
      <c r="D675" s="9" t="s">
        <v>1590</v>
      </c>
      <c r="E675" s="9" t="s">
        <v>1591</v>
      </c>
      <c r="F675" s="9" t="s">
        <v>1589</v>
      </c>
      <c r="G675" s="9" t="s">
        <v>1606</v>
      </c>
      <c r="H675" s="9" t="s">
        <v>174</v>
      </c>
      <c r="I675" s="9" t="s">
        <v>1589</v>
      </c>
      <c r="J675" s="9" t="s">
        <v>1605</v>
      </c>
      <c r="K675" s="9">
        <v>1</v>
      </c>
      <c r="L675" s="9">
        <v>27</v>
      </c>
      <c r="O675" s="9" t="str">
        <f t="shared" si="34"/>
        <v>NO</v>
      </c>
      <c r="P675" s="9" t="str">
        <f t="shared" si="35"/>
        <v>YES</v>
      </c>
      <c r="Q675" s="9" t="str">
        <f t="shared" si="36"/>
        <v>Unconditioned</v>
      </c>
    </row>
    <row r="676" spans="1:17">
      <c r="A676" s="9">
        <v>12408</v>
      </c>
      <c r="B676" s="9">
        <v>1</v>
      </c>
      <c r="C676" s="9" t="s">
        <v>1589</v>
      </c>
      <c r="D676" s="9" t="s">
        <v>1590</v>
      </c>
      <c r="E676" s="9" t="s">
        <v>1591</v>
      </c>
      <c r="F676" s="9" t="s">
        <v>1589</v>
      </c>
      <c r="G676" s="9" t="s">
        <v>1592</v>
      </c>
      <c r="H676" s="9" t="s">
        <v>177</v>
      </c>
      <c r="I676" s="9" t="s">
        <v>2225</v>
      </c>
      <c r="J676" s="9" t="s">
        <v>1597</v>
      </c>
      <c r="K676" s="9">
        <v>1</v>
      </c>
      <c r="L676" s="9">
        <v>18</v>
      </c>
      <c r="M676" s="9">
        <v>1993</v>
      </c>
      <c r="O676" s="9" t="str">
        <f t="shared" si="34"/>
        <v>NO</v>
      </c>
      <c r="P676" s="9" t="str">
        <f t="shared" si="35"/>
        <v>NO</v>
      </c>
      <c r="Q676" s="9" t="str">
        <f t="shared" si="36"/>
        <v>Conditioned</v>
      </c>
    </row>
    <row r="677" spans="1:17">
      <c r="A677" s="9">
        <v>12414</v>
      </c>
      <c r="B677" s="9">
        <v>1</v>
      </c>
      <c r="C677" s="9" t="s">
        <v>1589</v>
      </c>
      <c r="D677" s="9" t="s">
        <v>1590</v>
      </c>
      <c r="E677" s="9" t="s">
        <v>1591</v>
      </c>
      <c r="F677" s="9" t="s">
        <v>1589</v>
      </c>
      <c r="G677" s="9" t="s">
        <v>1592</v>
      </c>
      <c r="H677" s="9" t="s">
        <v>169</v>
      </c>
      <c r="I677" s="9" t="s">
        <v>2226</v>
      </c>
      <c r="J677" s="9" t="s">
        <v>1597</v>
      </c>
      <c r="K677" s="9">
        <v>1</v>
      </c>
      <c r="L677" s="9">
        <v>17</v>
      </c>
      <c r="M677" s="9">
        <v>2006</v>
      </c>
      <c r="O677" s="9" t="str">
        <f t="shared" si="34"/>
        <v>NO</v>
      </c>
      <c r="P677" s="9" t="str">
        <f t="shared" si="35"/>
        <v>NO</v>
      </c>
      <c r="Q677" s="9" t="str">
        <f t="shared" si="36"/>
        <v>Conditioned</v>
      </c>
    </row>
    <row r="678" spans="1:17">
      <c r="A678" s="9">
        <v>12427</v>
      </c>
      <c r="B678" s="9">
        <v>1</v>
      </c>
      <c r="C678" s="9" t="s">
        <v>1589</v>
      </c>
      <c r="D678" s="9" t="s">
        <v>1590</v>
      </c>
      <c r="E678" s="9" t="s">
        <v>1591</v>
      </c>
      <c r="F678" s="9" t="s">
        <v>1589</v>
      </c>
      <c r="G678" s="9" t="s">
        <v>1592</v>
      </c>
      <c r="H678" s="9" t="s">
        <v>170</v>
      </c>
      <c r="I678" s="9" t="s">
        <v>1589</v>
      </c>
      <c r="J678" s="9" t="s">
        <v>1597</v>
      </c>
      <c r="K678" s="9">
        <v>1</v>
      </c>
      <c r="L678" s="9">
        <v>18</v>
      </c>
      <c r="O678" s="9" t="str">
        <f t="shared" si="34"/>
        <v>NO</v>
      </c>
      <c r="P678" s="9" t="str">
        <f t="shared" si="35"/>
        <v>NO</v>
      </c>
      <c r="Q678" s="9" t="str">
        <f t="shared" si="36"/>
        <v>Conditioned</v>
      </c>
    </row>
    <row r="679" spans="1:17">
      <c r="A679" s="9">
        <v>12427</v>
      </c>
      <c r="B679" s="9">
        <v>2</v>
      </c>
      <c r="C679" s="9" t="s">
        <v>1589</v>
      </c>
      <c r="D679" s="9" t="s">
        <v>1590</v>
      </c>
      <c r="E679" s="9" t="s">
        <v>1591</v>
      </c>
      <c r="F679" s="9" t="s">
        <v>1589</v>
      </c>
      <c r="G679" s="9" t="s">
        <v>1592</v>
      </c>
      <c r="H679" s="9" t="s">
        <v>170</v>
      </c>
      <c r="I679" s="9" t="s">
        <v>1589</v>
      </c>
      <c r="J679" s="9" t="s">
        <v>1605</v>
      </c>
      <c r="K679" s="9">
        <v>1</v>
      </c>
      <c r="L679" s="9">
        <v>18</v>
      </c>
      <c r="O679" s="9" t="str">
        <f t="shared" si="34"/>
        <v>NO</v>
      </c>
      <c r="P679" s="9" t="str">
        <f t="shared" si="35"/>
        <v>YES</v>
      </c>
      <c r="Q679" s="9" t="str">
        <f t="shared" si="36"/>
        <v>Conditioned</v>
      </c>
    </row>
    <row r="680" spans="1:17">
      <c r="A680" s="9">
        <v>12434</v>
      </c>
      <c r="B680" s="9">
        <v>1</v>
      </c>
      <c r="C680" s="9" t="s">
        <v>1589</v>
      </c>
      <c r="D680" s="9" t="s">
        <v>1590</v>
      </c>
      <c r="E680" s="9" t="s">
        <v>1591</v>
      </c>
      <c r="F680" s="9" t="s">
        <v>1589</v>
      </c>
      <c r="G680" s="9" t="s">
        <v>1606</v>
      </c>
      <c r="H680" s="9" t="s">
        <v>169</v>
      </c>
      <c r="I680" s="9" t="s">
        <v>2227</v>
      </c>
      <c r="J680" s="9" t="s">
        <v>1587</v>
      </c>
      <c r="K680" s="9">
        <v>1</v>
      </c>
      <c r="L680" s="9">
        <v>15</v>
      </c>
      <c r="M680" s="9">
        <v>2001</v>
      </c>
      <c r="O680" s="9" t="str">
        <f t="shared" si="34"/>
        <v>NO</v>
      </c>
      <c r="P680" s="9" t="str">
        <f t="shared" si="35"/>
        <v>YES</v>
      </c>
      <c r="Q680" s="9" t="str">
        <f t="shared" si="36"/>
        <v>Unconditioned</v>
      </c>
    </row>
    <row r="681" spans="1:17">
      <c r="A681" s="9">
        <v>12434</v>
      </c>
      <c r="B681" s="9">
        <v>2</v>
      </c>
      <c r="C681" s="9" t="s">
        <v>1589</v>
      </c>
      <c r="D681" s="9" t="s">
        <v>1590</v>
      </c>
      <c r="E681" s="9" t="s">
        <v>1591</v>
      </c>
      <c r="F681" s="9" t="s">
        <v>1589</v>
      </c>
      <c r="G681" s="9" t="s">
        <v>1606</v>
      </c>
      <c r="H681" s="9" t="s">
        <v>174</v>
      </c>
      <c r="I681" s="9" t="s">
        <v>1837</v>
      </c>
      <c r="J681" s="9" t="s">
        <v>1597</v>
      </c>
      <c r="K681" s="9">
        <v>1</v>
      </c>
      <c r="L681" s="9">
        <v>22</v>
      </c>
      <c r="M681" s="9">
        <v>1997</v>
      </c>
      <c r="O681" s="9" t="str">
        <f t="shared" si="34"/>
        <v>NO</v>
      </c>
      <c r="P681" s="9" t="str">
        <f t="shared" si="35"/>
        <v>NO</v>
      </c>
      <c r="Q681" s="9" t="str">
        <f t="shared" si="36"/>
        <v>Unconditioned</v>
      </c>
    </row>
    <row r="682" spans="1:17">
      <c r="A682" s="9">
        <v>12456</v>
      </c>
      <c r="B682" s="9">
        <v>1</v>
      </c>
      <c r="C682" s="9" t="s">
        <v>1589</v>
      </c>
      <c r="D682" s="9" t="s">
        <v>1590</v>
      </c>
      <c r="E682" s="9" t="s">
        <v>1591</v>
      </c>
      <c r="F682" s="9" t="s">
        <v>1589</v>
      </c>
      <c r="G682" s="9" t="s">
        <v>1592</v>
      </c>
      <c r="H682" s="9" t="s">
        <v>1638</v>
      </c>
      <c r="I682" s="9" t="s">
        <v>2228</v>
      </c>
      <c r="J682" s="9" t="s">
        <v>1597</v>
      </c>
      <c r="K682" s="9">
        <v>1</v>
      </c>
      <c r="L682" s="9">
        <v>18</v>
      </c>
      <c r="M682" s="9">
        <v>2000</v>
      </c>
      <c r="O682" s="9" t="str">
        <f t="shared" si="34"/>
        <v>NO</v>
      </c>
      <c r="P682" s="9" t="str">
        <f t="shared" si="35"/>
        <v>NO</v>
      </c>
      <c r="Q682" s="9" t="str">
        <f t="shared" si="36"/>
        <v>Conditioned</v>
      </c>
    </row>
    <row r="683" spans="1:17">
      <c r="A683" s="9">
        <v>12458</v>
      </c>
      <c r="B683" s="9">
        <v>1</v>
      </c>
      <c r="C683" s="9" t="s">
        <v>1589</v>
      </c>
      <c r="D683" s="9" t="s">
        <v>1590</v>
      </c>
      <c r="E683" s="9" t="s">
        <v>1602</v>
      </c>
      <c r="F683" s="9" t="s">
        <v>1603</v>
      </c>
      <c r="G683" s="9" t="s">
        <v>1592</v>
      </c>
      <c r="H683" s="9" t="s">
        <v>177</v>
      </c>
      <c r="I683" s="9" t="s">
        <v>2229</v>
      </c>
      <c r="J683" s="9" t="s">
        <v>1601</v>
      </c>
      <c r="K683" s="9">
        <v>1</v>
      </c>
      <c r="L683" s="9">
        <v>25</v>
      </c>
      <c r="M683" s="9">
        <v>1993</v>
      </c>
      <c r="O683" s="9" t="str">
        <f t="shared" si="34"/>
        <v>NO</v>
      </c>
      <c r="P683" s="9" t="str">
        <f t="shared" si="35"/>
        <v>NO</v>
      </c>
      <c r="Q683" s="9" t="str">
        <f t="shared" si="36"/>
        <v>Conditioned</v>
      </c>
    </row>
    <row r="684" spans="1:17">
      <c r="A684" s="9">
        <v>12458</v>
      </c>
      <c r="B684" s="9">
        <v>2</v>
      </c>
      <c r="C684" s="9" t="s">
        <v>1589</v>
      </c>
      <c r="D684" s="9" t="s">
        <v>1590</v>
      </c>
      <c r="E684" s="9" t="s">
        <v>1591</v>
      </c>
      <c r="F684" s="9" t="s">
        <v>1589</v>
      </c>
      <c r="G684" s="9" t="s">
        <v>1592</v>
      </c>
      <c r="H684" s="9" t="s">
        <v>1589</v>
      </c>
      <c r="I684" s="9" t="s">
        <v>1589</v>
      </c>
      <c r="J684" s="9" t="s">
        <v>1605</v>
      </c>
      <c r="L684" s="9">
        <v>22</v>
      </c>
      <c r="O684" s="9" t="str">
        <f t="shared" si="34"/>
        <v>NO</v>
      </c>
      <c r="P684" s="9" t="str">
        <f t="shared" si="35"/>
        <v>YES</v>
      </c>
      <c r="Q684" s="9" t="str">
        <f t="shared" si="36"/>
        <v>Conditioned</v>
      </c>
    </row>
    <row r="685" spans="1:17">
      <c r="A685" s="9">
        <v>12460</v>
      </c>
      <c r="B685" s="9">
        <v>1</v>
      </c>
      <c r="C685" s="9" t="s">
        <v>2230</v>
      </c>
      <c r="D685" s="9" t="s">
        <v>1590</v>
      </c>
      <c r="E685" s="9" t="s">
        <v>1591</v>
      </c>
      <c r="F685" s="9" t="s">
        <v>1589</v>
      </c>
      <c r="G685" s="9" t="s">
        <v>1606</v>
      </c>
      <c r="H685" s="9" t="s">
        <v>170</v>
      </c>
      <c r="I685" s="9" t="s">
        <v>1589</v>
      </c>
      <c r="J685" s="9" t="s">
        <v>1597</v>
      </c>
      <c r="K685" s="9">
        <v>1</v>
      </c>
      <c r="L685" s="9">
        <v>18</v>
      </c>
      <c r="O685" s="9" t="str">
        <f t="shared" si="34"/>
        <v>NO</v>
      </c>
      <c r="P685" s="9" t="str">
        <f t="shared" si="35"/>
        <v>NO</v>
      </c>
      <c r="Q685" s="9" t="str">
        <f t="shared" si="36"/>
        <v>Unconditioned</v>
      </c>
    </row>
    <row r="686" spans="1:17">
      <c r="A686" s="9">
        <v>12460</v>
      </c>
      <c r="B686" s="9">
        <v>2</v>
      </c>
      <c r="C686" s="9" t="s">
        <v>1589</v>
      </c>
      <c r="D686" s="9" t="s">
        <v>1590</v>
      </c>
      <c r="E686" s="9" t="s">
        <v>1613</v>
      </c>
      <c r="F686" s="9" t="s">
        <v>1603</v>
      </c>
      <c r="G686" s="9" t="s">
        <v>1592</v>
      </c>
      <c r="H686" s="9" t="s">
        <v>174</v>
      </c>
      <c r="I686" s="9" t="s">
        <v>2231</v>
      </c>
      <c r="J686" s="9" t="s">
        <v>1608</v>
      </c>
      <c r="K686" s="9">
        <v>1</v>
      </c>
      <c r="L686" s="9">
        <v>25</v>
      </c>
      <c r="M686" s="9">
        <v>2000</v>
      </c>
      <c r="O686" s="9" t="str">
        <f t="shared" si="34"/>
        <v>NO</v>
      </c>
      <c r="P686" s="9" t="str">
        <f t="shared" si="35"/>
        <v>NO</v>
      </c>
      <c r="Q686" s="9" t="str">
        <f t="shared" si="36"/>
        <v>Conditioned</v>
      </c>
    </row>
    <row r="687" spans="1:17">
      <c r="A687" s="9">
        <v>12460</v>
      </c>
      <c r="B687" s="9">
        <v>3</v>
      </c>
      <c r="C687" s="9" t="s">
        <v>2232</v>
      </c>
      <c r="D687" s="9" t="s">
        <v>1590</v>
      </c>
      <c r="E687" s="9" t="s">
        <v>1613</v>
      </c>
      <c r="F687" s="9" t="s">
        <v>1590</v>
      </c>
      <c r="G687" s="9" t="s">
        <v>1606</v>
      </c>
      <c r="H687" s="9" t="s">
        <v>170</v>
      </c>
      <c r="I687" s="9" t="s">
        <v>1589</v>
      </c>
      <c r="J687" s="9" t="s">
        <v>1605</v>
      </c>
      <c r="K687" s="9">
        <v>1</v>
      </c>
      <c r="L687" s="9">
        <v>25</v>
      </c>
      <c r="O687" s="9" t="str">
        <f t="shared" si="34"/>
        <v>NO</v>
      </c>
      <c r="P687" s="9" t="str">
        <f t="shared" si="35"/>
        <v>YES</v>
      </c>
      <c r="Q687" s="9" t="str">
        <f t="shared" si="36"/>
        <v>Unconditioned</v>
      </c>
    </row>
    <row r="688" spans="1:17">
      <c r="A688" s="9">
        <v>12478</v>
      </c>
      <c r="B688" s="9">
        <v>1</v>
      </c>
      <c r="C688" s="9" t="s">
        <v>1589</v>
      </c>
      <c r="D688" s="9" t="s">
        <v>1590</v>
      </c>
      <c r="E688" s="9" t="s">
        <v>1602</v>
      </c>
      <c r="F688" s="9" t="s">
        <v>1603</v>
      </c>
      <c r="G688" s="9" t="s">
        <v>1592</v>
      </c>
      <c r="H688" s="9" t="s">
        <v>173</v>
      </c>
      <c r="I688" s="9" t="s">
        <v>2233</v>
      </c>
      <c r="J688" s="9" t="s">
        <v>1601</v>
      </c>
      <c r="K688" s="9">
        <v>1</v>
      </c>
      <c r="L688" s="9">
        <v>24</v>
      </c>
      <c r="M688" s="9">
        <v>2002</v>
      </c>
      <c r="O688" s="9" t="str">
        <f t="shared" si="34"/>
        <v>NO</v>
      </c>
      <c r="P688" s="9" t="str">
        <f t="shared" si="35"/>
        <v>NO</v>
      </c>
      <c r="Q688" s="9" t="str">
        <f t="shared" si="36"/>
        <v>Conditioned</v>
      </c>
    </row>
    <row r="689" spans="1:17">
      <c r="A689" s="9">
        <v>12478</v>
      </c>
      <c r="B689" s="9">
        <v>2</v>
      </c>
      <c r="C689" s="9" t="s">
        <v>2234</v>
      </c>
      <c r="D689" s="9" t="s">
        <v>1590</v>
      </c>
      <c r="E689" s="9" t="s">
        <v>1591</v>
      </c>
      <c r="F689" s="9" t="s">
        <v>1589</v>
      </c>
      <c r="G689" s="9" t="s">
        <v>1606</v>
      </c>
      <c r="H689" s="9" t="s">
        <v>2235</v>
      </c>
      <c r="I689" s="9" t="s">
        <v>1589</v>
      </c>
      <c r="J689" s="9" t="s">
        <v>1587</v>
      </c>
      <c r="K689" s="9">
        <v>1</v>
      </c>
      <c r="L689" s="9">
        <v>15</v>
      </c>
      <c r="O689" s="9" t="str">
        <f t="shared" si="34"/>
        <v>NO</v>
      </c>
      <c r="P689" s="9" t="str">
        <f t="shared" si="35"/>
        <v>YES</v>
      </c>
      <c r="Q689" s="9" t="str">
        <f t="shared" si="36"/>
        <v>Unconditioned</v>
      </c>
    </row>
    <row r="690" spans="1:17">
      <c r="A690" s="9">
        <v>12478</v>
      </c>
      <c r="B690" s="9">
        <v>3</v>
      </c>
      <c r="C690" s="9" t="s">
        <v>1589</v>
      </c>
      <c r="D690" s="9" t="s">
        <v>1590</v>
      </c>
      <c r="E690" s="9" t="s">
        <v>1591</v>
      </c>
      <c r="F690" s="9" t="s">
        <v>1589</v>
      </c>
      <c r="G690" s="9" t="s">
        <v>1606</v>
      </c>
      <c r="H690" s="9" t="s">
        <v>1638</v>
      </c>
      <c r="I690" s="9" t="s">
        <v>2236</v>
      </c>
      <c r="J690" s="9" t="s">
        <v>1597</v>
      </c>
      <c r="K690" s="9">
        <v>1</v>
      </c>
      <c r="L690" s="9">
        <v>18</v>
      </c>
      <c r="M690" s="9">
        <v>2005</v>
      </c>
      <c r="O690" s="9" t="str">
        <f t="shared" si="34"/>
        <v>NO</v>
      </c>
      <c r="P690" s="9" t="str">
        <f t="shared" si="35"/>
        <v>NO</v>
      </c>
      <c r="Q690" s="9" t="str">
        <f t="shared" si="36"/>
        <v>Unconditioned</v>
      </c>
    </row>
    <row r="691" spans="1:17">
      <c r="A691" s="9">
        <v>12482</v>
      </c>
      <c r="B691" s="9">
        <v>1</v>
      </c>
      <c r="C691" s="9" t="s">
        <v>1589</v>
      </c>
      <c r="D691" s="9" t="s">
        <v>1590</v>
      </c>
      <c r="E691" s="9" t="s">
        <v>1602</v>
      </c>
      <c r="F691" s="9" t="s">
        <v>1603</v>
      </c>
      <c r="G691" s="9" t="s">
        <v>1606</v>
      </c>
      <c r="H691" s="9" t="s">
        <v>173</v>
      </c>
      <c r="I691" s="9" t="s">
        <v>2237</v>
      </c>
      <c r="J691" s="9" t="s">
        <v>1610</v>
      </c>
      <c r="K691" s="9">
        <v>1</v>
      </c>
      <c r="L691" s="9">
        <v>25</v>
      </c>
      <c r="M691" s="9">
        <v>2008</v>
      </c>
      <c r="O691" s="9" t="str">
        <f t="shared" si="34"/>
        <v>NO</v>
      </c>
      <c r="P691" s="9" t="str">
        <f t="shared" si="35"/>
        <v>NO</v>
      </c>
      <c r="Q691" s="9" t="str">
        <f t="shared" si="36"/>
        <v>Unconditioned</v>
      </c>
    </row>
    <row r="692" spans="1:17">
      <c r="A692" s="9">
        <v>12482</v>
      </c>
      <c r="B692" s="9">
        <v>2</v>
      </c>
      <c r="C692" s="9" t="s">
        <v>1589</v>
      </c>
      <c r="D692" s="9" t="s">
        <v>1590</v>
      </c>
      <c r="E692" s="9" t="s">
        <v>1602</v>
      </c>
      <c r="F692" s="9" t="s">
        <v>1603</v>
      </c>
      <c r="G692" s="9" t="s">
        <v>1592</v>
      </c>
      <c r="H692" s="9" t="s">
        <v>177</v>
      </c>
      <c r="I692" s="9" t="s">
        <v>2238</v>
      </c>
      <c r="J692" s="9" t="s">
        <v>1601</v>
      </c>
      <c r="K692" s="9">
        <v>1</v>
      </c>
      <c r="L692" s="9">
        <v>22</v>
      </c>
      <c r="M692" s="9">
        <v>1996</v>
      </c>
      <c r="O692" s="9" t="str">
        <f t="shared" si="34"/>
        <v>NO</v>
      </c>
      <c r="P692" s="9" t="str">
        <f t="shared" si="35"/>
        <v>NO</v>
      </c>
      <c r="Q692" s="9" t="str">
        <f t="shared" si="36"/>
        <v>Conditioned</v>
      </c>
    </row>
    <row r="693" spans="1:17">
      <c r="A693" s="9">
        <v>12482</v>
      </c>
      <c r="B693" s="9">
        <v>3</v>
      </c>
      <c r="C693" s="9" t="s">
        <v>1589</v>
      </c>
      <c r="D693" s="9" t="s">
        <v>1590</v>
      </c>
      <c r="E693" s="9" t="s">
        <v>1591</v>
      </c>
      <c r="F693" s="9" t="s">
        <v>1589</v>
      </c>
      <c r="G693" s="9" t="s">
        <v>1606</v>
      </c>
      <c r="H693" s="9" t="s">
        <v>169</v>
      </c>
      <c r="I693" s="9" t="s">
        <v>2239</v>
      </c>
      <c r="J693" s="9" t="s">
        <v>1605</v>
      </c>
      <c r="K693" s="9">
        <v>1</v>
      </c>
      <c r="L693" s="9">
        <v>14</v>
      </c>
      <c r="M693" s="9">
        <v>2009</v>
      </c>
      <c r="O693" s="9" t="str">
        <f t="shared" si="34"/>
        <v>NO</v>
      </c>
      <c r="P693" s="9" t="str">
        <f t="shared" si="35"/>
        <v>YES</v>
      </c>
      <c r="Q693" s="9" t="str">
        <f t="shared" si="36"/>
        <v>Unconditioned</v>
      </c>
    </row>
    <row r="694" spans="1:17">
      <c r="A694" s="9">
        <v>12483</v>
      </c>
      <c r="B694" s="9">
        <v>1</v>
      </c>
      <c r="C694" s="9" t="s">
        <v>1589</v>
      </c>
      <c r="D694" s="9" t="s">
        <v>1590</v>
      </c>
      <c r="E694" s="9" t="s">
        <v>1591</v>
      </c>
      <c r="F694" s="9" t="s">
        <v>1589</v>
      </c>
      <c r="G694" s="9" t="s">
        <v>1592</v>
      </c>
      <c r="H694" s="9" t="s">
        <v>170</v>
      </c>
      <c r="I694" s="9" t="s">
        <v>2240</v>
      </c>
      <c r="J694" s="9" t="s">
        <v>1597</v>
      </c>
      <c r="K694" s="9">
        <v>1</v>
      </c>
      <c r="L694" s="9">
        <v>22</v>
      </c>
      <c r="M694" s="9">
        <v>2008</v>
      </c>
      <c r="O694" s="9" t="str">
        <f t="shared" si="34"/>
        <v>NO</v>
      </c>
      <c r="P694" s="9" t="str">
        <f t="shared" si="35"/>
        <v>NO</v>
      </c>
      <c r="Q694" s="9" t="str">
        <f t="shared" si="36"/>
        <v>Conditioned</v>
      </c>
    </row>
    <row r="695" spans="1:17">
      <c r="A695" s="9">
        <v>12486</v>
      </c>
      <c r="B695" s="9">
        <v>1</v>
      </c>
      <c r="C695" s="9" t="s">
        <v>1589</v>
      </c>
      <c r="D695" s="9" t="s">
        <v>1590</v>
      </c>
      <c r="E695" s="9" t="s">
        <v>1602</v>
      </c>
      <c r="F695" s="9" t="s">
        <v>1603</v>
      </c>
      <c r="G695" s="9" t="s">
        <v>1592</v>
      </c>
      <c r="H695" s="9" t="s">
        <v>170</v>
      </c>
      <c r="I695" s="9" t="s">
        <v>2241</v>
      </c>
      <c r="J695" s="9" t="s">
        <v>1601</v>
      </c>
      <c r="K695" s="9">
        <v>1</v>
      </c>
      <c r="L695" s="9">
        <v>26</v>
      </c>
      <c r="M695" s="9">
        <v>1998</v>
      </c>
      <c r="O695" s="9" t="str">
        <f t="shared" si="34"/>
        <v>NO</v>
      </c>
      <c r="P695" s="9" t="str">
        <f t="shared" si="35"/>
        <v>NO</v>
      </c>
      <c r="Q695" s="9" t="str">
        <f t="shared" si="36"/>
        <v>Conditioned</v>
      </c>
    </row>
    <row r="696" spans="1:17">
      <c r="A696" s="9">
        <v>12486</v>
      </c>
      <c r="B696" s="9">
        <v>2</v>
      </c>
      <c r="C696" s="9" t="s">
        <v>1589</v>
      </c>
      <c r="D696" s="9" t="s">
        <v>1590</v>
      </c>
      <c r="E696" s="9" t="s">
        <v>1613</v>
      </c>
      <c r="F696" s="9" t="s">
        <v>1603</v>
      </c>
      <c r="G696" s="9" t="s">
        <v>1606</v>
      </c>
      <c r="H696" s="9" t="s">
        <v>170</v>
      </c>
      <c r="I696" s="9" t="s">
        <v>2242</v>
      </c>
      <c r="J696" s="9" t="s">
        <v>1597</v>
      </c>
      <c r="K696" s="9">
        <v>1</v>
      </c>
      <c r="L696" s="9">
        <v>25</v>
      </c>
      <c r="M696" s="9">
        <v>1991</v>
      </c>
      <c r="O696" s="9" t="str">
        <f t="shared" si="34"/>
        <v>NO</v>
      </c>
      <c r="P696" s="9" t="str">
        <f t="shared" si="35"/>
        <v>NO</v>
      </c>
      <c r="Q696" s="9" t="str">
        <f t="shared" si="36"/>
        <v>Unconditioned</v>
      </c>
    </row>
    <row r="697" spans="1:17">
      <c r="A697" s="9">
        <v>12489</v>
      </c>
      <c r="B697" s="9">
        <v>1</v>
      </c>
      <c r="C697" s="9" t="s">
        <v>1589</v>
      </c>
      <c r="D697" s="9" t="s">
        <v>1590</v>
      </c>
      <c r="E697" s="9" t="s">
        <v>1602</v>
      </c>
      <c r="F697" s="9" t="s">
        <v>1603</v>
      </c>
      <c r="G697" s="9" t="s">
        <v>1592</v>
      </c>
      <c r="H697" s="9" t="s">
        <v>1589</v>
      </c>
      <c r="I697" s="9" t="s">
        <v>2243</v>
      </c>
      <c r="J697" s="9" t="s">
        <v>1601</v>
      </c>
      <c r="K697" s="9">
        <v>1</v>
      </c>
      <c r="L697" s="9">
        <v>20</v>
      </c>
      <c r="M697" s="9">
        <v>2000</v>
      </c>
      <c r="O697" s="9" t="str">
        <f t="shared" si="34"/>
        <v>NO</v>
      </c>
      <c r="P697" s="9" t="str">
        <f t="shared" si="35"/>
        <v>NO</v>
      </c>
      <c r="Q697" s="9" t="str">
        <f t="shared" si="36"/>
        <v>Conditioned</v>
      </c>
    </row>
    <row r="698" spans="1:17">
      <c r="A698" s="9">
        <v>12489</v>
      </c>
      <c r="B698" s="9">
        <v>2</v>
      </c>
      <c r="C698" s="9" t="s">
        <v>1589</v>
      </c>
      <c r="D698" s="9" t="s">
        <v>1590</v>
      </c>
      <c r="E698" s="9" t="s">
        <v>1591</v>
      </c>
      <c r="F698" s="9" t="s">
        <v>1589</v>
      </c>
      <c r="G698" s="9" t="s">
        <v>1592</v>
      </c>
      <c r="H698" s="9" t="s">
        <v>177</v>
      </c>
      <c r="I698" s="9" t="s">
        <v>2244</v>
      </c>
      <c r="J698" s="9" t="s">
        <v>1597</v>
      </c>
      <c r="K698" s="9">
        <v>1</v>
      </c>
      <c r="L698" s="9">
        <v>18</v>
      </c>
      <c r="M698" s="9">
        <v>1992</v>
      </c>
      <c r="O698" s="9" t="str">
        <f t="shared" si="34"/>
        <v>NO</v>
      </c>
      <c r="P698" s="9" t="str">
        <f t="shared" si="35"/>
        <v>NO</v>
      </c>
      <c r="Q698" s="9" t="str">
        <f t="shared" si="36"/>
        <v>Conditioned</v>
      </c>
    </row>
    <row r="699" spans="1:17">
      <c r="A699" s="9">
        <v>12494</v>
      </c>
      <c r="B699" s="9">
        <v>1</v>
      </c>
      <c r="C699" s="9" t="s">
        <v>1589</v>
      </c>
      <c r="D699" s="9" t="s">
        <v>1590</v>
      </c>
      <c r="E699" s="9" t="s">
        <v>1613</v>
      </c>
      <c r="F699" s="9" t="s">
        <v>1603</v>
      </c>
      <c r="G699" s="9" t="s">
        <v>1592</v>
      </c>
      <c r="H699" s="9" t="s">
        <v>1463</v>
      </c>
      <c r="I699" s="9" t="s">
        <v>2245</v>
      </c>
      <c r="J699" s="9" t="s">
        <v>1601</v>
      </c>
      <c r="K699" s="9">
        <v>1</v>
      </c>
      <c r="L699" s="9">
        <v>26</v>
      </c>
      <c r="M699" s="9">
        <v>1996</v>
      </c>
      <c r="O699" s="9" t="str">
        <f t="shared" si="34"/>
        <v>NO</v>
      </c>
      <c r="P699" s="9" t="str">
        <f t="shared" si="35"/>
        <v>NO</v>
      </c>
      <c r="Q699" s="9" t="str">
        <f t="shared" si="36"/>
        <v>Conditioned</v>
      </c>
    </row>
    <row r="700" spans="1:17">
      <c r="A700" s="9">
        <v>12494</v>
      </c>
      <c r="B700" s="9">
        <v>2</v>
      </c>
      <c r="C700" s="9" t="s">
        <v>1589</v>
      </c>
      <c r="D700" s="9" t="s">
        <v>1590</v>
      </c>
      <c r="E700" s="9" t="s">
        <v>1613</v>
      </c>
      <c r="F700" s="9" t="s">
        <v>1603</v>
      </c>
      <c r="G700" s="9" t="s">
        <v>1606</v>
      </c>
      <c r="H700" s="9" t="s">
        <v>2246</v>
      </c>
      <c r="I700" s="9" t="s">
        <v>2247</v>
      </c>
      <c r="J700" s="9" t="s">
        <v>1597</v>
      </c>
      <c r="K700" s="9">
        <v>1</v>
      </c>
      <c r="L700" s="9">
        <v>21</v>
      </c>
      <c r="M700" s="9">
        <v>2007</v>
      </c>
      <c r="O700" s="9" t="str">
        <f t="shared" si="34"/>
        <v>NO</v>
      </c>
      <c r="P700" s="9" t="str">
        <f t="shared" si="35"/>
        <v>NO</v>
      </c>
      <c r="Q700" s="9" t="str">
        <f t="shared" si="36"/>
        <v>Unconditioned</v>
      </c>
    </row>
    <row r="701" spans="1:17">
      <c r="A701" s="9">
        <v>12496</v>
      </c>
      <c r="B701" s="9">
        <v>1</v>
      </c>
      <c r="C701" s="9" t="s">
        <v>1589</v>
      </c>
      <c r="D701" s="9" t="s">
        <v>1590</v>
      </c>
      <c r="E701" s="9" t="s">
        <v>1591</v>
      </c>
      <c r="F701" s="9" t="s">
        <v>1589</v>
      </c>
      <c r="G701" s="9" t="s">
        <v>1606</v>
      </c>
      <c r="H701" s="9" t="s">
        <v>177</v>
      </c>
      <c r="I701" s="9" t="s">
        <v>1589</v>
      </c>
      <c r="J701" s="9" t="s">
        <v>1587</v>
      </c>
      <c r="K701" s="9">
        <v>1</v>
      </c>
      <c r="L701" s="9">
        <v>8</v>
      </c>
      <c r="M701" s="9">
        <v>2006</v>
      </c>
      <c r="O701" s="9" t="str">
        <f t="shared" si="34"/>
        <v>NO</v>
      </c>
      <c r="P701" s="9" t="str">
        <f t="shared" si="35"/>
        <v>YES</v>
      </c>
      <c r="Q701" s="9" t="str">
        <f t="shared" si="36"/>
        <v>Unconditioned</v>
      </c>
    </row>
    <row r="702" spans="1:17">
      <c r="A702" s="9">
        <v>12496</v>
      </c>
      <c r="B702" s="9">
        <v>2</v>
      </c>
      <c r="C702" s="9" t="s">
        <v>1589</v>
      </c>
      <c r="D702" s="9" t="s">
        <v>1590</v>
      </c>
      <c r="E702" s="9" t="s">
        <v>1602</v>
      </c>
      <c r="F702" s="9" t="s">
        <v>1603</v>
      </c>
      <c r="G702" s="9" t="s">
        <v>1592</v>
      </c>
      <c r="H702" s="9" t="s">
        <v>177</v>
      </c>
      <c r="I702" s="9" t="s">
        <v>2248</v>
      </c>
      <c r="J702" s="9" t="s">
        <v>1601</v>
      </c>
      <c r="K702" s="9">
        <v>1</v>
      </c>
      <c r="L702" s="9">
        <v>25</v>
      </c>
      <c r="M702" s="9">
        <v>2000</v>
      </c>
      <c r="O702" s="9" t="str">
        <f t="shared" si="34"/>
        <v>NO</v>
      </c>
      <c r="P702" s="9" t="str">
        <f t="shared" si="35"/>
        <v>NO</v>
      </c>
      <c r="Q702" s="9" t="str">
        <f t="shared" si="36"/>
        <v>Conditioned</v>
      </c>
    </row>
    <row r="703" spans="1:17">
      <c r="A703" s="9">
        <v>12499</v>
      </c>
      <c r="B703" s="9">
        <v>1</v>
      </c>
      <c r="C703" s="9" t="s">
        <v>1589</v>
      </c>
      <c r="D703" s="9" t="s">
        <v>1603</v>
      </c>
      <c r="E703" s="9" t="s">
        <v>1613</v>
      </c>
      <c r="F703" s="9" t="s">
        <v>1603</v>
      </c>
      <c r="G703" s="9" t="s">
        <v>1592</v>
      </c>
      <c r="H703" s="9" t="s">
        <v>176</v>
      </c>
      <c r="I703" s="9" t="s">
        <v>2249</v>
      </c>
      <c r="J703" s="9" t="s">
        <v>1608</v>
      </c>
      <c r="K703" s="9">
        <v>1</v>
      </c>
      <c r="L703" s="9">
        <v>26</v>
      </c>
      <c r="M703" s="9">
        <v>2011</v>
      </c>
      <c r="O703" s="9" t="str">
        <f t="shared" si="34"/>
        <v>NO</v>
      </c>
      <c r="P703" s="9" t="str">
        <f t="shared" si="35"/>
        <v>NO</v>
      </c>
      <c r="Q703" s="9" t="str">
        <f t="shared" si="36"/>
        <v>Conditioned</v>
      </c>
    </row>
    <row r="704" spans="1:17">
      <c r="A704" s="9">
        <v>12499</v>
      </c>
      <c r="B704" s="9">
        <v>2</v>
      </c>
      <c r="C704" s="9" t="s">
        <v>1589</v>
      </c>
      <c r="D704" s="9" t="s">
        <v>1590</v>
      </c>
      <c r="E704" s="9" t="s">
        <v>1591</v>
      </c>
      <c r="F704" s="9" t="s">
        <v>1589</v>
      </c>
      <c r="G704" s="9" t="s">
        <v>1592</v>
      </c>
      <c r="H704" s="9" t="s">
        <v>170</v>
      </c>
      <c r="I704" s="9" t="s">
        <v>2250</v>
      </c>
      <c r="J704" s="9" t="s">
        <v>1587</v>
      </c>
      <c r="K704" s="9">
        <v>1</v>
      </c>
      <c r="L704" s="9">
        <v>12</v>
      </c>
      <c r="M704" s="9">
        <v>2009</v>
      </c>
      <c r="O704" s="9" t="str">
        <f t="shared" si="34"/>
        <v>NO</v>
      </c>
      <c r="P704" s="9" t="str">
        <f t="shared" si="35"/>
        <v>YES</v>
      </c>
      <c r="Q704" s="9" t="str">
        <f t="shared" si="36"/>
        <v>Conditioned</v>
      </c>
    </row>
    <row r="705" spans="1:17">
      <c r="A705" s="9">
        <v>12504</v>
      </c>
      <c r="B705" s="9">
        <v>1</v>
      </c>
      <c r="C705" s="9" t="s">
        <v>1589</v>
      </c>
      <c r="D705" s="9" t="s">
        <v>1590</v>
      </c>
      <c r="E705" s="9" t="s">
        <v>1591</v>
      </c>
      <c r="F705" s="9" t="s">
        <v>1589</v>
      </c>
      <c r="G705" s="9" t="s">
        <v>1592</v>
      </c>
      <c r="H705" s="9" t="s">
        <v>177</v>
      </c>
      <c r="I705" s="9" t="s">
        <v>2251</v>
      </c>
      <c r="J705" s="9" t="s">
        <v>1597</v>
      </c>
      <c r="K705" s="9">
        <v>1</v>
      </c>
      <c r="L705" s="9">
        <v>20</v>
      </c>
      <c r="M705" s="9">
        <v>2009</v>
      </c>
      <c r="O705" s="9" t="str">
        <f t="shared" si="34"/>
        <v>NO</v>
      </c>
      <c r="P705" s="9" t="str">
        <f t="shared" si="35"/>
        <v>NO</v>
      </c>
      <c r="Q705" s="9" t="str">
        <f t="shared" si="36"/>
        <v>Conditioned</v>
      </c>
    </row>
    <row r="706" spans="1:17">
      <c r="A706" s="9">
        <v>12505</v>
      </c>
      <c r="B706" s="9">
        <v>1</v>
      </c>
      <c r="C706" s="9" t="s">
        <v>1589</v>
      </c>
      <c r="D706" s="9" t="s">
        <v>1590</v>
      </c>
      <c r="E706" s="9" t="s">
        <v>1602</v>
      </c>
      <c r="F706" s="9" t="s">
        <v>1603</v>
      </c>
      <c r="G706" s="9" t="s">
        <v>1592</v>
      </c>
      <c r="H706" s="9" t="s">
        <v>177</v>
      </c>
      <c r="I706" s="9" t="s">
        <v>2252</v>
      </c>
      <c r="J706" s="9" t="s">
        <v>1601</v>
      </c>
      <c r="K706" s="9">
        <v>1</v>
      </c>
      <c r="L706" s="9">
        <v>25</v>
      </c>
      <c r="M706" s="9">
        <v>2006</v>
      </c>
      <c r="O706" s="9" t="str">
        <f t="shared" si="34"/>
        <v>NO</v>
      </c>
      <c r="P706" s="9" t="str">
        <f t="shared" si="35"/>
        <v>NO</v>
      </c>
      <c r="Q706" s="9" t="str">
        <f t="shared" si="36"/>
        <v>Conditioned</v>
      </c>
    </row>
    <row r="707" spans="1:17">
      <c r="A707" s="9">
        <v>12507</v>
      </c>
      <c r="B707" s="9">
        <v>1</v>
      </c>
      <c r="C707" s="9" t="s">
        <v>1589</v>
      </c>
      <c r="D707" s="9" t="s">
        <v>1590</v>
      </c>
      <c r="E707" s="9" t="s">
        <v>1591</v>
      </c>
      <c r="F707" s="9" t="s">
        <v>1589</v>
      </c>
      <c r="G707" s="9" t="s">
        <v>1592</v>
      </c>
      <c r="H707" s="9" t="s">
        <v>170</v>
      </c>
      <c r="I707" s="9" t="s">
        <v>2253</v>
      </c>
      <c r="J707" s="9" t="s">
        <v>1608</v>
      </c>
      <c r="K707" s="9">
        <v>1</v>
      </c>
      <c r="L707" s="9">
        <v>19</v>
      </c>
      <c r="M707" s="9">
        <v>2008</v>
      </c>
      <c r="O707" s="9" t="str">
        <f t="shared" si="34"/>
        <v>NO</v>
      </c>
      <c r="P707" s="9" t="str">
        <f t="shared" si="35"/>
        <v>NO</v>
      </c>
      <c r="Q707" s="9" t="str">
        <f t="shared" si="36"/>
        <v>Conditioned</v>
      </c>
    </row>
    <row r="708" spans="1:17">
      <c r="A708" s="9">
        <v>12507</v>
      </c>
      <c r="B708" s="9">
        <v>2</v>
      </c>
      <c r="C708" s="9" t="s">
        <v>1589</v>
      </c>
      <c r="D708" s="9" t="s">
        <v>1590</v>
      </c>
      <c r="E708" s="9" t="s">
        <v>1591</v>
      </c>
      <c r="F708" s="9" t="s">
        <v>1589</v>
      </c>
      <c r="G708" s="9" t="s">
        <v>1606</v>
      </c>
      <c r="H708" s="9" t="s">
        <v>1632</v>
      </c>
      <c r="I708" s="9" t="s">
        <v>2254</v>
      </c>
      <c r="J708" s="9" t="s">
        <v>1605</v>
      </c>
      <c r="K708" s="9">
        <v>1</v>
      </c>
      <c r="L708" s="9">
        <v>11</v>
      </c>
      <c r="M708" s="9">
        <v>2009</v>
      </c>
      <c r="O708" s="9" t="str">
        <f t="shared" si="34"/>
        <v>NO</v>
      </c>
      <c r="P708" s="9" t="str">
        <f t="shared" si="35"/>
        <v>YES</v>
      </c>
      <c r="Q708" s="9" t="str">
        <f t="shared" si="36"/>
        <v>Unconditioned</v>
      </c>
    </row>
    <row r="709" spans="1:17">
      <c r="A709" s="9">
        <v>12510</v>
      </c>
      <c r="B709" s="9">
        <v>1</v>
      </c>
      <c r="C709" s="9" t="s">
        <v>1589</v>
      </c>
      <c r="D709" s="9" t="s">
        <v>1590</v>
      </c>
      <c r="E709" s="9" t="s">
        <v>1602</v>
      </c>
      <c r="F709" s="9" t="s">
        <v>1603</v>
      </c>
      <c r="G709" s="9" t="s">
        <v>1592</v>
      </c>
      <c r="H709" s="9" t="s">
        <v>177</v>
      </c>
      <c r="I709" s="9" t="s">
        <v>2255</v>
      </c>
      <c r="J709" s="9" t="s">
        <v>1608</v>
      </c>
      <c r="K709" s="9">
        <v>1</v>
      </c>
      <c r="L709" s="9">
        <v>26</v>
      </c>
      <c r="M709" s="9">
        <v>2010</v>
      </c>
      <c r="O709" s="9" t="str">
        <f t="shared" si="34"/>
        <v>NO</v>
      </c>
      <c r="P709" s="9" t="str">
        <f t="shared" si="35"/>
        <v>NO</v>
      </c>
      <c r="Q709" s="9" t="str">
        <f t="shared" si="36"/>
        <v>Conditioned</v>
      </c>
    </row>
    <row r="710" spans="1:17">
      <c r="A710" s="9">
        <v>12510</v>
      </c>
      <c r="B710" s="9">
        <v>2</v>
      </c>
      <c r="C710" s="9" t="s">
        <v>1589</v>
      </c>
      <c r="D710" s="9" t="s">
        <v>1590</v>
      </c>
      <c r="E710" s="9" t="s">
        <v>1591</v>
      </c>
      <c r="F710" s="9" t="s">
        <v>1589</v>
      </c>
      <c r="G710" s="9" t="s">
        <v>1592</v>
      </c>
      <c r="H710" s="9" t="s">
        <v>177</v>
      </c>
      <c r="I710" s="9" t="s">
        <v>2256</v>
      </c>
      <c r="J710" s="9" t="s">
        <v>1605</v>
      </c>
      <c r="K710" s="9">
        <v>1</v>
      </c>
      <c r="L710" s="9">
        <v>20</v>
      </c>
      <c r="M710" s="9">
        <v>2002</v>
      </c>
      <c r="O710" s="9" t="str">
        <f t="shared" si="34"/>
        <v>NO</v>
      </c>
      <c r="P710" s="9" t="str">
        <f t="shared" si="35"/>
        <v>YES</v>
      </c>
      <c r="Q710" s="9" t="str">
        <f t="shared" si="36"/>
        <v>Conditioned</v>
      </c>
    </row>
    <row r="711" spans="1:17">
      <c r="A711" s="9">
        <v>12510</v>
      </c>
      <c r="B711" s="9">
        <v>3</v>
      </c>
      <c r="C711" s="9" t="s">
        <v>1589</v>
      </c>
      <c r="D711" s="9" t="s">
        <v>1590</v>
      </c>
      <c r="E711" s="9" t="s">
        <v>1591</v>
      </c>
      <c r="F711" s="9" t="s">
        <v>1589</v>
      </c>
      <c r="G711" s="9" t="s">
        <v>1592</v>
      </c>
      <c r="H711" s="9" t="s">
        <v>177</v>
      </c>
      <c r="I711" s="9" t="s">
        <v>1735</v>
      </c>
      <c r="J711" s="9" t="s">
        <v>1597</v>
      </c>
      <c r="K711" s="9">
        <v>1</v>
      </c>
      <c r="L711" s="9">
        <v>21</v>
      </c>
      <c r="M711" s="9">
        <v>2009</v>
      </c>
      <c r="O711" s="9" t="str">
        <f t="shared" si="34"/>
        <v>NO</v>
      </c>
      <c r="P711" s="9" t="str">
        <f t="shared" si="35"/>
        <v>NO</v>
      </c>
      <c r="Q711" s="9" t="str">
        <f t="shared" si="36"/>
        <v>Conditioned</v>
      </c>
    </row>
    <row r="712" spans="1:17">
      <c r="A712" s="9">
        <v>12514</v>
      </c>
      <c r="B712" s="9">
        <v>1</v>
      </c>
      <c r="C712" s="9" t="s">
        <v>1589</v>
      </c>
      <c r="D712" s="9" t="s">
        <v>1590</v>
      </c>
      <c r="E712" s="9" t="s">
        <v>1591</v>
      </c>
      <c r="F712" s="9" t="s">
        <v>1589</v>
      </c>
      <c r="G712" s="9" t="s">
        <v>1592</v>
      </c>
      <c r="H712" s="9" t="s">
        <v>170</v>
      </c>
      <c r="I712" s="9" t="s">
        <v>2257</v>
      </c>
      <c r="J712" s="9" t="s">
        <v>1597</v>
      </c>
      <c r="K712" s="9">
        <v>1</v>
      </c>
      <c r="L712" s="9">
        <v>19</v>
      </c>
      <c r="M712" s="9">
        <v>2001</v>
      </c>
      <c r="O712" s="9" t="str">
        <f t="shared" si="34"/>
        <v>NO</v>
      </c>
      <c r="P712" s="9" t="str">
        <f t="shared" si="35"/>
        <v>NO</v>
      </c>
      <c r="Q712" s="9" t="str">
        <f t="shared" si="36"/>
        <v>Conditioned</v>
      </c>
    </row>
    <row r="713" spans="1:17">
      <c r="A713" s="9">
        <v>12524</v>
      </c>
      <c r="B713" s="9">
        <v>1</v>
      </c>
      <c r="C713" s="9" t="s">
        <v>1589</v>
      </c>
      <c r="D713" s="9" t="s">
        <v>1590</v>
      </c>
      <c r="E713" s="9" t="s">
        <v>1591</v>
      </c>
      <c r="F713" s="9" t="s">
        <v>1589</v>
      </c>
      <c r="G713" s="9" t="s">
        <v>1592</v>
      </c>
      <c r="H713" s="9" t="s">
        <v>174</v>
      </c>
      <c r="I713" s="9" t="s">
        <v>2258</v>
      </c>
      <c r="J713" s="9" t="s">
        <v>1608</v>
      </c>
      <c r="K713" s="9">
        <v>1</v>
      </c>
      <c r="L713" s="9">
        <v>25</v>
      </c>
      <c r="M713" s="9">
        <v>2005</v>
      </c>
      <c r="O713" s="9" t="str">
        <f t="shared" si="34"/>
        <v>NO</v>
      </c>
      <c r="P713" s="9" t="str">
        <f t="shared" si="35"/>
        <v>NO</v>
      </c>
      <c r="Q713" s="9" t="str">
        <f t="shared" si="36"/>
        <v>Conditioned</v>
      </c>
    </row>
    <row r="714" spans="1:17">
      <c r="A714" s="9">
        <v>12524</v>
      </c>
      <c r="B714" s="9">
        <v>2</v>
      </c>
      <c r="C714" s="9" t="s">
        <v>1589</v>
      </c>
      <c r="D714" s="9" t="s">
        <v>1590</v>
      </c>
      <c r="E714" s="9" t="s">
        <v>1591</v>
      </c>
      <c r="F714" s="9" t="s">
        <v>1589</v>
      </c>
      <c r="G714" s="9" t="s">
        <v>1592</v>
      </c>
      <c r="H714" s="9" t="s">
        <v>174</v>
      </c>
      <c r="I714" s="9" t="s">
        <v>2259</v>
      </c>
      <c r="J714" s="9" t="s">
        <v>1608</v>
      </c>
      <c r="K714" s="9">
        <v>1</v>
      </c>
      <c r="L714" s="9">
        <v>24</v>
      </c>
      <c r="M714" s="9">
        <v>2002</v>
      </c>
      <c r="O714" s="9" t="str">
        <f t="shared" si="34"/>
        <v>NO</v>
      </c>
      <c r="P714" s="9" t="str">
        <f t="shared" si="35"/>
        <v>NO</v>
      </c>
      <c r="Q714" s="9" t="str">
        <f t="shared" si="36"/>
        <v>Conditioned</v>
      </c>
    </row>
    <row r="715" spans="1:17">
      <c r="A715" s="9">
        <v>12556</v>
      </c>
      <c r="B715" s="9">
        <v>1</v>
      </c>
      <c r="C715" s="9" t="s">
        <v>1589</v>
      </c>
      <c r="D715" s="9" t="s">
        <v>1590</v>
      </c>
      <c r="E715" s="9" t="s">
        <v>1613</v>
      </c>
      <c r="F715" s="9" t="s">
        <v>1603</v>
      </c>
      <c r="G715" s="9" t="s">
        <v>1592</v>
      </c>
      <c r="H715" s="9" t="s">
        <v>1638</v>
      </c>
      <c r="I715" s="9" t="s">
        <v>2260</v>
      </c>
      <c r="J715" s="9" t="s">
        <v>1610</v>
      </c>
      <c r="K715" s="9">
        <v>1</v>
      </c>
      <c r="L715" s="9">
        <v>26</v>
      </c>
      <c r="M715" s="9">
        <v>2009</v>
      </c>
      <c r="O715" s="9" t="str">
        <f t="shared" si="34"/>
        <v>NO</v>
      </c>
      <c r="P715" s="9" t="str">
        <f t="shared" si="35"/>
        <v>NO</v>
      </c>
      <c r="Q715" s="9" t="str">
        <f t="shared" si="36"/>
        <v>Conditioned</v>
      </c>
    </row>
    <row r="716" spans="1:17">
      <c r="A716" s="9">
        <v>12556</v>
      </c>
      <c r="B716" s="9">
        <v>2</v>
      </c>
      <c r="C716" s="9" t="s">
        <v>1589</v>
      </c>
      <c r="D716" s="9" t="s">
        <v>1590</v>
      </c>
      <c r="E716" s="9" t="s">
        <v>1591</v>
      </c>
      <c r="F716" s="9" t="s">
        <v>1589</v>
      </c>
      <c r="G716" s="9" t="s">
        <v>1592</v>
      </c>
      <c r="H716" s="9" t="s">
        <v>1632</v>
      </c>
      <c r="I716" s="9" t="s">
        <v>2261</v>
      </c>
      <c r="J716" s="9" t="s">
        <v>1612</v>
      </c>
      <c r="K716" s="9">
        <v>1</v>
      </c>
      <c r="L716" s="9">
        <v>4</v>
      </c>
      <c r="M716" s="9">
        <v>2002</v>
      </c>
      <c r="O716" s="9" t="str">
        <f t="shared" si="34"/>
        <v>YES</v>
      </c>
      <c r="P716" s="9" t="str">
        <f t="shared" si="35"/>
        <v>NO</v>
      </c>
      <c r="Q716" s="9" t="str">
        <f t="shared" si="36"/>
        <v>Conditioned</v>
      </c>
    </row>
    <row r="717" spans="1:17">
      <c r="A717" s="9">
        <v>12556</v>
      </c>
      <c r="B717" s="9">
        <v>3</v>
      </c>
      <c r="C717" s="9" t="s">
        <v>1589</v>
      </c>
      <c r="D717" s="9" t="s">
        <v>1590</v>
      </c>
      <c r="E717" s="9" t="s">
        <v>1591</v>
      </c>
      <c r="F717" s="9" t="s">
        <v>1589</v>
      </c>
      <c r="G717" s="9" t="s">
        <v>1606</v>
      </c>
      <c r="H717" s="9" t="s">
        <v>167</v>
      </c>
      <c r="I717" s="9" t="s">
        <v>2262</v>
      </c>
      <c r="J717" s="9" t="s">
        <v>1587</v>
      </c>
      <c r="K717" s="9">
        <v>1</v>
      </c>
      <c r="L717" s="9">
        <v>6</v>
      </c>
      <c r="M717" s="9">
        <v>2006</v>
      </c>
      <c r="O717" s="9" t="str">
        <f t="shared" si="34"/>
        <v>YES</v>
      </c>
      <c r="P717" s="9" t="str">
        <f t="shared" si="35"/>
        <v>YES</v>
      </c>
      <c r="Q717" s="9" t="str">
        <f t="shared" si="36"/>
        <v>Unconditioned</v>
      </c>
    </row>
    <row r="718" spans="1:17">
      <c r="A718" s="9">
        <v>12561</v>
      </c>
      <c r="B718" s="9">
        <v>1</v>
      </c>
      <c r="C718" s="9" t="s">
        <v>1589</v>
      </c>
      <c r="D718" s="9" t="s">
        <v>1590</v>
      </c>
      <c r="E718" s="9" t="s">
        <v>1602</v>
      </c>
      <c r="F718" s="9" t="s">
        <v>1603</v>
      </c>
      <c r="G718" s="9" t="s">
        <v>1592</v>
      </c>
      <c r="H718" s="9" t="s">
        <v>775</v>
      </c>
      <c r="I718" s="9" t="s">
        <v>2263</v>
      </c>
      <c r="J718" s="9" t="s">
        <v>1601</v>
      </c>
      <c r="K718" s="9">
        <v>1</v>
      </c>
      <c r="L718" s="9">
        <v>22</v>
      </c>
      <c r="M718" s="9">
        <v>2006</v>
      </c>
      <c r="O718" s="9" t="str">
        <f t="shared" si="34"/>
        <v>NO</v>
      </c>
      <c r="P718" s="9" t="str">
        <f t="shared" si="35"/>
        <v>NO</v>
      </c>
      <c r="Q718" s="9" t="str">
        <f t="shared" si="36"/>
        <v>Conditioned</v>
      </c>
    </row>
    <row r="719" spans="1:17">
      <c r="A719" s="9">
        <v>12564</v>
      </c>
      <c r="B719" s="9">
        <v>1</v>
      </c>
      <c r="C719" s="9" t="s">
        <v>1589</v>
      </c>
      <c r="D719" s="9" t="s">
        <v>1590</v>
      </c>
      <c r="E719" s="9" t="s">
        <v>1613</v>
      </c>
      <c r="F719" s="9" t="s">
        <v>1603</v>
      </c>
      <c r="G719" s="9" t="s">
        <v>1592</v>
      </c>
      <c r="H719" s="9" t="s">
        <v>174</v>
      </c>
      <c r="I719" s="9" t="s">
        <v>2264</v>
      </c>
      <c r="J719" s="9" t="s">
        <v>1597</v>
      </c>
      <c r="K719" s="9">
        <v>1</v>
      </c>
      <c r="L719" s="9">
        <v>22</v>
      </c>
      <c r="M719" s="9">
        <v>1995</v>
      </c>
      <c r="O719" s="9" t="str">
        <f t="shared" si="34"/>
        <v>NO</v>
      </c>
      <c r="P719" s="9" t="str">
        <f t="shared" si="35"/>
        <v>NO</v>
      </c>
      <c r="Q719" s="9" t="str">
        <f t="shared" si="36"/>
        <v>Conditioned</v>
      </c>
    </row>
    <row r="720" spans="1:17">
      <c r="A720" s="9">
        <v>12569</v>
      </c>
      <c r="B720" s="9">
        <v>1</v>
      </c>
      <c r="C720" s="9" t="s">
        <v>1589</v>
      </c>
      <c r="D720" s="9" t="s">
        <v>1590</v>
      </c>
      <c r="E720" s="9" t="s">
        <v>1613</v>
      </c>
      <c r="F720" s="9" t="s">
        <v>1590</v>
      </c>
      <c r="G720" s="9" t="s">
        <v>1592</v>
      </c>
      <c r="H720" s="9" t="s">
        <v>177</v>
      </c>
      <c r="I720" s="9" t="s">
        <v>2265</v>
      </c>
      <c r="J720" s="9" t="s">
        <v>1597</v>
      </c>
      <c r="K720" s="9">
        <v>1</v>
      </c>
      <c r="L720" s="9">
        <v>22</v>
      </c>
      <c r="M720" s="9">
        <v>2008</v>
      </c>
      <c r="O720" s="9" t="str">
        <f t="shared" si="34"/>
        <v>NO</v>
      </c>
      <c r="P720" s="9" t="str">
        <f t="shared" si="35"/>
        <v>NO</v>
      </c>
      <c r="Q720" s="9" t="str">
        <f t="shared" si="36"/>
        <v>Conditioned</v>
      </c>
    </row>
    <row r="721" spans="1:17">
      <c r="A721" s="9">
        <v>12569</v>
      </c>
      <c r="B721" s="9">
        <v>2</v>
      </c>
      <c r="C721" s="9" t="s">
        <v>1589</v>
      </c>
      <c r="D721" s="9" t="s">
        <v>1590</v>
      </c>
      <c r="E721" s="9" t="s">
        <v>1591</v>
      </c>
      <c r="F721" s="9" t="s">
        <v>1589</v>
      </c>
      <c r="G721" s="9" t="s">
        <v>1592</v>
      </c>
      <c r="H721" s="9" t="s">
        <v>170</v>
      </c>
      <c r="I721" s="9" t="s">
        <v>2266</v>
      </c>
      <c r="J721" s="9" t="s">
        <v>1587</v>
      </c>
      <c r="K721" s="9">
        <v>1</v>
      </c>
      <c r="L721" s="9">
        <v>9</v>
      </c>
      <c r="M721" s="9">
        <v>2004</v>
      </c>
      <c r="O721" s="9" t="str">
        <f t="shared" si="34"/>
        <v>NO</v>
      </c>
      <c r="P721" s="9" t="str">
        <f t="shared" si="35"/>
        <v>YES</v>
      </c>
      <c r="Q721" s="9" t="str">
        <f t="shared" si="36"/>
        <v>Conditioned</v>
      </c>
    </row>
    <row r="722" spans="1:17">
      <c r="A722" s="9">
        <v>12572</v>
      </c>
      <c r="B722" s="9">
        <v>1</v>
      </c>
      <c r="C722" s="9" t="s">
        <v>1589</v>
      </c>
      <c r="D722" s="9" t="s">
        <v>1590</v>
      </c>
      <c r="E722" s="9" t="s">
        <v>1613</v>
      </c>
      <c r="F722" s="9" t="s">
        <v>1590</v>
      </c>
      <c r="G722" s="9" t="s">
        <v>1592</v>
      </c>
      <c r="H722" s="9" t="s">
        <v>177</v>
      </c>
      <c r="I722" s="9" t="s">
        <v>2267</v>
      </c>
      <c r="J722" s="9" t="s">
        <v>1597</v>
      </c>
      <c r="K722" s="9">
        <v>1</v>
      </c>
      <c r="L722" s="9">
        <v>19</v>
      </c>
      <c r="M722" s="9">
        <v>2001</v>
      </c>
      <c r="O722" s="9" t="str">
        <f t="shared" si="34"/>
        <v>NO</v>
      </c>
      <c r="P722" s="9" t="str">
        <f t="shared" si="35"/>
        <v>NO</v>
      </c>
      <c r="Q722" s="9" t="str">
        <f t="shared" si="36"/>
        <v>Conditioned</v>
      </c>
    </row>
    <row r="723" spans="1:17">
      <c r="A723" s="9">
        <v>12572</v>
      </c>
      <c r="B723" s="9">
        <v>2</v>
      </c>
      <c r="C723" s="9" t="s">
        <v>1589</v>
      </c>
      <c r="D723" s="9" t="s">
        <v>1590</v>
      </c>
      <c r="E723" s="9" t="s">
        <v>1591</v>
      </c>
      <c r="F723" s="9" t="s">
        <v>1589</v>
      </c>
      <c r="G723" s="9" t="s">
        <v>1606</v>
      </c>
      <c r="H723" s="9" t="s">
        <v>169</v>
      </c>
      <c r="I723" s="9" t="s">
        <v>2268</v>
      </c>
      <c r="J723" s="9" t="s">
        <v>1605</v>
      </c>
      <c r="K723" s="9">
        <v>1</v>
      </c>
      <c r="L723" s="9">
        <v>12</v>
      </c>
      <c r="M723" s="9">
        <v>2002</v>
      </c>
      <c r="O723" s="9" t="str">
        <f t="shared" si="34"/>
        <v>NO</v>
      </c>
      <c r="P723" s="9" t="str">
        <f t="shared" si="35"/>
        <v>YES</v>
      </c>
      <c r="Q723" s="9" t="str">
        <f t="shared" si="36"/>
        <v>Unconditioned</v>
      </c>
    </row>
    <row r="724" spans="1:17">
      <c r="A724" s="9">
        <v>12582</v>
      </c>
      <c r="B724" s="9">
        <v>1</v>
      </c>
      <c r="C724" s="9" t="s">
        <v>1589</v>
      </c>
      <c r="D724" s="9" t="s">
        <v>1590</v>
      </c>
      <c r="E724" s="9" t="s">
        <v>1602</v>
      </c>
      <c r="F724" s="9" t="s">
        <v>1603</v>
      </c>
      <c r="G724" s="9" t="s">
        <v>1592</v>
      </c>
      <c r="H724" s="9" t="s">
        <v>1638</v>
      </c>
      <c r="I724" s="9" t="s">
        <v>2269</v>
      </c>
      <c r="J724" s="9" t="s">
        <v>1601</v>
      </c>
      <c r="K724" s="9">
        <v>1</v>
      </c>
      <c r="L724" s="9">
        <v>27</v>
      </c>
      <c r="M724" s="9">
        <v>1989</v>
      </c>
      <c r="O724" s="9" t="str">
        <f t="shared" si="34"/>
        <v>NO</v>
      </c>
      <c r="P724" s="9" t="str">
        <f t="shared" si="35"/>
        <v>NO</v>
      </c>
      <c r="Q724" s="9" t="str">
        <f t="shared" si="36"/>
        <v>Conditioned</v>
      </c>
    </row>
    <row r="725" spans="1:17">
      <c r="A725" s="9">
        <v>12600</v>
      </c>
      <c r="B725" s="9">
        <v>1</v>
      </c>
      <c r="C725" s="9" t="s">
        <v>1589</v>
      </c>
      <c r="D725" s="9" t="s">
        <v>1590</v>
      </c>
      <c r="E725" s="9" t="s">
        <v>1591</v>
      </c>
      <c r="F725" s="9" t="s">
        <v>1589</v>
      </c>
      <c r="G725" s="9" t="s">
        <v>1592</v>
      </c>
      <c r="H725" s="9" t="s">
        <v>174</v>
      </c>
      <c r="I725" s="9" t="s">
        <v>2270</v>
      </c>
      <c r="J725" s="9" t="s">
        <v>1608</v>
      </c>
      <c r="K725" s="9">
        <v>1</v>
      </c>
      <c r="L725" s="9">
        <v>27</v>
      </c>
      <c r="M725" s="9">
        <v>2001</v>
      </c>
      <c r="O725" s="9" t="str">
        <f t="shared" si="34"/>
        <v>NO</v>
      </c>
      <c r="P725" s="9" t="str">
        <f t="shared" si="35"/>
        <v>NO</v>
      </c>
      <c r="Q725" s="9" t="str">
        <f t="shared" si="36"/>
        <v>Conditioned</v>
      </c>
    </row>
    <row r="726" spans="1:17">
      <c r="A726" s="9">
        <v>12600</v>
      </c>
      <c r="B726" s="9">
        <v>2</v>
      </c>
      <c r="C726" s="9" t="s">
        <v>1589</v>
      </c>
      <c r="D726" s="9" t="s">
        <v>1590</v>
      </c>
      <c r="E726" s="9" t="s">
        <v>1591</v>
      </c>
      <c r="F726" s="9" t="s">
        <v>1589</v>
      </c>
      <c r="G726" s="9" t="s">
        <v>1592</v>
      </c>
      <c r="H726" s="9" t="s">
        <v>1638</v>
      </c>
      <c r="I726" s="9" t="s">
        <v>2271</v>
      </c>
      <c r="J726" s="9" t="s">
        <v>1605</v>
      </c>
      <c r="K726" s="9">
        <v>1</v>
      </c>
      <c r="L726" s="9">
        <v>14</v>
      </c>
      <c r="M726" s="9">
        <v>2000</v>
      </c>
      <c r="O726" s="9" t="str">
        <f t="shared" si="34"/>
        <v>NO</v>
      </c>
      <c r="P726" s="9" t="str">
        <f t="shared" si="35"/>
        <v>YES</v>
      </c>
      <c r="Q726" s="9" t="str">
        <f t="shared" si="36"/>
        <v>Conditioned</v>
      </c>
    </row>
    <row r="727" spans="1:17">
      <c r="A727" s="9">
        <v>12614</v>
      </c>
      <c r="B727" s="9">
        <v>1</v>
      </c>
      <c r="C727" s="9" t="s">
        <v>1589</v>
      </c>
      <c r="D727" s="9" t="s">
        <v>1590</v>
      </c>
      <c r="E727" s="9" t="s">
        <v>1602</v>
      </c>
      <c r="F727" s="9" t="s">
        <v>1603</v>
      </c>
      <c r="G727" s="9" t="s">
        <v>1592</v>
      </c>
      <c r="H727" s="9" t="s">
        <v>1638</v>
      </c>
      <c r="I727" s="9" t="s">
        <v>2272</v>
      </c>
      <c r="J727" s="9" t="s">
        <v>1601</v>
      </c>
      <c r="K727" s="9">
        <v>1</v>
      </c>
      <c r="L727" s="9">
        <v>26</v>
      </c>
      <c r="M727" s="9">
        <v>2009</v>
      </c>
      <c r="O727" s="9" t="str">
        <f t="shared" ref="O727:O790" si="37">IF(L727&lt;7.75,"YES","NO")</f>
        <v>NO</v>
      </c>
      <c r="P727" s="9" t="str">
        <f t="shared" ref="P727:P790" si="38">VLOOKUP(J727,$Z$21:$AA$27,2,FALSE)</f>
        <v>NO</v>
      </c>
      <c r="Q727" s="9" t="str">
        <f t="shared" ref="Q727:Q790" si="39">G727</f>
        <v>Conditioned</v>
      </c>
    </row>
    <row r="728" spans="1:17">
      <c r="A728" s="9">
        <v>12620</v>
      </c>
      <c r="B728" s="9">
        <v>1</v>
      </c>
      <c r="C728" s="9" t="s">
        <v>1589</v>
      </c>
      <c r="D728" s="9" t="s">
        <v>1590</v>
      </c>
      <c r="E728" s="9" t="s">
        <v>1591</v>
      </c>
      <c r="F728" s="9" t="s">
        <v>1589</v>
      </c>
      <c r="G728" s="9" t="s">
        <v>1592</v>
      </c>
      <c r="H728" s="9" t="s">
        <v>177</v>
      </c>
      <c r="I728" s="9" t="s">
        <v>2273</v>
      </c>
      <c r="J728" s="9" t="s">
        <v>1597</v>
      </c>
      <c r="K728" s="9">
        <v>1</v>
      </c>
      <c r="L728" s="9">
        <v>10</v>
      </c>
      <c r="M728" s="9">
        <v>2010</v>
      </c>
      <c r="O728" s="9" t="str">
        <f t="shared" si="37"/>
        <v>NO</v>
      </c>
      <c r="P728" s="9" t="str">
        <f t="shared" si="38"/>
        <v>NO</v>
      </c>
      <c r="Q728" s="9" t="str">
        <f t="shared" si="39"/>
        <v>Conditioned</v>
      </c>
    </row>
    <row r="729" spans="1:17">
      <c r="A729" s="9">
        <v>12620</v>
      </c>
      <c r="B729" s="9">
        <v>2</v>
      </c>
      <c r="C729" s="9" t="s">
        <v>1589</v>
      </c>
      <c r="D729" s="9" t="s">
        <v>1590</v>
      </c>
      <c r="E729" s="9" t="s">
        <v>1591</v>
      </c>
      <c r="F729" s="9" t="s">
        <v>1589</v>
      </c>
      <c r="G729" s="9" t="s">
        <v>1606</v>
      </c>
      <c r="H729" s="9" t="s">
        <v>169</v>
      </c>
      <c r="I729" s="9" t="s">
        <v>2274</v>
      </c>
      <c r="J729" s="9" t="s">
        <v>1605</v>
      </c>
      <c r="K729" s="9">
        <v>1</v>
      </c>
      <c r="L729" s="9">
        <v>13</v>
      </c>
      <c r="M729" s="9">
        <v>2002</v>
      </c>
      <c r="O729" s="9" t="str">
        <f t="shared" si="37"/>
        <v>NO</v>
      </c>
      <c r="P729" s="9" t="str">
        <f t="shared" si="38"/>
        <v>YES</v>
      </c>
      <c r="Q729" s="9" t="str">
        <f t="shared" si="39"/>
        <v>Unconditioned</v>
      </c>
    </row>
    <row r="730" spans="1:17">
      <c r="A730" s="9">
        <v>12620</v>
      </c>
      <c r="B730" s="9">
        <v>3</v>
      </c>
      <c r="C730" s="9" t="s">
        <v>1589</v>
      </c>
      <c r="D730" s="9" t="s">
        <v>1590</v>
      </c>
      <c r="E730" s="9" t="s">
        <v>1613</v>
      </c>
      <c r="F730" s="9" t="s">
        <v>1603</v>
      </c>
      <c r="G730" s="9" t="s">
        <v>1592</v>
      </c>
      <c r="H730" s="9" t="s">
        <v>170</v>
      </c>
      <c r="I730" s="9" t="s">
        <v>2275</v>
      </c>
      <c r="J730" s="9" t="s">
        <v>1597</v>
      </c>
      <c r="K730" s="9">
        <v>1</v>
      </c>
      <c r="L730" s="9">
        <v>27</v>
      </c>
      <c r="M730" s="9">
        <v>2007</v>
      </c>
      <c r="O730" s="9" t="str">
        <f t="shared" si="37"/>
        <v>NO</v>
      </c>
      <c r="P730" s="9" t="str">
        <f t="shared" si="38"/>
        <v>NO</v>
      </c>
      <c r="Q730" s="9" t="str">
        <f t="shared" si="39"/>
        <v>Conditioned</v>
      </c>
    </row>
    <row r="731" spans="1:17">
      <c r="A731" s="9">
        <v>12621</v>
      </c>
      <c r="B731" s="9">
        <v>1</v>
      </c>
      <c r="C731" s="9" t="s">
        <v>1589</v>
      </c>
      <c r="D731" s="9" t="s">
        <v>1590</v>
      </c>
      <c r="E731" s="9" t="s">
        <v>1602</v>
      </c>
      <c r="F731" s="9" t="s">
        <v>1603</v>
      </c>
      <c r="G731" s="9" t="s">
        <v>1592</v>
      </c>
      <c r="H731" s="9" t="s">
        <v>170</v>
      </c>
      <c r="I731" s="9" t="s">
        <v>2276</v>
      </c>
      <c r="J731" s="9" t="s">
        <v>1608</v>
      </c>
      <c r="K731" s="9">
        <v>1</v>
      </c>
      <c r="L731" s="9">
        <v>20</v>
      </c>
      <c r="M731" s="9">
        <v>2008</v>
      </c>
      <c r="O731" s="9" t="str">
        <f t="shared" si="37"/>
        <v>NO</v>
      </c>
      <c r="P731" s="9" t="str">
        <f t="shared" si="38"/>
        <v>NO</v>
      </c>
      <c r="Q731" s="9" t="str">
        <f t="shared" si="39"/>
        <v>Conditioned</v>
      </c>
    </row>
    <row r="732" spans="1:17">
      <c r="A732" s="9">
        <v>12621</v>
      </c>
      <c r="B732" s="9">
        <v>2</v>
      </c>
      <c r="C732" s="9" t="s">
        <v>1589</v>
      </c>
      <c r="D732" s="9" t="s">
        <v>1590</v>
      </c>
      <c r="E732" s="9" t="s">
        <v>1591</v>
      </c>
      <c r="F732" s="9" t="s">
        <v>1589</v>
      </c>
      <c r="G732" s="9" t="s">
        <v>1592</v>
      </c>
      <c r="H732" s="9" t="s">
        <v>173</v>
      </c>
      <c r="I732" s="9" t="s">
        <v>2277</v>
      </c>
      <c r="J732" s="9" t="s">
        <v>1605</v>
      </c>
      <c r="K732" s="9">
        <v>1</v>
      </c>
      <c r="L732" s="9">
        <v>20</v>
      </c>
      <c r="M732" s="9">
        <v>1999</v>
      </c>
      <c r="O732" s="9" t="str">
        <f t="shared" si="37"/>
        <v>NO</v>
      </c>
      <c r="P732" s="9" t="str">
        <f t="shared" si="38"/>
        <v>YES</v>
      </c>
      <c r="Q732" s="9" t="str">
        <f t="shared" si="39"/>
        <v>Conditioned</v>
      </c>
    </row>
    <row r="733" spans="1:17">
      <c r="A733" s="9">
        <v>12630</v>
      </c>
      <c r="B733" s="9">
        <v>1</v>
      </c>
      <c r="C733" s="9" t="s">
        <v>1589</v>
      </c>
      <c r="D733" s="9" t="s">
        <v>1590</v>
      </c>
      <c r="E733" s="9" t="s">
        <v>1591</v>
      </c>
      <c r="F733" s="9" t="s">
        <v>1589</v>
      </c>
      <c r="G733" s="9" t="s">
        <v>1592</v>
      </c>
      <c r="H733" s="9" t="s">
        <v>170</v>
      </c>
      <c r="I733" s="9" t="s">
        <v>2278</v>
      </c>
      <c r="J733" s="9" t="s">
        <v>1608</v>
      </c>
      <c r="K733" s="9">
        <v>1</v>
      </c>
      <c r="L733" s="9">
        <v>23</v>
      </c>
      <c r="M733" s="9">
        <v>2010</v>
      </c>
      <c r="O733" s="9" t="str">
        <f t="shared" si="37"/>
        <v>NO</v>
      </c>
      <c r="P733" s="9" t="str">
        <f t="shared" si="38"/>
        <v>NO</v>
      </c>
      <c r="Q733" s="9" t="str">
        <f t="shared" si="39"/>
        <v>Conditioned</v>
      </c>
    </row>
    <row r="734" spans="1:17">
      <c r="A734" s="9">
        <v>12640</v>
      </c>
      <c r="B734" s="9">
        <v>1</v>
      </c>
      <c r="C734" s="9" t="s">
        <v>1589</v>
      </c>
      <c r="D734" s="9" t="s">
        <v>1590</v>
      </c>
      <c r="E734" s="9" t="s">
        <v>1591</v>
      </c>
      <c r="F734" s="9" t="s">
        <v>1589</v>
      </c>
      <c r="G734" s="9" t="s">
        <v>1606</v>
      </c>
      <c r="H734" s="9" t="s">
        <v>174</v>
      </c>
      <c r="I734" s="9" t="s">
        <v>2279</v>
      </c>
      <c r="J734" s="9" t="s">
        <v>1587</v>
      </c>
      <c r="K734" s="9">
        <v>1</v>
      </c>
      <c r="L734" s="9">
        <v>6</v>
      </c>
      <c r="M734" s="9">
        <v>1980</v>
      </c>
      <c r="O734" s="9" t="str">
        <f t="shared" si="37"/>
        <v>YES</v>
      </c>
      <c r="P734" s="9" t="str">
        <f t="shared" si="38"/>
        <v>YES</v>
      </c>
      <c r="Q734" s="9" t="str">
        <f t="shared" si="39"/>
        <v>Unconditioned</v>
      </c>
    </row>
    <row r="735" spans="1:17">
      <c r="A735" s="9">
        <v>12640</v>
      </c>
      <c r="B735" s="9">
        <v>2</v>
      </c>
      <c r="C735" s="9" t="s">
        <v>1589</v>
      </c>
      <c r="D735" s="9" t="s">
        <v>1590</v>
      </c>
      <c r="E735" s="9" t="s">
        <v>1602</v>
      </c>
      <c r="F735" s="9" t="s">
        <v>1590</v>
      </c>
      <c r="G735" s="9" t="s">
        <v>1592</v>
      </c>
      <c r="H735" s="9" t="s">
        <v>1599</v>
      </c>
      <c r="I735" s="9" t="s">
        <v>2280</v>
      </c>
      <c r="J735" s="9" t="s">
        <v>1601</v>
      </c>
      <c r="K735" s="9">
        <v>1</v>
      </c>
      <c r="L735" s="9">
        <v>22</v>
      </c>
      <c r="M735" s="9">
        <v>1994</v>
      </c>
      <c r="O735" s="9" t="str">
        <f t="shared" si="37"/>
        <v>NO</v>
      </c>
      <c r="P735" s="9" t="str">
        <f t="shared" si="38"/>
        <v>NO</v>
      </c>
      <c r="Q735" s="9" t="str">
        <f t="shared" si="39"/>
        <v>Conditioned</v>
      </c>
    </row>
    <row r="736" spans="1:17">
      <c r="A736" s="9">
        <v>12643</v>
      </c>
      <c r="B736" s="9">
        <v>1</v>
      </c>
      <c r="C736" s="9" t="s">
        <v>1589</v>
      </c>
      <c r="D736" s="9" t="s">
        <v>1590</v>
      </c>
      <c r="E736" s="9" t="s">
        <v>1602</v>
      </c>
      <c r="F736" s="9" t="s">
        <v>1603</v>
      </c>
      <c r="G736" s="9" t="s">
        <v>1592</v>
      </c>
      <c r="H736" s="9" t="s">
        <v>1638</v>
      </c>
      <c r="I736" s="9" t="s">
        <v>2281</v>
      </c>
      <c r="J736" s="9" t="s">
        <v>1601</v>
      </c>
      <c r="K736" s="9">
        <v>1</v>
      </c>
      <c r="L736" s="9">
        <v>22</v>
      </c>
      <c r="M736" s="9">
        <v>1999</v>
      </c>
      <c r="O736" s="9" t="str">
        <f t="shared" si="37"/>
        <v>NO</v>
      </c>
      <c r="P736" s="9" t="str">
        <f t="shared" si="38"/>
        <v>NO</v>
      </c>
      <c r="Q736" s="9" t="str">
        <f t="shared" si="39"/>
        <v>Conditioned</v>
      </c>
    </row>
    <row r="737" spans="1:17">
      <c r="A737" s="9">
        <v>12648</v>
      </c>
      <c r="B737" s="9">
        <v>1</v>
      </c>
      <c r="C737" s="9" t="s">
        <v>1589</v>
      </c>
      <c r="D737" s="9" t="s">
        <v>1603</v>
      </c>
      <c r="E737" s="9" t="s">
        <v>1591</v>
      </c>
      <c r="F737" s="9" t="s">
        <v>1589</v>
      </c>
      <c r="G737" s="9" t="s">
        <v>1592</v>
      </c>
      <c r="H737" s="9" t="s">
        <v>1599</v>
      </c>
      <c r="I737" s="9" t="s">
        <v>1589</v>
      </c>
      <c r="J737" s="9" t="s">
        <v>1589</v>
      </c>
      <c r="K737" s="9">
        <v>1</v>
      </c>
      <c r="L737" s="9">
        <v>28</v>
      </c>
      <c r="M737" s="9">
        <v>1999</v>
      </c>
      <c r="O737" s="9" t="str">
        <f t="shared" si="37"/>
        <v>NO</v>
      </c>
      <c r="P737" s="9" t="e">
        <f t="shared" si="38"/>
        <v>#N/A</v>
      </c>
      <c r="Q737" s="9" t="str">
        <f t="shared" si="39"/>
        <v>Conditioned</v>
      </c>
    </row>
    <row r="738" spans="1:17">
      <c r="A738" s="9">
        <v>12656</v>
      </c>
      <c r="B738" s="9">
        <v>1</v>
      </c>
      <c r="C738" s="9" t="s">
        <v>1589</v>
      </c>
      <c r="D738" s="9" t="s">
        <v>1590</v>
      </c>
      <c r="E738" s="9" t="s">
        <v>1591</v>
      </c>
      <c r="F738" s="9" t="s">
        <v>1589</v>
      </c>
      <c r="G738" s="9" t="s">
        <v>1592</v>
      </c>
      <c r="H738" s="9" t="s">
        <v>171</v>
      </c>
      <c r="I738" s="9" t="s">
        <v>2282</v>
      </c>
      <c r="J738" s="9" t="s">
        <v>1608</v>
      </c>
      <c r="K738" s="9">
        <v>1</v>
      </c>
      <c r="L738" s="9">
        <v>18</v>
      </c>
      <c r="M738" s="9">
        <v>2007</v>
      </c>
      <c r="O738" s="9" t="str">
        <f t="shared" si="37"/>
        <v>NO</v>
      </c>
      <c r="P738" s="9" t="str">
        <f t="shared" si="38"/>
        <v>NO</v>
      </c>
      <c r="Q738" s="9" t="str">
        <f t="shared" si="39"/>
        <v>Conditioned</v>
      </c>
    </row>
    <row r="739" spans="1:17">
      <c r="A739" s="9">
        <v>12657</v>
      </c>
      <c r="B739" s="9">
        <v>1</v>
      </c>
      <c r="C739" s="9" t="s">
        <v>2283</v>
      </c>
      <c r="D739" s="9" t="s">
        <v>1590</v>
      </c>
      <c r="E739" s="9" t="s">
        <v>1591</v>
      </c>
      <c r="F739" s="9" t="s">
        <v>1589</v>
      </c>
      <c r="G739" s="9" t="s">
        <v>1592</v>
      </c>
      <c r="H739" s="9" t="s">
        <v>177</v>
      </c>
      <c r="I739" s="9" t="s">
        <v>2284</v>
      </c>
      <c r="J739" s="9" t="s">
        <v>1597</v>
      </c>
      <c r="K739" s="9">
        <v>1</v>
      </c>
      <c r="L739" s="9">
        <v>14</v>
      </c>
      <c r="O739" s="9" t="str">
        <f t="shared" si="37"/>
        <v>NO</v>
      </c>
      <c r="P739" s="9" t="str">
        <f t="shared" si="38"/>
        <v>NO</v>
      </c>
      <c r="Q739" s="9" t="str">
        <f t="shared" si="39"/>
        <v>Conditioned</v>
      </c>
    </row>
    <row r="740" spans="1:17">
      <c r="A740" s="9">
        <v>12661</v>
      </c>
      <c r="B740" s="9">
        <v>1</v>
      </c>
      <c r="C740" s="9" t="s">
        <v>1589</v>
      </c>
      <c r="D740" s="9" t="s">
        <v>1590</v>
      </c>
      <c r="E740" s="9" t="s">
        <v>1591</v>
      </c>
      <c r="F740" s="9" t="s">
        <v>1589</v>
      </c>
      <c r="G740" s="9" t="s">
        <v>1592</v>
      </c>
      <c r="H740" s="9" t="s">
        <v>177</v>
      </c>
      <c r="I740" s="9" t="s">
        <v>2285</v>
      </c>
      <c r="J740" s="9" t="s">
        <v>1597</v>
      </c>
      <c r="K740" s="9">
        <v>1</v>
      </c>
      <c r="L740" s="9">
        <v>20</v>
      </c>
      <c r="M740" s="9">
        <v>1995</v>
      </c>
      <c r="O740" s="9" t="str">
        <f t="shared" si="37"/>
        <v>NO</v>
      </c>
      <c r="P740" s="9" t="str">
        <f t="shared" si="38"/>
        <v>NO</v>
      </c>
      <c r="Q740" s="9" t="str">
        <f t="shared" si="39"/>
        <v>Conditioned</v>
      </c>
    </row>
    <row r="741" spans="1:17">
      <c r="A741" s="9">
        <v>12669</v>
      </c>
      <c r="B741" s="9">
        <v>1</v>
      </c>
      <c r="C741" s="9" t="s">
        <v>1589</v>
      </c>
      <c r="D741" s="9" t="s">
        <v>1590</v>
      </c>
      <c r="E741" s="9" t="s">
        <v>1591</v>
      </c>
      <c r="F741" s="9" t="s">
        <v>1589</v>
      </c>
      <c r="G741" s="9" t="s">
        <v>1592</v>
      </c>
      <c r="H741" s="9" t="s">
        <v>174</v>
      </c>
      <c r="I741" s="9" t="s">
        <v>2286</v>
      </c>
      <c r="J741" s="9" t="s">
        <v>1608</v>
      </c>
      <c r="K741" s="9">
        <v>1</v>
      </c>
      <c r="L741" s="9">
        <v>22</v>
      </c>
      <c r="M741" s="9">
        <v>1997</v>
      </c>
      <c r="O741" s="9" t="str">
        <f t="shared" si="37"/>
        <v>NO</v>
      </c>
      <c r="P741" s="9" t="str">
        <f t="shared" si="38"/>
        <v>NO</v>
      </c>
      <c r="Q741" s="9" t="str">
        <f t="shared" si="39"/>
        <v>Conditioned</v>
      </c>
    </row>
    <row r="742" spans="1:17">
      <c r="A742" s="9">
        <v>12669</v>
      </c>
      <c r="B742" s="9">
        <v>2</v>
      </c>
      <c r="C742" s="9" t="s">
        <v>1589</v>
      </c>
      <c r="D742" s="9" t="s">
        <v>1590</v>
      </c>
      <c r="E742" s="9" t="s">
        <v>1591</v>
      </c>
      <c r="F742" s="9" t="s">
        <v>1589</v>
      </c>
      <c r="G742" s="9" t="s">
        <v>1592</v>
      </c>
      <c r="H742" s="9" t="s">
        <v>2121</v>
      </c>
      <c r="I742" s="9" t="s">
        <v>2287</v>
      </c>
      <c r="J742" s="9" t="s">
        <v>1587</v>
      </c>
      <c r="K742" s="9">
        <v>1</v>
      </c>
      <c r="L742" s="9">
        <v>18</v>
      </c>
      <c r="M742" s="9">
        <v>1981</v>
      </c>
      <c r="O742" s="9" t="str">
        <f t="shared" si="37"/>
        <v>NO</v>
      </c>
      <c r="P742" s="9" t="str">
        <f t="shared" si="38"/>
        <v>YES</v>
      </c>
      <c r="Q742" s="9" t="str">
        <f t="shared" si="39"/>
        <v>Conditioned</v>
      </c>
    </row>
    <row r="743" spans="1:17">
      <c r="A743" s="9">
        <v>12669</v>
      </c>
      <c r="B743" s="9">
        <v>3</v>
      </c>
      <c r="C743" s="9" t="s">
        <v>1589</v>
      </c>
      <c r="D743" s="9" t="s">
        <v>1590</v>
      </c>
      <c r="E743" s="9" t="s">
        <v>1613</v>
      </c>
      <c r="F743" s="9" t="s">
        <v>1590</v>
      </c>
      <c r="G743" s="9" t="s">
        <v>1592</v>
      </c>
      <c r="H743" s="9" t="s">
        <v>172</v>
      </c>
      <c r="I743" s="9" t="s">
        <v>2288</v>
      </c>
      <c r="J743" s="9" t="s">
        <v>1597</v>
      </c>
      <c r="K743" s="9">
        <v>1</v>
      </c>
      <c r="L743" s="9">
        <v>21</v>
      </c>
      <c r="M743" s="9">
        <v>1999</v>
      </c>
      <c r="O743" s="9" t="str">
        <f t="shared" si="37"/>
        <v>NO</v>
      </c>
      <c r="P743" s="9" t="str">
        <f t="shared" si="38"/>
        <v>NO</v>
      </c>
      <c r="Q743" s="9" t="str">
        <f t="shared" si="39"/>
        <v>Conditioned</v>
      </c>
    </row>
    <row r="744" spans="1:17">
      <c r="A744" s="9">
        <v>12670</v>
      </c>
      <c r="B744" s="9">
        <v>1</v>
      </c>
      <c r="C744" s="9" t="s">
        <v>1589</v>
      </c>
      <c r="D744" s="9" t="s">
        <v>1603</v>
      </c>
      <c r="E744" s="9" t="s">
        <v>1591</v>
      </c>
      <c r="F744" s="9" t="s">
        <v>1589</v>
      </c>
      <c r="G744" s="9" t="s">
        <v>1592</v>
      </c>
      <c r="H744" s="9" t="s">
        <v>169</v>
      </c>
      <c r="I744" s="9" t="s">
        <v>2289</v>
      </c>
      <c r="J744" s="9" t="s">
        <v>1597</v>
      </c>
      <c r="K744" s="9">
        <v>1</v>
      </c>
      <c r="L744" s="9">
        <v>15</v>
      </c>
      <c r="M744" s="9">
        <v>2010</v>
      </c>
      <c r="O744" s="9" t="str">
        <f t="shared" si="37"/>
        <v>NO</v>
      </c>
      <c r="P744" s="9" t="str">
        <f t="shared" si="38"/>
        <v>NO</v>
      </c>
      <c r="Q744" s="9" t="str">
        <f t="shared" si="39"/>
        <v>Conditioned</v>
      </c>
    </row>
    <row r="745" spans="1:17">
      <c r="A745" s="9">
        <v>12675</v>
      </c>
      <c r="B745" s="9">
        <v>1</v>
      </c>
      <c r="C745" s="9" t="s">
        <v>1589</v>
      </c>
      <c r="D745" s="9" t="s">
        <v>1590</v>
      </c>
      <c r="E745" s="9" t="s">
        <v>1602</v>
      </c>
      <c r="F745" s="9" t="s">
        <v>1603</v>
      </c>
      <c r="G745" s="9" t="s">
        <v>1592</v>
      </c>
      <c r="H745" s="9" t="s">
        <v>1638</v>
      </c>
      <c r="I745" s="9" t="s">
        <v>2290</v>
      </c>
      <c r="J745" s="9" t="s">
        <v>1601</v>
      </c>
      <c r="K745" s="9">
        <v>0.75</v>
      </c>
      <c r="L745" s="9">
        <v>22</v>
      </c>
      <c r="M745" s="9">
        <v>1990</v>
      </c>
      <c r="O745" s="9" t="str">
        <f t="shared" si="37"/>
        <v>NO</v>
      </c>
      <c r="P745" s="9" t="str">
        <f t="shared" si="38"/>
        <v>NO</v>
      </c>
      <c r="Q745" s="9" t="str">
        <f t="shared" si="39"/>
        <v>Conditioned</v>
      </c>
    </row>
    <row r="746" spans="1:17">
      <c r="A746" s="9">
        <v>12678</v>
      </c>
      <c r="B746" s="9">
        <v>1</v>
      </c>
      <c r="C746" s="9" t="s">
        <v>1589</v>
      </c>
      <c r="D746" s="9" t="s">
        <v>1590</v>
      </c>
      <c r="E746" s="9" t="s">
        <v>1591</v>
      </c>
      <c r="F746" s="9" t="s">
        <v>1589</v>
      </c>
      <c r="G746" s="9" t="s">
        <v>1592</v>
      </c>
      <c r="H746" s="9" t="s">
        <v>1624</v>
      </c>
      <c r="I746" s="9" t="s">
        <v>2291</v>
      </c>
      <c r="J746" s="9" t="s">
        <v>1605</v>
      </c>
      <c r="K746" s="9">
        <v>1</v>
      </c>
      <c r="L746" s="9">
        <v>16</v>
      </c>
      <c r="M746" s="9">
        <v>1984</v>
      </c>
      <c r="O746" s="9" t="str">
        <f t="shared" si="37"/>
        <v>NO</v>
      </c>
      <c r="P746" s="9" t="str">
        <f t="shared" si="38"/>
        <v>YES</v>
      </c>
      <c r="Q746" s="9" t="str">
        <f t="shared" si="39"/>
        <v>Conditioned</v>
      </c>
    </row>
    <row r="747" spans="1:17">
      <c r="A747" s="9">
        <v>12678</v>
      </c>
      <c r="B747" s="9">
        <v>2</v>
      </c>
      <c r="C747" s="9" t="s">
        <v>1589</v>
      </c>
      <c r="D747" s="9" t="s">
        <v>1590</v>
      </c>
      <c r="E747" s="9" t="s">
        <v>1591</v>
      </c>
      <c r="F747" s="9" t="s">
        <v>1589</v>
      </c>
      <c r="G747" s="9" t="s">
        <v>1592</v>
      </c>
      <c r="H747" s="9" t="s">
        <v>173</v>
      </c>
      <c r="I747" s="9" t="s">
        <v>2292</v>
      </c>
      <c r="J747" s="9" t="s">
        <v>1597</v>
      </c>
      <c r="K747" s="9">
        <v>1</v>
      </c>
      <c r="L747" s="9">
        <v>19</v>
      </c>
      <c r="M747" s="9">
        <v>1989</v>
      </c>
      <c r="O747" s="9" t="str">
        <f t="shared" si="37"/>
        <v>NO</v>
      </c>
      <c r="P747" s="9" t="str">
        <f t="shared" si="38"/>
        <v>NO</v>
      </c>
      <c r="Q747" s="9" t="str">
        <f t="shared" si="39"/>
        <v>Conditioned</v>
      </c>
    </row>
    <row r="748" spans="1:17">
      <c r="A748" s="9">
        <v>12678</v>
      </c>
      <c r="B748" s="9">
        <v>3</v>
      </c>
      <c r="C748" s="9" t="s">
        <v>1589</v>
      </c>
      <c r="D748" s="9" t="s">
        <v>1590</v>
      </c>
      <c r="E748" s="9" t="s">
        <v>1591</v>
      </c>
      <c r="F748" s="9" t="s">
        <v>1589</v>
      </c>
      <c r="G748" s="9" t="s">
        <v>1592</v>
      </c>
      <c r="H748" s="9" t="s">
        <v>1638</v>
      </c>
      <c r="I748" s="9" t="s">
        <v>2293</v>
      </c>
      <c r="J748" s="9" t="s">
        <v>1608</v>
      </c>
      <c r="K748" s="9">
        <v>1</v>
      </c>
      <c r="L748" s="9">
        <v>22</v>
      </c>
      <c r="M748" s="9">
        <v>2002</v>
      </c>
      <c r="O748" s="9" t="str">
        <f t="shared" si="37"/>
        <v>NO</v>
      </c>
      <c r="P748" s="9" t="str">
        <f t="shared" si="38"/>
        <v>NO</v>
      </c>
      <c r="Q748" s="9" t="str">
        <f t="shared" si="39"/>
        <v>Conditioned</v>
      </c>
    </row>
    <row r="749" spans="1:17">
      <c r="A749" s="9">
        <v>12679</v>
      </c>
      <c r="B749" s="9">
        <v>1</v>
      </c>
      <c r="C749" s="9" t="s">
        <v>1589</v>
      </c>
      <c r="D749" s="9" t="s">
        <v>1590</v>
      </c>
      <c r="E749" s="9" t="s">
        <v>1613</v>
      </c>
      <c r="F749" s="9" t="s">
        <v>1603</v>
      </c>
      <c r="G749" s="9" t="s">
        <v>1592</v>
      </c>
      <c r="H749" s="9" t="s">
        <v>1638</v>
      </c>
      <c r="I749" s="9" t="s">
        <v>2294</v>
      </c>
      <c r="J749" s="9" t="s">
        <v>1597</v>
      </c>
      <c r="K749" s="9">
        <v>1</v>
      </c>
      <c r="L749" s="9">
        <v>20</v>
      </c>
      <c r="M749" s="9">
        <v>1995</v>
      </c>
      <c r="O749" s="9" t="str">
        <f t="shared" si="37"/>
        <v>NO</v>
      </c>
      <c r="P749" s="9" t="str">
        <f t="shared" si="38"/>
        <v>NO</v>
      </c>
      <c r="Q749" s="9" t="str">
        <f t="shared" si="39"/>
        <v>Conditioned</v>
      </c>
    </row>
    <row r="750" spans="1:17">
      <c r="A750" s="9">
        <v>12690</v>
      </c>
      <c r="B750" s="9">
        <v>1</v>
      </c>
      <c r="C750" s="9" t="s">
        <v>1589</v>
      </c>
      <c r="D750" s="9" t="s">
        <v>1603</v>
      </c>
      <c r="E750" s="9" t="s">
        <v>1602</v>
      </c>
      <c r="F750" s="9" t="s">
        <v>1603</v>
      </c>
      <c r="G750" s="9" t="s">
        <v>1592</v>
      </c>
      <c r="H750" s="9" t="s">
        <v>176</v>
      </c>
      <c r="I750" s="9" t="s">
        <v>2295</v>
      </c>
      <c r="J750" s="9" t="s">
        <v>1608</v>
      </c>
      <c r="K750" s="9">
        <v>1</v>
      </c>
      <c r="L750" s="9">
        <v>20</v>
      </c>
      <c r="M750" s="9">
        <v>2010</v>
      </c>
      <c r="O750" s="9" t="str">
        <f t="shared" si="37"/>
        <v>NO</v>
      </c>
      <c r="P750" s="9" t="str">
        <f t="shared" si="38"/>
        <v>NO</v>
      </c>
      <c r="Q750" s="9" t="str">
        <f t="shared" si="39"/>
        <v>Conditioned</v>
      </c>
    </row>
    <row r="751" spans="1:17">
      <c r="A751" s="9">
        <v>12690</v>
      </c>
      <c r="B751" s="9">
        <v>2</v>
      </c>
      <c r="C751" s="9" t="s">
        <v>1589</v>
      </c>
      <c r="D751" s="9" t="s">
        <v>1590</v>
      </c>
      <c r="E751" s="9" t="s">
        <v>1613</v>
      </c>
      <c r="F751" s="9" t="s">
        <v>1590</v>
      </c>
      <c r="G751" s="9" t="s">
        <v>1606</v>
      </c>
      <c r="H751" s="9" t="s">
        <v>169</v>
      </c>
      <c r="I751" s="9" t="s">
        <v>2296</v>
      </c>
      <c r="J751" s="9" t="s">
        <v>1608</v>
      </c>
      <c r="K751" s="9">
        <v>1</v>
      </c>
      <c r="L751" s="9">
        <v>20</v>
      </c>
      <c r="M751" s="9">
        <v>1995</v>
      </c>
      <c r="O751" s="9" t="str">
        <f t="shared" si="37"/>
        <v>NO</v>
      </c>
      <c r="P751" s="9" t="str">
        <f t="shared" si="38"/>
        <v>NO</v>
      </c>
      <c r="Q751" s="9" t="str">
        <f t="shared" si="39"/>
        <v>Unconditioned</v>
      </c>
    </row>
    <row r="752" spans="1:17">
      <c r="A752" s="9">
        <v>12690</v>
      </c>
      <c r="B752" s="9">
        <v>3</v>
      </c>
      <c r="C752" s="9" t="s">
        <v>1589</v>
      </c>
      <c r="D752" s="9" t="s">
        <v>1590</v>
      </c>
      <c r="E752" s="9" t="s">
        <v>1591</v>
      </c>
      <c r="F752" s="9" t="s">
        <v>1589</v>
      </c>
      <c r="G752" s="9" t="s">
        <v>1606</v>
      </c>
      <c r="H752" s="9" t="s">
        <v>170</v>
      </c>
      <c r="I752" s="9" t="s">
        <v>2297</v>
      </c>
      <c r="J752" s="9" t="s">
        <v>1605</v>
      </c>
      <c r="K752" s="9">
        <v>1</v>
      </c>
      <c r="L752" s="9">
        <v>16</v>
      </c>
      <c r="M752" s="9">
        <v>1999</v>
      </c>
      <c r="O752" s="9" t="str">
        <f t="shared" si="37"/>
        <v>NO</v>
      </c>
      <c r="P752" s="9" t="str">
        <f t="shared" si="38"/>
        <v>YES</v>
      </c>
      <c r="Q752" s="9" t="str">
        <f t="shared" si="39"/>
        <v>Unconditioned</v>
      </c>
    </row>
    <row r="753" spans="1:17">
      <c r="A753" s="9">
        <v>12693</v>
      </c>
      <c r="B753" s="9">
        <v>1</v>
      </c>
      <c r="C753" s="9" t="s">
        <v>1589</v>
      </c>
      <c r="D753" s="9" t="s">
        <v>1603</v>
      </c>
      <c r="E753" s="9" t="s">
        <v>1602</v>
      </c>
      <c r="F753" s="9" t="s">
        <v>1603</v>
      </c>
      <c r="G753" s="9" t="s">
        <v>1592</v>
      </c>
      <c r="H753" s="9" t="s">
        <v>176</v>
      </c>
      <c r="I753" s="9" t="s">
        <v>2298</v>
      </c>
      <c r="J753" s="9" t="s">
        <v>1608</v>
      </c>
      <c r="K753" s="9">
        <v>1</v>
      </c>
      <c r="L753" s="9">
        <v>26</v>
      </c>
      <c r="M753" s="9">
        <v>2009</v>
      </c>
      <c r="O753" s="9" t="str">
        <f t="shared" si="37"/>
        <v>NO</v>
      </c>
      <c r="P753" s="9" t="str">
        <f t="shared" si="38"/>
        <v>NO</v>
      </c>
      <c r="Q753" s="9" t="str">
        <f t="shared" si="39"/>
        <v>Conditioned</v>
      </c>
    </row>
    <row r="754" spans="1:17">
      <c r="A754" s="9">
        <v>12693</v>
      </c>
      <c r="B754" s="9">
        <v>2</v>
      </c>
      <c r="C754" s="9" t="s">
        <v>1589</v>
      </c>
      <c r="D754" s="9" t="s">
        <v>1590</v>
      </c>
      <c r="E754" s="9" t="s">
        <v>1613</v>
      </c>
      <c r="F754" s="9" t="s">
        <v>1603</v>
      </c>
      <c r="G754" s="9" t="s">
        <v>1606</v>
      </c>
      <c r="H754" s="9" t="s">
        <v>1599</v>
      </c>
      <c r="I754" s="9" t="s">
        <v>2299</v>
      </c>
      <c r="J754" s="9" t="s">
        <v>1597</v>
      </c>
      <c r="K754" s="9">
        <v>1</v>
      </c>
      <c r="L754" s="9">
        <v>22</v>
      </c>
      <c r="M754" s="9">
        <v>1999</v>
      </c>
      <c r="O754" s="9" t="str">
        <f t="shared" si="37"/>
        <v>NO</v>
      </c>
      <c r="P754" s="9" t="str">
        <f t="shared" si="38"/>
        <v>NO</v>
      </c>
      <c r="Q754" s="9" t="str">
        <f t="shared" si="39"/>
        <v>Unconditioned</v>
      </c>
    </row>
    <row r="755" spans="1:17">
      <c r="A755" s="9">
        <v>12724</v>
      </c>
      <c r="B755" s="9">
        <v>1</v>
      </c>
      <c r="C755" s="9" t="s">
        <v>1589</v>
      </c>
      <c r="D755" s="9" t="s">
        <v>1603</v>
      </c>
      <c r="E755" s="9" t="s">
        <v>1602</v>
      </c>
      <c r="F755" s="9" t="s">
        <v>1603</v>
      </c>
      <c r="G755" s="9" t="s">
        <v>1592</v>
      </c>
      <c r="H755" s="9" t="s">
        <v>173</v>
      </c>
      <c r="I755" s="9" t="s">
        <v>2300</v>
      </c>
      <c r="J755" s="9" t="s">
        <v>1601</v>
      </c>
      <c r="K755" s="9">
        <v>1</v>
      </c>
      <c r="L755" s="9">
        <v>35</v>
      </c>
      <c r="M755" s="9">
        <v>2010</v>
      </c>
      <c r="O755" s="9" t="str">
        <f t="shared" si="37"/>
        <v>NO</v>
      </c>
      <c r="P755" s="9" t="str">
        <f t="shared" si="38"/>
        <v>NO</v>
      </c>
      <c r="Q755" s="9" t="str">
        <f t="shared" si="39"/>
        <v>Conditioned</v>
      </c>
    </row>
    <row r="756" spans="1:17">
      <c r="A756" s="9">
        <v>12730</v>
      </c>
      <c r="B756" s="9">
        <v>1</v>
      </c>
      <c r="C756" s="9" t="s">
        <v>1589</v>
      </c>
      <c r="D756" s="9" t="s">
        <v>1590</v>
      </c>
      <c r="E756" s="9" t="s">
        <v>1591</v>
      </c>
      <c r="F756" s="9" t="s">
        <v>1589</v>
      </c>
      <c r="G756" s="9" t="s">
        <v>1592</v>
      </c>
      <c r="H756" s="9" t="s">
        <v>1638</v>
      </c>
      <c r="I756" s="9" t="s">
        <v>2301</v>
      </c>
      <c r="J756" s="9" t="s">
        <v>1597</v>
      </c>
      <c r="K756" s="9">
        <v>1</v>
      </c>
      <c r="L756" s="9">
        <v>22</v>
      </c>
      <c r="M756" s="9">
        <v>2004</v>
      </c>
      <c r="O756" s="9" t="str">
        <f t="shared" si="37"/>
        <v>NO</v>
      </c>
      <c r="P756" s="9" t="str">
        <f t="shared" si="38"/>
        <v>NO</v>
      </c>
      <c r="Q756" s="9" t="str">
        <f t="shared" si="39"/>
        <v>Conditioned</v>
      </c>
    </row>
    <row r="757" spans="1:17">
      <c r="A757" s="9">
        <v>12737</v>
      </c>
      <c r="B757" s="9">
        <v>1</v>
      </c>
      <c r="C757" s="9" t="s">
        <v>1589</v>
      </c>
      <c r="D757" s="9" t="s">
        <v>1590</v>
      </c>
      <c r="E757" s="9" t="s">
        <v>1613</v>
      </c>
      <c r="F757" s="9" t="s">
        <v>1603</v>
      </c>
      <c r="G757" s="9" t="s">
        <v>1592</v>
      </c>
      <c r="H757" s="9" t="s">
        <v>170</v>
      </c>
      <c r="I757" s="9" t="s">
        <v>2302</v>
      </c>
      <c r="J757" s="9" t="s">
        <v>1608</v>
      </c>
      <c r="K757" s="9">
        <v>1</v>
      </c>
      <c r="L757" s="9">
        <v>26</v>
      </c>
      <c r="M757" s="9">
        <v>2010</v>
      </c>
      <c r="O757" s="9" t="str">
        <f t="shared" si="37"/>
        <v>NO</v>
      </c>
      <c r="P757" s="9" t="str">
        <f t="shared" si="38"/>
        <v>NO</v>
      </c>
      <c r="Q757" s="9" t="str">
        <f t="shared" si="39"/>
        <v>Conditioned</v>
      </c>
    </row>
    <row r="758" spans="1:17">
      <c r="A758" s="9">
        <v>12738</v>
      </c>
      <c r="B758" s="9">
        <v>1</v>
      </c>
      <c r="C758" s="9" t="s">
        <v>1589</v>
      </c>
      <c r="D758" s="9" t="s">
        <v>1590</v>
      </c>
      <c r="E758" s="9" t="s">
        <v>1591</v>
      </c>
      <c r="F758" s="9" t="s">
        <v>1589</v>
      </c>
      <c r="G758" s="9" t="s">
        <v>1592</v>
      </c>
      <c r="H758" s="9" t="s">
        <v>172</v>
      </c>
      <c r="I758" s="9" t="s">
        <v>2303</v>
      </c>
      <c r="J758" s="9" t="s">
        <v>1597</v>
      </c>
      <c r="K758" s="9">
        <v>1</v>
      </c>
      <c r="L758" s="9">
        <v>17</v>
      </c>
      <c r="M758" s="9">
        <v>2009</v>
      </c>
      <c r="O758" s="9" t="str">
        <f t="shared" si="37"/>
        <v>NO</v>
      </c>
      <c r="P758" s="9" t="str">
        <f t="shared" si="38"/>
        <v>NO</v>
      </c>
      <c r="Q758" s="9" t="str">
        <f t="shared" si="39"/>
        <v>Conditioned</v>
      </c>
    </row>
    <row r="759" spans="1:17">
      <c r="A759" s="9">
        <v>12738</v>
      </c>
      <c r="B759" s="9">
        <v>2</v>
      </c>
      <c r="C759" s="9" t="s">
        <v>1589</v>
      </c>
      <c r="D759" s="9" t="s">
        <v>1590</v>
      </c>
      <c r="E759" s="9" t="s">
        <v>1591</v>
      </c>
      <c r="F759" s="9" t="s">
        <v>1589</v>
      </c>
      <c r="G759" s="9" t="s">
        <v>1592</v>
      </c>
      <c r="H759" s="9" t="s">
        <v>170</v>
      </c>
      <c r="I759" s="9" t="s">
        <v>2304</v>
      </c>
      <c r="J759" s="9" t="s">
        <v>1605</v>
      </c>
      <c r="K759" s="9">
        <v>1</v>
      </c>
      <c r="L759" s="9">
        <v>15</v>
      </c>
      <c r="M759" s="9">
        <v>2000</v>
      </c>
      <c r="O759" s="9" t="str">
        <f t="shared" si="37"/>
        <v>NO</v>
      </c>
      <c r="P759" s="9" t="str">
        <f t="shared" si="38"/>
        <v>YES</v>
      </c>
      <c r="Q759" s="9" t="str">
        <f t="shared" si="39"/>
        <v>Conditioned</v>
      </c>
    </row>
    <row r="760" spans="1:17">
      <c r="A760" s="9">
        <v>12739</v>
      </c>
      <c r="B760" s="9">
        <v>1</v>
      </c>
      <c r="C760" s="9" t="s">
        <v>1589</v>
      </c>
      <c r="D760" s="9" t="s">
        <v>1590</v>
      </c>
      <c r="E760" s="9" t="s">
        <v>1591</v>
      </c>
      <c r="F760" s="9" t="s">
        <v>1589</v>
      </c>
      <c r="G760" s="9" t="s">
        <v>1592</v>
      </c>
      <c r="H760" s="9" t="s">
        <v>1624</v>
      </c>
      <c r="I760" s="9" t="s">
        <v>2305</v>
      </c>
      <c r="J760" s="9" t="s">
        <v>1597</v>
      </c>
      <c r="K760" s="9">
        <v>1</v>
      </c>
      <c r="L760" s="9">
        <v>18</v>
      </c>
      <c r="M760" s="9">
        <v>2002</v>
      </c>
      <c r="O760" s="9" t="str">
        <f t="shared" si="37"/>
        <v>NO</v>
      </c>
      <c r="P760" s="9" t="str">
        <f t="shared" si="38"/>
        <v>NO</v>
      </c>
      <c r="Q760" s="9" t="str">
        <f t="shared" si="39"/>
        <v>Conditioned</v>
      </c>
    </row>
    <row r="761" spans="1:17">
      <c r="A761" s="9">
        <v>12743</v>
      </c>
      <c r="B761" s="9">
        <v>1</v>
      </c>
      <c r="C761" s="9" t="s">
        <v>1589</v>
      </c>
      <c r="D761" s="9" t="s">
        <v>1590</v>
      </c>
      <c r="E761" s="9" t="s">
        <v>1613</v>
      </c>
      <c r="F761" s="9" t="s">
        <v>1603</v>
      </c>
      <c r="G761" s="9" t="s">
        <v>1592</v>
      </c>
      <c r="H761" s="9" t="s">
        <v>170</v>
      </c>
      <c r="I761" s="9" t="s">
        <v>2306</v>
      </c>
      <c r="J761" s="9" t="s">
        <v>1597</v>
      </c>
      <c r="K761" s="9">
        <v>1</v>
      </c>
      <c r="L761" s="9">
        <v>26</v>
      </c>
      <c r="M761" s="9">
        <v>2010</v>
      </c>
      <c r="O761" s="9" t="str">
        <f t="shared" si="37"/>
        <v>NO</v>
      </c>
      <c r="P761" s="9" t="str">
        <f t="shared" si="38"/>
        <v>NO</v>
      </c>
      <c r="Q761" s="9" t="str">
        <f t="shared" si="39"/>
        <v>Conditioned</v>
      </c>
    </row>
    <row r="762" spans="1:17">
      <c r="A762" s="9">
        <v>12745</v>
      </c>
      <c r="B762" s="9">
        <v>1</v>
      </c>
      <c r="C762" s="9" t="s">
        <v>1589</v>
      </c>
      <c r="D762" s="9" t="s">
        <v>1590</v>
      </c>
      <c r="E762" s="9" t="s">
        <v>1591</v>
      </c>
      <c r="F762" s="9" t="s">
        <v>1589</v>
      </c>
      <c r="G762" s="9" t="s">
        <v>1592</v>
      </c>
      <c r="H762" s="9" t="s">
        <v>1638</v>
      </c>
      <c r="I762" s="9" t="s">
        <v>2307</v>
      </c>
      <c r="J762" s="9" t="s">
        <v>1597</v>
      </c>
      <c r="K762" s="9">
        <v>1</v>
      </c>
      <c r="L762" s="9">
        <v>18</v>
      </c>
      <c r="M762" s="9">
        <v>2007</v>
      </c>
      <c r="O762" s="9" t="str">
        <f t="shared" si="37"/>
        <v>NO</v>
      </c>
      <c r="P762" s="9" t="str">
        <f t="shared" si="38"/>
        <v>NO</v>
      </c>
      <c r="Q762" s="9" t="str">
        <f t="shared" si="39"/>
        <v>Conditioned</v>
      </c>
    </row>
    <row r="763" spans="1:17">
      <c r="A763" s="9">
        <v>12753</v>
      </c>
      <c r="B763" s="9">
        <v>1</v>
      </c>
      <c r="C763" s="9" t="s">
        <v>1589</v>
      </c>
      <c r="D763" s="9" t="s">
        <v>1590</v>
      </c>
      <c r="E763" s="9" t="s">
        <v>1613</v>
      </c>
      <c r="F763" s="9" t="s">
        <v>1603</v>
      </c>
      <c r="G763" s="9" t="s">
        <v>1592</v>
      </c>
      <c r="H763" s="9" t="s">
        <v>177</v>
      </c>
      <c r="I763" s="9" t="s">
        <v>2308</v>
      </c>
      <c r="J763" s="9" t="s">
        <v>1608</v>
      </c>
      <c r="K763" s="9">
        <v>1</v>
      </c>
      <c r="L763" s="9">
        <v>22</v>
      </c>
      <c r="M763" s="9">
        <v>2009</v>
      </c>
      <c r="O763" s="9" t="str">
        <f t="shared" si="37"/>
        <v>NO</v>
      </c>
      <c r="P763" s="9" t="str">
        <f t="shared" si="38"/>
        <v>NO</v>
      </c>
      <c r="Q763" s="9" t="str">
        <f t="shared" si="39"/>
        <v>Conditioned</v>
      </c>
    </row>
    <row r="764" spans="1:17">
      <c r="A764" s="9">
        <v>12755</v>
      </c>
      <c r="B764" s="9">
        <v>1</v>
      </c>
      <c r="C764" s="9" t="s">
        <v>1589</v>
      </c>
      <c r="D764" s="9" t="s">
        <v>1590</v>
      </c>
      <c r="E764" s="9" t="s">
        <v>1591</v>
      </c>
      <c r="F764" s="9" t="s">
        <v>1589</v>
      </c>
      <c r="G764" s="9" t="s">
        <v>1592</v>
      </c>
      <c r="H764" s="9" t="s">
        <v>177</v>
      </c>
      <c r="I764" s="9" t="s">
        <v>2309</v>
      </c>
      <c r="J764" s="9" t="s">
        <v>1597</v>
      </c>
      <c r="K764" s="9">
        <v>1</v>
      </c>
      <c r="L764" s="9">
        <v>25</v>
      </c>
      <c r="M764" s="9">
        <v>2001</v>
      </c>
      <c r="O764" s="9" t="str">
        <f t="shared" si="37"/>
        <v>NO</v>
      </c>
      <c r="P764" s="9" t="str">
        <f t="shared" si="38"/>
        <v>NO</v>
      </c>
      <c r="Q764" s="9" t="str">
        <f t="shared" si="39"/>
        <v>Conditioned</v>
      </c>
    </row>
    <row r="765" spans="1:17">
      <c r="A765" s="9">
        <v>12759</v>
      </c>
      <c r="B765" s="9">
        <v>1</v>
      </c>
      <c r="C765" s="9" t="s">
        <v>1589</v>
      </c>
      <c r="D765" s="9" t="s">
        <v>1603</v>
      </c>
      <c r="E765" s="9" t="s">
        <v>1602</v>
      </c>
      <c r="F765" s="9" t="s">
        <v>1603</v>
      </c>
      <c r="G765" s="9" t="s">
        <v>1592</v>
      </c>
      <c r="H765" s="9" t="s">
        <v>1638</v>
      </c>
      <c r="I765" s="9" t="s">
        <v>2310</v>
      </c>
      <c r="J765" s="9" t="s">
        <v>1601</v>
      </c>
      <c r="K765" s="9">
        <v>1</v>
      </c>
      <c r="L765" s="9">
        <v>26</v>
      </c>
      <c r="M765" s="9">
        <v>2003</v>
      </c>
      <c r="O765" s="9" t="str">
        <f t="shared" si="37"/>
        <v>NO</v>
      </c>
      <c r="P765" s="9" t="str">
        <f t="shared" si="38"/>
        <v>NO</v>
      </c>
      <c r="Q765" s="9" t="str">
        <f t="shared" si="39"/>
        <v>Conditioned</v>
      </c>
    </row>
    <row r="766" spans="1:17">
      <c r="A766" s="9">
        <v>12759</v>
      </c>
      <c r="B766" s="9">
        <v>2</v>
      </c>
      <c r="C766" s="9" t="s">
        <v>1589</v>
      </c>
      <c r="D766" s="9" t="s">
        <v>1590</v>
      </c>
      <c r="E766" s="9" t="s">
        <v>1591</v>
      </c>
      <c r="F766" s="9" t="s">
        <v>1589</v>
      </c>
      <c r="G766" s="9" t="s">
        <v>1592</v>
      </c>
      <c r="H766" s="9" t="s">
        <v>1638</v>
      </c>
      <c r="I766" s="9" t="s">
        <v>1589</v>
      </c>
      <c r="J766" s="9" t="s">
        <v>1605</v>
      </c>
      <c r="K766" s="9">
        <v>1</v>
      </c>
      <c r="L766" s="9">
        <v>20</v>
      </c>
      <c r="M766" s="9">
        <v>1995</v>
      </c>
      <c r="O766" s="9" t="str">
        <f t="shared" si="37"/>
        <v>NO</v>
      </c>
      <c r="P766" s="9" t="str">
        <f t="shared" si="38"/>
        <v>YES</v>
      </c>
      <c r="Q766" s="9" t="str">
        <f t="shared" si="39"/>
        <v>Conditioned</v>
      </c>
    </row>
    <row r="767" spans="1:17">
      <c r="A767" s="9">
        <v>12759</v>
      </c>
      <c r="B767" s="9">
        <v>3</v>
      </c>
      <c r="C767" s="9" t="s">
        <v>1589</v>
      </c>
      <c r="D767" s="9" t="s">
        <v>1590</v>
      </c>
      <c r="E767" s="9" t="s">
        <v>1613</v>
      </c>
      <c r="F767" s="9" t="s">
        <v>1590</v>
      </c>
      <c r="G767" s="9" t="s">
        <v>1592</v>
      </c>
      <c r="H767" s="9" t="s">
        <v>170</v>
      </c>
      <c r="I767" s="9" t="s">
        <v>1589</v>
      </c>
      <c r="J767" s="9" t="s">
        <v>1597</v>
      </c>
      <c r="K767" s="9">
        <v>1</v>
      </c>
      <c r="L767" s="9">
        <v>20</v>
      </c>
      <c r="M767" s="9">
        <v>1995</v>
      </c>
      <c r="O767" s="9" t="str">
        <f t="shared" si="37"/>
        <v>NO</v>
      </c>
      <c r="P767" s="9" t="str">
        <f t="shared" si="38"/>
        <v>NO</v>
      </c>
      <c r="Q767" s="9" t="str">
        <f t="shared" si="39"/>
        <v>Conditioned</v>
      </c>
    </row>
    <row r="768" spans="1:17">
      <c r="A768" s="9">
        <v>12771</v>
      </c>
      <c r="B768" s="9">
        <v>1</v>
      </c>
      <c r="C768" s="9" t="s">
        <v>1589</v>
      </c>
      <c r="D768" s="9" t="s">
        <v>1590</v>
      </c>
      <c r="E768" s="9" t="s">
        <v>1613</v>
      </c>
      <c r="F768" s="9" t="s">
        <v>1603</v>
      </c>
      <c r="G768" s="9" t="s">
        <v>1592</v>
      </c>
      <c r="H768" s="9" t="s">
        <v>177</v>
      </c>
      <c r="I768" s="9" t="s">
        <v>2311</v>
      </c>
      <c r="J768" s="9" t="s">
        <v>1597</v>
      </c>
      <c r="K768" s="9">
        <v>1</v>
      </c>
      <c r="L768" s="9">
        <v>22</v>
      </c>
      <c r="M768" s="9">
        <v>2009</v>
      </c>
      <c r="O768" s="9" t="str">
        <f t="shared" si="37"/>
        <v>NO</v>
      </c>
      <c r="P768" s="9" t="str">
        <f t="shared" si="38"/>
        <v>NO</v>
      </c>
      <c r="Q768" s="9" t="str">
        <f t="shared" si="39"/>
        <v>Conditioned</v>
      </c>
    </row>
    <row r="769" spans="1:17">
      <c r="A769" s="9">
        <v>12773</v>
      </c>
      <c r="B769" s="9">
        <v>1</v>
      </c>
      <c r="C769" s="9" t="s">
        <v>1589</v>
      </c>
      <c r="D769" s="9" t="s">
        <v>1590</v>
      </c>
      <c r="E769" s="9" t="s">
        <v>1613</v>
      </c>
      <c r="F769" s="9" t="s">
        <v>1603</v>
      </c>
      <c r="G769" s="9" t="s">
        <v>1592</v>
      </c>
      <c r="H769" s="9" t="s">
        <v>170</v>
      </c>
      <c r="I769" s="9" t="s">
        <v>2312</v>
      </c>
      <c r="J769" s="9" t="s">
        <v>1597</v>
      </c>
      <c r="K769" s="9">
        <v>1</v>
      </c>
      <c r="L769" s="9">
        <v>21</v>
      </c>
      <c r="M769" s="9">
        <v>2009</v>
      </c>
      <c r="O769" s="9" t="str">
        <f t="shared" si="37"/>
        <v>NO</v>
      </c>
      <c r="P769" s="9" t="str">
        <f t="shared" si="38"/>
        <v>NO</v>
      </c>
      <c r="Q769" s="9" t="str">
        <f t="shared" si="39"/>
        <v>Conditioned</v>
      </c>
    </row>
    <row r="770" spans="1:17">
      <c r="A770" s="9">
        <v>12773</v>
      </c>
      <c r="B770" s="9">
        <v>2</v>
      </c>
      <c r="C770" s="9" t="s">
        <v>1589</v>
      </c>
      <c r="D770" s="9" t="s">
        <v>1590</v>
      </c>
      <c r="E770" s="9" t="s">
        <v>1613</v>
      </c>
      <c r="F770" s="9" t="s">
        <v>1590</v>
      </c>
      <c r="G770" s="9" t="s">
        <v>1606</v>
      </c>
      <c r="H770" s="9" t="s">
        <v>170</v>
      </c>
      <c r="I770" s="9" t="s">
        <v>2313</v>
      </c>
      <c r="J770" s="9" t="s">
        <v>1597</v>
      </c>
      <c r="K770" s="9">
        <v>1</v>
      </c>
      <c r="L770" s="9">
        <v>17</v>
      </c>
      <c r="M770" s="9">
        <v>1997</v>
      </c>
      <c r="O770" s="9" t="str">
        <f t="shared" si="37"/>
        <v>NO</v>
      </c>
      <c r="P770" s="9" t="str">
        <f t="shared" si="38"/>
        <v>NO</v>
      </c>
      <c r="Q770" s="9" t="str">
        <f t="shared" si="39"/>
        <v>Unconditioned</v>
      </c>
    </row>
    <row r="771" spans="1:17">
      <c r="A771" s="9">
        <v>12777</v>
      </c>
      <c r="B771" s="9">
        <v>1</v>
      </c>
      <c r="C771" s="9" t="s">
        <v>1589</v>
      </c>
      <c r="D771" s="9" t="s">
        <v>1590</v>
      </c>
      <c r="E771" s="9" t="s">
        <v>1602</v>
      </c>
      <c r="F771" s="9" t="s">
        <v>1603</v>
      </c>
      <c r="G771" s="9" t="s">
        <v>1592</v>
      </c>
      <c r="H771" s="9" t="s">
        <v>173</v>
      </c>
      <c r="I771" s="9" t="s">
        <v>2314</v>
      </c>
      <c r="J771" s="9" t="s">
        <v>1601</v>
      </c>
      <c r="K771" s="9">
        <v>1</v>
      </c>
      <c r="L771" s="9">
        <v>21</v>
      </c>
      <c r="M771" s="9">
        <v>2011</v>
      </c>
      <c r="O771" s="9" t="str">
        <f t="shared" si="37"/>
        <v>NO</v>
      </c>
      <c r="P771" s="9" t="str">
        <f t="shared" si="38"/>
        <v>NO</v>
      </c>
      <c r="Q771" s="9" t="str">
        <f t="shared" si="39"/>
        <v>Conditioned</v>
      </c>
    </row>
    <row r="772" spans="1:17">
      <c r="A772" s="9">
        <v>12782</v>
      </c>
      <c r="B772" s="9">
        <v>1</v>
      </c>
      <c r="C772" s="9" t="s">
        <v>1589</v>
      </c>
      <c r="D772" s="9" t="s">
        <v>1590</v>
      </c>
      <c r="E772" s="9" t="s">
        <v>1591</v>
      </c>
      <c r="F772" s="9" t="s">
        <v>1589</v>
      </c>
      <c r="G772" s="9" t="s">
        <v>1592</v>
      </c>
      <c r="H772" s="9" t="s">
        <v>173</v>
      </c>
      <c r="I772" s="9" t="s">
        <v>2315</v>
      </c>
      <c r="J772" s="9" t="s">
        <v>1597</v>
      </c>
      <c r="K772" s="9">
        <v>1</v>
      </c>
      <c r="L772" s="9">
        <v>16</v>
      </c>
      <c r="M772" s="9">
        <v>1990</v>
      </c>
      <c r="O772" s="9" t="str">
        <f t="shared" si="37"/>
        <v>NO</v>
      </c>
      <c r="P772" s="9" t="str">
        <f t="shared" si="38"/>
        <v>NO</v>
      </c>
      <c r="Q772" s="9" t="str">
        <f t="shared" si="39"/>
        <v>Conditioned</v>
      </c>
    </row>
    <row r="773" spans="1:17">
      <c r="A773" s="9">
        <v>12814</v>
      </c>
      <c r="B773" s="9">
        <v>1</v>
      </c>
      <c r="C773" s="9" t="s">
        <v>1589</v>
      </c>
      <c r="D773" s="9" t="s">
        <v>1590</v>
      </c>
      <c r="E773" s="9" t="s">
        <v>1613</v>
      </c>
      <c r="F773" s="9" t="s">
        <v>1603</v>
      </c>
      <c r="G773" s="9" t="s">
        <v>1592</v>
      </c>
      <c r="H773" s="9" t="s">
        <v>176</v>
      </c>
      <c r="I773" s="9" t="s">
        <v>2316</v>
      </c>
      <c r="J773" s="9" t="s">
        <v>1610</v>
      </c>
      <c r="K773" s="9">
        <v>1</v>
      </c>
      <c r="L773" s="9">
        <v>20</v>
      </c>
      <c r="M773" s="9">
        <v>2010</v>
      </c>
      <c r="O773" s="9" t="str">
        <f t="shared" si="37"/>
        <v>NO</v>
      </c>
      <c r="P773" s="9" t="str">
        <f t="shared" si="38"/>
        <v>NO</v>
      </c>
      <c r="Q773" s="9" t="str">
        <f t="shared" si="39"/>
        <v>Conditioned</v>
      </c>
    </row>
    <row r="774" spans="1:17">
      <c r="A774" s="9">
        <v>12818</v>
      </c>
      <c r="B774" s="9">
        <v>1</v>
      </c>
      <c r="C774" s="9" t="s">
        <v>1589</v>
      </c>
      <c r="D774" s="9" t="s">
        <v>1590</v>
      </c>
      <c r="E774" s="9" t="s">
        <v>1591</v>
      </c>
      <c r="F774" s="9" t="s">
        <v>1589</v>
      </c>
      <c r="G774" s="9" t="s">
        <v>1592</v>
      </c>
      <c r="H774" s="9" t="s">
        <v>170</v>
      </c>
      <c r="I774" s="9" t="s">
        <v>2317</v>
      </c>
      <c r="J774" s="9" t="s">
        <v>1601</v>
      </c>
      <c r="K774" s="9">
        <v>1</v>
      </c>
      <c r="L774" s="9">
        <v>22</v>
      </c>
      <c r="M774" s="9">
        <v>2006</v>
      </c>
      <c r="O774" s="9" t="str">
        <f t="shared" si="37"/>
        <v>NO</v>
      </c>
      <c r="P774" s="9" t="str">
        <f t="shared" si="38"/>
        <v>NO</v>
      </c>
      <c r="Q774" s="9" t="str">
        <f t="shared" si="39"/>
        <v>Conditioned</v>
      </c>
    </row>
    <row r="775" spans="1:17">
      <c r="A775" s="9">
        <v>12825</v>
      </c>
      <c r="B775" s="9">
        <v>1</v>
      </c>
      <c r="C775" s="9" t="s">
        <v>1589</v>
      </c>
      <c r="D775" s="9" t="s">
        <v>1590</v>
      </c>
      <c r="E775" s="9" t="s">
        <v>1602</v>
      </c>
      <c r="F775" s="9" t="s">
        <v>1603</v>
      </c>
      <c r="G775" s="9" t="s">
        <v>1592</v>
      </c>
      <c r="H775" s="9" t="s">
        <v>177</v>
      </c>
      <c r="I775" s="9" t="s">
        <v>2318</v>
      </c>
      <c r="J775" s="9" t="s">
        <v>1601</v>
      </c>
      <c r="K775" s="9">
        <v>1</v>
      </c>
      <c r="L775" s="9">
        <v>21</v>
      </c>
      <c r="M775" s="9">
        <v>2009</v>
      </c>
      <c r="O775" s="9" t="str">
        <f t="shared" si="37"/>
        <v>NO</v>
      </c>
      <c r="P775" s="9" t="str">
        <f t="shared" si="38"/>
        <v>NO</v>
      </c>
      <c r="Q775" s="9" t="str">
        <f t="shared" si="39"/>
        <v>Conditioned</v>
      </c>
    </row>
    <row r="776" spans="1:17">
      <c r="A776" s="9">
        <v>12833</v>
      </c>
      <c r="B776" s="9">
        <v>1</v>
      </c>
      <c r="C776" s="9" t="s">
        <v>1589</v>
      </c>
      <c r="D776" s="9" t="s">
        <v>1590</v>
      </c>
      <c r="E776" s="9" t="s">
        <v>1602</v>
      </c>
      <c r="F776" s="9" t="s">
        <v>1603</v>
      </c>
      <c r="G776" s="9" t="s">
        <v>1592</v>
      </c>
      <c r="H776" s="9" t="s">
        <v>177</v>
      </c>
      <c r="I776" s="9" t="s">
        <v>2319</v>
      </c>
      <c r="J776" s="9" t="s">
        <v>1601</v>
      </c>
      <c r="K776" s="9">
        <v>1</v>
      </c>
      <c r="L776" s="9">
        <v>25</v>
      </c>
      <c r="M776" s="9">
        <v>2001</v>
      </c>
      <c r="O776" s="9" t="str">
        <f t="shared" si="37"/>
        <v>NO</v>
      </c>
      <c r="P776" s="9" t="str">
        <f t="shared" si="38"/>
        <v>NO</v>
      </c>
      <c r="Q776" s="9" t="str">
        <f t="shared" si="39"/>
        <v>Conditioned</v>
      </c>
    </row>
    <row r="777" spans="1:17">
      <c r="A777" s="9">
        <v>12845</v>
      </c>
      <c r="B777" s="9">
        <v>1</v>
      </c>
      <c r="C777" s="9" t="s">
        <v>1589</v>
      </c>
      <c r="D777" s="9" t="s">
        <v>1590</v>
      </c>
      <c r="E777" s="9" t="s">
        <v>1602</v>
      </c>
      <c r="F777" s="9" t="s">
        <v>1590</v>
      </c>
      <c r="G777" s="9" t="s">
        <v>1592</v>
      </c>
      <c r="H777" s="9" t="s">
        <v>1638</v>
      </c>
      <c r="I777" s="9" t="s">
        <v>2320</v>
      </c>
      <c r="J777" s="9" t="s">
        <v>1601</v>
      </c>
      <c r="K777" s="9">
        <v>1</v>
      </c>
      <c r="L777" s="9">
        <v>20</v>
      </c>
      <c r="M777" s="9">
        <v>1992</v>
      </c>
      <c r="O777" s="9" t="str">
        <f t="shared" si="37"/>
        <v>NO</v>
      </c>
      <c r="P777" s="9" t="str">
        <f t="shared" si="38"/>
        <v>NO</v>
      </c>
      <c r="Q777" s="9" t="str">
        <f t="shared" si="39"/>
        <v>Conditioned</v>
      </c>
    </row>
    <row r="778" spans="1:17">
      <c r="A778" s="9">
        <v>12853</v>
      </c>
      <c r="B778" s="9">
        <v>1</v>
      </c>
      <c r="C778" s="9" t="s">
        <v>1589</v>
      </c>
      <c r="D778" s="9" t="s">
        <v>1603</v>
      </c>
      <c r="E778" s="9" t="s">
        <v>1591</v>
      </c>
      <c r="F778" s="9" t="s">
        <v>1589</v>
      </c>
      <c r="G778" s="9" t="s">
        <v>1592</v>
      </c>
      <c r="H778" s="9" t="s">
        <v>170</v>
      </c>
      <c r="I778" s="9" t="s">
        <v>2321</v>
      </c>
      <c r="J778" s="9" t="s">
        <v>1597</v>
      </c>
      <c r="K778" s="9">
        <v>1</v>
      </c>
      <c r="L778" s="9">
        <v>30</v>
      </c>
      <c r="M778" s="9">
        <v>2008</v>
      </c>
      <c r="O778" s="9" t="str">
        <f t="shared" si="37"/>
        <v>NO</v>
      </c>
      <c r="P778" s="9" t="str">
        <f t="shared" si="38"/>
        <v>NO</v>
      </c>
      <c r="Q778" s="9" t="str">
        <f t="shared" si="39"/>
        <v>Conditioned</v>
      </c>
    </row>
    <row r="779" spans="1:17">
      <c r="A779" s="9">
        <v>12856</v>
      </c>
      <c r="B779" s="9">
        <v>1</v>
      </c>
      <c r="C779" s="9" t="s">
        <v>1589</v>
      </c>
      <c r="D779" s="9" t="s">
        <v>1590</v>
      </c>
      <c r="E779" s="9" t="s">
        <v>1602</v>
      </c>
      <c r="F779" s="9" t="s">
        <v>1603</v>
      </c>
      <c r="G779" s="9" t="s">
        <v>1592</v>
      </c>
      <c r="H779" s="9" t="s">
        <v>1638</v>
      </c>
      <c r="I779" s="9" t="s">
        <v>2322</v>
      </c>
      <c r="J779" s="9" t="s">
        <v>1601</v>
      </c>
      <c r="K779" s="9">
        <v>1</v>
      </c>
      <c r="L779" s="9">
        <v>25</v>
      </c>
      <c r="M779" s="9">
        <v>2004</v>
      </c>
      <c r="O779" s="9" t="str">
        <f t="shared" si="37"/>
        <v>NO</v>
      </c>
      <c r="P779" s="9" t="str">
        <f t="shared" si="38"/>
        <v>NO</v>
      </c>
      <c r="Q779" s="9" t="str">
        <f t="shared" si="39"/>
        <v>Conditioned</v>
      </c>
    </row>
    <row r="780" spans="1:17">
      <c r="A780" s="9">
        <v>12856</v>
      </c>
      <c r="B780" s="9">
        <v>2</v>
      </c>
      <c r="C780" s="9" t="s">
        <v>1589</v>
      </c>
      <c r="D780" s="9" t="s">
        <v>1590</v>
      </c>
      <c r="E780" s="9" t="s">
        <v>1591</v>
      </c>
      <c r="F780" s="9" t="s">
        <v>1589</v>
      </c>
      <c r="G780" s="9" t="s">
        <v>1606</v>
      </c>
      <c r="H780" s="9" t="s">
        <v>1638</v>
      </c>
      <c r="I780" s="9" t="s">
        <v>2323</v>
      </c>
      <c r="J780" s="9" t="s">
        <v>1605</v>
      </c>
      <c r="K780" s="9">
        <v>1</v>
      </c>
      <c r="L780" s="9">
        <v>21</v>
      </c>
      <c r="M780" s="9">
        <v>1995</v>
      </c>
      <c r="O780" s="9" t="str">
        <f t="shared" si="37"/>
        <v>NO</v>
      </c>
      <c r="P780" s="9" t="str">
        <f t="shared" si="38"/>
        <v>YES</v>
      </c>
      <c r="Q780" s="9" t="str">
        <f t="shared" si="39"/>
        <v>Unconditioned</v>
      </c>
    </row>
    <row r="781" spans="1:17">
      <c r="A781" s="9">
        <v>12889</v>
      </c>
      <c r="B781" s="9">
        <v>1</v>
      </c>
      <c r="C781" s="9" t="s">
        <v>1589</v>
      </c>
      <c r="D781" s="9" t="s">
        <v>1590</v>
      </c>
      <c r="E781" s="9" t="s">
        <v>1602</v>
      </c>
      <c r="F781" s="9" t="s">
        <v>1603</v>
      </c>
      <c r="G781" s="9" t="s">
        <v>1592</v>
      </c>
      <c r="H781" s="9" t="s">
        <v>169</v>
      </c>
      <c r="I781" s="9" t="s">
        <v>2324</v>
      </c>
      <c r="J781" s="9" t="s">
        <v>1601</v>
      </c>
      <c r="K781" s="9">
        <v>1</v>
      </c>
      <c r="L781" s="9">
        <v>21</v>
      </c>
      <c r="M781" s="9">
        <v>2005</v>
      </c>
      <c r="O781" s="9" t="str">
        <f t="shared" si="37"/>
        <v>NO</v>
      </c>
      <c r="P781" s="9" t="str">
        <f t="shared" si="38"/>
        <v>NO</v>
      </c>
      <c r="Q781" s="9" t="str">
        <f t="shared" si="39"/>
        <v>Conditioned</v>
      </c>
    </row>
    <row r="782" spans="1:17">
      <c r="A782" s="9">
        <v>12895</v>
      </c>
      <c r="B782" s="9">
        <v>1</v>
      </c>
      <c r="C782" s="9" t="s">
        <v>1589</v>
      </c>
      <c r="D782" s="9" t="s">
        <v>1590</v>
      </c>
      <c r="E782" s="9" t="s">
        <v>1602</v>
      </c>
      <c r="F782" s="9" t="s">
        <v>1603</v>
      </c>
      <c r="G782" s="9" t="s">
        <v>1592</v>
      </c>
      <c r="H782" s="9" t="s">
        <v>1599</v>
      </c>
      <c r="I782" s="9" t="s">
        <v>2325</v>
      </c>
      <c r="J782" s="9" t="s">
        <v>1601</v>
      </c>
      <c r="K782" s="9">
        <v>1</v>
      </c>
      <c r="L782" s="9">
        <v>25</v>
      </c>
      <c r="M782" s="9">
        <v>2002</v>
      </c>
      <c r="O782" s="9" t="str">
        <f t="shared" si="37"/>
        <v>NO</v>
      </c>
      <c r="P782" s="9" t="str">
        <f t="shared" si="38"/>
        <v>NO</v>
      </c>
      <c r="Q782" s="9" t="str">
        <f t="shared" si="39"/>
        <v>Conditioned</v>
      </c>
    </row>
    <row r="783" spans="1:17">
      <c r="A783" s="9">
        <v>12897</v>
      </c>
      <c r="B783" s="9">
        <v>1</v>
      </c>
      <c r="C783" s="9" t="s">
        <v>1589</v>
      </c>
      <c r="D783" s="9" t="s">
        <v>1590</v>
      </c>
      <c r="E783" s="9" t="s">
        <v>1591</v>
      </c>
      <c r="F783" s="9" t="s">
        <v>1589</v>
      </c>
      <c r="G783" s="9" t="s">
        <v>1592</v>
      </c>
      <c r="H783" s="9" t="s">
        <v>177</v>
      </c>
      <c r="I783" s="9" t="s">
        <v>2216</v>
      </c>
      <c r="J783" s="9" t="s">
        <v>1597</v>
      </c>
      <c r="K783" s="9">
        <v>1</v>
      </c>
      <c r="L783" s="9">
        <v>18</v>
      </c>
      <c r="M783" s="9">
        <v>1999</v>
      </c>
      <c r="O783" s="9" t="str">
        <f t="shared" si="37"/>
        <v>NO</v>
      </c>
      <c r="P783" s="9" t="str">
        <f t="shared" si="38"/>
        <v>NO</v>
      </c>
      <c r="Q783" s="9" t="str">
        <f t="shared" si="39"/>
        <v>Conditioned</v>
      </c>
    </row>
    <row r="784" spans="1:17">
      <c r="A784" s="9">
        <v>12897</v>
      </c>
      <c r="B784" s="9">
        <v>2</v>
      </c>
      <c r="C784" s="9" t="s">
        <v>1589</v>
      </c>
      <c r="D784" s="9" t="s">
        <v>1590</v>
      </c>
      <c r="E784" s="9" t="s">
        <v>1591</v>
      </c>
      <c r="F784" s="9" t="s">
        <v>1589</v>
      </c>
      <c r="G784" s="9" t="s">
        <v>1592</v>
      </c>
      <c r="H784" s="9" t="s">
        <v>1463</v>
      </c>
      <c r="I784" s="9" t="s">
        <v>1589</v>
      </c>
      <c r="J784" s="9" t="s">
        <v>1597</v>
      </c>
      <c r="K784" s="9">
        <v>1</v>
      </c>
      <c r="L784" s="9">
        <v>14</v>
      </c>
      <c r="M784" s="9">
        <v>2010</v>
      </c>
      <c r="O784" s="9" t="str">
        <f t="shared" si="37"/>
        <v>NO</v>
      </c>
      <c r="P784" s="9" t="str">
        <f t="shared" si="38"/>
        <v>NO</v>
      </c>
      <c r="Q784" s="9" t="str">
        <f t="shared" si="39"/>
        <v>Conditioned</v>
      </c>
    </row>
    <row r="785" spans="1:17">
      <c r="A785" s="9">
        <v>12898</v>
      </c>
      <c r="B785" s="9">
        <v>1</v>
      </c>
      <c r="C785" s="9" t="s">
        <v>1589</v>
      </c>
      <c r="D785" s="9" t="s">
        <v>1590</v>
      </c>
      <c r="E785" s="9" t="s">
        <v>1591</v>
      </c>
      <c r="F785" s="9" t="s">
        <v>1589</v>
      </c>
      <c r="G785" s="9" t="s">
        <v>1592</v>
      </c>
      <c r="H785" s="9" t="s">
        <v>174</v>
      </c>
      <c r="I785" s="9" t="s">
        <v>2326</v>
      </c>
      <c r="J785" s="9" t="s">
        <v>1608</v>
      </c>
      <c r="K785" s="9">
        <v>1</v>
      </c>
      <c r="L785" s="9">
        <v>18</v>
      </c>
      <c r="M785" s="9">
        <v>2003</v>
      </c>
      <c r="O785" s="9" t="str">
        <f t="shared" si="37"/>
        <v>NO</v>
      </c>
      <c r="P785" s="9" t="str">
        <f t="shared" si="38"/>
        <v>NO</v>
      </c>
      <c r="Q785" s="9" t="str">
        <f t="shared" si="39"/>
        <v>Conditioned</v>
      </c>
    </row>
    <row r="786" spans="1:17">
      <c r="A786" s="9">
        <v>12898</v>
      </c>
      <c r="B786" s="9">
        <v>2</v>
      </c>
      <c r="C786" s="9" t="s">
        <v>1589</v>
      </c>
      <c r="D786" s="9" t="s">
        <v>1590</v>
      </c>
      <c r="E786" s="9" t="s">
        <v>1591</v>
      </c>
      <c r="F786" s="9" t="s">
        <v>1589</v>
      </c>
      <c r="G786" s="9" t="s">
        <v>1606</v>
      </c>
      <c r="H786" s="9" t="s">
        <v>177</v>
      </c>
      <c r="I786" s="9" t="s">
        <v>1589</v>
      </c>
      <c r="J786" s="9" t="s">
        <v>1605</v>
      </c>
      <c r="K786" s="9">
        <v>1</v>
      </c>
      <c r="L786" s="9">
        <v>18</v>
      </c>
      <c r="M786" s="9">
        <v>1972</v>
      </c>
      <c r="O786" s="9" t="str">
        <f t="shared" si="37"/>
        <v>NO</v>
      </c>
      <c r="P786" s="9" t="str">
        <f t="shared" si="38"/>
        <v>YES</v>
      </c>
      <c r="Q786" s="9" t="str">
        <f t="shared" si="39"/>
        <v>Unconditioned</v>
      </c>
    </row>
    <row r="787" spans="1:17">
      <c r="A787" s="9">
        <v>12902</v>
      </c>
      <c r="B787" s="9">
        <v>1</v>
      </c>
      <c r="C787" s="9" t="s">
        <v>1589</v>
      </c>
      <c r="D787" s="9" t="s">
        <v>1590</v>
      </c>
      <c r="E787" s="9" t="s">
        <v>1613</v>
      </c>
      <c r="F787" s="9" t="s">
        <v>1603</v>
      </c>
      <c r="G787" s="9" t="s">
        <v>1592</v>
      </c>
      <c r="H787" s="9" t="s">
        <v>174</v>
      </c>
      <c r="I787" s="9" t="s">
        <v>2327</v>
      </c>
      <c r="J787" s="9" t="s">
        <v>1597</v>
      </c>
      <c r="K787" s="9">
        <v>1</v>
      </c>
      <c r="L787" s="9">
        <v>19</v>
      </c>
      <c r="M787" s="9">
        <v>1997</v>
      </c>
      <c r="O787" s="9" t="str">
        <f t="shared" si="37"/>
        <v>NO</v>
      </c>
      <c r="P787" s="9" t="str">
        <f t="shared" si="38"/>
        <v>NO</v>
      </c>
      <c r="Q787" s="9" t="str">
        <f t="shared" si="39"/>
        <v>Conditioned</v>
      </c>
    </row>
    <row r="788" spans="1:17">
      <c r="A788" s="9">
        <v>12902</v>
      </c>
      <c r="B788" s="9">
        <v>2</v>
      </c>
      <c r="C788" s="9" t="s">
        <v>1589</v>
      </c>
      <c r="D788" s="9" t="s">
        <v>1590</v>
      </c>
      <c r="E788" s="9" t="s">
        <v>1589</v>
      </c>
      <c r="F788" s="9" t="s">
        <v>1589</v>
      </c>
      <c r="G788" s="9" t="s">
        <v>1592</v>
      </c>
      <c r="H788" s="9" t="s">
        <v>1754</v>
      </c>
      <c r="I788" s="9" t="s">
        <v>1589</v>
      </c>
      <c r="J788" s="9" t="s">
        <v>1612</v>
      </c>
      <c r="K788" s="9">
        <v>1</v>
      </c>
      <c r="L788" s="9">
        <v>10</v>
      </c>
      <c r="M788" s="9">
        <v>1995</v>
      </c>
      <c r="O788" s="9" t="str">
        <f t="shared" si="37"/>
        <v>NO</v>
      </c>
      <c r="P788" s="9" t="str">
        <f t="shared" si="38"/>
        <v>NO</v>
      </c>
      <c r="Q788" s="9" t="str">
        <f t="shared" si="39"/>
        <v>Conditioned</v>
      </c>
    </row>
    <row r="789" spans="1:17">
      <c r="A789" s="9">
        <v>12902</v>
      </c>
      <c r="B789" s="9">
        <v>3</v>
      </c>
      <c r="C789" s="9" t="s">
        <v>1589</v>
      </c>
      <c r="D789" s="9" t="s">
        <v>1590</v>
      </c>
      <c r="E789" s="9" t="s">
        <v>1591</v>
      </c>
      <c r="F789" s="9" t="s">
        <v>1589</v>
      </c>
      <c r="G789" s="9" t="s">
        <v>1592</v>
      </c>
      <c r="H789" s="9" t="s">
        <v>169</v>
      </c>
      <c r="I789" s="9" t="s">
        <v>1589</v>
      </c>
      <c r="J789" s="9" t="s">
        <v>1587</v>
      </c>
      <c r="K789" s="9">
        <v>1</v>
      </c>
      <c r="L789" s="9">
        <v>18</v>
      </c>
      <c r="M789" s="9">
        <v>1994</v>
      </c>
      <c r="O789" s="9" t="str">
        <f t="shared" si="37"/>
        <v>NO</v>
      </c>
      <c r="P789" s="9" t="str">
        <f t="shared" si="38"/>
        <v>YES</v>
      </c>
      <c r="Q789" s="9" t="str">
        <f t="shared" si="39"/>
        <v>Conditioned</v>
      </c>
    </row>
    <row r="790" spans="1:17">
      <c r="A790" s="9">
        <v>12906</v>
      </c>
      <c r="B790" s="9">
        <v>1</v>
      </c>
      <c r="C790" s="9" t="s">
        <v>1589</v>
      </c>
      <c r="D790" s="9" t="s">
        <v>1590</v>
      </c>
      <c r="E790" s="9" t="s">
        <v>1613</v>
      </c>
      <c r="F790" s="9" t="s">
        <v>1590</v>
      </c>
      <c r="G790" s="9" t="s">
        <v>1592</v>
      </c>
      <c r="H790" s="9" t="s">
        <v>177</v>
      </c>
      <c r="I790" s="9" t="s">
        <v>2328</v>
      </c>
      <c r="J790" s="9" t="s">
        <v>1597</v>
      </c>
      <c r="K790" s="9">
        <v>1</v>
      </c>
      <c r="L790" s="9">
        <v>18</v>
      </c>
      <c r="M790" s="9">
        <v>1998</v>
      </c>
      <c r="O790" s="9" t="str">
        <f t="shared" si="37"/>
        <v>NO</v>
      </c>
      <c r="P790" s="9" t="str">
        <f t="shared" si="38"/>
        <v>NO</v>
      </c>
      <c r="Q790" s="9" t="str">
        <f t="shared" si="39"/>
        <v>Conditioned</v>
      </c>
    </row>
    <row r="791" spans="1:17">
      <c r="A791" s="9">
        <v>12906</v>
      </c>
      <c r="B791" s="9">
        <v>2</v>
      </c>
      <c r="C791" s="9" t="s">
        <v>2329</v>
      </c>
      <c r="D791" s="9" t="s">
        <v>1590</v>
      </c>
      <c r="E791" s="9" t="s">
        <v>1591</v>
      </c>
      <c r="F791" s="9" t="s">
        <v>1589</v>
      </c>
      <c r="G791" s="9" t="s">
        <v>1592</v>
      </c>
      <c r="H791" s="9" t="s">
        <v>170</v>
      </c>
      <c r="I791" s="9" t="s">
        <v>1589</v>
      </c>
      <c r="J791" s="9" t="s">
        <v>1605</v>
      </c>
      <c r="K791" s="9">
        <v>1</v>
      </c>
      <c r="L791" s="9">
        <v>15</v>
      </c>
      <c r="O791" s="9" t="str">
        <f t="shared" ref="O791:O854" si="40">IF(L791&lt;7.75,"YES","NO")</f>
        <v>NO</v>
      </c>
      <c r="P791" s="9" t="str">
        <f t="shared" ref="P791:P854" si="41">VLOOKUP(J791,$Z$21:$AA$27,2,FALSE)</f>
        <v>YES</v>
      </c>
      <c r="Q791" s="9" t="str">
        <f t="shared" ref="Q791:Q854" si="42">G791</f>
        <v>Conditioned</v>
      </c>
    </row>
    <row r="792" spans="1:17">
      <c r="A792" s="9">
        <v>12908</v>
      </c>
      <c r="B792" s="9">
        <v>1</v>
      </c>
      <c r="C792" s="9" t="s">
        <v>1589</v>
      </c>
      <c r="D792" s="9" t="s">
        <v>1590</v>
      </c>
      <c r="E792" s="9" t="s">
        <v>1591</v>
      </c>
      <c r="F792" s="9" t="s">
        <v>1589</v>
      </c>
      <c r="G792" s="9" t="s">
        <v>1592</v>
      </c>
      <c r="H792" s="9" t="s">
        <v>1638</v>
      </c>
      <c r="I792" s="9" t="s">
        <v>1589</v>
      </c>
      <c r="J792" s="9" t="s">
        <v>1597</v>
      </c>
      <c r="K792" s="9">
        <v>1</v>
      </c>
      <c r="L792" s="9">
        <v>18</v>
      </c>
      <c r="M792" s="9">
        <v>1990</v>
      </c>
      <c r="O792" s="9" t="str">
        <f t="shared" si="40"/>
        <v>NO</v>
      </c>
      <c r="P792" s="9" t="str">
        <f t="shared" si="41"/>
        <v>NO</v>
      </c>
      <c r="Q792" s="9" t="str">
        <f t="shared" si="42"/>
        <v>Conditioned</v>
      </c>
    </row>
    <row r="793" spans="1:17">
      <c r="A793" s="9">
        <v>12939</v>
      </c>
      <c r="B793" s="9">
        <v>1</v>
      </c>
      <c r="C793" s="9" t="s">
        <v>1589</v>
      </c>
      <c r="D793" s="9" t="s">
        <v>1590</v>
      </c>
      <c r="E793" s="9" t="s">
        <v>1591</v>
      </c>
      <c r="F793" s="9" t="s">
        <v>1589</v>
      </c>
      <c r="G793" s="9" t="s">
        <v>1592</v>
      </c>
      <c r="H793" s="9" t="s">
        <v>170</v>
      </c>
      <c r="I793" s="9" t="s">
        <v>2330</v>
      </c>
      <c r="J793" s="9" t="s">
        <v>1597</v>
      </c>
      <c r="K793" s="9">
        <v>1</v>
      </c>
      <c r="L793" s="9">
        <v>18</v>
      </c>
      <c r="M793" s="9">
        <v>1993</v>
      </c>
      <c r="O793" s="9" t="str">
        <f t="shared" si="40"/>
        <v>NO</v>
      </c>
      <c r="P793" s="9" t="str">
        <f t="shared" si="41"/>
        <v>NO</v>
      </c>
      <c r="Q793" s="9" t="str">
        <f t="shared" si="42"/>
        <v>Conditioned</v>
      </c>
    </row>
    <row r="794" spans="1:17">
      <c r="A794" s="9">
        <v>12944</v>
      </c>
      <c r="B794" s="9">
        <v>1</v>
      </c>
      <c r="C794" s="9" t="s">
        <v>1589</v>
      </c>
      <c r="D794" s="9" t="s">
        <v>1590</v>
      </c>
      <c r="E794" s="9" t="s">
        <v>1591</v>
      </c>
      <c r="F794" s="9" t="s">
        <v>1589</v>
      </c>
      <c r="G794" s="9" t="s">
        <v>1592</v>
      </c>
      <c r="H794" s="9" t="s">
        <v>169</v>
      </c>
      <c r="I794" s="9" t="s">
        <v>2331</v>
      </c>
      <c r="J794" s="9" t="s">
        <v>1597</v>
      </c>
      <c r="K794" s="9">
        <v>1</v>
      </c>
      <c r="L794" s="9">
        <v>18</v>
      </c>
      <c r="M794" s="9">
        <v>2008</v>
      </c>
      <c r="O794" s="9" t="str">
        <f t="shared" si="40"/>
        <v>NO</v>
      </c>
      <c r="P794" s="9" t="str">
        <f t="shared" si="41"/>
        <v>NO</v>
      </c>
      <c r="Q794" s="9" t="str">
        <f t="shared" si="42"/>
        <v>Conditioned</v>
      </c>
    </row>
    <row r="795" spans="1:17">
      <c r="A795" s="9">
        <v>12944</v>
      </c>
      <c r="B795" s="9">
        <v>2</v>
      </c>
      <c r="C795" s="9" t="s">
        <v>1589</v>
      </c>
      <c r="D795" s="9" t="s">
        <v>1590</v>
      </c>
      <c r="E795" s="9" t="s">
        <v>1591</v>
      </c>
      <c r="F795" s="9" t="s">
        <v>1589</v>
      </c>
      <c r="G795" s="9" t="s">
        <v>1606</v>
      </c>
      <c r="H795" s="9" t="s">
        <v>2332</v>
      </c>
      <c r="I795" s="9" t="s">
        <v>1589</v>
      </c>
      <c r="J795" s="9" t="s">
        <v>1605</v>
      </c>
      <c r="K795" s="9">
        <v>1</v>
      </c>
      <c r="L795" s="9">
        <v>16</v>
      </c>
      <c r="O795" s="9" t="str">
        <f t="shared" si="40"/>
        <v>NO</v>
      </c>
      <c r="P795" s="9" t="str">
        <f t="shared" si="41"/>
        <v>YES</v>
      </c>
      <c r="Q795" s="9" t="str">
        <f t="shared" si="42"/>
        <v>Unconditioned</v>
      </c>
    </row>
    <row r="796" spans="1:17">
      <c r="A796" s="9">
        <v>12955</v>
      </c>
      <c r="B796" s="9">
        <v>1</v>
      </c>
      <c r="C796" s="9" t="s">
        <v>1589</v>
      </c>
      <c r="D796" s="9" t="s">
        <v>1590</v>
      </c>
      <c r="E796" s="9" t="s">
        <v>1613</v>
      </c>
      <c r="F796" s="9" t="s">
        <v>1603</v>
      </c>
      <c r="G796" s="9" t="s">
        <v>1592</v>
      </c>
      <c r="H796" s="9" t="s">
        <v>169</v>
      </c>
      <c r="I796" s="9" t="s">
        <v>2333</v>
      </c>
      <c r="J796" s="9" t="s">
        <v>1597</v>
      </c>
      <c r="K796" s="9">
        <v>1</v>
      </c>
      <c r="L796" s="9">
        <v>21</v>
      </c>
      <c r="M796" s="9">
        <v>2007</v>
      </c>
      <c r="O796" s="9" t="str">
        <f t="shared" si="40"/>
        <v>NO</v>
      </c>
      <c r="P796" s="9" t="str">
        <f t="shared" si="41"/>
        <v>NO</v>
      </c>
      <c r="Q796" s="9" t="str">
        <f t="shared" si="42"/>
        <v>Conditioned</v>
      </c>
    </row>
    <row r="797" spans="1:17">
      <c r="A797" s="9">
        <v>12956</v>
      </c>
      <c r="B797" s="9">
        <v>1</v>
      </c>
      <c r="C797" s="9" t="s">
        <v>1589</v>
      </c>
      <c r="D797" s="9" t="s">
        <v>1590</v>
      </c>
      <c r="E797" s="9" t="s">
        <v>1602</v>
      </c>
      <c r="F797" s="9" t="s">
        <v>1603</v>
      </c>
      <c r="G797" s="9" t="s">
        <v>1592</v>
      </c>
      <c r="H797" s="9" t="s">
        <v>170</v>
      </c>
      <c r="I797" s="9" t="s">
        <v>2334</v>
      </c>
      <c r="J797" s="9" t="s">
        <v>1601</v>
      </c>
      <c r="K797" s="9">
        <v>1</v>
      </c>
      <c r="L797" s="9">
        <v>22</v>
      </c>
      <c r="M797" s="9">
        <v>2006</v>
      </c>
      <c r="O797" s="9" t="str">
        <f t="shared" si="40"/>
        <v>NO</v>
      </c>
      <c r="P797" s="9" t="str">
        <f t="shared" si="41"/>
        <v>NO</v>
      </c>
      <c r="Q797" s="9" t="str">
        <f t="shared" si="42"/>
        <v>Conditioned</v>
      </c>
    </row>
    <row r="798" spans="1:17">
      <c r="A798" s="9">
        <v>12956</v>
      </c>
      <c r="B798" s="9">
        <v>2</v>
      </c>
      <c r="C798" s="9" t="s">
        <v>1589</v>
      </c>
      <c r="D798" s="9" t="s">
        <v>1590</v>
      </c>
      <c r="E798" s="9" t="s">
        <v>1602</v>
      </c>
      <c r="F798" s="9" t="s">
        <v>1590</v>
      </c>
      <c r="G798" s="9" t="s">
        <v>1592</v>
      </c>
      <c r="H798" s="9" t="s">
        <v>170</v>
      </c>
      <c r="I798" s="9" t="s">
        <v>2335</v>
      </c>
      <c r="J798" s="9" t="s">
        <v>1601</v>
      </c>
      <c r="K798" s="9">
        <v>1</v>
      </c>
      <c r="L798" s="9">
        <v>22</v>
      </c>
      <c r="M798" s="9">
        <v>1991</v>
      </c>
      <c r="O798" s="9" t="str">
        <f t="shared" si="40"/>
        <v>NO</v>
      </c>
      <c r="P798" s="9" t="str">
        <f t="shared" si="41"/>
        <v>NO</v>
      </c>
      <c r="Q798" s="9" t="str">
        <f t="shared" si="42"/>
        <v>Conditioned</v>
      </c>
    </row>
    <row r="799" spans="1:17">
      <c r="A799" s="9">
        <v>12975</v>
      </c>
      <c r="B799" s="9">
        <v>1</v>
      </c>
      <c r="C799" s="9" t="s">
        <v>1589</v>
      </c>
      <c r="D799" s="9" t="s">
        <v>1590</v>
      </c>
      <c r="E799" s="9" t="s">
        <v>1602</v>
      </c>
      <c r="F799" s="9" t="s">
        <v>1603</v>
      </c>
      <c r="G799" s="9" t="s">
        <v>1592</v>
      </c>
      <c r="H799" s="9" t="s">
        <v>169</v>
      </c>
      <c r="I799" s="9" t="s">
        <v>2336</v>
      </c>
      <c r="J799" s="9" t="s">
        <v>1601</v>
      </c>
      <c r="K799" s="9">
        <v>1</v>
      </c>
      <c r="L799" s="9">
        <v>26</v>
      </c>
      <c r="M799" s="9">
        <v>1997</v>
      </c>
      <c r="O799" s="9" t="str">
        <f t="shared" si="40"/>
        <v>NO</v>
      </c>
      <c r="P799" s="9" t="str">
        <f t="shared" si="41"/>
        <v>NO</v>
      </c>
      <c r="Q799" s="9" t="str">
        <f t="shared" si="42"/>
        <v>Conditioned</v>
      </c>
    </row>
    <row r="800" spans="1:17">
      <c r="A800" s="9">
        <v>12975</v>
      </c>
      <c r="B800" s="9">
        <v>2</v>
      </c>
      <c r="C800" s="9" t="s">
        <v>2337</v>
      </c>
      <c r="D800" s="9" t="s">
        <v>1590</v>
      </c>
      <c r="E800" s="9" t="s">
        <v>1589</v>
      </c>
      <c r="F800" s="9" t="s">
        <v>1589</v>
      </c>
      <c r="G800" s="9" t="s">
        <v>1606</v>
      </c>
      <c r="H800" s="9" t="s">
        <v>520</v>
      </c>
      <c r="I800" s="9" t="s">
        <v>2338</v>
      </c>
      <c r="J800" s="9" t="s">
        <v>1612</v>
      </c>
      <c r="K800" s="9">
        <v>1</v>
      </c>
      <c r="L800" s="9">
        <v>2</v>
      </c>
      <c r="M800" s="9">
        <v>1968</v>
      </c>
      <c r="O800" s="9" t="str">
        <f t="shared" si="40"/>
        <v>YES</v>
      </c>
      <c r="P800" s="9" t="str">
        <f t="shared" si="41"/>
        <v>NO</v>
      </c>
      <c r="Q800" s="9" t="str">
        <f t="shared" si="42"/>
        <v>Unconditioned</v>
      </c>
    </row>
    <row r="801" spans="1:17">
      <c r="A801" s="9">
        <v>12975</v>
      </c>
      <c r="B801" s="9">
        <v>3</v>
      </c>
      <c r="C801" s="9" t="s">
        <v>2339</v>
      </c>
      <c r="D801" s="9" t="s">
        <v>1590</v>
      </c>
      <c r="E801" s="9" t="s">
        <v>1591</v>
      </c>
      <c r="F801" s="9" t="s">
        <v>1589</v>
      </c>
      <c r="G801" s="9" t="s">
        <v>1606</v>
      </c>
      <c r="H801" s="9" t="s">
        <v>1766</v>
      </c>
      <c r="I801" s="9" t="s">
        <v>2340</v>
      </c>
      <c r="J801" s="9" t="s">
        <v>1605</v>
      </c>
      <c r="K801" s="9">
        <v>1</v>
      </c>
      <c r="L801" s="9">
        <v>15</v>
      </c>
      <c r="M801" s="9">
        <v>2003</v>
      </c>
      <c r="O801" s="9" t="str">
        <f t="shared" si="40"/>
        <v>NO</v>
      </c>
      <c r="P801" s="9" t="str">
        <f t="shared" si="41"/>
        <v>YES</v>
      </c>
      <c r="Q801" s="9" t="str">
        <f t="shared" si="42"/>
        <v>Unconditioned</v>
      </c>
    </row>
    <row r="802" spans="1:17">
      <c r="A802" s="9">
        <v>12977</v>
      </c>
      <c r="B802" s="9">
        <v>1</v>
      </c>
      <c r="C802" s="9" t="s">
        <v>1589</v>
      </c>
      <c r="D802" s="9" t="s">
        <v>1590</v>
      </c>
      <c r="E802" s="9" t="s">
        <v>1613</v>
      </c>
      <c r="F802" s="9" t="s">
        <v>1603</v>
      </c>
      <c r="G802" s="9" t="s">
        <v>1592</v>
      </c>
      <c r="H802" s="9" t="s">
        <v>170</v>
      </c>
      <c r="I802" s="9" t="s">
        <v>2341</v>
      </c>
      <c r="J802" s="9" t="s">
        <v>1608</v>
      </c>
      <c r="K802" s="9">
        <v>1</v>
      </c>
      <c r="L802" s="9">
        <v>22</v>
      </c>
      <c r="M802" s="9">
        <v>2001</v>
      </c>
      <c r="O802" s="9" t="str">
        <f t="shared" si="40"/>
        <v>NO</v>
      </c>
      <c r="P802" s="9" t="str">
        <f t="shared" si="41"/>
        <v>NO</v>
      </c>
      <c r="Q802" s="9" t="str">
        <f t="shared" si="42"/>
        <v>Conditioned</v>
      </c>
    </row>
    <row r="803" spans="1:17">
      <c r="A803" s="9">
        <v>12992</v>
      </c>
      <c r="B803" s="9">
        <v>1</v>
      </c>
      <c r="C803" s="9" t="s">
        <v>1589</v>
      </c>
      <c r="D803" s="9" t="s">
        <v>1590</v>
      </c>
      <c r="E803" s="9" t="s">
        <v>1613</v>
      </c>
      <c r="F803" s="9" t="s">
        <v>1603</v>
      </c>
      <c r="G803" s="9" t="s">
        <v>1592</v>
      </c>
      <c r="H803" s="9" t="s">
        <v>1638</v>
      </c>
      <c r="I803" s="9" t="s">
        <v>2342</v>
      </c>
      <c r="J803" s="9" t="s">
        <v>1610</v>
      </c>
      <c r="K803" s="9">
        <v>1</v>
      </c>
      <c r="L803" s="9">
        <v>25</v>
      </c>
      <c r="M803" s="9">
        <v>2008</v>
      </c>
      <c r="O803" s="9" t="str">
        <f t="shared" si="40"/>
        <v>NO</v>
      </c>
      <c r="P803" s="9" t="str">
        <f t="shared" si="41"/>
        <v>NO</v>
      </c>
      <c r="Q803" s="9" t="str">
        <f t="shared" si="42"/>
        <v>Conditioned</v>
      </c>
    </row>
    <row r="804" spans="1:17">
      <c r="A804" s="9">
        <v>12994</v>
      </c>
      <c r="B804" s="9">
        <v>1</v>
      </c>
      <c r="C804" s="9" t="s">
        <v>1589</v>
      </c>
      <c r="D804" s="9" t="s">
        <v>1590</v>
      </c>
      <c r="E804" s="9" t="s">
        <v>1602</v>
      </c>
      <c r="F804" s="9" t="s">
        <v>1603</v>
      </c>
      <c r="G804" s="9" t="s">
        <v>1592</v>
      </c>
      <c r="H804" s="9" t="s">
        <v>170</v>
      </c>
      <c r="I804" s="9" t="s">
        <v>2343</v>
      </c>
      <c r="J804" s="9" t="s">
        <v>1601</v>
      </c>
      <c r="K804" s="9">
        <v>1</v>
      </c>
      <c r="L804" s="9">
        <v>20</v>
      </c>
      <c r="M804" s="9">
        <v>2001</v>
      </c>
      <c r="O804" s="9" t="str">
        <f t="shared" si="40"/>
        <v>NO</v>
      </c>
      <c r="P804" s="9" t="str">
        <f t="shared" si="41"/>
        <v>NO</v>
      </c>
      <c r="Q804" s="9" t="str">
        <f t="shared" si="42"/>
        <v>Conditioned</v>
      </c>
    </row>
    <row r="805" spans="1:17">
      <c r="A805" s="9">
        <v>12994</v>
      </c>
      <c r="B805" s="9">
        <v>2</v>
      </c>
      <c r="C805" s="9" t="s">
        <v>1589</v>
      </c>
      <c r="D805" s="9" t="s">
        <v>1590</v>
      </c>
      <c r="E805" s="9" t="s">
        <v>1613</v>
      </c>
      <c r="F805" s="9" t="s">
        <v>1590</v>
      </c>
      <c r="G805" s="9" t="s">
        <v>1606</v>
      </c>
      <c r="H805" s="9" t="s">
        <v>1638</v>
      </c>
      <c r="I805" s="9" t="s">
        <v>2344</v>
      </c>
      <c r="J805" s="9" t="s">
        <v>1597</v>
      </c>
      <c r="K805" s="9">
        <v>0.75</v>
      </c>
      <c r="L805" s="9">
        <v>20</v>
      </c>
      <c r="M805" s="9">
        <v>2003</v>
      </c>
      <c r="O805" s="9" t="str">
        <f t="shared" si="40"/>
        <v>NO</v>
      </c>
      <c r="P805" s="9" t="str">
        <f t="shared" si="41"/>
        <v>NO</v>
      </c>
      <c r="Q805" s="9" t="str">
        <f t="shared" si="42"/>
        <v>Unconditioned</v>
      </c>
    </row>
    <row r="806" spans="1:17">
      <c r="A806" s="9">
        <v>13004</v>
      </c>
      <c r="B806" s="9">
        <v>1</v>
      </c>
      <c r="C806" s="9" t="s">
        <v>1589</v>
      </c>
      <c r="D806" s="9" t="s">
        <v>1590</v>
      </c>
      <c r="E806" s="9" t="s">
        <v>1613</v>
      </c>
      <c r="F806" s="9" t="s">
        <v>1603</v>
      </c>
      <c r="G806" s="9" t="s">
        <v>1592</v>
      </c>
      <c r="H806" s="9" t="s">
        <v>1017</v>
      </c>
      <c r="I806" s="9" t="s">
        <v>2345</v>
      </c>
      <c r="J806" s="9" t="s">
        <v>1608</v>
      </c>
      <c r="K806" s="9">
        <v>1</v>
      </c>
      <c r="L806" s="9">
        <v>21</v>
      </c>
      <c r="M806" s="9">
        <v>2005</v>
      </c>
      <c r="O806" s="9" t="str">
        <f t="shared" si="40"/>
        <v>NO</v>
      </c>
      <c r="P806" s="9" t="str">
        <f t="shared" si="41"/>
        <v>NO</v>
      </c>
      <c r="Q806" s="9" t="str">
        <f t="shared" si="42"/>
        <v>Conditioned</v>
      </c>
    </row>
    <row r="807" spans="1:17">
      <c r="A807" s="9">
        <v>13004</v>
      </c>
      <c r="B807" s="9">
        <v>2</v>
      </c>
      <c r="C807" s="9" t="s">
        <v>1589</v>
      </c>
      <c r="D807" s="9" t="s">
        <v>1590</v>
      </c>
      <c r="E807" s="9" t="s">
        <v>1591</v>
      </c>
      <c r="F807" s="9" t="s">
        <v>1589</v>
      </c>
      <c r="G807" s="9" t="s">
        <v>1606</v>
      </c>
      <c r="H807" s="9" t="s">
        <v>170</v>
      </c>
      <c r="I807" s="9" t="s">
        <v>1589</v>
      </c>
      <c r="J807" s="9" t="s">
        <v>1605</v>
      </c>
      <c r="K807" s="9">
        <v>1</v>
      </c>
      <c r="L807" s="9">
        <v>10</v>
      </c>
      <c r="M807" s="9">
        <v>1990</v>
      </c>
      <c r="O807" s="9" t="str">
        <f t="shared" si="40"/>
        <v>NO</v>
      </c>
      <c r="P807" s="9" t="str">
        <f t="shared" si="41"/>
        <v>YES</v>
      </c>
      <c r="Q807" s="9" t="str">
        <f t="shared" si="42"/>
        <v>Unconditioned</v>
      </c>
    </row>
    <row r="808" spans="1:17">
      <c r="A808" s="9">
        <v>13004</v>
      </c>
      <c r="B808" s="9">
        <v>3</v>
      </c>
      <c r="C808" s="9" t="s">
        <v>1589</v>
      </c>
      <c r="D808" s="9" t="s">
        <v>1590</v>
      </c>
      <c r="E808" s="9" t="s">
        <v>1591</v>
      </c>
      <c r="F808" s="9" t="s">
        <v>1589</v>
      </c>
      <c r="G808" s="9" t="s">
        <v>1606</v>
      </c>
      <c r="H808" s="9" t="s">
        <v>178</v>
      </c>
      <c r="I808" s="9" t="s">
        <v>2346</v>
      </c>
      <c r="J808" s="9" t="s">
        <v>1597</v>
      </c>
      <c r="K808" s="9">
        <v>1</v>
      </c>
      <c r="L808" s="9">
        <v>18</v>
      </c>
      <c r="M808" s="9">
        <v>2002</v>
      </c>
      <c r="O808" s="9" t="str">
        <f t="shared" si="40"/>
        <v>NO</v>
      </c>
      <c r="P808" s="9" t="str">
        <f t="shared" si="41"/>
        <v>NO</v>
      </c>
      <c r="Q808" s="9" t="str">
        <f t="shared" si="42"/>
        <v>Unconditioned</v>
      </c>
    </row>
    <row r="809" spans="1:17">
      <c r="A809" s="9">
        <v>13011</v>
      </c>
      <c r="B809" s="9">
        <v>1</v>
      </c>
      <c r="C809" s="9" t="s">
        <v>1589</v>
      </c>
      <c r="D809" s="9" t="s">
        <v>1590</v>
      </c>
      <c r="E809" s="9" t="s">
        <v>1602</v>
      </c>
      <c r="F809" s="9" t="s">
        <v>1603</v>
      </c>
      <c r="G809" s="9" t="s">
        <v>1592</v>
      </c>
      <c r="H809" s="9" t="s">
        <v>170</v>
      </c>
      <c r="I809" s="9" t="s">
        <v>2347</v>
      </c>
      <c r="J809" s="9" t="s">
        <v>1610</v>
      </c>
      <c r="K809" s="9">
        <v>1</v>
      </c>
      <c r="L809" s="9">
        <v>22</v>
      </c>
      <c r="M809" s="9">
        <v>2005</v>
      </c>
      <c r="O809" s="9" t="str">
        <f t="shared" si="40"/>
        <v>NO</v>
      </c>
      <c r="P809" s="9" t="str">
        <f t="shared" si="41"/>
        <v>NO</v>
      </c>
      <c r="Q809" s="9" t="str">
        <f t="shared" si="42"/>
        <v>Conditioned</v>
      </c>
    </row>
    <row r="810" spans="1:17">
      <c r="A810" s="9">
        <v>13011</v>
      </c>
      <c r="B810" s="9">
        <v>2</v>
      </c>
      <c r="C810" s="9" t="s">
        <v>1589</v>
      </c>
      <c r="D810" s="9" t="s">
        <v>1590</v>
      </c>
      <c r="E810" s="9" t="s">
        <v>1591</v>
      </c>
      <c r="F810" s="9" t="s">
        <v>1589</v>
      </c>
      <c r="G810" s="9" t="s">
        <v>1606</v>
      </c>
      <c r="H810" s="9" t="s">
        <v>174</v>
      </c>
      <c r="I810" s="9" t="s">
        <v>2348</v>
      </c>
      <c r="J810" s="9" t="s">
        <v>1597</v>
      </c>
      <c r="K810" s="9">
        <v>1</v>
      </c>
      <c r="L810" s="9">
        <v>22</v>
      </c>
      <c r="O810" s="9" t="str">
        <f t="shared" si="40"/>
        <v>NO</v>
      </c>
      <c r="P810" s="9" t="str">
        <f t="shared" si="41"/>
        <v>NO</v>
      </c>
      <c r="Q810" s="9" t="str">
        <f t="shared" si="42"/>
        <v>Unconditioned</v>
      </c>
    </row>
    <row r="811" spans="1:17">
      <c r="A811" s="9">
        <v>13017</v>
      </c>
      <c r="B811" s="9">
        <v>1</v>
      </c>
      <c r="C811" s="9" t="s">
        <v>1589</v>
      </c>
      <c r="D811" s="9" t="s">
        <v>1590</v>
      </c>
      <c r="E811" s="9" t="s">
        <v>1591</v>
      </c>
      <c r="F811" s="9" t="s">
        <v>1589</v>
      </c>
      <c r="G811" s="9" t="s">
        <v>1592</v>
      </c>
      <c r="H811" s="9" t="s">
        <v>170</v>
      </c>
      <c r="I811" s="9" t="s">
        <v>2349</v>
      </c>
      <c r="J811" s="9" t="s">
        <v>1610</v>
      </c>
      <c r="K811" s="9">
        <v>1</v>
      </c>
      <c r="L811" s="9">
        <v>21</v>
      </c>
      <c r="M811" s="9">
        <v>2009</v>
      </c>
      <c r="O811" s="9" t="str">
        <f t="shared" si="40"/>
        <v>NO</v>
      </c>
      <c r="P811" s="9" t="str">
        <f t="shared" si="41"/>
        <v>NO</v>
      </c>
      <c r="Q811" s="9" t="str">
        <f t="shared" si="42"/>
        <v>Conditioned</v>
      </c>
    </row>
    <row r="812" spans="1:17">
      <c r="A812" s="9">
        <v>13017</v>
      </c>
      <c r="B812" s="9">
        <v>2</v>
      </c>
      <c r="C812" s="9" t="s">
        <v>1589</v>
      </c>
      <c r="D812" s="9" t="s">
        <v>1590</v>
      </c>
      <c r="E812" s="9" t="s">
        <v>1613</v>
      </c>
      <c r="F812" s="9" t="s">
        <v>1590</v>
      </c>
      <c r="G812" s="9" t="s">
        <v>1592</v>
      </c>
      <c r="H812" s="9" t="s">
        <v>173</v>
      </c>
      <c r="I812" s="9" t="s">
        <v>2350</v>
      </c>
      <c r="J812" s="9" t="s">
        <v>1597</v>
      </c>
      <c r="K812" s="9">
        <v>1</v>
      </c>
      <c r="L812" s="9">
        <v>19</v>
      </c>
      <c r="O812" s="9" t="str">
        <f t="shared" si="40"/>
        <v>NO</v>
      </c>
      <c r="P812" s="9" t="str">
        <f t="shared" si="41"/>
        <v>NO</v>
      </c>
      <c r="Q812" s="9" t="str">
        <f t="shared" si="42"/>
        <v>Conditioned</v>
      </c>
    </row>
    <row r="813" spans="1:17">
      <c r="A813" s="9">
        <v>13019</v>
      </c>
      <c r="B813" s="9">
        <v>1</v>
      </c>
      <c r="C813" s="9" t="s">
        <v>1589</v>
      </c>
      <c r="D813" s="9" t="s">
        <v>1590</v>
      </c>
      <c r="E813" s="9" t="s">
        <v>1591</v>
      </c>
      <c r="F813" s="9" t="s">
        <v>1589</v>
      </c>
      <c r="G813" s="9" t="s">
        <v>1592</v>
      </c>
      <c r="H813" s="9" t="s">
        <v>169</v>
      </c>
      <c r="I813" s="9" t="s">
        <v>2351</v>
      </c>
      <c r="J813" s="9" t="s">
        <v>1597</v>
      </c>
      <c r="K813" s="9">
        <v>1</v>
      </c>
      <c r="L813" s="9">
        <v>20</v>
      </c>
      <c r="M813" s="9">
        <v>1971</v>
      </c>
      <c r="O813" s="9" t="str">
        <f t="shared" si="40"/>
        <v>NO</v>
      </c>
      <c r="P813" s="9" t="str">
        <f t="shared" si="41"/>
        <v>NO</v>
      </c>
      <c r="Q813" s="9" t="str">
        <f t="shared" si="42"/>
        <v>Conditioned</v>
      </c>
    </row>
    <row r="814" spans="1:17">
      <c r="A814" s="9">
        <v>13019</v>
      </c>
      <c r="B814" s="9">
        <v>2</v>
      </c>
      <c r="C814" s="9" t="s">
        <v>1589</v>
      </c>
      <c r="D814" s="9" t="s">
        <v>1590</v>
      </c>
      <c r="E814" s="9" t="s">
        <v>1602</v>
      </c>
      <c r="F814" s="9" t="s">
        <v>1603</v>
      </c>
      <c r="G814" s="9" t="s">
        <v>1592</v>
      </c>
      <c r="H814" s="9" t="s">
        <v>1599</v>
      </c>
      <c r="I814" s="9" t="s">
        <v>2352</v>
      </c>
      <c r="J814" s="9" t="s">
        <v>1601</v>
      </c>
      <c r="K814" s="9">
        <v>1</v>
      </c>
      <c r="L814" s="9">
        <v>25</v>
      </c>
      <c r="M814" s="9">
        <v>2002</v>
      </c>
      <c r="O814" s="9" t="str">
        <f t="shared" si="40"/>
        <v>NO</v>
      </c>
      <c r="P814" s="9" t="str">
        <f t="shared" si="41"/>
        <v>NO</v>
      </c>
      <c r="Q814" s="9" t="str">
        <f t="shared" si="42"/>
        <v>Conditioned</v>
      </c>
    </row>
    <row r="815" spans="1:17">
      <c r="A815" s="9">
        <v>13019</v>
      </c>
      <c r="B815" s="9">
        <v>3</v>
      </c>
      <c r="C815" s="9" t="s">
        <v>1589</v>
      </c>
      <c r="D815" s="9" t="s">
        <v>1590</v>
      </c>
      <c r="E815" s="9" t="s">
        <v>1591</v>
      </c>
      <c r="F815" s="9" t="s">
        <v>1589</v>
      </c>
      <c r="G815" s="9" t="s">
        <v>1606</v>
      </c>
      <c r="H815" s="9" t="s">
        <v>177</v>
      </c>
      <c r="I815" s="9" t="s">
        <v>2353</v>
      </c>
      <c r="J815" s="9" t="s">
        <v>1605</v>
      </c>
      <c r="K815" s="9">
        <v>1</v>
      </c>
      <c r="L815" s="9">
        <v>20</v>
      </c>
      <c r="M815" s="9">
        <v>1979</v>
      </c>
      <c r="O815" s="9" t="str">
        <f t="shared" si="40"/>
        <v>NO</v>
      </c>
      <c r="P815" s="9" t="str">
        <f t="shared" si="41"/>
        <v>YES</v>
      </c>
      <c r="Q815" s="9" t="str">
        <f t="shared" si="42"/>
        <v>Unconditioned</v>
      </c>
    </row>
    <row r="816" spans="1:17">
      <c r="A816" s="9">
        <v>13023</v>
      </c>
      <c r="B816" s="9">
        <v>1</v>
      </c>
      <c r="C816" s="9" t="s">
        <v>1589</v>
      </c>
      <c r="D816" s="9" t="s">
        <v>1590</v>
      </c>
      <c r="E816" s="9" t="s">
        <v>1602</v>
      </c>
      <c r="F816" s="9" t="s">
        <v>1603</v>
      </c>
      <c r="G816" s="9" t="s">
        <v>1592</v>
      </c>
      <c r="H816" s="9" t="s">
        <v>1017</v>
      </c>
      <c r="I816" s="9" t="s">
        <v>2354</v>
      </c>
      <c r="J816" s="9" t="s">
        <v>1608</v>
      </c>
      <c r="K816" s="9">
        <v>1</v>
      </c>
      <c r="L816" s="9">
        <v>31</v>
      </c>
      <c r="M816" s="9">
        <v>2010</v>
      </c>
      <c r="O816" s="9" t="str">
        <f t="shared" si="40"/>
        <v>NO</v>
      </c>
      <c r="P816" s="9" t="str">
        <f t="shared" si="41"/>
        <v>NO</v>
      </c>
      <c r="Q816" s="9" t="str">
        <f t="shared" si="42"/>
        <v>Conditioned</v>
      </c>
    </row>
    <row r="817" spans="1:17">
      <c r="A817" s="9">
        <v>13041</v>
      </c>
      <c r="B817" s="9">
        <v>1</v>
      </c>
      <c r="C817" s="9" t="s">
        <v>1589</v>
      </c>
      <c r="D817" s="9" t="s">
        <v>1590</v>
      </c>
      <c r="E817" s="9" t="s">
        <v>1613</v>
      </c>
      <c r="F817" s="9" t="s">
        <v>1603</v>
      </c>
      <c r="G817" s="9" t="s">
        <v>1592</v>
      </c>
      <c r="H817" s="9" t="s">
        <v>1599</v>
      </c>
      <c r="I817" s="9" t="s">
        <v>2355</v>
      </c>
      <c r="J817" s="9" t="s">
        <v>1608</v>
      </c>
      <c r="K817" s="9">
        <v>1</v>
      </c>
      <c r="L817" s="9">
        <v>21</v>
      </c>
      <c r="M817" s="9">
        <v>2006</v>
      </c>
      <c r="O817" s="9" t="str">
        <f t="shared" si="40"/>
        <v>NO</v>
      </c>
      <c r="P817" s="9" t="str">
        <f t="shared" si="41"/>
        <v>NO</v>
      </c>
      <c r="Q817" s="9" t="str">
        <f t="shared" si="42"/>
        <v>Conditioned</v>
      </c>
    </row>
    <row r="818" spans="1:17">
      <c r="A818" s="9">
        <v>13041</v>
      </c>
      <c r="B818" s="9">
        <v>2</v>
      </c>
      <c r="C818" s="9" t="s">
        <v>1589</v>
      </c>
      <c r="D818" s="9" t="s">
        <v>1590</v>
      </c>
      <c r="E818" s="9" t="s">
        <v>1591</v>
      </c>
      <c r="F818" s="9" t="s">
        <v>1589</v>
      </c>
      <c r="G818" s="9" t="s">
        <v>1592</v>
      </c>
      <c r="H818" s="9" t="s">
        <v>1599</v>
      </c>
      <c r="I818" s="9" t="s">
        <v>1589</v>
      </c>
      <c r="J818" s="9" t="s">
        <v>1612</v>
      </c>
      <c r="K818" s="9">
        <v>1</v>
      </c>
      <c r="L818" s="9">
        <v>12</v>
      </c>
      <c r="M818" s="9">
        <v>2006</v>
      </c>
      <c r="O818" s="9" t="str">
        <f t="shared" si="40"/>
        <v>NO</v>
      </c>
      <c r="P818" s="9" t="str">
        <f t="shared" si="41"/>
        <v>NO</v>
      </c>
      <c r="Q818" s="9" t="str">
        <f t="shared" si="42"/>
        <v>Conditioned</v>
      </c>
    </row>
    <row r="819" spans="1:17">
      <c r="A819" s="9">
        <v>13041</v>
      </c>
      <c r="B819" s="9">
        <v>3</v>
      </c>
      <c r="C819" s="9" t="s">
        <v>1589</v>
      </c>
      <c r="D819" s="9" t="s">
        <v>1590</v>
      </c>
      <c r="E819" s="9" t="s">
        <v>1591</v>
      </c>
      <c r="F819" s="9" t="s">
        <v>1589</v>
      </c>
      <c r="G819" s="9" t="s">
        <v>1606</v>
      </c>
      <c r="H819" s="9" t="s">
        <v>174</v>
      </c>
      <c r="I819" s="9" t="s">
        <v>2356</v>
      </c>
      <c r="J819" s="9" t="s">
        <v>1608</v>
      </c>
      <c r="K819" s="9">
        <v>1</v>
      </c>
      <c r="L819" s="9">
        <v>20</v>
      </c>
      <c r="M819" s="9">
        <v>1996</v>
      </c>
      <c r="O819" s="9" t="str">
        <f t="shared" si="40"/>
        <v>NO</v>
      </c>
      <c r="P819" s="9" t="str">
        <f t="shared" si="41"/>
        <v>NO</v>
      </c>
      <c r="Q819" s="9" t="str">
        <f t="shared" si="42"/>
        <v>Unconditioned</v>
      </c>
    </row>
    <row r="820" spans="1:17">
      <c r="A820" s="9">
        <v>13046</v>
      </c>
      <c r="B820" s="9">
        <v>1</v>
      </c>
      <c r="C820" s="9" t="s">
        <v>1589</v>
      </c>
      <c r="D820" s="9" t="s">
        <v>1590</v>
      </c>
      <c r="E820" s="9" t="s">
        <v>1591</v>
      </c>
      <c r="F820" s="9" t="s">
        <v>1589</v>
      </c>
      <c r="G820" s="9" t="s">
        <v>1592</v>
      </c>
      <c r="H820" s="9" t="s">
        <v>1017</v>
      </c>
      <c r="I820" s="9" t="s">
        <v>2357</v>
      </c>
      <c r="J820" s="9" t="s">
        <v>1608</v>
      </c>
      <c r="K820" s="9">
        <v>1</v>
      </c>
      <c r="L820" s="9">
        <v>22</v>
      </c>
      <c r="M820" s="9">
        <v>2011</v>
      </c>
      <c r="O820" s="9" t="str">
        <f t="shared" si="40"/>
        <v>NO</v>
      </c>
      <c r="P820" s="9" t="str">
        <f t="shared" si="41"/>
        <v>NO</v>
      </c>
      <c r="Q820" s="9" t="str">
        <f t="shared" si="42"/>
        <v>Conditioned</v>
      </c>
    </row>
    <row r="821" spans="1:17">
      <c r="A821" s="9">
        <v>13051</v>
      </c>
      <c r="B821" s="9">
        <v>1</v>
      </c>
      <c r="C821" s="9" t="s">
        <v>1589</v>
      </c>
      <c r="D821" s="9" t="s">
        <v>1590</v>
      </c>
      <c r="E821" s="9" t="s">
        <v>1613</v>
      </c>
      <c r="F821" s="9" t="s">
        <v>1590</v>
      </c>
      <c r="G821" s="9" t="s">
        <v>1592</v>
      </c>
      <c r="H821" s="9" t="s">
        <v>177</v>
      </c>
      <c r="I821" s="9" t="s">
        <v>2358</v>
      </c>
      <c r="J821" s="9" t="s">
        <v>1601</v>
      </c>
      <c r="K821" s="9">
        <v>1</v>
      </c>
      <c r="L821" s="9">
        <v>21</v>
      </c>
      <c r="M821" s="9">
        <v>2009</v>
      </c>
      <c r="O821" s="9" t="str">
        <f t="shared" si="40"/>
        <v>NO</v>
      </c>
      <c r="P821" s="9" t="str">
        <f t="shared" si="41"/>
        <v>NO</v>
      </c>
      <c r="Q821" s="9" t="str">
        <f t="shared" si="42"/>
        <v>Conditioned</v>
      </c>
    </row>
    <row r="822" spans="1:17">
      <c r="A822" s="9">
        <v>13051</v>
      </c>
      <c r="B822" s="9">
        <v>2</v>
      </c>
      <c r="C822" s="9" t="s">
        <v>1589</v>
      </c>
      <c r="D822" s="9" t="s">
        <v>1603</v>
      </c>
      <c r="E822" s="9" t="s">
        <v>1591</v>
      </c>
      <c r="F822" s="9" t="s">
        <v>1589</v>
      </c>
      <c r="G822" s="9" t="s">
        <v>1592</v>
      </c>
      <c r="H822" s="9" t="s">
        <v>1900</v>
      </c>
      <c r="I822" s="9" t="s">
        <v>1589</v>
      </c>
      <c r="J822" s="9" t="s">
        <v>1587</v>
      </c>
      <c r="K822" s="9">
        <v>1</v>
      </c>
      <c r="L822" s="9">
        <v>12</v>
      </c>
      <c r="M822" s="9">
        <v>1989</v>
      </c>
      <c r="O822" s="9" t="str">
        <f t="shared" si="40"/>
        <v>NO</v>
      </c>
      <c r="P822" s="9" t="str">
        <f t="shared" si="41"/>
        <v>YES</v>
      </c>
      <c r="Q822" s="9" t="str">
        <f t="shared" si="42"/>
        <v>Conditioned</v>
      </c>
    </row>
    <row r="823" spans="1:17">
      <c r="A823" s="9">
        <v>13055</v>
      </c>
      <c r="B823" s="9">
        <v>1</v>
      </c>
      <c r="C823" s="9" t="s">
        <v>1589</v>
      </c>
      <c r="D823" s="9" t="s">
        <v>1590</v>
      </c>
      <c r="E823" s="9" t="s">
        <v>1602</v>
      </c>
      <c r="F823" s="9" t="s">
        <v>1603</v>
      </c>
      <c r="G823" s="9" t="s">
        <v>1592</v>
      </c>
      <c r="H823" s="9" t="s">
        <v>177</v>
      </c>
      <c r="I823" s="9" t="s">
        <v>2359</v>
      </c>
      <c r="J823" s="9" t="s">
        <v>1601</v>
      </c>
      <c r="K823" s="9">
        <v>1</v>
      </c>
      <c r="L823" s="9">
        <v>26</v>
      </c>
      <c r="M823" s="9">
        <v>1983</v>
      </c>
      <c r="O823" s="9" t="str">
        <f t="shared" si="40"/>
        <v>NO</v>
      </c>
      <c r="P823" s="9" t="str">
        <f t="shared" si="41"/>
        <v>NO</v>
      </c>
      <c r="Q823" s="9" t="str">
        <f t="shared" si="42"/>
        <v>Conditioned</v>
      </c>
    </row>
    <row r="824" spans="1:17">
      <c r="A824" s="9">
        <v>13094</v>
      </c>
      <c r="B824" s="9">
        <v>1</v>
      </c>
      <c r="C824" s="9" t="s">
        <v>1589</v>
      </c>
      <c r="D824" s="9" t="s">
        <v>1590</v>
      </c>
      <c r="E824" s="9" t="s">
        <v>1613</v>
      </c>
      <c r="F824" s="9" t="s">
        <v>1603</v>
      </c>
      <c r="G824" s="9" t="s">
        <v>1592</v>
      </c>
      <c r="H824" s="9" t="s">
        <v>1638</v>
      </c>
      <c r="I824" s="9" t="s">
        <v>2029</v>
      </c>
      <c r="J824" s="9" t="s">
        <v>1610</v>
      </c>
      <c r="K824" s="9">
        <v>1</v>
      </c>
      <c r="L824" s="9">
        <v>22</v>
      </c>
      <c r="M824" s="9">
        <v>2006</v>
      </c>
      <c r="O824" s="9" t="str">
        <f t="shared" si="40"/>
        <v>NO</v>
      </c>
      <c r="P824" s="9" t="str">
        <f t="shared" si="41"/>
        <v>NO</v>
      </c>
      <c r="Q824" s="9" t="str">
        <f t="shared" si="42"/>
        <v>Conditioned</v>
      </c>
    </row>
    <row r="825" spans="1:17">
      <c r="A825" s="9">
        <v>13094</v>
      </c>
      <c r="B825" s="9">
        <v>2</v>
      </c>
      <c r="C825" s="9" t="s">
        <v>1589</v>
      </c>
      <c r="D825" s="9" t="s">
        <v>1590</v>
      </c>
      <c r="E825" s="9" t="s">
        <v>1613</v>
      </c>
      <c r="F825" s="9" t="s">
        <v>1603</v>
      </c>
      <c r="G825" s="9" t="s">
        <v>1592</v>
      </c>
      <c r="H825" s="9" t="s">
        <v>1638</v>
      </c>
      <c r="I825" s="9" t="s">
        <v>2360</v>
      </c>
      <c r="J825" s="9" t="s">
        <v>1601</v>
      </c>
      <c r="K825" s="9">
        <v>1</v>
      </c>
      <c r="L825" s="9">
        <v>18</v>
      </c>
      <c r="M825" s="9">
        <v>2000</v>
      </c>
      <c r="O825" s="9" t="str">
        <f t="shared" si="40"/>
        <v>NO</v>
      </c>
      <c r="P825" s="9" t="str">
        <f t="shared" si="41"/>
        <v>NO</v>
      </c>
      <c r="Q825" s="9" t="str">
        <f t="shared" si="42"/>
        <v>Conditioned</v>
      </c>
    </row>
    <row r="826" spans="1:17">
      <c r="A826" s="9">
        <v>13094</v>
      </c>
      <c r="B826" s="9">
        <v>3</v>
      </c>
      <c r="C826" s="9" t="s">
        <v>1589</v>
      </c>
      <c r="D826" s="9" t="s">
        <v>1590</v>
      </c>
      <c r="E826" s="9" t="s">
        <v>1613</v>
      </c>
      <c r="F826" s="9" t="s">
        <v>1590</v>
      </c>
      <c r="G826" s="9" t="s">
        <v>1606</v>
      </c>
      <c r="H826" s="9" t="s">
        <v>1638</v>
      </c>
      <c r="I826" s="9" t="s">
        <v>1842</v>
      </c>
      <c r="J826" s="9" t="s">
        <v>1597</v>
      </c>
      <c r="K826" s="9">
        <v>1</v>
      </c>
      <c r="L826" s="9">
        <v>18</v>
      </c>
      <c r="M826" s="9">
        <v>1992</v>
      </c>
      <c r="O826" s="9" t="str">
        <f t="shared" si="40"/>
        <v>NO</v>
      </c>
      <c r="P826" s="9" t="str">
        <f t="shared" si="41"/>
        <v>NO</v>
      </c>
      <c r="Q826" s="9" t="str">
        <f t="shared" si="42"/>
        <v>Unconditioned</v>
      </c>
    </row>
    <row r="827" spans="1:17">
      <c r="A827" s="9">
        <v>13113</v>
      </c>
      <c r="B827" s="9">
        <v>1</v>
      </c>
      <c r="C827" s="9" t="s">
        <v>1589</v>
      </c>
      <c r="D827" s="9" t="s">
        <v>1590</v>
      </c>
      <c r="E827" s="9" t="s">
        <v>1602</v>
      </c>
      <c r="F827" s="9" t="s">
        <v>1603</v>
      </c>
      <c r="G827" s="9" t="s">
        <v>1592</v>
      </c>
      <c r="H827" s="9" t="s">
        <v>177</v>
      </c>
      <c r="I827" s="9" t="s">
        <v>2361</v>
      </c>
      <c r="J827" s="9" t="s">
        <v>1601</v>
      </c>
      <c r="K827" s="9">
        <v>1</v>
      </c>
      <c r="L827" s="9">
        <v>22</v>
      </c>
      <c r="M827" s="9">
        <v>2008</v>
      </c>
      <c r="O827" s="9" t="str">
        <f t="shared" si="40"/>
        <v>NO</v>
      </c>
      <c r="P827" s="9" t="str">
        <f t="shared" si="41"/>
        <v>NO</v>
      </c>
      <c r="Q827" s="9" t="str">
        <f t="shared" si="42"/>
        <v>Conditioned</v>
      </c>
    </row>
    <row r="828" spans="1:17">
      <c r="A828" s="9">
        <v>13127</v>
      </c>
      <c r="B828" s="9">
        <v>1</v>
      </c>
      <c r="C828" s="9" t="s">
        <v>1589</v>
      </c>
      <c r="D828" s="9" t="s">
        <v>1590</v>
      </c>
      <c r="E828" s="9" t="s">
        <v>1602</v>
      </c>
      <c r="F828" s="9" t="s">
        <v>1603</v>
      </c>
      <c r="G828" s="9" t="s">
        <v>1592</v>
      </c>
      <c r="H828" s="9" t="s">
        <v>1638</v>
      </c>
      <c r="I828" s="9" t="s">
        <v>2362</v>
      </c>
      <c r="J828" s="9" t="s">
        <v>1601</v>
      </c>
      <c r="K828" s="9">
        <v>1</v>
      </c>
      <c r="L828" s="9">
        <v>22</v>
      </c>
      <c r="M828" s="9">
        <v>2003</v>
      </c>
      <c r="O828" s="9" t="str">
        <f t="shared" si="40"/>
        <v>NO</v>
      </c>
      <c r="P828" s="9" t="str">
        <f t="shared" si="41"/>
        <v>NO</v>
      </c>
      <c r="Q828" s="9" t="str">
        <f t="shared" si="42"/>
        <v>Conditioned</v>
      </c>
    </row>
    <row r="829" spans="1:17">
      <c r="A829" s="9">
        <v>13129</v>
      </c>
      <c r="B829" s="9">
        <v>1</v>
      </c>
      <c r="C829" s="9" t="s">
        <v>1589</v>
      </c>
      <c r="D829" s="9" t="s">
        <v>1590</v>
      </c>
      <c r="E829" s="9" t="s">
        <v>1602</v>
      </c>
      <c r="F829" s="9" t="s">
        <v>1603</v>
      </c>
      <c r="G829" s="9" t="s">
        <v>1592</v>
      </c>
      <c r="H829" s="9" t="s">
        <v>173</v>
      </c>
      <c r="I829" s="9" t="s">
        <v>2363</v>
      </c>
      <c r="J829" s="9" t="s">
        <v>1601</v>
      </c>
      <c r="K829" s="9">
        <v>1</v>
      </c>
      <c r="L829" s="9">
        <v>22</v>
      </c>
      <c r="M829" s="9">
        <v>2008</v>
      </c>
      <c r="O829" s="9" t="str">
        <f t="shared" si="40"/>
        <v>NO</v>
      </c>
      <c r="P829" s="9" t="str">
        <f t="shared" si="41"/>
        <v>NO</v>
      </c>
      <c r="Q829" s="9" t="str">
        <f t="shared" si="42"/>
        <v>Conditioned</v>
      </c>
    </row>
    <row r="830" spans="1:17">
      <c r="A830" s="9">
        <v>13129</v>
      </c>
      <c r="B830" s="9">
        <v>2</v>
      </c>
      <c r="C830" s="9" t="s">
        <v>1589</v>
      </c>
      <c r="D830" s="9" t="s">
        <v>1590</v>
      </c>
      <c r="E830" s="9" t="s">
        <v>1591</v>
      </c>
      <c r="F830" s="9" t="s">
        <v>1589</v>
      </c>
      <c r="G830" s="9" t="s">
        <v>1606</v>
      </c>
      <c r="H830" s="9" t="s">
        <v>1805</v>
      </c>
      <c r="I830" s="9" t="s">
        <v>2364</v>
      </c>
      <c r="J830" s="9" t="s">
        <v>1597</v>
      </c>
      <c r="K830" s="9">
        <v>1</v>
      </c>
      <c r="L830" s="9">
        <v>21</v>
      </c>
      <c r="M830" s="9">
        <v>1999</v>
      </c>
      <c r="O830" s="9" t="str">
        <f t="shared" si="40"/>
        <v>NO</v>
      </c>
      <c r="P830" s="9" t="str">
        <f t="shared" si="41"/>
        <v>NO</v>
      </c>
      <c r="Q830" s="9" t="str">
        <f t="shared" si="42"/>
        <v>Unconditioned</v>
      </c>
    </row>
    <row r="831" spans="1:17">
      <c r="A831" s="9">
        <v>13131</v>
      </c>
      <c r="B831" s="9">
        <v>1</v>
      </c>
      <c r="C831" s="9" t="s">
        <v>1589</v>
      </c>
      <c r="D831" s="9" t="s">
        <v>1590</v>
      </c>
      <c r="E831" s="9" t="s">
        <v>1613</v>
      </c>
      <c r="F831" s="9" t="s">
        <v>1590</v>
      </c>
      <c r="G831" s="9" t="s">
        <v>1592</v>
      </c>
      <c r="H831" s="9" t="s">
        <v>1638</v>
      </c>
      <c r="I831" s="9" t="s">
        <v>2365</v>
      </c>
      <c r="J831" s="9" t="s">
        <v>1597</v>
      </c>
      <c r="K831" s="9">
        <v>1</v>
      </c>
      <c r="L831" s="9">
        <v>22</v>
      </c>
      <c r="M831" s="9">
        <v>2006</v>
      </c>
      <c r="O831" s="9" t="str">
        <f t="shared" si="40"/>
        <v>NO</v>
      </c>
      <c r="P831" s="9" t="str">
        <f t="shared" si="41"/>
        <v>NO</v>
      </c>
      <c r="Q831" s="9" t="str">
        <f t="shared" si="42"/>
        <v>Conditioned</v>
      </c>
    </row>
    <row r="832" spans="1:17">
      <c r="A832" s="9">
        <v>13141</v>
      </c>
      <c r="B832" s="9">
        <v>1</v>
      </c>
      <c r="C832" s="9" t="s">
        <v>1589</v>
      </c>
      <c r="D832" s="9" t="s">
        <v>1590</v>
      </c>
      <c r="E832" s="9" t="s">
        <v>1613</v>
      </c>
      <c r="F832" s="9" t="s">
        <v>1603</v>
      </c>
      <c r="G832" s="9" t="s">
        <v>1592</v>
      </c>
      <c r="H832" s="9" t="s">
        <v>1638</v>
      </c>
      <c r="I832" s="9" t="s">
        <v>2366</v>
      </c>
      <c r="J832" s="9" t="s">
        <v>1610</v>
      </c>
      <c r="K832" s="9">
        <v>1</v>
      </c>
      <c r="L832" s="9">
        <v>24</v>
      </c>
      <c r="M832" s="9">
        <v>2010</v>
      </c>
      <c r="O832" s="9" t="str">
        <f t="shared" si="40"/>
        <v>NO</v>
      </c>
      <c r="P832" s="9" t="str">
        <f t="shared" si="41"/>
        <v>NO</v>
      </c>
      <c r="Q832" s="9" t="str">
        <f t="shared" si="42"/>
        <v>Conditioned</v>
      </c>
    </row>
    <row r="833" spans="1:17">
      <c r="A833" s="9">
        <v>13141</v>
      </c>
      <c r="B833" s="9">
        <v>2</v>
      </c>
      <c r="C833" s="9" t="s">
        <v>1589</v>
      </c>
      <c r="D833" s="9" t="s">
        <v>1590</v>
      </c>
      <c r="E833" s="9" t="s">
        <v>1591</v>
      </c>
      <c r="F833" s="9" t="s">
        <v>1589</v>
      </c>
      <c r="G833" s="9" t="s">
        <v>1606</v>
      </c>
      <c r="H833" s="9" t="s">
        <v>170</v>
      </c>
      <c r="I833" s="9" t="s">
        <v>1952</v>
      </c>
      <c r="J833" s="9" t="s">
        <v>1605</v>
      </c>
      <c r="K833" s="9">
        <v>1</v>
      </c>
      <c r="L833" s="9">
        <v>16</v>
      </c>
      <c r="M833" s="9">
        <v>2002</v>
      </c>
      <c r="O833" s="9" t="str">
        <f t="shared" si="40"/>
        <v>NO</v>
      </c>
      <c r="P833" s="9" t="str">
        <f t="shared" si="41"/>
        <v>YES</v>
      </c>
      <c r="Q833" s="9" t="str">
        <f t="shared" si="42"/>
        <v>Unconditioned</v>
      </c>
    </row>
    <row r="834" spans="1:17">
      <c r="A834" s="9">
        <v>13154</v>
      </c>
      <c r="B834" s="9">
        <v>1</v>
      </c>
      <c r="C834" s="9" t="s">
        <v>1589</v>
      </c>
      <c r="D834" s="9" t="s">
        <v>1590</v>
      </c>
      <c r="E834" s="9" t="s">
        <v>1591</v>
      </c>
      <c r="F834" s="9" t="s">
        <v>1589</v>
      </c>
      <c r="G834" s="9" t="s">
        <v>1592</v>
      </c>
      <c r="H834" s="9" t="s">
        <v>170</v>
      </c>
      <c r="I834" s="9" t="s">
        <v>2367</v>
      </c>
      <c r="J834" s="9" t="s">
        <v>1597</v>
      </c>
      <c r="K834" s="9">
        <v>1</v>
      </c>
      <c r="L834" s="9">
        <v>19</v>
      </c>
      <c r="M834" s="9">
        <v>1986</v>
      </c>
      <c r="O834" s="9" t="str">
        <f t="shared" si="40"/>
        <v>NO</v>
      </c>
      <c r="P834" s="9" t="str">
        <f t="shared" si="41"/>
        <v>NO</v>
      </c>
      <c r="Q834" s="9" t="str">
        <f t="shared" si="42"/>
        <v>Conditioned</v>
      </c>
    </row>
    <row r="835" spans="1:17">
      <c r="A835" s="9">
        <v>13154</v>
      </c>
      <c r="B835" s="9">
        <v>2</v>
      </c>
      <c r="C835" s="9" t="s">
        <v>1589</v>
      </c>
      <c r="D835" s="9" t="s">
        <v>1590</v>
      </c>
      <c r="E835" s="9" t="s">
        <v>1591</v>
      </c>
      <c r="F835" s="9" t="s">
        <v>1589</v>
      </c>
      <c r="G835" s="9" t="s">
        <v>1606</v>
      </c>
      <c r="H835" s="9" t="s">
        <v>170</v>
      </c>
      <c r="I835" s="9" t="s">
        <v>1589</v>
      </c>
      <c r="J835" s="9" t="s">
        <v>1587</v>
      </c>
      <c r="K835" s="9">
        <v>1</v>
      </c>
      <c r="L835" s="9">
        <v>21</v>
      </c>
      <c r="O835" s="9" t="str">
        <f t="shared" si="40"/>
        <v>NO</v>
      </c>
      <c r="P835" s="9" t="str">
        <f t="shared" si="41"/>
        <v>YES</v>
      </c>
      <c r="Q835" s="9" t="str">
        <f t="shared" si="42"/>
        <v>Unconditioned</v>
      </c>
    </row>
    <row r="836" spans="1:17">
      <c r="A836" s="9">
        <v>13165</v>
      </c>
      <c r="B836" s="9">
        <v>1</v>
      </c>
      <c r="C836" s="9" t="s">
        <v>1589</v>
      </c>
      <c r="D836" s="9" t="s">
        <v>1603</v>
      </c>
      <c r="E836" s="9" t="s">
        <v>1613</v>
      </c>
      <c r="F836" s="9" t="s">
        <v>1603</v>
      </c>
      <c r="G836" s="9" t="s">
        <v>1592</v>
      </c>
      <c r="H836" s="9" t="s">
        <v>173</v>
      </c>
      <c r="I836" s="9" t="s">
        <v>2368</v>
      </c>
      <c r="J836" s="9" t="s">
        <v>1610</v>
      </c>
      <c r="K836" s="9">
        <v>1</v>
      </c>
      <c r="L836" s="9">
        <v>20</v>
      </c>
      <c r="M836" s="9">
        <v>2008</v>
      </c>
      <c r="O836" s="9" t="str">
        <f t="shared" si="40"/>
        <v>NO</v>
      </c>
      <c r="P836" s="9" t="str">
        <f t="shared" si="41"/>
        <v>NO</v>
      </c>
      <c r="Q836" s="9" t="str">
        <f t="shared" si="42"/>
        <v>Conditioned</v>
      </c>
    </row>
    <row r="837" spans="1:17">
      <c r="A837" s="9">
        <v>13165</v>
      </c>
      <c r="B837" s="9">
        <v>2</v>
      </c>
      <c r="C837" s="9" t="s">
        <v>1589</v>
      </c>
      <c r="D837" s="9" t="s">
        <v>1590</v>
      </c>
      <c r="E837" s="9" t="s">
        <v>1602</v>
      </c>
      <c r="F837" s="9" t="s">
        <v>1590</v>
      </c>
      <c r="G837" s="9" t="s">
        <v>1606</v>
      </c>
      <c r="H837" s="9" t="s">
        <v>169</v>
      </c>
      <c r="I837" s="9" t="s">
        <v>2369</v>
      </c>
      <c r="J837" s="9" t="s">
        <v>1601</v>
      </c>
      <c r="K837" s="9">
        <v>1</v>
      </c>
      <c r="L837" s="9">
        <v>26</v>
      </c>
      <c r="M837" s="9">
        <v>2000</v>
      </c>
      <c r="O837" s="9" t="str">
        <f t="shared" si="40"/>
        <v>NO</v>
      </c>
      <c r="P837" s="9" t="str">
        <f t="shared" si="41"/>
        <v>NO</v>
      </c>
      <c r="Q837" s="9" t="str">
        <f t="shared" si="42"/>
        <v>Unconditioned</v>
      </c>
    </row>
    <row r="838" spans="1:17">
      <c r="A838" s="9">
        <v>13166</v>
      </c>
      <c r="B838" s="9">
        <v>1</v>
      </c>
      <c r="C838" s="9" t="s">
        <v>1589</v>
      </c>
      <c r="D838" s="9" t="s">
        <v>1590</v>
      </c>
      <c r="E838" s="9" t="s">
        <v>1602</v>
      </c>
      <c r="F838" s="9" t="s">
        <v>1603</v>
      </c>
      <c r="G838" s="9" t="s">
        <v>1592</v>
      </c>
      <c r="H838" s="9" t="s">
        <v>1599</v>
      </c>
      <c r="I838" s="9" t="s">
        <v>2370</v>
      </c>
      <c r="J838" s="9" t="s">
        <v>1601</v>
      </c>
      <c r="K838" s="9">
        <v>1</v>
      </c>
      <c r="L838" s="9">
        <v>20</v>
      </c>
      <c r="M838" s="9">
        <v>2004</v>
      </c>
      <c r="O838" s="9" t="str">
        <f t="shared" si="40"/>
        <v>NO</v>
      </c>
      <c r="P838" s="9" t="str">
        <f t="shared" si="41"/>
        <v>NO</v>
      </c>
      <c r="Q838" s="9" t="str">
        <f t="shared" si="42"/>
        <v>Conditioned</v>
      </c>
    </row>
    <row r="839" spans="1:17">
      <c r="A839" s="9">
        <v>13169</v>
      </c>
      <c r="B839" s="9">
        <v>1</v>
      </c>
      <c r="C839" s="9" t="s">
        <v>1589</v>
      </c>
      <c r="D839" s="9" t="s">
        <v>1590</v>
      </c>
      <c r="E839" s="9" t="s">
        <v>1613</v>
      </c>
      <c r="F839" s="9" t="s">
        <v>1603</v>
      </c>
      <c r="G839" s="9" t="s">
        <v>1592</v>
      </c>
      <c r="H839" s="9" t="s">
        <v>174</v>
      </c>
      <c r="I839" s="9" t="s">
        <v>2371</v>
      </c>
      <c r="J839" s="9" t="s">
        <v>1610</v>
      </c>
      <c r="K839" s="9">
        <v>1</v>
      </c>
      <c r="L839" s="9">
        <v>30</v>
      </c>
      <c r="M839" s="9">
        <v>2010</v>
      </c>
      <c r="O839" s="9" t="str">
        <f t="shared" si="40"/>
        <v>NO</v>
      </c>
      <c r="P839" s="9" t="str">
        <f t="shared" si="41"/>
        <v>NO</v>
      </c>
      <c r="Q839" s="9" t="str">
        <f t="shared" si="42"/>
        <v>Conditioned</v>
      </c>
    </row>
    <row r="840" spans="1:17">
      <c r="A840" s="9">
        <v>13169</v>
      </c>
      <c r="B840" s="9">
        <v>2</v>
      </c>
      <c r="C840" s="9" t="s">
        <v>1589</v>
      </c>
      <c r="D840" s="9" t="s">
        <v>1590</v>
      </c>
      <c r="E840" s="9" t="s">
        <v>1591</v>
      </c>
      <c r="F840" s="9" t="s">
        <v>1589</v>
      </c>
      <c r="G840" s="9" t="s">
        <v>1592</v>
      </c>
      <c r="H840" s="9" t="s">
        <v>1638</v>
      </c>
      <c r="I840" s="9" t="s">
        <v>2372</v>
      </c>
      <c r="J840" s="9" t="s">
        <v>1612</v>
      </c>
      <c r="K840" s="9">
        <v>1</v>
      </c>
      <c r="L840" s="9">
        <v>10</v>
      </c>
      <c r="M840" s="9">
        <v>1980</v>
      </c>
      <c r="O840" s="9" t="str">
        <f t="shared" si="40"/>
        <v>NO</v>
      </c>
      <c r="P840" s="9" t="str">
        <f t="shared" si="41"/>
        <v>NO</v>
      </c>
      <c r="Q840" s="9" t="str">
        <f t="shared" si="42"/>
        <v>Conditioned</v>
      </c>
    </row>
    <row r="841" spans="1:17">
      <c r="A841" s="9">
        <v>13188</v>
      </c>
      <c r="B841" s="9">
        <v>1</v>
      </c>
      <c r="C841" s="9" t="s">
        <v>1589</v>
      </c>
      <c r="D841" s="9" t="s">
        <v>1590</v>
      </c>
      <c r="E841" s="9" t="s">
        <v>1591</v>
      </c>
      <c r="F841" s="9" t="s">
        <v>1589</v>
      </c>
      <c r="G841" s="9" t="s">
        <v>1592</v>
      </c>
      <c r="H841" s="9" t="s">
        <v>1624</v>
      </c>
      <c r="I841" s="9" t="s">
        <v>2373</v>
      </c>
      <c r="J841" s="9" t="s">
        <v>1597</v>
      </c>
      <c r="K841" s="9">
        <v>1</v>
      </c>
      <c r="L841" s="9">
        <v>18</v>
      </c>
      <c r="M841" s="9">
        <v>2006</v>
      </c>
      <c r="O841" s="9" t="str">
        <f t="shared" si="40"/>
        <v>NO</v>
      </c>
      <c r="P841" s="9" t="str">
        <f t="shared" si="41"/>
        <v>NO</v>
      </c>
      <c r="Q841" s="9" t="str">
        <f t="shared" si="42"/>
        <v>Conditioned</v>
      </c>
    </row>
    <row r="842" spans="1:17">
      <c r="A842" s="9">
        <v>13191</v>
      </c>
      <c r="B842" s="9">
        <v>1</v>
      </c>
      <c r="C842" s="9" t="s">
        <v>1589</v>
      </c>
      <c r="D842" s="9" t="s">
        <v>1590</v>
      </c>
      <c r="E842" s="9" t="s">
        <v>1613</v>
      </c>
      <c r="F842" s="9" t="s">
        <v>1590</v>
      </c>
      <c r="G842" s="9" t="s">
        <v>1592</v>
      </c>
      <c r="H842" s="9" t="s">
        <v>177</v>
      </c>
      <c r="I842" s="9" t="s">
        <v>2374</v>
      </c>
      <c r="J842" s="9" t="s">
        <v>1608</v>
      </c>
      <c r="K842" s="9">
        <v>1</v>
      </c>
      <c r="L842" s="9">
        <v>19</v>
      </c>
      <c r="M842" s="9">
        <v>2003</v>
      </c>
      <c r="O842" s="9" t="str">
        <f t="shared" si="40"/>
        <v>NO</v>
      </c>
      <c r="P842" s="9" t="str">
        <f t="shared" si="41"/>
        <v>NO</v>
      </c>
      <c r="Q842" s="9" t="str">
        <f t="shared" si="42"/>
        <v>Conditioned</v>
      </c>
    </row>
    <row r="843" spans="1:17">
      <c r="A843" s="9">
        <v>13222</v>
      </c>
      <c r="B843" s="9">
        <v>1</v>
      </c>
      <c r="C843" s="9" t="s">
        <v>1589</v>
      </c>
      <c r="D843" s="9" t="s">
        <v>1590</v>
      </c>
      <c r="E843" s="9" t="s">
        <v>1591</v>
      </c>
      <c r="F843" s="9" t="s">
        <v>1589</v>
      </c>
      <c r="G843" s="9" t="s">
        <v>1592</v>
      </c>
      <c r="H843" s="9" t="s">
        <v>169</v>
      </c>
      <c r="I843" s="9" t="s">
        <v>2375</v>
      </c>
      <c r="J843" s="9" t="s">
        <v>1605</v>
      </c>
      <c r="K843" s="9">
        <v>1</v>
      </c>
      <c r="L843" s="9">
        <v>15</v>
      </c>
      <c r="M843" s="9">
        <v>2006</v>
      </c>
      <c r="O843" s="9" t="str">
        <f t="shared" si="40"/>
        <v>NO</v>
      </c>
      <c r="P843" s="9" t="str">
        <f t="shared" si="41"/>
        <v>YES</v>
      </c>
      <c r="Q843" s="9" t="str">
        <f t="shared" si="42"/>
        <v>Conditioned</v>
      </c>
    </row>
    <row r="844" spans="1:17">
      <c r="A844" s="9">
        <v>13222</v>
      </c>
      <c r="B844" s="9">
        <v>2</v>
      </c>
      <c r="C844" s="9" t="s">
        <v>1589</v>
      </c>
      <c r="D844" s="9" t="s">
        <v>1590</v>
      </c>
      <c r="E844" s="9" t="s">
        <v>1589</v>
      </c>
      <c r="F844" s="9" t="s">
        <v>1589</v>
      </c>
      <c r="G844" s="9" t="s">
        <v>1592</v>
      </c>
      <c r="H844" s="9" t="s">
        <v>170</v>
      </c>
      <c r="I844" s="9" t="s">
        <v>2376</v>
      </c>
      <c r="J844" s="9" t="s">
        <v>1612</v>
      </c>
      <c r="K844" s="9">
        <v>1</v>
      </c>
      <c r="L844" s="9">
        <v>11</v>
      </c>
      <c r="M844" s="9">
        <v>2006</v>
      </c>
      <c r="O844" s="9" t="str">
        <f t="shared" si="40"/>
        <v>NO</v>
      </c>
      <c r="P844" s="9" t="str">
        <f t="shared" si="41"/>
        <v>NO</v>
      </c>
      <c r="Q844" s="9" t="str">
        <f t="shared" si="42"/>
        <v>Conditioned</v>
      </c>
    </row>
    <row r="845" spans="1:17">
      <c r="A845" s="9">
        <v>13222</v>
      </c>
      <c r="B845" s="9">
        <v>3</v>
      </c>
      <c r="C845" s="9" t="s">
        <v>1589</v>
      </c>
      <c r="D845" s="9" t="s">
        <v>1590</v>
      </c>
      <c r="E845" s="9" t="s">
        <v>1591</v>
      </c>
      <c r="F845" s="9" t="s">
        <v>1589</v>
      </c>
      <c r="G845" s="9" t="s">
        <v>1592</v>
      </c>
      <c r="H845" s="9" t="s">
        <v>169</v>
      </c>
      <c r="I845" s="9" t="s">
        <v>2377</v>
      </c>
      <c r="J845" s="9" t="s">
        <v>1597</v>
      </c>
      <c r="K845" s="9">
        <v>1</v>
      </c>
      <c r="L845" s="9">
        <v>20</v>
      </c>
      <c r="M845" s="9">
        <v>2006</v>
      </c>
      <c r="O845" s="9" t="str">
        <f t="shared" si="40"/>
        <v>NO</v>
      </c>
      <c r="P845" s="9" t="str">
        <f t="shared" si="41"/>
        <v>NO</v>
      </c>
      <c r="Q845" s="9" t="str">
        <f t="shared" si="42"/>
        <v>Conditioned</v>
      </c>
    </row>
    <row r="846" spans="1:17">
      <c r="A846" s="9">
        <v>13232</v>
      </c>
      <c r="B846" s="9">
        <v>1</v>
      </c>
      <c r="C846" s="9" t="s">
        <v>1589</v>
      </c>
      <c r="D846" s="9" t="s">
        <v>1590</v>
      </c>
      <c r="E846" s="9" t="s">
        <v>1602</v>
      </c>
      <c r="F846" s="9" t="s">
        <v>1603</v>
      </c>
      <c r="G846" s="9" t="s">
        <v>1592</v>
      </c>
      <c r="H846" s="9" t="s">
        <v>170</v>
      </c>
      <c r="I846" s="9" t="s">
        <v>2378</v>
      </c>
      <c r="J846" s="9" t="s">
        <v>1601</v>
      </c>
      <c r="K846" s="9">
        <v>1</v>
      </c>
      <c r="L846" s="9">
        <v>24</v>
      </c>
      <c r="M846" s="9">
        <v>2010</v>
      </c>
      <c r="O846" s="9" t="str">
        <f t="shared" si="40"/>
        <v>NO</v>
      </c>
      <c r="P846" s="9" t="str">
        <f t="shared" si="41"/>
        <v>NO</v>
      </c>
      <c r="Q846" s="9" t="str">
        <f t="shared" si="42"/>
        <v>Conditioned</v>
      </c>
    </row>
    <row r="847" spans="1:17">
      <c r="A847" s="9">
        <v>13242</v>
      </c>
      <c r="B847" s="9">
        <v>1</v>
      </c>
      <c r="C847" s="9" t="s">
        <v>1589</v>
      </c>
      <c r="D847" s="9" t="s">
        <v>1590</v>
      </c>
      <c r="E847" s="9" t="s">
        <v>1613</v>
      </c>
      <c r="F847" s="9" t="s">
        <v>1603</v>
      </c>
      <c r="G847" s="9" t="s">
        <v>1592</v>
      </c>
      <c r="H847" s="9" t="s">
        <v>1754</v>
      </c>
      <c r="I847" s="9" t="s">
        <v>2379</v>
      </c>
      <c r="J847" s="9" t="s">
        <v>1597</v>
      </c>
      <c r="K847" s="9">
        <v>1</v>
      </c>
      <c r="L847" s="9">
        <v>21</v>
      </c>
      <c r="M847" s="9">
        <v>1997</v>
      </c>
      <c r="O847" s="9" t="str">
        <f t="shared" si="40"/>
        <v>NO</v>
      </c>
      <c r="P847" s="9" t="str">
        <f t="shared" si="41"/>
        <v>NO</v>
      </c>
      <c r="Q847" s="9" t="str">
        <f t="shared" si="42"/>
        <v>Conditioned</v>
      </c>
    </row>
    <row r="848" spans="1:17">
      <c r="A848" s="9">
        <v>13242</v>
      </c>
      <c r="B848" s="9">
        <v>2</v>
      </c>
      <c r="C848" s="9" t="s">
        <v>1589</v>
      </c>
      <c r="D848" s="9" t="s">
        <v>1590</v>
      </c>
      <c r="E848" s="9" t="s">
        <v>1591</v>
      </c>
      <c r="F848" s="9" t="s">
        <v>1589</v>
      </c>
      <c r="G848" s="9" t="s">
        <v>1606</v>
      </c>
      <c r="H848" s="9" t="s">
        <v>1711</v>
      </c>
      <c r="I848" s="9" t="s">
        <v>1589</v>
      </c>
      <c r="J848" s="9" t="s">
        <v>1605</v>
      </c>
      <c r="K848" s="9">
        <v>1</v>
      </c>
      <c r="L848" s="9">
        <v>12</v>
      </c>
      <c r="M848" s="9">
        <v>2005</v>
      </c>
      <c r="O848" s="9" t="str">
        <f t="shared" si="40"/>
        <v>NO</v>
      </c>
      <c r="P848" s="9" t="str">
        <f t="shared" si="41"/>
        <v>YES</v>
      </c>
      <c r="Q848" s="9" t="str">
        <f t="shared" si="42"/>
        <v>Unconditioned</v>
      </c>
    </row>
    <row r="849" spans="1:17">
      <c r="A849" s="9">
        <v>13246</v>
      </c>
      <c r="B849" s="9">
        <v>1</v>
      </c>
      <c r="C849" s="9" t="s">
        <v>1589</v>
      </c>
      <c r="D849" s="9" t="s">
        <v>1590</v>
      </c>
      <c r="E849" s="9" t="s">
        <v>1591</v>
      </c>
      <c r="F849" s="9" t="s">
        <v>1589</v>
      </c>
      <c r="G849" s="9" t="s">
        <v>1592</v>
      </c>
      <c r="H849" s="9" t="s">
        <v>2380</v>
      </c>
      <c r="I849" s="9" t="s">
        <v>2381</v>
      </c>
      <c r="J849" s="9" t="s">
        <v>1597</v>
      </c>
      <c r="K849" s="9">
        <v>1</v>
      </c>
      <c r="L849" s="9">
        <v>7</v>
      </c>
      <c r="O849" s="9" t="str">
        <f t="shared" si="40"/>
        <v>YES</v>
      </c>
      <c r="P849" s="9" t="str">
        <f t="shared" si="41"/>
        <v>NO</v>
      </c>
      <c r="Q849" s="9" t="str">
        <f t="shared" si="42"/>
        <v>Conditioned</v>
      </c>
    </row>
    <row r="850" spans="1:17">
      <c r="A850" s="9">
        <v>13246</v>
      </c>
      <c r="B850" s="9">
        <v>2</v>
      </c>
      <c r="C850" s="9" t="s">
        <v>1589</v>
      </c>
      <c r="D850" s="9" t="s">
        <v>1590</v>
      </c>
      <c r="E850" s="9" t="s">
        <v>1613</v>
      </c>
      <c r="F850" s="9" t="s">
        <v>1603</v>
      </c>
      <c r="G850" s="9" t="s">
        <v>1592</v>
      </c>
      <c r="H850" s="9" t="s">
        <v>174</v>
      </c>
      <c r="I850" s="9" t="s">
        <v>2382</v>
      </c>
      <c r="J850" s="9" t="s">
        <v>1608</v>
      </c>
      <c r="K850" s="9">
        <v>1</v>
      </c>
      <c r="L850" s="9">
        <v>25</v>
      </c>
      <c r="M850" s="9">
        <v>2010</v>
      </c>
      <c r="O850" s="9" t="str">
        <f t="shared" si="40"/>
        <v>NO</v>
      </c>
      <c r="P850" s="9" t="str">
        <f t="shared" si="41"/>
        <v>NO</v>
      </c>
      <c r="Q850" s="9" t="str">
        <f t="shared" si="42"/>
        <v>Conditioned</v>
      </c>
    </row>
    <row r="851" spans="1:17">
      <c r="A851" s="9">
        <v>13246</v>
      </c>
      <c r="B851" s="9">
        <v>3</v>
      </c>
      <c r="C851" s="9" t="s">
        <v>1589</v>
      </c>
      <c r="D851" s="9" t="s">
        <v>1590</v>
      </c>
      <c r="E851" s="9" t="s">
        <v>1613</v>
      </c>
      <c r="F851" s="9" t="s">
        <v>1590</v>
      </c>
      <c r="G851" s="9" t="s">
        <v>1592</v>
      </c>
      <c r="H851" s="9" t="s">
        <v>174</v>
      </c>
      <c r="I851" s="9" t="s">
        <v>2383</v>
      </c>
      <c r="J851" s="9" t="s">
        <v>1608</v>
      </c>
      <c r="K851" s="9">
        <v>1</v>
      </c>
      <c r="L851" s="9">
        <v>20</v>
      </c>
      <c r="M851" s="9">
        <v>1996</v>
      </c>
      <c r="O851" s="9" t="str">
        <f t="shared" si="40"/>
        <v>NO</v>
      </c>
      <c r="P851" s="9" t="str">
        <f t="shared" si="41"/>
        <v>NO</v>
      </c>
      <c r="Q851" s="9" t="str">
        <f t="shared" si="42"/>
        <v>Conditioned</v>
      </c>
    </row>
    <row r="852" spans="1:17">
      <c r="A852" s="9">
        <v>13246</v>
      </c>
      <c r="B852" s="9">
        <v>4</v>
      </c>
      <c r="C852" s="9" t="s">
        <v>1589</v>
      </c>
      <c r="D852" s="9" t="s">
        <v>1590</v>
      </c>
      <c r="E852" s="9" t="s">
        <v>1591</v>
      </c>
      <c r="F852" s="9" t="s">
        <v>1589</v>
      </c>
      <c r="G852" s="9" t="s">
        <v>1592</v>
      </c>
      <c r="H852" s="9" t="s">
        <v>174</v>
      </c>
      <c r="I852" s="9" t="s">
        <v>2384</v>
      </c>
      <c r="J852" s="9" t="s">
        <v>1605</v>
      </c>
      <c r="K852" s="9">
        <v>1</v>
      </c>
      <c r="L852" s="9">
        <v>18</v>
      </c>
      <c r="M852" s="9">
        <v>2001</v>
      </c>
      <c r="O852" s="9" t="str">
        <f t="shared" si="40"/>
        <v>NO</v>
      </c>
      <c r="P852" s="9" t="str">
        <f t="shared" si="41"/>
        <v>YES</v>
      </c>
      <c r="Q852" s="9" t="str">
        <f t="shared" si="42"/>
        <v>Conditioned</v>
      </c>
    </row>
    <row r="853" spans="1:17">
      <c r="A853" s="9">
        <v>13246</v>
      </c>
      <c r="B853" s="9">
        <v>5</v>
      </c>
      <c r="C853" s="9" t="s">
        <v>1589</v>
      </c>
      <c r="D853" s="9" t="s">
        <v>1590</v>
      </c>
      <c r="E853" s="9" t="s">
        <v>1591</v>
      </c>
      <c r="F853" s="9" t="s">
        <v>1589</v>
      </c>
      <c r="G853" s="9" t="s">
        <v>1606</v>
      </c>
      <c r="H853" s="9" t="s">
        <v>170</v>
      </c>
      <c r="I853" s="9" t="s">
        <v>2385</v>
      </c>
      <c r="J853" s="9" t="s">
        <v>1597</v>
      </c>
      <c r="K853" s="9">
        <v>1</v>
      </c>
      <c r="L853" s="9">
        <v>15</v>
      </c>
      <c r="O853" s="9" t="str">
        <f t="shared" si="40"/>
        <v>NO</v>
      </c>
      <c r="P853" s="9" t="str">
        <f t="shared" si="41"/>
        <v>NO</v>
      </c>
      <c r="Q853" s="9" t="str">
        <f t="shared" si="42"/>
        <v>Unconditioned</v>
      </c>
    </row>
    <row r="854" spans="1:17">
      <c r="A854" s="9">
        <v>13248</v>
      </c>
      <c r="B854" s="9">
        <v>1</v>
      </c>
      <c r="C854" s="9" t="s">
        <v>1589</v>
      </c>
      <c r="D854" s="9" t="s">
        <v>1590</v>
      </c>
      <c r="E854" s="9" t="s">
        <v>1591</v>
      </c>
      <c r="F854" s="9" t="s">
        <v>1589</v>
      </c>
      <c r="G854" s="9" t="s">
        <v>1606</v>
      </c>
      <c r="H854" s="9" t="s">
        <v>173</v>
      </c>
      <c r="I854" s="9" t="s">
        <v>2386</v>
      </c>
      <c r="J854" s="9" t="s">
        <v>1597</v>
      </c>
      <c r="K854" s="9">
        <v>1</v>
      </c>
      <c r="L854" s="9">
        <v>19</v>
      </c>
      <c r="M854" s="9">
        <v>2001</v>
      </c>
      <c r="O854" s="9" t="str">
        <f t="shared" si="40"/>
        <v>NO</v>
      </c>
      <c r="P854" s="9" t="str">
        <f t="shared" si="41"/>
        <v>NO</v>
      </c>
      <c r="Q854" s="9" t="str">
        <f t="shared" si="42"/>
        <v>Unconditioned</v>
      </c>
    </row>
    <row r="855" spans="1:17">
      <c r="A855" s="9">
        <v>13248</v>
      </c>
      <c r="B855" s="9">
        <v>2</v>
      </c>
      <c r="C855" s="9" t="s">
        <v>1589</v>
      </c>
      <c r="D855" s="9" t="s">
        <v>1590</v>
      </c>
      <c r="E855" s="9" t="s">
        <v>1613</v>
      </c>
      <c r="F855" s="9" t="s">
        <v>1603</v>
      </c>
      <c r="G855" s="9" t="s">
        <v>1592</v>
      </c>
      <c r="H855" s="9" t="s">
        <v>170</v>
      </c>
      <c r="I855" s="9" t="s">
        <v>2387</v>
      </c>
      <c r="J855" s="9" t="s">
        <v>1601</v>
      </c>
      <c r="K855" s="9">
        <v>1</v>
      </c>
      <c r="L855" s="9">
        <v>27</v>
      </c>
      <c r="M855" s="9">
        <v>2008</v>
      </c>
      <c r="O855" s="9" t="str">
        <f t="shared" ref="O855:O918" si="43">IF(L855&lt;7.75,"YES","NO")</f>
        <v>NO</v>
      </c>
      <c r="P855" s="9" t="str">
        <f t="shared" ref="P855:P918" si="44">VLOOKUP(J855,$Z$21:$AA$27,2,FALSE)</f>
        <v>NO</v>
      </c>
      <c r="Q855" s="9" t="str">
        <f t="shared" ref="Q855:Q918" si="45">G855</f>
        <v>Conditioned</v>
      </c>
    </row>
    <row r="856" spans="1:17">
      <c r="A856" s="9">
        <v>13250</v>
      </c>
      <c r="B856" s="9">
        <v>1</v>
      </c>
      <c r="C856" s="9" t="s">
        <v>1589</v>
      </c>
      <c r="D856" s="9" t="s">
        <v>1590</v>
      </c>
      <c r="E856" s="9" t="s">
        <v>1591</v>
      </c>
      <c r="F856" s="9" t="s">
        <v>1589</v>
      </c>
      <c r="G856" s="9" t="s">
        <v>1592</v>
      </c>
      <c r="H856" s="9" t="s">
        <v>1638</v>
      </c>
      <c r="I856" s="9" t="s">
        <v>2388</v>
      </c>
      <c r="J856" s="9" t="s">
        <v>1597</v>
      </c>
      <c r="K856" s="9">
        <v>1</v>
      </c>
      <c r="L856" s="9">
        <v>18</v>
      </c>
      <c r="M856" s="9">
        <v>2006</v>
      </c>
      <c r="O856" s="9" t="str">
        <f t="shared" si="43"/>
        <v>NO</v>
      </c>
      <c r="P856" s="9" t="str">
        <f t="shared" si="44"/>
        <v>NO</v>
      </c>
      <c r="Q856" s="9" t="str">
        <f t="shared" si="45"/>
        <v>Conditioned</v>
      </c>
    </row>
    <row r="857" spans="1:17">
      <c r="A857" s="9">
        <v>13261</v>
      </c>
      <c r="B857" s="9">
        <v>1</v>
      </c>
      <c r="C857" s="9" t="s">
        <v>1589</v>
      </c>
      <c r="D857" s="9" t="s">
        <v>1590</v>
      </c>
      <c r="E857" s="9" t="s">
        <v>1602</v>
      </c>
      <c r="F857" s="9" t="s">
        <v>1603</v>
      </c>
      <c r="G857" s="9" t="s">
        <v>1592</v>
      </c>
      <c r="H857" s="9" t="s">
        <v>1599</v>
      </c>
      <c r="I857" s="9" t="s">
        <v>2389</v>
      </c>
      <c r="J857" s="9" t="s">
        <v>1601</v>
      </c>
      <c r="K857" s="9">
        <v>1</v>
      </c>
      <c r="L857" s="9">
        <v>20</v>
      </c>
      <c r="M857" s="9">
        <v>2006</v>
      </c>
      <c r="O857" s="9" t="str">
        <f t="shared" si="43"/>
        <v>NO</v>
      </c>
      <c r="P857" s="9" t="str">
        <f t="shared" si="44"/>
        <v>NO</v>
      </c>
      <c r="Q857" s="9" t="str">
        <f t="shared" si="45"/>
        <v>Conditioned</v>
      </c>
    </row>
    <row r="858" spans="1:17">
      <c r="A858" s="9">
        <v>13261</v>
      </c>
      <c r="B858" s="9">
        <v>2</v>
      </c>
      <c r="C858" s="9" t="s">
        <v>1589</v>
      </c>
      <c r="D858" s="9" t="s">
        <v>1590</v>
      </c>
      <c r="E858" s="9" t="s">
        <v>1591</v>
      </c>
      <c r="F858" s="9" t="s">
        <v>1589</v>
      </c>
      <c r="G858" s="9" t="s">
        <v>1592</v>
      </c>
      <c r="H858" s="9" t="s">
        <v>1632</v>
      </c>
      <c r="I858" s="9" t="s">
        <v>2390</v>
      </c>
      <c r="J858" s="9" t="s">
        <v>1597</v>
      </c>
      <c r="K858" s="9">
        <v>1</v>
      </c>
      <c r="L858" s="9">
        <v>20</v>
      </c>
      <c r="M858" s="9">
        <v>2000</v>
      </c>
      <c r="O858" s="9" t="str">
        <f t="shared" si="43"/>
        <v>NO</v>
      </c>
      <c r="P858" s="9" t="str">
        <f t="shared" si="44"/>
        <v>NO</v>
      </c>
      <c r="Q858" s="9" t="str">
        <f t="shared" si="45"/>
        <v>Conditioned</v>
      </c>
    </row>
    <row r="859" spans="1:17">
      <c r="A859" s="9">
        <v>13261</v>
      </c>
      <c r="B859" s="9">
        <v>3</v>
      </c>
      <c r="C859" s="9" t="s">
        <v>1589</v>
      </c>
      <c r="D859" s="9" t="s">
        <v>1590</v>
      </c>
      <c r="E859" s="9" t="s">
        <v>1591</v>
      </c>
      <c r="F859" s="9" t="s">
        <v>1589</v>
      </c>
      <c r="G859" s="9" t="s">
        <v>1592</v>
      </c>
      <c r="H859" s="9" t="s">
        <v>178</v>
      </c>
      <c r="I859" s="9" t="s">
        <v>2391</v>
      </c>
      <c r="J859" s="9" t="s">
        <v>1605</v>
      </c>
      <c r="K859" s="9">
        <v>1</v>
      </c>
      <c r="L859" s="9">
        <v>20</v>
      </c>
      <c r="M859" s="9">
        <v>2010</v>
      </c>
      <c r="O859" s="9" t="str">
        <f t="shared" si="43"/>
        <v>NO</v>
      </c>
      <c r="P859" s="9" t="str">
        <f t="shared" si="44"/>
        <v>YES</v>
      </c>
      <c r="Q859" s="9" t="str">
        <f t="shared" si="45"/>
        <v>Conditioned</v>
      </c>
    </row>
    <row r="860" spans="1:17">
      <c r="A860" s="9">
        <v>13265</v>
      </c>
      <c r="B860" s="9">
        <v>1</v>
      </c>
      <c r="C860" s="9" t="s">
        <v>1589</v>
      </c>
      <c r="D860" s="9" t="s">
        <v>1590</v>
      </c>
      <c r="E860" s="9" t="s">
        <v>1602</v>
      </c>
      <c r="F860" s="9" t="s">
        <v>1603</v>
      </c>
      <c r="G860" s="9" t="s">
        <v>1592</v>
      </c>
      <c r="H860" s="9" t="s">
        <v>169</v>
      </c>
      <c r="I860" s="9" t="s">
        <v>2392</v>
      </c>
      <c r="J860" s="9" t="s">
        <v>1601</v>
      </c>
      <c r="K860" s="9">
        <v>1</v>
      </c>
      <c r="L860" s="9">
        <v>22</v>
      </c>
      <c r="M860" s="9">
        <v>1997</v>
      </c>
      <c r="O860" s="9" t="str">
        <f t="shared" si="43"/>
        <v>NO</v>
      </c>
      <c r="P860" s="9" t="str">
        <f t="shared" si="44"/>
        <v>NO</v>
      </c>
      <c r="Q860" s="9" t="str">
        <f t="shared" si="45"/>
        <v>Conditioned</v>
      </c>
    </row>
    <row r="861" spans="1:17">
      <c r="A861" s="9">
        <v>13265</v>
      </c>
      <c r="B861" s="9">
        <v>2</v>
      </c>
      <c r="C861" s="9" t="s">
        <v>1589</v>
      </c>
      <c r="D861" s="9" t="s">
        <v>1590</v>
      </c>
      <c r="E861" s="9" t="s">
        <v>1591</v>
      </c>
      <c r="F861" s="9" t="s">
        <v>1589</v>
      </c>
      <c r="G861" s="9" t="s">
        <v>1606</v>
      </c>
      <c r="H861" s="9" t="s">
        <v>2393</v>
      </c>
      <c r="I861" s="9" t="s">
        <v>2394</v>
      </c>
      <c r="J861" s="9" t="s">
        <v>1605</v>
      </c>
      <c r="K861" s="9">
        <v>1</v>
      </c>
      <c r="L861" s="9">
        <v>20</v>
      </c>
      <c r="M861" s="9">
        <v>1993</v>
      </c>
      <c r="O861" s="9" t="str">
        <f t="shared" si="43"/>
        <v>NO</v>
      </c>
      <c r="P861" s="9" t="str">
        <f t="shared" si="44"/>
        <v>YES</v>
      </c>
      <c r="Q861" s="9" t="str">
        <f t="shared" si="45"/>
        <v>Unconditioned</v>
      </c>
    </row>
    <row r="862" spans="1:17">
      <c r="A862" s="9">
        <v>13273</v>
      </c>
      <c r="B862" s="9">
        <v>1</v>
      </c>
      <c r="C862" s="9" t="s">
        <v>1589</v>
      </c>
      <c r="D862" s="9" t="s">
        <v>1590</v>
      </c>
      <c r="E862" s="9" t="s">
        <v>1591</v>
      </c>
      <c r="F862" s="9" t="s">
        <v>1589</v>
      </c>
      <c r="G862" s="9" t="s">
        <v>1592</v>
      </c>
      <c r="H862" s="9" t="s">
        <v>1632</v>
      </c>
      <c r="I862" s="9" t="s">
        <v>2395</v>
      </c>
      <c r="J862" s="9" t="s">
        <v>1597</v>
      </c>
      <c r="K862" s="9">
        <v>1</v>
      </c>
      <c r="L862" s="9">
        <v>18</v>
      </c>
      <c r="M862" s="9">
        <v>2002</v>
      </c>
      <c r="O862" s="9" t="str">
        <f t="shared" si="43"/>
        <v>NO</v>
      </c>
      <c r="P862" s="9" t="str">
        <f t="shared" si="44"/>
        <v>NO</v>
      </c>
      <c r="Q862" s="9" t="str">
        <f t="shared" si="45"/>
        <v>Conditioned</v>
      </c>
    </row>
    <row r="863" spans="1:17">
      <c r="A863" s="9">
        <v>13275</v>
      </c>
      <c r="B863" s="9">
        <v>1</v>
      </c>
      <c r="C863" s="9" t="s">
        <v>1589</v>
      </c>
      <c r="D863" s="9" t="s">
        <v>1590</v>
      </c>
      <c r="E863" s="9" t="s">
        <v>1591</v>
      </c>
      <c r="F863" s="9" t="s">
        <v>1589</v>
      </c>
      <c r="G863" s="9" t="s">
        <v>1592</v>
      </c>
      <c r="H863" s="9" t="s">
        <v>173</v>
      </c>
      <c r="I863" s="9" t="s">
        <v>2396</v>
      </c>
      <c r="J863" s="9" t="s">
        <v>1608</v>
      </c>
      <c r="K863" s="9">
        <v>1</v>
      </c>
      <c r="L863" s="9">
        <v>25</v>
      </c>
      <c r="M863" s="9">
        <v>2006</v>
      </c>
      <c r="O863" s="9" t="str">
        <f t="shared" si="43"/>
        <v>NO</v>
      </c>
      <c r="P863" s="9" t="str">
        <f t="shared" si="44"/>
        <v>NO</v>
      </c>
      <c r="Q863" s="9" t="str">
        <f t="shared" si="45"/>
        <v>Conditioned</v>
      </c>
    </row>
    <row r="864" spans="1:17">
      <c r="A864" s="9">
        <v>13292</v>
      </c>
      <c r="B864" s="9">
        <v>1</v>
      </c>
      <c r="C864" s="9" t="s">
        <v>1589</v>
      </c>
      <c r="D864" s="9" t="s">
        <v>1590</v>
      </c>
      <c r="E864" s="9" t="s">
        <v>1591</v>
      </c>
      <c r="F864" s="9" t="s">
        <v>1589</v>
      </c>
      <c r="G864" s="9" t="s">
        <v>1592</v>
      </c>
      <c r="H864" s="9" t="s">
        <v>177</v>
      </c>
      <c r="I864" s="9" t="s">
        <v>2397</v>
      </c>
      <c r="J864" s="9" t="s">
        <v>1597</v>
      </c>
      <c r="K864" s="9">
        <v>1</v>
      </c>
      <c r="L864" s="9">
        <v>18</v>
      </c>
      <c r="M864" s="9">
        <v>2002</v>
      </c>
      <c r="O864" s="9" t="str">
        <f t="shared" si="43"/>
        <v>NO</v>
      </c>
      <c r="P864" s="9" t="str">
        <f t="shared" si="44"/>
        <v>NO</v>
      </c>
      <c r="Q864" s="9" t="str">
        <f t="shared" si="45"/>
        <v>Conditioned</v>
      </c>
    </row>
    <row r="865" spans="1:17">
      <c r="A865" s="9">
        <v>13293</v>
      </c>
      <c r="B865" s="9">
        <v>1</v>
      </c>
      <c r="C865" s="9" t="s">
        <v>1589</v>
      </c>
      <c r="D865" s="9" t="s">
        <v>1590</v>
      </c>
      <c r="E865" s="9" t="s">
        <v>1602</v>
      </c>
      <c r="F865" s="9" t="s">
        <v>1603</v>
      </c>
      <c r="G865" s="9" t="s">
        <v>1592</v>
      </c>
      <c r="H865" s="9" t="s">
        <v>174</v>
      </c>
      <c r="I865" s="9" t="s">
        <v>2398</v>
      </c>
      <c r="J865" s="9" t="s">
        <v>1601</v>
      </c>
      <c r="K865" s="9">
        <v>1</v>
      </c>
      <c r="L865" s="9">
        <v>30</v>
      </c>
      <c r="M865" s="9">
        <v>1998</v>
      </c>
      <c r="O865" s="9" t="str">
        <f t="shared" si="43"/>
        <v>NO</v>
      </c>
      <c r="P865" s="9" t="str">
        <f t="shared" si="44"/>
        <v>NO</v>
      </c>
      <c r="Q865" s="9" t="str">
        <f t="shared" si="45"/>
        <v>Conditioned</v>
      </c>
    </row>
    <row r="866" spans="1:17">
      <c r="A866" s="9">
        <v>13303</v>
      </c>
      <c r="B866" s="9">
        <v>1</v>
      </c>
      <c r="C866" s="9" t="s">
        <v>1589</v>
      </c>
      <c r="D866" s="9" t="s">
        <v>1590</v>
      </c>
      <c r="E866" s="9" t="s">
        <v>1591</v>
      </c>
      <c r="F866" s="9" t="s">
        <v>1589</v>
      </c>
      <c r="G866" s="9" t="s">
        <v>1592</v>
      </c>
      <c r="H866" s="9" t="s">
        <v>1638</v>
      </c>
      <c r="I866" s="9" t="s">
        <v>2399</v>
      </c>
      <c r="J866" s="9" t="s">
        <v>1597</v>
      </c>
      <c r="K866" s="9">
        <v>1</v>
      </c>
      <c r="L866" s="9">
        <v>17</v>
      </c>
      <c r="M866" s="9">
        <v>2007</v>
      </c>
      <c r="O866" s="9" t="str">
        <f t="shared" si="43"/>
        <v>NO</v>
      </c>
      <c r="P866" s="9" t="str">
        <f t="shared" si="44"/>
        <v>NO</v>
      </c>
      <c r="Q866" s="9" t="str">
        <f t="shared" si="45"/>
        <v>Conditioned</v>
      </c>
    </row>
    <row r="867" spans="1:17">
      <c r="A867" s="9">
        <v>13303</v>
      </c>
      <c r="B867" s="9">
        <v>2</v>
      </c>
      <c r="C867" s="9" t="s">
        <v>1589</v>
      </c>
      <c r="D867" s="9" t="s">
        <v>1590</v>
      </c>
      <c r="E867" s="9" t="s">
        <v>1591</v>
      </c>
      <c r="F867" s="9" t="s">
        <v>1589</v>
      </c>
      <c r="G867" s="9" t="s">
        <v>1606</v>
      </c>
      <c r="H867" s="9" t="s">
        <v>172</v>
      </c>
      <c r="I867" s="9" t="s">
        <v>2400</v>
      </c>
      <c r="J867" s="9" t="s">
        <v>1597</v>
      </c>
      <c r="K867" s="9">
        <v>1</v>
      </c>
      <c r="L867" s="9">
        <v>14</v>
      </c>
      <c r="M867" s="9">
        <v>1992</v>
      </c>
      <c r="O867" s="9" t="str">
        <f t="shared" si="43"/>
        <v>NO</v>
      </c>
      <c r="P867" s="9" t="str">
        <f t="shared" si="44"/>
        <v>NO</v>
      </c>
      <c r="Q867" s="9" t="str">
        <f t="shared" si="45"/>
        <v>Unconditioned</v>
      </c>
    </row>
    <row r="868" spans="1:17">
      <c r="A868" s="9">
        <v>13310</v>
      </c>
      <c r="B868" s="9">
        <v>1</v>
      </c>
      <c r="C868" s="9" t="s">
        <v>1589</v>
      </c>
      <c r="D868" s="9" t="s">
        <v>1590</v>
      </c>
      <c r="E868" s="9" t="s">
        <v>1591</v>
      </c>
      <c r="F868" s="9" t="s">
        <v>1589</v>
      </c>
      <c r="G868" s="9" t="s">
        <v>1592</v>
      </c>
      <c r="H868" s="9" t="s">
        <v>1638</v>
      </c>
      <c r="I868" s="9" t="s">
        <v>2401</v>
      </c>
      <c r="J868" s="9" t="s">
        <v>1597</v>
      </c>
      <c r="K868" s="9">
        <v>1</v>
      </c>
      <c r="L868" s="9">
        <v>22</v>
      </c>
      <c r="M868" s="9">
        <v>2002</v>
      </c>
      <c r="O868" s="9" t="str">
        <f t="shared" si="43"/>
        <v>NO</v>
      </c>
      <c r="P868" s="9" t="str">
        <f t="shared" si="44"/>
        <v>NO</v>
      </c>
      <c r="Q868" s="9" t="str">
        <f t="shared" si="45"/>
        <v>Conditioned</v>
      </c>
    </row>
    <row r="869" spans="1:17">
      <c r="A869" s="9">
        <v>13315</v>
      </c>
      <c r="B869" s="9">
        <v>1</v>
      </c>
      <c r="C869" s="9" t="s">
        <v>1589</v>
      </c>
      <c r="D869" s="9" t="s">
        <v>1590</v>
      </c>
      <c r="E869" s="9" t="s">
        <v>1591</v>
      </c>
      <c r="F869" s="9" t="s">
        <v>1589</v>
      </c>
      <c r="G869" s="9" t="s">
        <v>1592</v>
      </c>
      <c r="H869" s="9" t="s">
        <v>177</v>
      </c>
      <c r="I869" s="9" t="s">
        <v>2402</v>
      </c>
      <c r="J869" s="9" t="s">
        <v>1597</v>
      </c>
      <c r="K869" s="9">
        <v>1</v>
      </c>
      <c r="L869" s="9">
        <v>18</v>
      </c>
      <c r="M869" s="9">
        <v>1997</v>
      </c>
      <c r="O869" s="9" t="str">
        <f t="shared" si="43"/>
        <v>NO</v>
      </c>
      <c r="P869" s="9" t="str">
        <f t="shared" si="44"/>
        <v>NO</v>
      </c>
      <c r="Q869" s="9" t="str">
        <f t="shared" si="45"/>
        <v>Conditioned</v>
      </c>
    </row>
    <row r="870" spans="1:17">
      <c r="A870" s="9">
        <v>13319</v>
      </c>
      <c r="B870" s="9">
        <v>1</v>
      </c>
      <c r="C870" s="9" t="s">
        <v>1589</v>
      </c>
      <c r="D870" s="9" t="s">
        <v>1590</v>
      </c>
      <c r="E870" s="9" t="s">
        <v>1613</v>
      </c>
      <c r="F870" s="9" t="s">
        <v>1590</v>
      </c>
      <c r="G870" s="9" t="s">
        <v>1592</v>
      </c>
      <c r="H870" s="9" t="s">
        <v>170</v>
      </c>
      <c r="I870" s="9" t="s">
        <v>2403</v>
      </c>
      <c r="J870" s="9" t="s">
        <v>1608</v>
      </c>
      <c r="K870" s="9">
        <v>1</v>
      </c>
      <c r="L870" s="9">
        <v>20</v>
      </c>
      <c r="M870" s="9">
        <v>1996</v>
      </c>
      <c r="O870" s="9" t="str">
        <f t="shared" si="43"/>
        <v>NO</v>
      </c>
      <c r="P870" s="9" t="str">
        <f t="shared" si="44"/>
        <v>NO</v>
      </c>
      <c r="Q870" s="9" t="str">
        <f t="shared" si="45"/>
        <v>Conditioned</v>
      </c>
    </row>
    <row r="871" spans="1:17">
      <c r="A871" s="9">
        <v>13319</v>
      </c>
      <c r="B871" s="9">
        <v>2</v>
      </c>
      <c r="C871" s="9" t="s">
        <v>1589</v>
      </c>
      <c r="D871" s="9" t="s">
        <v>1590</v>
      </c>
      <c r="E871" s="9" t="s">
        <v>1591</v>
      </c>
      <c r="F871" s="9" t="s">
        <v>1589</v>
      </c>
      <c r="G871" s="9" t="s">
        <v>1606</v>
      </c>
      <c r="H871" s="9" t="s">
        <v>1638</v>
      </c>
      <c r="I871" s="9" t="s">
        <v>2404</v>
      </c>
      <c r="J871" s="9" t="s">
        <v>1597</v>
      </c>
      <c r="K871" s="9">
        <v>1</v>
      </c>
      <c r="L871" s="9">
        <v>17</v>
      </c>
      <c r="M871" s="9">
        <v>1986</v>
      </c>
      <c r="O871" s="9" t="str">
        <f t="shared" si="43"/>
        <v>NO</v>
      </c>
      <c r="P871" s="9" t="str">
        <f t="shared" si="44"/>
        <v>NO</v>
      </c>
      <c r="Q871" s="9" t="str">
        <f t="shared" si="45"/>
        <v>Unconditioned</v>
      </c>
    </row>
    <row r="872" spans="1:17">
      <c r="A872" s="9">
        <v>13323</v>
      </c>
      <c r="B872" s="9">
        <v>1</v>
      </c>
      <c r="C872" s="9" t="s">
        <v>1589</v>
      </c>
      <c r="D872" s="9" t="s">
        <v>1590</v>
      </c>
      <c r="E872" s="9" t="s">
        <v>1613</v>
      </c>
      <c r="F872" s="9" t="s">
        <v>1603</v>
      </c>
      <c r="G872" s="9" t="s">
        <v>1592</v>
      </c>
      <c r="H872" s="9" t="s">
        <v>177</v>
      </c>
      <c r="I872" s="9" t="s">
        <v>2405</v>
      </c>
      <c r="J872" s="9" t="s">
        <v>1608</v>
      </c>
      <c r="K872" s="9">
        <v>1</v>
      </c>
      <c r="L872" s="9">
        <v>28</v>
      </c>
      <c r="M872" s="9">
        <v>2010</v>
      </c>
      <c r="O872" s="9" t="str">
        <f t="shared" si="43"/>
        <v>NO</v>
      </c>
      <c r="P872" s="9" t="str">
        <f t="shared" si="44"/>
        <v>NO</v>
      </c>
      <c r="Q872" s="9" t="str">
        <f t="shared" si="45"/>
        <v>Conditioned</v>
      </c>
    </row>
    <row r="873" spans="1:17">
      <c r="A873" s="9">
        <v>13323</v>
      </c>
      <c r="B873" s="9">
        <v>2</v>
      </c>
      <c r="C873" s="9" t="s">
        <v>1589</v>
      </c>
      <c r="D873" s="9" t="s">
        <v>1590</v>
      </c>
      <c r="E873" s="9" t="s">
        <v>1591</v>
      </c>
      <c r="F873" s="9" t="s">
        <v>1589</v>
      </c>
      <c r="G873" s="9" t="s">
        <v>1592</v>
      </c>
      <c r="H873" s="9" t="s">
        <v>173</v>
      </c>
      <c r="I873" s="9" t="s">
        <v>2406</v>
      </c>
      <c r="J873" s="9" t="s">
        <v>1587</v>
      </c>
      <c r="K873" s="9">
        <v>1</v>
      </c>
      <c r="L873" s="9">
        <v>7</v>
      </c>
      <c r="O873" s="9" t="str">
        <f t="shared" si="43"/>
        <v>YES</v>
      </c>
      <c r="P873" s="9" t="str">
        <f t="shared" si="44"/>
        <v>YES</v>
      </c>
      <c r="Q873" s="9" t="str">
        <f t="shared" si="45"/>
        <v>Conditioned</v>
      </c>
    </row>
    <row r="874" spans="1:17">
      <c r="A874" s="9">
        <v>13327</v>
      </c>
      <c r="B874" s="9">
        <v>1</v>
      </c>
      <c r="C874" s="9" t="s">
        <v>1589</v>
      </c>
      <c r="D874" s="9" t="s">
        <v>1590</v>
      </c>
      <c r="E874" s="9" t="s">
        <v>1591</v>
      </c>
      <c r="F874" s="9" t="s">
        <v>1589</v>
      </c>
      <c r="G874" s="9" t="s">
        <v>1592</v>
      </c>
      <c r="H874" s="9" t="s">
        <v>169</v>
      </c>
      <c r="I874" s="9" t="s">
        <v>2407</v>
      </c>
      <c r="J874" s="9" t="s">
        <v>1605</v>
      </c>
      <c r="K874" s="9">
        <v>1</v>
      </c>
      <c r="L874" s="9">
        <v>21</v>
      </c>
      <c r="M874" s="9">
        <v>2008</v>
      </c>
      <c r="O874" s="9" t="str">
        <f t="shared" si="43"/>
        <v>NO</v>
      </c>
      <c r="P874" s="9" t="str">
        <f t="shared" si="44"/>
        <v>YES</v>
      </c>
      <c r="Q874" s="9" t="str">
        <f t="shared" si="45"/>
        <v>Conditioned</v>
      </c>
    </row>
    <row r="875" spans="1:17">
      <c r="A875" s="9">
        <v>13327</v>
      </c>
      <c r="B875" s="9">
        <v>2</v>
      </c>
      <c r="C875" s="9" t="s">
        <v>1589</v>
      </c>
      <c r="D875" s="9" t="s">
        <v>1590</v>
      </c>
      <c r="E875" s="9" t="s">
        <v>1591</v>
      </c>
      <c r="F875" s="9" t="s">
        <v>1589</v>
      </c>
      <c r="G875" s="9" t="s">
        <v>1592</v>
      </c>
      <c r="H875" s="9" t="s">
        <v>170</v>
      </c>
      <c r="I875" s="9" t="s">
        <v>2408</v>
      </c>
      <c r="J875" s="9" t="s">
        <v>1597</v>
      </c>
      <c r="K875" s="9">
        <v>1</v>
      </c>
      <c r="L875" s="9">
        <v>22</v>
      </c>
      <c r="M875" s="9">
        <v>1990</v>
      </c>
      <c r="O875" s="9" t="str">
        <f t="shared" si="43"/>
        <v>NO</v>
      </c>
      <c r="P875" s="9" t="str">
        <f t="shared" si="44"/>
        <v>NO</v>
      </c>
      <c r="Q875" s="9" t="str">
        <f t="shared" si="45"/>
        <v>Conditioned</v>
      </c>
    </row>
    <row r="876" spans="1:17">
      <c r="A876" s="9">
        <v>13327</v>
      </c>
      <c r="B876" s="9">
        <v>3</v>
      </c>
      <c r="C876" s="9" t="s">
        <v>1589</v>
      </c>
      <c r="D876" s="9" t="s">
        <v>1590</v>
      </c>
      <c r="E876" s="9" t="s">
        <v>1591</v>
      </c>
      <c r="F876" s="9" t="s">
        <v>1589</v>
      </c>
      <c r="G876" s="9" t="s">
        <v>1592</v>
      </c>
      <c r="H876" s="9" t="s">
        <v>1638</v>
      </c>
      <c r="I876" s="9" t="s">
        <v>2409</v>
      </c>
      <c r="J876" s="9" t="s">
        <v>1597</v>
      </c>
      <c r="K876" s="9">
        <v>1</v>
      </c>
      <c r="L876" s="9">
        <v>18</v>
      </c>
      <c r="M876" s="9">
        <v>2003</v>
      </c>
      <c r="O876" s="9" t="str">
        <f t="shared" si="43"/>
        <v>NO</v>
      </c>
      <c r="P876" s="9" t="str">
        <f t="shared" si="44"/>
        <v>NO</v>
      </c>
      <c r="Q876" s="9" t="str">
        <f t="shared" si="45"/>
        <v>Conditioned</v>
      </c>
    </row>
    <row r="877" spans="1:17">
      <c r="A877" s="9">
        <v>13328</v>
      </c>
      <c r="B877" s="9">
        <v>1</v>
      </c>
      <c r="C877" s="9" t="s">
        <v>1589</v>
      </c>
      <c r="D877" s="9" t="s">
        <v>1590</v>
      </c>
      <c r="E877" s="9" t="s">
        <v>1602</v>
      </c>
      <c r="F877" s="9" t="s">
        <v>1603</v>
      </c>
      <c r="G877" s="9" t="s">
        <v>1592</v>
      </c>
      <c r="H877" s="9" t="s">
        <v>1017</v>
      </c>
      <c r="I877" s="9" t="s">
        <v>2410</v>
      </c>
      <c r="J877" s="9" t="s">
        <v>1601</v>
      </c>
      <c r="K877" s="9">
        <v>1</v>
      </c>
      <c r="L877" s="9">
        <v>26</v>
      </c>
      <c r="M877" s="9">
        <v>2007</v>
      </c>
      <c r="O877" s="9" t="str">
        <f t="shared" si="43"/>
        <v>NO</v>
      </c>
      <c r="P877" s="9" t="str">
        <f t="shared" si="44"/>
        <v>NO</v>
      </c>
      <c r="Q877" s="9" t="str">
        <f t="shared" si="45"/>
        <v>Conditioned</v>
      </c>
    </row>
    <row r="878" spans="1:17">
      <c r="A878" s="9">
        <v>13328</v>
      </c>
      <c r="B878" s="9">
        <v>2</v>
      </c>
      <c r="C878" s="9" t="s">
        <v>1589</v>
      </c>
      <c r="D878" s="9" t="s">
        <v>1590</v>
      </c>
      <c r="E878" s="9" t="s">
        <v>1591</v>
      </c>
      <c r="F878" s="9" t="s">
        <v>1589</v>
      </c>
      <c r="G878" s="9" t="s">
        <v>1592</v>
      </c>
      <c r="H878" s="9" t="s">
        <v>177</v>
      </c>
      <c r="I878" s="9" t="s">
        <v>2411</v>
      </c>
      <c r="J878" s="9" t="s">
        <v>1597</v>
      </c>
      <c r="K878" s="9">
        <v>1</v>
      </c>
      <c r="L878" s="9">
        <v>18</v>
      </c>
      <c r="M878" s="9">
        <v>1987</v>
      </c>
      <c r="O878" s="9" t="str">
        <f t="shared" si="43"/>
        <v>NO</v>
      </c>
      <c r="P878" s="9" t="str">
        <f t="shared" si="44"/>
        <v>NO</v>
      </c>
      <c r="Q878" s="9" t="str">
        <f t="shared" si="45"/>
        <v>Conditioned</v>
      </c>
    </row>
    <row r="879" spans="1:17">
      <c r="A879" s="9">
        <v>13336</v>
      </c>
      <c r="B879" s="9">
        <v>1</v>
      </c>
      <c r="C879" s="9" t="s">
        <v>1589</v>
      </c>
      <c r="D879" s="9" t="s">
        <v>1590</v>
      </c>
      <c r="E879" s="9" t="s">
        <v>1613</v>
      </c>
      <c r="F879" s="9" t="s">
        <v>1603</v>
      </c>
      <c r="G879" s="9" t="s">
        <v>1592</v>
      </c>
      <c r="H879" s="9" t="s">
        <v>1638</v>
      </c>
      <c r="I879" s="9" t="s">
        <v>2412</v>
      </c>
      <c r="J879" s="9" t="s">
        <v>1597</v>
      </c>
      <c r="K879" s="9">
        <v>1</v>
      </c>
      <c r="L879" s="9">
        <v>20</v>
      </c>
      <c r="M879" s="9">
        <v>1992</v>
      </c>
      <c r="O879" s="9" t="str">
        <f t="shared" si="43"/>
        <v>NO</v>
      </c>
      <c r="P879" s="9" t="str">
        <f t="shared" si="44"/>
        <v>NO</v>
      </c>
      <c r="Q879" s="9" t="str">
        <f t="shared" si="45"/>
        <v>Conditioned</v>
      </c>
    </row>
    <row r="880" spans="1:17">
      <c r="A880" s="9">
        <v>13336</v>
      </c>
      <c r="B880" s="9">
        <v>2</v>
      </c>
      <c r="C880" s="9" t="s">
        <v>2413</v>
      </c>
      <c r="D880" s="9" t="s">
        <v>1590</v>
      </c>
      <c r="E880" s="9" t="s">
        <v>1591</v>
      </c>
      <c r="F880" s="9" t="s">
        <v>1589</v>
      </c>
      <c r="G880" s="9" t="s">
        <v>1606</v>
      </c>
      <c r="H880" s="9" t="s">
        <v>174</v>
      </c>
      <c r="I880" s="9" t="s">
        <v>1589</v>
      </c>
      <c r="J880" s="9" t="s">
        <v>1605</v>
      </c>
      <c r="K880" s="9">
        <v>1</v>
      </c>
      <c r="L880" s="9">
        <v>18</v>
      </c>
      <c r="O880" s="9" t="str">
        <f t="shared" si="43"/>
        <v>NO</v>
      </c>
      <c r="P880" s="9" t="str">
        <f t="shared" si="44"/>
        <v>YES</v>
      </c>
      <c r="Q880" s="9" t="str">
        <f t="shared" si="45"/>
        <v>Unconditioned</v>
      </c>
    </row>
    <row r="881" spans="1:17">
      <c r="A881" s="9">
        <v>13347</v>
      </c>
      <c r="B881" s="9">
        <v>1</v>
      </c>
      <c r="C881" s="9" t="s">
        <v>1589</v>
      </c>
      <c r="D881" s="9" t="s">
        <v>1590</v>
      </c>
      <c r="E881" s="9" t="s">
        <v>1613</v>
      </c>
      <c r="F881" s="9" t="s">
        <v>1603</v>
      </c>
      <c r="G881" s="9" t="s">
        <v>1592</v>
      </c>
      <c r="H881" s="9" t="s">
        <v>174</v>
      </c>
      <c r="I881" s="9" t="s">
        <v>2414</v>
      </c>
      <c r="J881" s="9" t="s">
        <v>1608</v>
      </c>
      <c r="K881" s="9">
        <v>1</v>
      </c>
      <c r="L881" s="9">
        <v>20</v>
      </c>
      <c r="M881" s="9">
        <v>1994</v>
      </c>
      <c r="O881" s="9" t="str">
        <f t="shared" si="43"/>
        <v>NO</v>
      </c>
      <c r="P881" s="9" t="str">
        <f t="shared" si="44"/>
        <v>NO</v>
      </c>
      <c r="Q881" s="9" t="str">
        <f t="shared" si="45"/>
        <v>Conditioned</v>
      </c>
    </row>
    <row r="882" spans="1:17">
      <c r="A882" s="9">
        <v>13359</v>
      </c>
      <c r="B882" s="9">
        <v>1</v>
      </c>
      <c r="C882" s="9" t="s">
        <v>1589</v>
      </c>
      <c r="D882" s="9" t="s">
        <v>1590</v>
      </c>
      <c r="E882" s="9" t="s">
        <v>1602</v>
      </c>
      <c r="F882" s="9" t="s">
        <v>1603</v>
      </c>
      <c r="G882" s="9" t="s">
        <v>1592</v>
      </c>
      <c r="H882" s="9" t="s">
        <v>1638</v>
      </c>
      <c r="I882" s="9" t="s">
        <v>2415</v>
      </c>
      <c r="J882" s="9" t="s">
        <v>1601</v>
      </c>
      <c r="K882" s="9">
        <v>1</v>
      </c>
      <c r="L882" s="9">
        <v>22</v>
      </c>
      <c r="M882" s="9">
        <v>2000</v>
      </c>
      <c r="O882" s="9" t="str">
        <f t="shared" si="43"/>
        <v>NO</v>
      </c>
      <c r="P882" s="9" t="str">
        <f t="shared" si="44"/>
        <v>NO</v>
      </c>
      <c r="Q882" s="9" t="str">
        <f t="shared" si="45"/>
        <v>Conditioned</v>
      </c>
    </row>
    <row r="883" spans="1:17">
      <c r="A883" s="9">
        <v>13365</v>
      </c>
      <c r="B883" s="9">
        <v>1</v>
      </c>
      <c r="C883" s="9" t="s">
        <v>1589</v>
      </c>
      <c r="D883" s="9" t="s">
        <v>1590</v>
      </c>
      <c r="E883" s="9" t="s">
        <v>1613</v>
      </c>
      <c r="F883" s="9" t="s">
        <v>1603</v>
      </c>
      <c r="G883" s="9" t="s">
        <v>1592</v>
      </c>
      <c r="H883" s="9" t="s">
        <v>177</v>
      </c>
      <c r="I883" s="9" t="s">
        <v>2416</v>
      </c>
      <c r="J883" s="9" t="s">
        <v>1597</v>
      </c>
      <c r="K883" s="9">
        <v>1</v>
      </c>
      <c r="L883" s="9">
        <v>21</v>
      </c>
      <c r="M883" s="9">
        <v>2004</v>
      </c>
      <c r="O883" s="9" t="str">
        <f t="shared" si="43"/>
        <v>NO</v>
      </c>
      <c r="P883" s="9" t="str">
        <f t="shared" si="44"/>
        <v>NO</v>
      </c>
      <c r="Q883" s="9" t="str">
        <f t="shared" si="45"/>
        <v>Conditioned</v>
      </c>
    </row>
    <row r="884" spans="1:17">
      <c r="A884" s="9">
        <v>13365</v>
      </c>
      <c r="B884" s="9">
        <v>2</v>
      </c>
      <c r="C884" s="9" t="s">
        <v>1589</v>
      </c>
      <c r="D884" s="9" t="s">
        <v>1590</v>
      </c>
      <c r="E884" s="9" t="s">
        <v>1591</v>
      </c>
      <c r="F884" s="9" t="s">
        <v>1589</v>
      </c>
      <c r="G884" s="9" t="s">
        <v>1606</v>
      </c>
      <c r="H884" s="9" t="s">
        <v>1754</v>
      </c>
      <c r="I884" s="9" t="s">
        <v>2417</v>
      </c>
      <c r="J884" s="9" t="s">
        <v>1587</v>
      </c>
      <c r="K884" s="9">
        <v>1</v>
      </c>
      <c r="L884" s="9">
        <v>10</v>
      </c>
      <c r="M884" s="9">
        <v>2003</v>
      </c>
      <c r="O884" s="9" t="str">
        <f t="shared" si="43"/>
        <v>NO</v>
      </c>
      <c r="P884" s="9" t="str">
        <f t="shared" si="44"/>
        <v>YES</v>
      </c>
      <c r="Q884" s="9" t="str">
        <f t="shared" si="45"/>
        <v>Unconditioned</v>
      </c>
    </row>
    <row r="885" spans="1:17">
      <c r="A885" s="9">
        <v>13400</v>
      </c>
      <c r="B885" s="9">
        <v>1</v>
      </c>
      <c r="C885" s="9" t="s">
        <v>1589</v>
      </c>
      <c r="D885" s="9" t="s">
        <v>1590</v>
      </c>
      <c r="E885" s="9" t="s">
        <v>1602</v>
      </c>
      <c r="F885" s="9" t="s">
        <v>1603</v>
      </c>
      <c r="G885" s="9" t="s">
        <v>1592</v>
      </c>
      <c r="H885" s="9" t="s">
        <v>1638</v>
      </c>
      <c r="I885" s="9" t="s">
        <v>2418</v>
      </c>
      <c r="J885" s="9" t="s">
        <v>1601</v>
      </c>
      <c r="K885" s="9">
        <v>1</v>
      </c>
      <c r="L885" s="9">
        <v>20</v>
      </c>
      <c r="M885" s="9">
        <v>1995</v>
      </c>
      <c r="O885" s="9" t="str">
        <f t="shared" si="43"/>
        <v>NO</v>
      </c>
      <c r="P885" s="9" t="str">
        <f t="shared" si="44"/>
        <v>NO</v>
      </c>
      <c r="Q885" s="9" t="str">
        <f t="shared" si="45"/>
        <v>Conditioned</v>
      </c>
    </row>
    <row r="886" spans="1:17">
      <c r="A886" s="9">
        <v>13400</v>
      </c>
      <c r="B886" s="9">
        <v>2</v>
      </c>
      <c r="C886" s="9" t="s">
        <v>1589</v>
      </c>
      <c r="D886" s="9" t="s">
        <v>1590</v>
      </c>
      <c r="E886" s="9" t="s">
        <v>1591</v>
      </c>
      <c r="F886" s="9" t="s">
        <v>1589</v>
      </c>
      <c r="G886" s="9" t="s">
        <v>1592</v>
      </c>
      <c r="H886" s="9" t="s">
        <v>174</v>
      </c>
      <c r="I886" s="9" t="s">
        <v>2143</v>
      </c>
      <c r="J886" s="9" t="s">
        <v>1605</v>
      </c>
      <c r="K886" s="9">
        <v>1</v>
      </c>
      <c r="L886" s="9">
        <v>15</v>
      </c>
      <c r="M886" s="9">
        <v>2010</v>
      </c>
      <c r="O886" s="9" t="str">
        <f t="shared" si="43"/>
        <v>NO</v>
      </c>
      <c r="P886" s="9" t="str">
        <f t="shared" si="44"/>
        <v>YES</v>
      </c>
      <c r="Q886" s="9" t="str">
        <f t="shared" si="45"/>
        <v>Conditioned</v>
      </c>
    </row>
    <row r="887" spans="1:17">
      <c r="A887" s="9">
        <v>13401</v>
      </c>
      <c r="B887" s="9">
        <v>1</v>
      </c>
      <c r="C887" s="9" t="s">
        <v>1589</v>
      </c>
      <c r="D887" s="9" t="s">
        <v>1590</v>
      </c>
      <c r="E887" s="9" t="s">
        <v>1602</v>
      </c>
      <c r="F887" s="9" t="s">
        <v>1603</v>
      </c>
      <c r="G887" s="9" t="s">
        <v>1592</v>
      </c>
      <c r="H887" s="9" t="s">
        <v>170</v>
      </c>
      <c r="I887" s="9" t="s">
        <v>2419</v>
      </c>
      <c r="J887" s="9" t="s">
        <v>1601</v>
      </c>
      <c r="K887" s="9">
        <v>1</v>
      </c>
      <c r="L887" s="9">
        <v>27</v>
      </c>
      <c r="M887" s="9">
        <v>2009</v>
      </c>
      <c r="O887" s="9" t="str">
        <f t="shared" si="43"/>
        <v>NO</v>
      </c>
      <c r="P887" s="9" t="str">
        <f t="shared" si="44"/>
        <v>NO</v>
      </c>
      <c r="Q887" s="9" t="str">
        <f t="shared" si="45"/>
        <v>Conditioned</v>
      </c>
    </row>
    <row r="888" spans="1:17">
      <c r="A888" s="9">
        <v>13420</v>
      </c>
      <c r="B888" s="9">
        <v>1</v>
      </c>
      <c r="C888" s="9" t="s">
        <v>1589</v>
      </c>
      <c r="D888" s="9" t="s">
        <v>1590</v>
      </c>
      <c r="E888" s="9" t="s">
        <v>1591</v>
      </c>
      <c r="F888" s="9" t="s">
        <v>1589</v>
      </c>
      <c r="G888" s="9" t="s">
        <v>1592</v>
      </c>
      <c r="H888" s="9" t="s">
        <v>1638</v>
      </c>
      <c r="I888" s="9" t="s">
        <v>2420</v>
      </c>
      <c r="J888" s="9" t="s">
        <v>1608</v>
      </c>
      <c r="K888" s="9">
        <v>1</v>
      </c>
      <c r="L888" s="9">
        <v>25</v>
      </c>
      <c r="M888" s="9">
        <v>2007</v>
      </c>
      <c r="O888" s="9" t="str">
        <f t="shared" si="43"/>
        <v>NO</v>
      </c>
      <c r="P888" s="9" t="str">
        <f t="shared" si="44"/>
        <v>NO</v>
      </c>
      <c r="Q888" s="9" t="str">
        <f t="shared" si="45"/>
        <v>Conditioned</v>
      </c>
    </row>
    <row r="889" spans="1:17">
      <c r="A889" s="9">
        <v>13426</v>
      </c>
      <c r="B889" s="9">
        <v>1</v>
      </c>
      <c r="C889" s="9" t="s">
        <v>1589</v>
      </c>
      <c r="D889" s="9" t="s">
        <v>1590</v>
      </c>
      <c r="E889" s="9" t="s">
        <v>1602</v>
      </c>
      <c r="F889" s="9" t="s">
        <v>1603</v>
      </c>
      <c r="G889" s="9" t="s">
        <v>1592</v>
      </c>
      <c r="H889" s="9" t="s">
        <v>174</v>
      </c>
      <c r="I889" s="9" t="s">
        <v>2421</v>
      </c>
      <c r="J889" s="9" t="s">
        <v>1601</v>
      </c>
      <c r="K889" s="9">
        <v>1</v>
      </c>
      <c r="L889" s="9">
        <v>24</v>
      </c>
      <c r="M889" s="9">
        <v>2011</v>
      </c>
      <c r="O889" s="9" t="str">
        <f t="shared" si="43"/>
        <v>NO</v>
      </c>
      <c r="P889" s="9" t="str">
        <f t="shared" si="44"/>
        <v>NO</v>
      </c>
      <c r="Q889" s="9" t="str">
        <f t="shared" si="45"/>
        <v>Conditioned</v>
      </c>
    </row>
    <row r="890" spans="1:17">
      <c r="A890" s="9">
        <v>13426</v>
      </c>
      <c r="B890" s="9">
        <v>2</v>
      </c>
      <c r="C890" s="9" t="s">
        <v>1589</v>
      </c>
      <c r="D890" s="9" t="s">
        <v>1590</v>
      </c>
      <c r="E890" s="9" t="s">
        <v>1591</v>
      </c>
      <c r="F890" s="9" t="s">
        <v>1589</v>
      </c>
      <c r="G890" s="9" t="s">
        <v>1592</v>
      </c>
      <c r="H890" s="9" t="s">
        <v>1638</v>
      </c>
      <c r="I890" s="9" t="s">
        <v>1650</v>
      </c>
      <c r="J890" s="9" t="s">
        <v>1587</v>
      </c>
      <c r="K890" s="9">
        <v>1</v>
      </c>
      <c r="L890" s="9">
        <v>12</v>
      </c>
      <c r="M890" s="9">
        <v>2002</v>
      </c>
      <c r="O890" s="9" t="str">
        <f t="shared" si="43"/>
        <v>NO</v>
      </c>
      <c r="P890" s="9" t="str">
        <f t="shared" si="44"/>
        <v>YES</v>
      </c>
      <c r="Q890" s="9" t="str">
        <f t="shared" si="45"/>
        <v>Conditioned</v>
      </c>
    </row>
    <row r="891" spans="1:17">
      <c r="A891" s="9">
        <v>13427</v>
      </c>
      <c r="B891" s="9">
        <v>1</v>
      </c>
      <c r="C891" s="9" t="s">
        <v>1589</v>
      </c>
      <c r="D891" s="9" t="s">
        <v>1590</v>
      </c>
      <c r="E891" s="9" t="s">
        <v>1602</v>
      </c>
      <c r="F891" s="9" t="s">
        <v>1603</v>
      </c>
      <c r="G891" s="9" t="s">
        <v>1592</v>
      </c>
      <c r="H891" s="9" t="s">
        <v>1463</v>
      </c>
      <c r="I891" s="9" t="s">
        <v>2422</v>
      </c>
      <c r="J891" s="9" t="s">
        <v>1601</v>
      </c>
      <c r="K891" s="9">
        <v>0.75</v>
      </c>
      <c r="L891" s="9">
        <v>30</v>
      </c>
      <c r="M891" s="9">
        <v>1999</v>
      </c>
      <c r="O891" s="9" t="str">
        <f t="shared" si="43"/>
        <v>NO</v>
      </c>
      <c r="P891" s="9" t="str">
        <f t="shared" si="44"/>
        <v>NO</v>
      </c>
      <c r="Q891" s="9" t="str">
        <f t="shared" si="45"/>
        <v>Conditioned</v>
      </c>
    </row>
    <row r="892" spans="1:17">
      <c r="A892" s="9">
        <v>13435</v>
      </c>
      <c r="B892" s="9">
        <v>1</v>
      </c>
      <c r="C892" s="9" t="s">
        <v>1589</v>
      </c>
      <c r="D892" s="9" t="s">
        <v>1590</v>
      </c>
      <c r="E892" s="9" t="s">
        <v>1591</v>
      </c>
      <c r="F892" s="9" t="s">
        <v>1589</v>
      </c>
      <c r="G892" s="9" t="s">
        <v>1592</v>
      </c>
      <c r="H892" s="9" t="s">
        <v>174</v>
      </c>
      <c r="I892" s="9" t="s">
        <v>2423</v>
      </c>
      <c r="J892" s="9" t="s">
        <v>1597</v>
      </c>
      <c r="K892" s="9">
        <v>1</v>
      </c>
      <c r="L892" s="9">
        <v>21</v>
      </c>
      <c r="M892" s="9">
        <v>2005</v>
      </c>
      <c r="O892" s="9" t="str">
        <f t="shared" si="43"/>
        <v>NO</v>
      </c>
      <c r="P892" s="9" t="str">
        <f t="shared" si="44"/>
        <v>NO</v>
      </c>
      <c r="Q892" s="9" t="str">
        <f t="shared" si="45"/>
        <v>Conditioned</v>
      </c>
    </row>
    <row r="893" spans="1:17">
      <c r="A893" s="9">
        <v>13445</v>
      </c>
      <c r="B893" s="9">
        <v>1</v>
      </c>
      <c r="C893" s="9" t="s">
        <v>1589</v>
      </c>
      <c r="D893" s="9" t="s">
        <v>1590</v>
      </c>
      <c r="E893" s="9" t="s">
        <v>1602</v>
      </c>
      <c r="F893" s="9" t="s">
        <v>1603</v>
      </c>
      <c r="G893" s="9" t="s">
        <v>1592</v>
      </c>
      <c r="H893" s="9" t="s">
        <v>1599</v>
      </c>
      <c r="I893" s="9" t="s">
        <v>2424</v>
      </c>
      <c r="J893" s="9" t="s">
        <v>1601</v>
      </c>
      <c r="K893" s="9">
        <v>1</v>
      </c>
      <c r="L893" s="9">
        <v>32</v>
      </c>
      <c r="M893" s="9">
        <v>2002</v>
      </c>
      <c r="O893" s="9" t="str">
        <f t="shared" si="43"/>
        <v>NO</v>
      </c>
      <c r="P893" s="9" t="str">
        <f t="shared" si="44"/>
        <v>NO</v>
      </c>
      <c r="Q893" s="9" t="str">
        <f t="shared" si="45"/>
        <v>Conditioned</v>
      </c>
    </row>
    <row r="894" spans="1:17">
      <c r="A894" s="9">
        <v>13451</v>
      </c>
      <c r="B894" s="9">
        <v>1</v>
      </c>
      <c r="C894" s="9" t="s">
        <v>1589</v>
      </c>
      <c r="D894" s="9" t="s">
        <v>1590</v>
      </c>
      <c r="E894" s="9" t="s">
        <v>1613</v>
      </c>
      <c r="F894" s="9" t="s">
        <v>1603</v>
      </c>
      <c r="G894" s="9" t="s">
        <v>1592</v>
      </c>
      <c r="H894" s="9" t="s">
        <v>170</v>
      </c>
      <c r="I894" s="9" t="s">
        <v>1589</v>
      </c>
      <c r="J894" s="9" t="s">
        <v>1608</v>
      </c>
      <c r="K894" s="9">
        <v>1</v>
      </c>
      <c r="L894" s="9">
        <v>18</v>
      </c>
      <c r="M894" s="9">
        <v>1997</v>
      </c>
      <c r="O894" s="9" t="str">
        <f t="shared" si="43"/>
        <v>NO</v>
      </c>
      <c r="P894" s="9" t="str">
        <f t="shared" si="44"/>
        <v>NO</v>
      </c>
      <c r="Q894" s="9" t="str">
        <f t="shared" si="45"/>
        <v>Conditioned</v>
      </c>
    </row>
    <row r="895" spans="1:17">
      <c r="A895" s="9">
        <v>13451</v>
      </c>
      <c r="B895" s="9">
        <v>2</v>
      </c>
      <c r="C895" s="9" t="s">
        <v>1589</v>
      </c>
      <c r="D895" s="9" t="s">
        <v>1590</v>
      </c>
      <c r="E895" s="9" t="s">
        <v>1591</v>
      </c>
      <c r="F895" s="9" t="s">
        <v>1589</v>
      </c>
      <c r="G895" s="9" t="s">
        <v>1606</v>
      </c>
      <c r="H895" s="9" t="s">
        <v>1638</v>
      </c>
      <c r="I895" s="9" t="s">
        <v>2425</v>
      </c>
      <c r="J895" s="9" t="s">
        <v>1587</v>
      </c>
      <c r="K895" s="9">
        <v>1</v>
      </c>
      <c r="L895" s="9">
        <v>12</v>
      </c>
      <c r="M895" s="9">
        <v>1998</v>
      </c>
      <c r="O895" s="9" t="str">
        <f t="shared" si="43"/>
        <v>NO</v>
      </c>
      <c r="P895" s="9" t="str">
        <f t="shared" si="44"/>
        <v>YES</v>
      </c>
      <c r="Q895" s="9" t="str">
        <f t="shared" si="45"/>
        <v>Unconditioned</v>
      </c>
    </row>
    <row r="896" spans="1:17">
      <c r="A896" s="9">
        <v>13453</v>
      </c>
      <c r="B896" s="9">
        <v>1</v>
      </c>
      <c r="C896" s="9" t="s">
        <v>1589</v>
      </c>
      <c r="D896" s="9" t="s">
        <v>1590</v>
      </c>
      <c r="E896" s="9" t="s">
        <v>1591</v>
      </c>
      <c r="F896" s="9" t="s">
        <v>1589</v>
      </c>
      <c r="G896" s="9" t="s">
        <v>1592</v>
      </c>
      <c r="H896" s="9" t="s">
        <v>170</v>
      </c>
      <c r="I896" s="9" t="s">
        <v>2426</v>
      </c>
      <c r="J896" s="9" t="s">
        <v>1597</v>
      </c>
      <c r="K896" s="9">
        <v>1</v>
      </c>
      <c r="L896" s="9">
        <v>18</v>
      </c>
      <c r="M896" s="9">
        <v>2001</v>
      </c>
      <c r="O896" s="9" t="str">
        <f t="shared" si="43"/>
        <v>NO</v>
      </c>
      <c r="P896" s="9" t="str">
        <f t="shared" si="44"/>
        <v>NO</v>
      </c>
      <c r="Q896" s="9" t="str">
        <f t="shared" si="45"/>
        <v>Conditioned</v>
      </c>
    </row>
    <row r="897" spans="1:17">
      <c r="A897" s="9">
        <v>13455</v>
      </c>
      <c r="B897" s="9">
        <v>1</v>
      </c>
      <c r="C897" s="9" t="s">
        <v>1589</v>
      </c>
      <c r="D897" s="9" t="s">
        <v>1590</v>
      </c>
      <c r="E897" s="9" t="s">
        <v>1591</v>
      </c>
      <c r="F897" s="9" t="s">
        <v>1589</v>
      </c>
      <c r="G897" s="9" t="s">
        <v>1592</v>
      </c>
      <c r="H897" s="9" t="s">
        <v>169</v>
      </c>
      <c r="I897" s="9" t="s">
        <v>1666</v>
      </c>
      <c r="J897" s="9" t="s">
        <v>1605</v>
      </c>
      <c r="K897" s="9">
        <v>1</v>
      </c>
      <c r="L897" s="9">
        <v>14</v>
      </c>
      <c r="M897" s="9">
        <v>2008</v>
      </c>
      <c r="O897" s="9" t="str">
        <f t="shared" si="43"/>
        <v>NO</v>
      </c>
      <c r="P897" s="9" t="str">
        <f t="shared" si="44"/>
        <v>YES</v>
      </c>
      <c r="Q897" s="9" t="str">
        <f t="shared" si="45"/>
        <v>Conditioned</v>
      </c>
    </row>
    <row r="898" spans="1:17">
      <c r="A898" s="9">
        <v>13455</v>
      </c>
      <c r="B898" s="9">
        <v>2</v>
      </c>
      <c r="C898" s="9" t="s">
        <v>1589</v>
      </c>
      <c r="D898" s="9" t="s">
        <v>1590</v>
      </c>
      <c r="E898" s="9" t="s">
        <v>1591</v>
      </c>
      <c r="F898" s="9" t="s">
        <v>1589</v>
      </c>
      <c r="G898" s="9" t="s">
        <v>1592</v>
      </c>
      <c r="H898" s="9" t="s">
        <v>174</v>
      </c>
      <c r="I898" s="9" t="s">
        <v>2427</v>
      </c>
      <c r="J898" s="9" t="s">
        <v>1608</v>
      </c>
      <c r="K898" s="9">
        <v>1</v>
      </c>
      <c r="L898" s="9">
        <v>21</v>
      </c>
      <c r="M898" s="9">
        <v>2000</v>
      </c>
      <c r="O898" s="9" t="str">
        <f t="shared" si="43"/>
        <v>NO</v>
      </c>
      <c r="P898" s="9" t="str">
        <f t="shared" si="44"/>
        <v>NO</v>
      </c>
      <c r="Q898" s="9" t="str">
        <f t="shared" si="45"/>
        <v>Conditioned</v>
      </c>
    </row>
    <row r="899" spans="1:17">
      <c r="A899" s="9">
        <v>13462</v>
      </c>
      <c r="B899" s="9">
        <v>1</v>
      </c>
      <c r="C899" s="9" t="s">
        <v>1589</v>
      </c>
      <c r="D899" s="9" t="s">
        <v>1590</v>
      </c>
      <c r="E899" s="9" t="s">
        <v>1591</v>
      </c>
      <c r="F899" s="9" t="s">
        <v>1589</v>
      </c>
      <c r="G899" s="9" t="s">
        <v>1592</v>
      </c>
      <c r="H899" s="9" t="s">
        <v>169</v>
      </c>
      <c r="I899" s="9" t="s">
        <v>2428</v>
      </c>
      <c r="J899" s="9" t="s">
        <v>1597</v>
      </c>
      <c r="K899" s="9">
        <v>1</v>
      </c>
      <c r="L899" s="9">
        <v>18</v>
      </c>
      <c r="M899" s="9">
        <v>2001</v>
      </c>
      <c r="O899" s="9" t="str">
        <f t="shared" si="43"/>
        <v>NO</v>
      </c>
      <c r="P899" s="9" t="str">
        <f t="shared" si="44"/>
        <v>NO</v>
      </c>
      <c r="Q899" s="9" t="str">
        <f t="shared" si="45"/>
        <v>Conditioned</v>
      </c>
    </row>
    <row r="900" spans="1:17">
      <c r="A900" s="9">
        <v>13474</v>
      </c>
      <c r="B900" s="9">
        <v>1</v>
      </c>
      <c r="C900" s="9" t="s">
        <v>1589</v>
      </c>
      <c r="D900" s="9" t="s">
        <v>1590</v>
      </c>
      <c r="E900" s="9" t="s">
        <v>1591</v>
      </c>
      <c r="F900" s="9" t="s">
        <v>1589</v>
      </c>
      <c r="G900" s="9" t="s">
        <v>1606</v>
      </c>
      <c r="H900" s="9" t="s">
        <v>1638</v>
      </c>
      <c r="I900" s="9" t="s">
        <v>2429</v>
      </c>
      <c r="J900" s="9" t="s">
        <v>1605</v>
      </c>
      <c r="K900" s="9">
        <v>1</v>
      </c>
      <c r="L900" s="9">
        <v>21</v>
      </c>
      <c r="M900" s="9">
        <v>2007</v>
      </c>
      <c r="O900" s="9" t="str">
        <f t="shared" si="43"/>
        <v>NO</v>
      </c>
      <c r="P900" s="9" t="str">
        <f t="shared" si="44"/>
        <v>YES</v>
      </c>
      <c r="Q900" s="9" t="str">
        <f t="shared" si="45"/>
        <v>Unconditioned</v>
      </c>
    </row>
    <row r="901" spans="1:17">
      <c r="A901" s="9">
        <v>13474</v>
      </c>
      <c r="B901" s="9">
        <v>2</v>
      </c>
      <c r="C901" s="9" t="s">
        <v>1589</v>
      </c>
      <c r="D901" s="9" t="s">
        <v>1590</v>
      </c>
      <c r="E901" s="9" t="s">
        <v>1613</v>
      </c>
      <c r="F901" s="9" t="s">
        <v>1603</v>
      </c>
      <c r="G901" s="9" t="s">
        <v>1592</v>
      </c>
      <c r="H901" s="9" t="s">
        <v>174</v>
      </c>
      <c r="I901" s="9" t="s">
        <v>2430</v>
      </c>
      <c r="J901" s="9" t="s">
        <v>1608</v>
      </c>
      <c r="K901" s="9">
        <v>1</v>
      </c>
      <c r="L901" s="9">
        <v>25</v>
      </c>
      <c r="M901" s="9">
        <v>1999</v>
      </c>
      <c r="O901" s="9" t="str">
        <f t="shared" si="43"/>
        <v>NO</v>
      </c>
      <c r="P901" s="9" t="str">
        <f t="shared" si="44"/>
        <v>NO</v>
      </c>
      <c r="Q901" s="9" t="str">
        <f t="shared" si="45"/>
        <v>Conditioned</v>
      </c>
    </row>
    <row r="902" spans="1:17">
      <c r="A902" s="9">
        <v>13490</v>
      </c>
      <c r="B902" s="9">
        <v>1</v>
      </c>
      <c r="C902" s="9" t="s">
        <v>1589</v>
      </c>
      <c r="D902" s="9" t="s">
        <v>1590</v>
      </c>
      <c r="E902" s="9" t="s">
        <v>1613</v>
      </c>
      <c r="F902" s="9" t="s">
        <v>1590</v>
      </c>
      <c r="G902" s="9" t="s">
        <v>1592</v>
      </c>
      <c r="H902" s="9" t="s">
        <v>169</v>
      </c>
      <c r="I902" s="9" t="s">
        <v>2431</v>
      </c>
      <c r="J902" s="9" t="s">
        <v>1601</v>
      </c>
      <c r="K902" s="9">
        <v>1</v>
      </c>
      <c r="L902" s="9">
        <v>22</v>
      </c>
      <c r="M902" s="9">
        <v>1989</v>
      </c>
      <c r="O902" s="9" t="str">
        <f t="shared" si="43"/>
        <v>NO</v>
      </c>
      <c r="P902" s="9" t="str">
        <f t="shared" si="44"/>
        <v>NO</v>
      </c>
      <c r="Q902" s="9" t="str">
        <f t="shared" si="45"/>
        <v>Conditioned</v>
      </c>
    </row>
    <row r="903" spans="1:17">
      <c r="A903" s="9">
        <v>13490</v>
      </c>
      <c r="B903" s="9">
        <v>2</v>
      </c>
      <c r="C903" s="9" t="s">
        <v>1589</v>
      </c>
      <c r="D903" s="9" t="s">
        <v>1590</v>
      </c>
      <c r="E903" s="9" t="s">
        <v>1591</v>
      </c>
      <c r="F903" s="9" t="s">
        <v>1589</v>
      </c>
      <c r="G903" s="9" t="s">
        <v>1592</v>
      </c>
      <c r="H903" s="9" t="s">
        <v>2432</v>
      </c>
      <c r="I903" s="9" t="s">
        <v>1589</v>
      </c>
      <c r="J903" s="9" t="s">
        <v>1605</v>
      </c>
      <c r="K903" s="9">
        <v>1</v>
      </c>
      <c r="L903" s="9">
        <v>12</v>
      </c>
      <c r="M903" s="9">
        <v>1995</v>
      </c>
      <c r="O903" s="9" t="str">
        <f t="shared" si="43"/>
        <v>NO</v>
      </c>
      <c r="P903" s="9" t="str">
        <f t="shared" si="44"/>
        <v>YES</v>
      </c>
      <c r="Q903" s="9" t="str">
        <f t="shared" si="45"/>
        <v>Conditioned</v>
      </c>
    </row>
    <row r="904" spans="1:17">
      <c r="A904" s="9">
        <v>13494</v>
      </c>
      <c r="B904" s="9">
        <v>1</v>
      </c>
      <c r="C904" s="9" t="s">
        <v>1589</v>
      </c>
      <c r="D904" s="9" t="s">
        <v>1590</v>
      </c>
      <c r="E904" s="9" t="s">
        <v>1613</v>
      </c>
      <c r="F904" s="9" t="s">
        <v>1603</v>
      </c>
      <c r="G904" s="9" t="s">
        <v>1592</v>
      </c>
      <c r="H904" s="9" t="s">
        <v>177</v>
      </c>
      <c r="I904" s="9" t="s">
        <v>2433</v>
      </c>
      <c r="J904" s="9" t="s">
        <v>1601</v>
      </c>
      <c r="K904" s="9">
        <v>1</v>
      </c>
      <c r="L904" s="9">
        <v>25</v>
      </c>
      <c r="M904" s="9">
        <v>2010</v>
      </c>
      <c r="O904" s="9" t="str">
        <f t="shared" si="43"/>
        <v>NO</v>
      </c>
      <c r="P904" s="9" t="str">
        <f t="shared" si="44"/>
        <v>NO</v>
      </c>
      <c r="Q904" s="9" t="str">
        <f t="shared" si="45"/>
        <v>Conditioned</v>
      </c>
    </row>
    <row r="905" spans="1:17">
      <c r="A905" s="9">
        <v>13495</v>
      </c>
      <c r="B905" s="9">
        <v>1</v>
      </c>
      <c r="C905" s="9" t="s">
        <v>1589</v>
      </c>
      <c r="D905" s="9" t="s">
        <v>1590</v>
      </c>
      <c r="E905" s="9" t="s">
        <v>1613</v>
      </c>
      <c r="F905" s="9" t="s">
        <v>1603</v>
      </c>
      <c r="G905" s="9" t="s">
        <v>1592</v>
      </c>
      <c r="H905" s="9" t="s">
        <v>170</v>
      </c>
      <c r="I905" s="9" t="s">
        <v>2434</v>
      </c>
      <c r="J905" s="9" t="s">
        <v>1608</v>
      </c>
      <c r="K905" s="9">
        <v>1</v>
      </c>
      <c r="L905" s="9">
        <v>25</v>
      </c>
      <c r="M905" s="9">
        <v>1999</v>
      </c>
      <c r="O905" s="9" t="str">
        <f t="shared" si="43"/>
        <v>NO</v>
      </c>
      <c r="P905" s="9" t="str">
        <f t="shared" si="44"/>
        <v>NO</v>
      </c>
      <c r="Q905" s="9" t="str">
        <f t="shared" si="45"/>
        <v>Conditioned</v>
      </c>
    </row>
    <row r="906" spans="1:17">
      <c r="A906" s="9">
        <v>13495</v>
      </c>
      <c r="B906" s="9">
        <v>2</v>
      </c>
      <c r="C906" s="9" t="s">
        <v>1589</v>
      </c>
      <c r="D906" s="9" t="s">
        <v>1590</v>
      </c>
      <c r="E906" s="9" t="s">
        <v>1591</v>
      </c>
      <c r="F906" s="9" t="s">
        <v>1589</v>
      </c>
      <c r="G906" s="9" t="s">
        <v>1606</v>
      </c>
      <c r="H906" s="9" t="s">
        <v>170</v>
      </c>
      <c r="I906" s="9" t="s">
        <v>2435</v>
      </c>
      <c r="J906" s="9" t="s">
        <v>1605</v>
      </c>
      <c r="K906" s="9">
        <v>1</v>
      </c>
      <c r="L906" s="9">
        <v>21</v>
      </c>
      <c r="M906" s="9">
        <v>2002</v>
      </c>
      <c r="O906" s="9" t="str">
        <f t="shared" si="43"/>
        <v>NO</v>
      </c>
      <c r="P906" s="9" t="str">
        <f t="shared" si="44"/>
        <v>YES</v>
      </c>
      <c r="Q906" s="9" t="str">
        <f t="shared" si="45"/>
        <v>Unconditioned</v>
      </c>
    </row>
    <row r="907" spans="1:17">
      <c r="A907" s="9">
        <v>13495</v>
      </c>
      <c r="B907" s="9">
        <v>3</v>
      </c>
      <c r="C907" s="9" t="s">
        <v>1589</v>
      </c>
      <c r="D907" s="9" t="s">
        <v>1590</v>
      </c>
      <c r="E907" s="9" t="s">
        <v>1591</v>
      </c>
      <c r="F907" s="9" t="s">
        <v>1589</v>
      </c>
      <c r="G907" s="9" t="s">
        <v>1592</v>
      </c>
      <c r="H907" s="9" t="s">
        <v>170</v>
      </c>
      <c r="I907" s="9" t="s">
        <v>2436</v>
      </c>
      <c r="J907" s="9" t="s">
        <v>1605</v>
      </c>
      <c r="K907" s="9">
        <v>0.75</v>
      </c>
      <c r="L907" s="9">
        <v>21</v>
      </c>
      <c r="M907" s="9">
        <v>2006</v>
      </c>
      <c r="O907" s="9" t="str">
        <f t="shared" si="43"/>
        <v>NO</v>
      </c>
      <c r="P907" s="9" t="str">
        <f t="shared" si="44"/>
        <v>YES</v>
      </c>
      <c r="Q907" s="9" t="str">
        <f t="shared" si="45"/>
        <v>Conditioned</v>
      </c>
    </row>
    <row r="908" spans="1:17">
      <c r="A908" s="9">
        <v>13505</v>
      </c>
      <c r="B908" s="9">
        <v>1</v>
      </c>
      <c r="C908" s="9" t="s">
        <v>1589</v>
      </c>
      <c r="D908" s="9" t="s">
        <v>1590</v>
      </c>
      <c r="E908" s="9" t="s">
        <v>1613</v>
      </c>
      <c r="F908" s="9" t="s">
        <v>1603</v>
      </c>
      <c r="G908" s="9" t="s">
        <v>1592</v>
      </c>
      <c r="H908" s="9" t="s">
        <v>169</v>
      </c>
      <c r="I908" s="9" t="s">
        <v>2437</v>
      </c>
      <c r="J908" s="9" t="s">
        <v>1597</v>
      </c>
      <c r="K908" s="9">
        <v>1</v>
      </c>
      <c r="L908" s="9">
        <v>22</v>
      </c>
      <c r="M908" s="9">
        <v>2003</v>
      </c>
      <c r="O908" s="9" t="str">
        <f t="shared" si="43"/>
        <v>NO</v>
      </c>
      <c r="P908" s="9" t="str">
        <f t="shared" si="44"/>
        <v>NO</v>
      </c>
      <c r="Q908" s="9" t="str">
        <f t="shared" si="45"/>
        <v>Conditioned</v>
      </c>
    </row>
    <row r="909" spans="1:17">
      <c r="A909" s="9">
        <v>13507</v>
      </c>
      <c r="B909" s="9">
        <v>1</v>
      </c>
      <c r="C909" s="9" t="s">
        <v>1589</v>
      </c>
      <c r="D909" s="9" t="s">
        <v>1590</v>
      </c>
      <c r="E909" s="9" t="s">
        <v>1613</v>
      </c>
      <c r="F909" s="9" t="s">
        <v>1590</v>
      </c>
      <c r="G909" s="9" t="s">
        <v>1592</v>
      </c>
      <c r="H909" s="9" t="s">
        <v>170</v>
      </c>
      <c r="I909" s="9" t="s">
        <v>2438</v>
      </c>
      <c r="J909" s="9" t="s">
        <v>1601</v>
      </c>
      <c r="K909" s="9">
        <v>1</v>
      </c>
      <c r="L909" s="9">
        <v>19</v>
      </c>
      <c r="M909" s="9">
        <v>1986</v>
      </c>
      <c r="O909" s="9" t="str">
        <f t="shared" si="43"/>
        <v>NO</v>
      </c>
      <c r="P909" s="9" t="str">
        <f t="shared" si="44"/>
        <v>NO</v>
      </c>
      <c r="Q909" s="9" t="str">
        <f t="shared" si="45"/>
        <v>Conditioned</v>
      </c>
    </row>
    <row r="910" spans="1:17">
      <c r="A910" s="9">
        <v>13507</v>
      </c>
      <c r="B910" s="9">
        <v>2</v>
      </c>
      <c r="C910" s="9" t="s">
        <v>2439</v>
      </c>
      <c r="D910" s="9" t="s">
        <v>1590</v>
      </c>
      <c r="E910" s="9" t="s">
        <v>1591</v>
      </c>
      <c r="F910" s="9" t="s">
        <v>1589</v>
      </c>
      <c r="G910" s="9" t="s">
        <v>1592</v>
      </c>
      <c r="H910" s="9" t="s">
        <v>177</v>
      </c>
      <c r="I910" s="9" t="s">
        <v>2440</v>
      </c>
      <c r="J910" s="9" t="s">
        <v>1597</v>
      </c>
      <c r="K910" s="9">
        <v>1</v>
      </c>
      <c r="L910" s="9">
        <v>14</v>
      </c>
      <c r="M910" s="9">
        <v>1978</v>
      </c>
      <c r="O910" s="9" t="str">
        <f t="shared" si="43"/>
        <v>NO</v>
      </c>
      <c r="P910" s="9" t="str">
        <f t="shared" si="44"/>
        <v>NO</v>
      </c>
      <c r="Q910" s="9" t="str">
        <f t="shared" si="45"/>
        <v>Conditioned</v>
      </c>
    </row>
    <row r="911" spans="1:17">
      <c r="A911" s="9">
        <v>13507</v>
      </c>
      <c r="B911" s="9">
        <v>3</v>
      </c>
      <c r="C911" s="9" t="s">
        <v>2441</v>
      </c>
      <c r="D911" s="9" t="s">
        <v>1590</v>
      </c>
      <c r="E911" s="9" t="s">
        <v>1591</v>
      </c>
      <c r="F911" s="9" t="s">
        <v>1589</v>
      </c>
      <c r="G911" s="9" t="s">
        <v>1592</v>
      </c>
      <c r="H911" s="9" t="s">
        <v>2442</v>
      </c>
      <c r="I911" s="9" t="s">
        <v>2443</v>
      </c>
      <c r="J911" s="9" t="s">
        <v>1605</v>
      </c>
      <c r="K911" s="9">
        <v>1</v>
      </c>
      <c r="L911" s="9">
        <v>21</v>
      </c>
      <c r="O911" s="9" t="str">
        <f t="shared" si="43"/>
        <v>NO</v>
      </c>
      <c r="P911" s="9" t="str">
        <f t="shared" si="44"/>
        <v>YES</v>
      </c>
      <c r="Q911" s="9" t="str">
        <f t="shared" si="45"/>
        <v>Conditioned</v>
      </c>
    </row>
    <row r="912" spans="1:17">
      <c r="A912" s="9">
        <v>13507</v>
      </c>
      <c r="B912" s="9">
        <v>4</v>
      </c>
      <c r="C912" s="9" t="s">
        <v>2444</v>
      </c>
      <c r="D912" s="9" t="s">
        <v>1590</v>
      </c>
      <c r="E912" s="9" t="s">
        <v>1591</v>
      </c>
      <c r="F912" s="9" t="s">
        <v>1589</v>
      </c>
      <c r="G912" s="9" t="s">
        <v>1592</v>
      </c>
      <c r="H912" s="9" t="s">
        <v>1638</v>
      </c>
      <c r="I912" s="9" t="s">
        <v>1589</v>
      </c>
      <c r="J912" s="9" t="s">
        <v>1605</v>
      </c>
      <c r="K912" s="9">
        <v>1</v>
      </c>
      <c r="L912" s="9">
        <v>21</v>
      </c>
      <c r="O912" s="9" t="str">
        <f t="shared" si="43"/>
        <v>NO</v>
      </c>
      <c r="P912" s="9" t="str">
        <f t="shared" si="44"/>
        <v>YES</v>
      </c>
      <c r="Q912" s="9" t="str">
        <f t="shared" si="45"/>
        <v>Conditioned</v>
      </c>
    </row>
    <row r="913" spans="1:17">
      <c r="A913" s="9">
        <v>13514</v>
      </c>
      <c r="B913" s="9">
        <v>1</v>
      </c>
      <c r="C913" s="9" t="s">
        <v>1589</v>
      </c>
      <c r="D913" s="9" t="s">
        <v>1590</v>
      </c>
      <c r="E913" s="9" t="s">
        <v>1613</v>
      </c>
      <c r="F913" s="9" t="s">
        <v>1590</v>
      </c>
      <c r="G913" s="9" t="s">
        <v>1592</v>
      </c>
      <c r="H913" s="9" t="s">
        <v>170</v>
      </c>
      <c r="I913" s="9" t="s">
        <v>2445</v>
      </c>
      <c r="J913" s="9" t="s">
        <v>1597</v>
      </c>
      <c r="K913" s="9">
        <v>1</v>
      </c>
      <c r="L913" s="9">
        <v>30</v>
      </c>
      <c r="M913" s="9">
        <v>1998</v>
      </c>
      <c r="O913" s="9" t="str">
        <f t="shared" si="43"/>
        <v>NO</v>
      </c>
      <c r="P913" s="9" t="str">
        <f t="shared" si="44"/>
        <v>NO</v>
      </c>
      <c r="Q913" s="9" t="str">
        <f t="shared" si="45"/>
        <v>Conditioned</v>
      </c>
    </row>
    <row r="914" spans="1:17">
      <c r="A914" s="9">
        <v>13554</v>
      </c>
      <c r="B914" s="9">
        <v>1</v>
      </c>
      <c r="C914" s="9" t="s">
        <v>1589</v>
      </c>
      <c r="D914" s="9" t="s">
        <v>1603</v>
      </c>
      <c r="E914" s="9" t="s">
        <v>1602</v>
      </c>
      <c r="F914" s="9" t="s">
        <v>1603</v>
      </c>
      <c r="G914" s="9" t="s">
        <v>1592</v>
      </c>
      <c r="H914" s="9" t="s">
        <v>1638</v>
      </c>
      <c r="I914" s="9" t="s">
        <v>2446</v>
      </c>
      <c r="J914" s="9" t="s">
        <v>1610</v>
      </c>
      <c r="K914" s="9">
        <v>1</v>
      </c>
      <c r="L914" s="9">
        <v>25</v>
      </c>
      <c r="M914" s="9">
        <v>2009</v>
      </c>
      <c r="O914" s="9" t="str">
        <f t="shared" si="43"/>
        <v>NO</v>
      </c>
      <c r="P914" s="9" t="str">
        <f t="shared" si="44"/>
        <v>NO</v>
      </c>
      <c r="Q914" s="9" t="str">
        <f t="shared" si="45"/>
        <v>Conditioned</v>
      </c>
    </row>
    <row r="915" spans="1:17">
      <c r="A915" s="9">
        <v>13621</v>
      </c>
      <c r="B915" s="9">
        <v>1</v>
      </c>
      <c r="C915" s="9" t="s">
        <v>1589</v>
      </c>
      <c r="D915" s="9" t="s">
        <v>1590</v>
      </c>
      <c r="E915" s="9" t="s">
        <v>1591</v>
      </c>
      <c r="F915" s="9" t="s">
        <v>1589</v>
      </c>
      <c r="G915" s="9" t="s">
        <v>1592</v>
      </c>
      <c r="H915" s="9" t="s">
        <v>1624</v>
      </c>
      <c r="I915" s="9" t="s">
        <v>2447</v>
      </c>
      <c r="J915" s="9" t="s">
        <v>1597</v>
      </c>
      <c r="K915" s="9">
        <v>1</v>
      </c>
      <c r="L915" s="9">
        <v>18</v>
      </c>
      <c r="M915" s="9">
        <v>1999</v>
      </c>
      <c r="O915" s="9" t="str">
        <f t="shared" si="43"/>
        <v>NO</v>
      </c>
      <c r="P915" s="9" t="str">
        <f t="shared" si="44"/>
        <v>NO</v>
      </c>
      <c r="Q915" s="9" t="str">
        <f t="shared" si="45"/>
        <v>Conditioned</v>
      </c>
    </row>
    <row r="916" spans="1:17">
      <c r="A916" s="9">
        <v>13643</v>
      </c>
      <c r="B916" s="9">
        <v>1</v>
      </c>
      <c r="C916" s="9" t="s">
        <v>1589</v>
      </c>
      <c r="D916" s="9" t="s">
        <v>1590</v>
      </c>
      <c r="E916" s="9" t="s">
        <v>1591</v>
      </c>
      <c r="F916" s="9" t="s">
        <v>1589</v>
      </c>
      <c r="G916" s="9" t="s">
        <v>1606</v>
      </c>
      <c r="H916" s="9" t="s">
        <v>174</v>
      </c>
      <c r="I916" s="9" t="s">
        <v>2448</v>
      </c>
      <c r="J916" s="9" t="s">
        <v>1597</v>
      </c>
      <c r="K916" s="9">
        <v>1</v>
      </c>
      <c r="L916" s="9">
        <v>19</v>
      </c>
      <c r="M916" s="9">
        <v>1992</v>
      </c>
      <c r="O916" s="9" t="str">
        <f t="shared" si="43"/>
        <v>NO</v>
      </c>
      <c r="P916" s="9" t="str">
        <f t="shared" si="44"/>
        <v>NO</v>
      </c>
      <c r="Q916" s="9" t="str">
        <f t="shared" si="45"/>
        <v>Unconditioned</v>
      </c>
    </row>
    <row r="917" spans="1:17">
      <c r="A917" s="9">
        <v>13643</v>
      </c>
      <c r="B917" s="9">
        <v>2</v>
      </c>
      <c r="C917" s="9" t="s">
        <v>1589</v>
      </c>
      <c r="D917" s="9" t="s">
        <v>1590</v>
      </c>
      <c r="E917" s="9" t="s">
        <v>1613</v>
      </c>
      <c r="F917" s="9" t="s">
        <v>1603</v>
      </c>
      <c r="G917" s="9" t="s">
        <v>1592</v>
      </c>
      <c r="H917" s="9" t="s">
        <v>173</v>
      </c>
      <c r="I917" s="9" t="s">
        <v>2449</v>
      </c>
      <c r="J917" s="9" t="s">
        <v>1597</v>
      </c>
      <c r="K917" s="9">
        <v>1</v>
      </c>
      <c r="L917" s="9">
        <v>27</v>
      </c>
      <c r="M917" s="9">
        <v>2009</v>
      </c>
      <c r="O917" s="9" t="str">
        <f t="shared" si="43"/>
        <v>NO</v>
      </c>
      <c r="P917" s="9" t="str">
        <f t="shared" si="44"/>
        <v>NO</v>
      </c>
      <c r="Q917" s="9" t="str">
        <f t="shared" si="45"/>
        <v>Conditioned</v>
      </c>
    </row>
    <row r="918" spans="1:17">
      <c r="A918" s="9">
        <v>13655</v>
      </c>
      <c r="B918" s="9">
        <v>1</v>
      </c>
      <c r="C918" s="9" t="s">
        <v>1589</v>
      </c>
      <c r="D918" s="9" t="s">
        <v>1590</v>
      </c>
      <c r="E918" s="9" t="s">
        <v>1591</v>
      </c>
      <c r="F918" s="9" t="s">
        <v>1589</v>
      </c>
      <c r="G918" s="9" t="s">
        <v>1592</v>
      </c>
      <c r="H918" s="9" t="s">
        <v>178</v>
      </c>
      <c r="I918" s="9" t="s">
        <v>2450</v>
      </c>
      <c r="J918" s="9" t="s">
        <v>1597</v>
      </c>
      <c r="K918" s="9">
        <v>1</v>
      </c>
      <c r="L918" s="9">
        <v>18</v>
      </c>
      <c r="M918" s="9">
        <v>2004</v>
      </c>
      <c r="O918" s="9" t="str">
        <f t="shared" si="43"/>
        <v>NO</v>
      </c>
      <c r="P918" s="9" t="str">
        <f t="shared" si="44"/>
        <v>NO</v>
      </c>
      <c r="Q918" s="9" t="str">
        <f t="shared" si="45"/>
        <v>Conditioned</v>
      </c>
    </row>
    <row r="919" spans="1:17">
      <c r="A919" s="9">
        <v>13656</v>
      </c>
      <c r="B919" s="9">
        <v>1</v>
      </c>
      <c r="C919" s="9" t="s">
        <v>1589</v>
      </c>
      <c r="D919" s="9" t="s">
        <v>1603</v>
      </c>
      <c r="E919" s="9" t="s">
        <v>1602</v>
      </c>
      <c r="F919" s="9" t="s">
        <v>1603</v>
      </c>
      <c r="G919" s="9" t="s">
        <v>1592</v>
      </c>
      <c r="H919" s="9" t="s">
        <v>176</v>
      </c>
      <c r="I919" s="9" t="s">
        <v>2451</v>
      </c>
      <c r="J919" s="9" t="s">
        <v>1610</v>
      </c>
      <c r="K919" s="9">
        <v>1</v>
      </c>
      <c r="L919" s="9">
        <v>26</v>
      </c>
      <c r="M919" s="9">
        <v>2007</v>
      </c>
      <c r="O919" s="9" t="str">
        <f t="shared" ref="O919:O982" si="46">IF(L919&lt;7.75,"YES","NO")</f>
        <v>NO</v>
      </c>
      <c r="P919" s="9" t="str">
        <f t="shared" ref="P919:P982" si="47">VLOOKUP(J919,$Z$21:$AA$27,2,FALSE)</f>
        <v>NO</v>
      </c>
      <c r="Q919" s="9" t="str">
        <f t="shared" ref="Q919:Q982" si="48">G919</f>
        <v>Conditioned</v>
      </c>
    </row>
    <row r="920" spans="1:17">
      <c r="A920" s="9">
        <v>13656</v>
      </c>
      <c r="B920" s="9">
        <v>2</v>
      </c>
      <c r="C920" s="9" t="s">
        <v>2452</v>
      </c>
      <c r="D920" s="9" t="s">
        <v>1590</v>
      </c>
      <c r="E920" s="9" t="s">
        <v>1591</v>
      </c>
      <c r="F920" s="9" t="s">
        <v>1589</v>
      </c>
      <c r="G920" s="9" t="s">
        <v>1606</v>
      </c>
      <c r="H920" s="9" t="s">
        <v>1589</v>
      </c>
      <c r="I920" s="9" t="s">
        <v>1589</v>
      </c>
      <c r="J920" s="9" t="s">
        <v>1605</v>
      </c>
      <c r="K920" s="9">
        <v>1</v>
      </c>
      <c r="L920" s="9">
        <v>17</v>
      </c>
      <c r="O920" s="9" t="str">
        <f t="shared" si="46"/>
        <v>NO</v>
      </c>
      <c r="P920" s="9" t="str">
        <f t="shared" si="47"/>
        <v>YES</v>
      </c>
      <c r="Q920" s="9" t="str">
        <f t="shared" si="48"/>
        <v>Unconditioned</v>
      </c>
    </row>
    <row r="921" spans="1:17">
      <c r="A921" s="9">
        <v>13672</v>
      </c>
      <c r="B921" s="9">
        <v>1</v>
      </c>
      <c r="C921" s="9" t="s">
        <v>1589</v>
      </c>
      <c r="D921" s="9" t="s">
        <v>1590</v>
      </c>
      <c r="E921" s="9" t="s">
        <v>1613</v>
      </c>
      <c r="F921" s="9" t="s">
        <v>1603</v>
      </c>
      <c r="G921" s="9" t="s">
        <v>1592</v>
      </c>
      <c r="H921" s="9" t="s">
        <v>177</v>
      </c>
      <c r="I921" s="9" t="s">
        <v>2453</v>
      </c>
      <c r="J921" s="9" t="s">
        <v>1601</v>
      </c>
      <c r="K921" s="9">
        <v>1</v>
      </c>
      <c r="L921" s="9">
        <v>18</v>
      </c>
      <c r="M921" s="9">
        <v>1989</v>
      </c>
      <c r="O921" s="9" t="str">
        <f t="shared" si="46"/>
        <v>NO</v>
      </c>
      <c r="P921" s="9" t="str">
        <f t="shared" si="47"/>
        <v>NO</v>
      </c>
      <c r="Q921" s="9" t="str">
        <f t="shared" si="48"/>
        <v>Conditioned</v>
      </c>
    </row>
    <row r="922" spans="1:17">
      <c r="A922" s="9">
        <v>13672</v>
      </c>
      <c r="B922" s="9">
        <v>2</v>
      </c>
      <c r="C922" s="9" t="s">
        <v>1589</v>
      </c>
      <c r="D922" s="9" t="s">
        <v>1590</v>
      </c>
      <c r="E922" s="9" t="s">
        <v>1591</v>
      </c>
      <c r="F922" s="9" t="s">
        <v>1589</v>
      </c>
      <c r="G922" s="9" t="s">
        <v>1606</v>
      </c>
      <c r="H922" s="9" t="s">
        <v>1638</v>
      </c>
      <c r="I922" s="9" t="s">
        <v>2454</v>
      </c>
      <c r="J922" s="9" t="s">
        <v>1597</v>
      </c>
      <c r="K922" s="9">
        <v>1</v>
      </c>
      <c r="L922" s="9">
        <v>18</v>
      </c>
      <c r="M922" s="9">
        <v>1993</v>
      </c>
      <c r="O922" s="9" t="str">
        <f t="shared" si="46"/>
        <v>NO</v>
      </c>
      <c r="P922" s="9" t="str">
        <f t="shared" si="47"/>
        <v>NO</v>
      </c>
      <c r="Q922" s="9" t="str">
        <f t="shared" si="48"/>
        <v>Unconditioned</v>
      </c>
    </row>
    <row r="923" spans="1:17">
      <c r="A923" s="9">
        <v>13672</v>
      </c>
      <c r="B923" s="9">
        <v>3</v>
      </c>
      <c r="C923" s="9" t="s">
        <v>1589</v>
      </c>
      <c r="D923" s="9" t="s">
        <v>1590</v>
      </c>
      <c r="E923" s="9" t="s">
        <v>1591</v>
      </c>
      <c r="F923" s="9" t="s">
        <v>1589</v>
      </c>
      <c r="G923" s="9" t="s">
        <v>1606</v>
      </c>
      <c r="H923" s="9" t="s">
        <v>170</v>
      </c>
      <c r="I923" s="9" t="s">
        <v>2455</v>
      </c>
      <c r="J923" s="9" t="s">
        <v>1605</v>
      </c>
      <c r="K923" s="9">
        <v>1</v>
      </c>
      <c r="L923" s="9">
        <v>20</v>
      </c>
      <c r="M923" s="9">
        <v>1995</v>
      </c>
      <c r="O923" s="9" t="str">
        <f t="shared" si="46"/>
        <v>NO</v>
      </c>
      <c r="P923" s="9" t="str">
        <f t="shared" si="47"/>
        <v>YES</v>
      </c>
      <c r="Q923" s="9" t="str">
        <f t="shared" si="48"/>
        <v>Unconditioned</v>
      </c>
    </row>
    <row r="924" spans="1:17">
      <c r="A924" s="9">
        <v>13678</v>
      </c>
      <c r="B924" s="9">
        <v>1</v>
      </c>
      <c r="C924" s="9" t="s">
        <v>1589</v>
      </c>
      <c r="D924" s="9" t="s">
        <v>1590</v>
      </c>
      <c r="E924" s="9" t="s">
        <v>1591</v>
      </c>
      <c r="F924" s="9" t="s">
        <v>1589</v>
      </c>
      <c r="G924" s="9" t="s">
        <v>1592</v>
      </c>
      <c r="H924" s="9" t="s">
        <v>170</v>
      </c>
      <c r="I924" s="9" t="s">
        <v>2456</v>
      </c>
      <c r="J924" s="9" t="s">
        <v>1612</v>
      </c>
      <c r="K924" s="9">
        <v>1</v>
      </c>
      <c r="L924" s="9">
        <v>25</v>
      </c>
      <c r="M924" s="9">
        <v>2010</v>
      </c>
      <c r="O924" s="9" t="str">
        <f t="shared" si="46"/>
        <v>NO</v>
      </c>
      <c r="P924" s="9" t="str">
        <f t="shared" si="47"/>
        <v>NO</v>
      </c>
      <c r="Q924" s="9" t="str">
        <f t="shared" si="48"/>
        <v>Conditioned</v>
      </c>
    </row>
    <row r="925" spans="1:17">
      <c r="A925" s="9">
        <v>13691</v>
      </c>
      <c r="B925" s="9">
        <v>1</v>
      </c>
      <c r="C925" s="9" t="s">
        <v>1589</v>
      </c>
      <c r="D925" s="9" t="s">
        <v>1590</v>
      </c>
      <c r="E925" s="9" t="s">
        <v>1613</v>
      </c>
      <c r="F925" s="9" t="s">
        <v>1590</v>
      </c>
      <c r="G925" s="9" t="s">
        <v>1592</v>
      </c>
      <c r="H925" s="9" t="s">
        <v>176</v>
      </c>
      <c r="I925" s="9" t="s">
        <v>2457</v>
      </c>
      <c r="J925" s="9" t="s">
        <v>1608</v>
      </c>
      <c r="K925" s="9">
        <v>1</v>
      </c>
      <c r="L925" s="9">
        <v>25</v>
      </c>
      <c r="M925" s="9">
        <v>2009</v>
      </c>
      <c r="O925" s="9" t="str">
        <f t="shared" si="46"/>
        <v>NO</v>
      </c>
      <c r="P925" s="9" t="str">
        <f t="shared" si="47"/>
        <v>NO</v>
      </c>
      <c r="Q925" s="9" t="str">
        <f t="shared" si="48"/>
        <v>Conditioned</v>
      </c>
    </row>
    <row r="926" spans="1:17">
      <c r="A926" s="9">
        <v>13713</v>
      </c>
      <c r="B926" s="9">
        <v>1</v>
      </c>
      <c r="C926" s="9" t="s">
        <v>1589</v>
      </c>
      <c r="D926" s="9" t="s">
        <v>1590</v>
      </c>
      <c r="E926" s="9" t="s">
        <v>1613</v>
      </c>
      <c r="F926" s="9" t="s">
        <v>1603</v>
      </c>
      <c r="G926" s="9" t="s">
        <v>1592</v>
      </c>
      <c r="H926" s="9" t="s">
        <v>177</v>
      </c>
      <c r="I926" s="9" t="s">
        <v>2458</v>
      </c>
      <c r="J926" s="9" t="s">
        <v>1597</v>
      </c>
      <c r="K926" s="9">
        <v>1</v>
      </c>
      <c r="L926" s="9">
        <v>22</v>
      </c>
      <c r="M926" s="9">
        <v>2004</v>
      </c>
      <c r="O926" s="9" t="str">
        <f t="shared" si="46"/>
        <v>NO</v>
      </c>
      <c r="P926" s="9" t="str">
        <f t="shared" si="47"/>
        <v>NO</v>
      </c>
      <c r="Q926" s="9" t="str">
        <f t="shared" si="48"/>
        <v>Conditioned</v>
      </c>
    </row>
    <row r="927" spans="1:17">
      <c r="A927" s="9">
        <v>13746</v>
      </c>
      <c r="B927" s="9">
        <v>1</v>
      </c>
      <c r="C927" s="9" t="s">
        <v>1589</v>
      </c>
      <c r="D927" s="9" t="s">
        <v>1590</v>
      </c>
      <c r="E927" s="9" t="s">
        <v>1591</v>
      </c>
      <c r="F927" s="9" t="s">
        <v>1589</v>
      </c>
      <c r="G927" s="9" t="s">
        <v>1592</v>
      </c>
      <c r="H927" s="9" t="s">
        <v>172</v>
      </c>
      <c r="I927" s="9" t="s">
        <v>2459</v>
      </c>
      <c r="J927" s="9" t="s">
        <v>1597</v>
      </c>
      <c r="K927" s="9">
        <v>1</v>
      </c>
      <c r="L927" s="9">
        <v>20</v>
      </c>
      <c r="M927" s="9">
        <v>1987</v>
      </c>
      <c r="O927" s="9" t="str">
        <f t="shared" si="46"/>
        <v>NO</v>
      </c>
      <c r="P927" s="9" t="str">
        <f t="shared" si="47"/>
        <v>NO</v>
      </c>
      <c r="Q927" s="9" t="str">
        <f t="shared" si="48"/>
        <v>Conditioned</v>
      </c>
    </row>
    <row r="928" spans="1:17">
      <c r="A928" s="9">
        <v>13752</v>
      </c>
      <c r="B928" s="9">
        <v>1</v>
      </c>
      <c r="C928" s="9" t="s">
        <v>1589</v>
      </c>
      <c r="D928" s="9" t="s">
        <v>1603</v>
      </c>
      <c r="E928" s="9" t="s">
        <v>1591</v>
      </c>
      <c r="F928" s="9" t="s">
        <v>1589</v>
      </c>
      <c r="G928" s="9" t="s">
        <v>1592</v>
      </c>
      <c r="H928" s="9" t="s">
        <v>1599</v>
      </c>
      <c r="I928" s="9" t="s">
        <v>2460</v>
      </c>
      <c r="J928" s="9" t="s">
        <v>1597</v>
      </c>
      <c r="K928" s="9">
        <v>1</v>
      </c>
      <c r="L928" s="9">
        <v>22</v>
      </c>
      <c r="M928" s="9">
        <v>2000</v>
      </c>
      <c r="O928" s="9" t="str">
        <f t="shared" si="46"/>
        <v>NO</v>
      </c>
      <c r="P928" s="9" t="str">
        <f t="shared" si="47"/>
        <v>NO</v>
      </c>
      <c r="Q928" s="9" t="str">
        <f t="shared" si="48"/>
        <v>Conditioned</v>
      </c>
    </row>
    <row r="929" spans="1:17">
      <c r="A929" s="9">
        <v>13752</v>
      </c>
      <c r="B929" s="9">
        <v>2</v>
      </c>
      <c r="C929" s="9" t="s">
        <v>1589</v>
      </c>
      <c r="D929" s="9" t="s">
        <v>1590</v>
      </c>
      <c r="E929" s="9" t="s">
        <v>1591</v>
      </c>
      <c r="F929" s="9" t="s">
        <v>1589</v>
      </c>
      <c r="G929" s="9" t="s">
        <v>1592</v>
      </c>
      <c r="H929" s="9" t="s">
        <v>2121</v>
      </c>
      <c r="I929" s="9" t="s">
        <v>1589</v>
      </c>
      <c r="J929" s="9" t="s">
        <v>1605</v>
      </c>
      <c r="K929" s="9">
        <v>1</v>
      </c>
      <c r="L929" s="9">
        <v>30</v>
      </c>
      <c r="M929" s="9">
        <v>2005</v>
      </c>
      <c r="O929" s="9" t="str">
        <f t="shared" si="46"/>
        <v>NO</v>
      </c>
      <c r="P929" s="9" t="str">
        <f t="shared" si="47"/>
        <v>YES</v>
      </c>
      <c r="Q929" s="9" t="str">
        <f t="shared" si="48"/>
        <v>Conditioned</v>
      </c>
    </row>
    <row r="930" spans="1:17">
      <c r="A930" s="9">
        <v>13752</v>
      </c>
      <c r="B930" s="9">
        <v>3</v>
      </c>
      <c r="C930" s="9" t="s">
        <v>1589</v>
      </c>
      <c r="D930" s="9" t="s">
        <v>1590</v>
      </c>
      <c r="E930" s="9" t="s">
        <v>1591</v>
      </c>
      <c r="F930" s="9" t="s">
        <v>1589</v>
      </c>
      <c r="G930" s="9" t="s">
        <v>1592</v>
      </c>
      <c r="H930" s="9" t="s">
        <v>169</v>
      </c>
      <c r="I930" s="9" t="s">
        <v>1589</v>
      </c>
      <c r="J930" s="9" t="s">
        <v>1597</v>
      </c>
      <c r="K930" s="9">
        <v>1</v>
      </c>
      <c r="L930" s="9">
        <v>10</v>
      </c>
      <c r="M930" s="9">
        <v>2010</v>
      </c>
      <c r="O930" s="9" t="str">
        <f t="shared" si="46"/>
        <v>NO</v>
      </c>
      <c r="P930" s="9" t="str">
        <f t="shared" si="47"/>
        <v>NO</v>
      </c>
      <c r="Q930" s="9" t="str">
        <f t="shared" si="48"/>
        <v>Conditioned</v>
      </c>
    </row>
    <row r="931" spans="1:17">
      <c r="A931" s="9">
        <v>13752</v>
      </c>
      <c r="B931" s="9">
        <v>4</v>
      </c>
      <c r="C931" s="9" t="s">
        <v>1589</v>
      </c>
      <c r="D931" s="9" t="s">
        <v>1590</v>
      </c>
      <c r="E931" s="9" t="s">
        <v>1591</v>
      </c>
      <c r="F931" s="9" t="s">
        <v>1589</v>
      </c>
      <c r="G931" s="9" t="s">
        <v>1606</v>
      </c>
      <c r="H931" s="9" t="s">
        <v>173</v>
      </c>
      <c r="I931" s="9" t="s">
        <v>1589</v>
      </c>
      <c r="J931" s="9" t="s">
        <v>1597</v>
      </c>
      <c r="K931" s="9">
        <v>1</v>
      </c>
      <c r="L931" s="9">
        <v>22</v>
      </c>
      <c r="M931" s="9">
        <v>2005</v>
      </c>
      <c r="O931" s="9" t="str">
        <f t="shared" si="46"/>
        <v>NO</v>
      </c>
      <c r="P931" s="9" t="str">
        <f t="shared" si="47"/>
        <v>NO</v>
      </c>
      <c r="Q931" s="9" t="str">
        <f t="shared" si="48"/>
        <v>Unconditioned</v>
      </c>
    </row>
    <row r="932" spans="1:17">
      <c r="A932" s="9">
        <v>13756</v>
      </c>
      <c r="B932" s="9">
        <v>1</v>
      </c>
      <c r="C932" s="9" t="s">
        <v>1589</v>
      </c>
      <c r="D932" s="9" t="s">
        <v>1590</v>
      </c>
      <c r="E932" s="9" t="s">
        <v>1602</v>
      </c>
      <c r="F932" s="9" t="s">
        <v>1603</v>
      </c>
      <c r="G932" s="9" t="s">
        <v>1592</v>
      </c>
      <c r="H932" s="9" t="s">
        <v>2246</v>
      </c>
      <c r="I932" s="9" t="s">
        <v>2461</v>
      </c>
      <c r="J932" s="9" t="s">
        <v>1601</v>
      </c>
      <c r="K932" s="9">
        <v>1</v>
      </c>
      <c r="L932" s="9">
        <v>22</v>
      </c>
      <c r="M932" s="9">
        <v>2005</v>
      </c>
      <c r="O932" s="9" t="str">
        <f t="shared" si="46"/>
        <v>NO</v>
      </c>
      <c r="P932" s="9" t="str">
        <f t="shared" si="47"/>
        <v>NO</v>
      </c>
      <c r="Q932" s="9" t="str">
        <f t="shared" si="48"/>
        <v>Conditioned</v>
      </c>
    </row>
    <row r="933" spans="1:17">
      <c r="A933" s="9">
        <v>13756</v>
      </c>
      <c r="B933" s="9">
        <v>2</v>
      </c>
      <c r="C933" s="9" t="s">
        <v>1589</v>
      </c>
      <c r="D933" s="9" t="s">
        <v>1590</v>
      </c>
      <c r="E933" s="9" t="s">
        <v>1591</v>
      </c>
      <c r="F933" s="9" t="s">
        <v>1589</v>
      </c>
      <c r="G933" s="9" t="s">
        <v>1592</v>
      </c>
      <c r="H933" s="9" t="s">
        <v>170</v>
      </c>
      <c r="I933" s="9" t="s">
        <v>2462</v>
      </c>
      <c r="J933" s="9" t="s">
        <v>1605</v>
      </c>
      <c r="K933" s="9">
        <v>1</v>
      </c>
      <c r="L933" s="9">
        <v>16</v>
      </c>
      <c r="M933" s="9">
        <v>1999</v>
      </c>
      <c r="O933" s="9" t="str">
        <f t="shared" si="46"/>
        <v>NO</v>
      </c>
      <c r="P933" s="9" t="str">
        <f t="shared" si="47"/>
        <v>YES</v>
      </c>
      <c r="Q933" s="9" t="str">
        <f t="shared" si="48"/>
        <v>Conditioned</v>
      </c>
    </row>
    <row r="934" spans="1:17">
      <c r="A934" s="9">
        <v>13785</v>
      </c>
      <c r="B934" s="9">
        <v>1</v>
      </c>
      <c r="C934" s="9" t="s">
        <v>2463</v>
      </c>
      <c r="D934" s="9" t="s">
        <v>1590</v>
      </c>
      <c r="E934" s="9" t="s">
        <v>1591</v>
      </c>
      <c r="F934" s="9" t="s">
        <v>1589</v>
      </c>
      <c r="G934" s="9" t="s">
        <v>1592</v>
      </c>
      <c r="H934" s="9" t="s">
        <v>174</v>
      </c>
      <c r="I934" s="9" t="s">
        <v>1589</v>
      </c>
      <c r="J934" s="9" t="s">
        <v>1601</v>
      </c>
      <c r="K934" s="9">
        <v>1</v>
      </c>
      <c r="L934" s="9">
        <v>22</v>
      </c>
      <c r="M934" s="9">
        <v>1970</v>
      </c>
      <c r="O934" s="9" t="str">
        <f t="shared" si="46"/>
        <v>NO</v>
      </c>
      <c r="P934" s="9" t="str">
        <f t="shared" si="47"/>
        <v>NO</v>
      </c>
      <c r="Q934" s="9" t="str">
        <f t="shared" si="48"/>
        <v>Conditioned</v>
      </c>
    </row>
    <row r="935" spans="1:17">
      <c r="A935" s="9">
        <v>13785</v>
      </c>
      <c r="B935" s="9">
        <v>2</v>
      </c>
      <c r="C935" s="9" t="s">
        <v>1589</v>
      </c>
      <c r="D935" s="9" t="s">
        <v>1590</v>
      </c>
      <c r="E935" s="9" t="s">
        <v>1591</v>
      </c>
      <c r="F935" s="9" t="s">
        <v>1589</v>
      </c>
      <c r="G935" s="9" t="s">
        <v>1592</v>
      </c>
      <c r="H935" s="9" t="s">
        <v>1638</v>
      </c>
      <c r="I935" s="9" t="s">
        <v>2464</v>
      </c>
      <c r="J935" s="9" t="s">
        <v>1597</v>
      </c>
      <c r="K935" s="9">
        <v>1</v>
      </c>
      <c r="L935" s="9">
        <v>14</v>
      </c>
      <c r="M935" s="9">
        <v>1987</v>
      </c>
      <c r="O935" s="9" t="str">
        <f t="shared" si="46"/>
        <v>NO</v>
      </c>
      <c r="P935" s="9" t="str">
        <f t="shared" si="47"/>
        <v>NO</v>
      </c>
      <c r="Q935" s="9" t="str">
        <f t="shared" si="48"/>
        <v>Conditioned</v>
      </c>
    </row>
    <row r="936" spans="1:17">
      <c r="A936" s="9">
        <v>13803</v>
      </c>
      <c r="B936" s="9">
        <v>1</v>
      </c>
      <c r="C936" s="9" t="s">
        <v>1589</v>
      </c>
      <c r="D936" s="9" t="s">
        <v>1590</v>
      </c>
      <c r="E936" s="9" t="s">
        <v>1602</v>
      </c>
      <c r="F936" s="9" t="s">
        <v>1603</v>
      </c>
      <c r="G936" s="9" t="s">
        <v>1592</v>
      </c>
      <c r="H936" s="9" t="s">
        <v>1638</v>
      </c>
      <c r="I936" s="9" t="s">
        <v>2465</v>
      </c>
      <c r="J936" s="9" t="s">
        <v>1601</v>
      </c>
      <c r="K936" s="9">
        <v>1</v>
      </c>
      <c r="L936" s="9">
        <v>24</v>
      </c>
      <c r="M936" s="9">
        <v>2009</v>
      </c>
      <c r="O936" s="9" t="str">
        <f t="shared" si="46"/>
        <v>NO</v>
      </c>
      <c r="P936" s="9" t="str">
        <f t="shared" si="47"/>
        <v>NO</v>
      </c>
      <c r="Q936" s="9" t="str">
        <f t="shared" si="48"/>
        <v>Conditioned</v>
      </c>
    </row>
    <row r="937" spans="1:17">
      <c r="A937" s="9">
        <v>13803</v>
      </c>
      <c r="B937" s="9">
        <v>2</v>
      </c>
      <c r="C937" s="9" t="s">
        <v>1589</v>
      </c>
      <c r="D937" s="9" t="s">
        <v>1590</v>
      </c>
      <c r="E937" s="9" t="s">
        <v>1591</v>
      </c>
      <c r="F937" s="9" t="s">
        <v>1589</v>
      </c>
      <c r="G937" s="9" t="s">
        <v>1592</v>
      </c>
      <c r="H937" s="9" t="s">
        <v>1624</v>
      </c>
      <c r="I937" s="9" t="s">
        <v>2466</v>
      </c>
      <c r="J937" s="9" t="s">
        <v>1597</v>
      </c>
      <c r="K937" s="9">
        <v>1</v>
      </c>
      <c r="L937" s="9">
        <v>15</v>
      </c>
      <c r="M937" s="9">
        <v>1989</v>
      </c>
      <c r="O937" s="9" t="str">
        <f t="shared" si="46"/>
        <v>NO</v>
      </c>
      <c r="P937" s="9" t="str">
        <f t="shared" si="47"/>
        <v>NO</v>
      </c>
      <c r="Q937" s="9" t="str">
        <f t="shared" si="48"/>
        <v>Conditioned</v>
      </c>
    </row>
    <row r="938" spans="1:17">
      <c r="A938" s="9">
        <v>13803</v>
      </c>
      <c r="B938" s="9">
        <v>3</v>
      </c>
      <c r="C938" s="9" t="s">
        <v>1589</v>
      </c>
      <c r="D938" s="9" t="s">
        <v>1590</v>
      </c>
      <c r="E938" s="9" t="s">
        <v>1591</v>
      </c>
      <c r="F938" s="9" t="s">
        <v>1589</v>
      </c>
      <c r="G938" s="9" t="s">
        <v>1606</v>
      </c>
      <c r="H938" s="9" t="s">
        <v>1624</v>
      </c>
      <c r="I938" s="9" t="s">
        <v>1589</v>
      </c>
      <c r="J938" s="9" t="s">
        <v>1587</v>
      </c>
      <c r="K938" s="9">
        <v>1</v>
      </c>
      <c r="L938" s="9">
        <v>6</v>
      </c>
      <c r="O938" s="9" t="str">
        <f t="shared" si="46"/>
        <v>YES</v>
      </c>
      <c r="P938" s="9" t="str">
        <f t="shared" si="47"/>
        <v>YES</v>
      </c>
      <c r="Q938" s="9" t="str">
        <f t="shared" si="48"/>
        <v>Unconditioned</v>
      </c>
    </row>
    <row r="939" spans="1:17">
      <c r="A939" s="9">
        <v>13817</v>
      </c>
      <c r="B939" s="9">
        <v>1</v>
      </c>
      <c r="C939" s="9" t="s">
        <v>1589</v>
      </c>
      <c r="D939" s="9" t="s">
        <v>1590</v>
      </c>
      <c r="E939" s="9" t="s">
        <v>1591</v>
      </c>
      <c r="F939" s="9" t="s">
        <v>1589</v>
      </c>
      <c r="G939" s="9" t="s">
        <v>1592</v>
      </c>
      <c r="H939" s="9" t="s">
        <v>177</v>
      </c>
      <c r="I939" s="9" t="s">
        <v>2467</v>
      </c>
      <c r="J939" s="9" t="s">
        <v>1608</v>
      </c>
      <c r="K939" s="9">
        <v>1</v>
      </c>
      <c r="L939" s="9">
        <v>24</v>
      </c>
      <c r="M939" s="9">
        <v>1995</v>
      </c>
      <c r="O939" s="9" t="str">
        <f t="shared" si="46"/>
        <v>NO</v>
      </c>
      <c r="P939" s="9" t="str">
        <f t="shared" si="47"/>
        <v>NO</v>
      </c>
      <c r="Q939" s="9" t="str">
        <f t="shared" si="48"/>
        <v>Conditioned</v>
      </c>
    </row>
    <row r="940" spans="1:17">
      <c r="A940" s="9">
        <v>13817</v>
      </c>
      <c r="B940" s="9">
        <v>2</v>
      </c>
      <c r="C940" s="9" t="s">
        <v>1589</v>
      </c>
      <c r="D940" s="9" t="s">
        <v>1590</v>
      </c>
      <c r="E940" s="9" t="s">
        <v>1591</v>
      </c>
      <c r="F940" s="9" t="s">
        <v>1589</v>
      </c>
      <c r="G940" s="9" t="s">
        <v>1606</v>
      </c>
      <c r="H940" s="9" t="s">
        <v>170</v>
      </c>
      <c r="I940" s="9" t="s">
        <v>2468</v>
      </c>
      <c r="J940" s="9" t="s">
        <v>1605</v>
      </c>
      <c r="K940" s="9">
        <v>1</v>
      </c>
      <c r="L940" s="9">
        <v>22</v>
      </c>
      <c r="M940" s="9">
        <v>2002</v>
      </c>
      <c r="O940" s="9" t="str">
        <f t="shared" si="46"/>
        <v>NO</v>
      </c>
      <c r="P940" s="9" t="str">
        <f t="shared" si="47"/>
        <v>YES</v>
      </c>
      <c r="Q940" s="9" t="str">
        <f t="shared" si="48"/>
        <v>Unconditioned</v>
      </c>
    </row>
    <row r="941" spans="1:17">
      <c r="A941" s="9">
        <v>13829</v>
      </c>
      <c r="B941" s="9">
        <v>1</v>
      </c>
      <c r="C941" s="9" t="s">
        <v>1589</v>
      </c>
      <c r="D941" s="9" t="s">
        <v>1590</v>
      </c>
      <c r="E941" s="9" t="s">
        <v>1602</v>
      </c>
      <c r="F941" s="9" t="s">
        <v>1603</v>
      </c>
      <c r="G941" s="9" t="s">
        <v>1592</v>
      </c>
      <c r="H941" s="9" t="s">
        <v>1638</v>
      </c>
      <c r="I941" s="9" t="s">
        <v>2469</v>
      </c>
      <c r="J941" s="9" t="s">
        <v>1601</v>
      </c>
      <c r="K941" s="9">
        <v>1</v>
      </c>
      <c r="L941" s="9">
        <v>21</v>
      </c>
      <c r="M941" s="9">
        <v>2010</v>
      </c>
      <c r="O941" s="9" t="str">
        <f t="shared" si="46"/>
        <v>NO</v>
      </c>
      <c r="P941" s="9" t="str">
        <f t="shared" si="47"/>
        <v>NO</v>
      </c>
      <c r="Q941" s="9" t="str">
        <f t="shared" si="48"/>
        <v>Conditioned</v>
      </c>
    </row>
    <row r="942" spans="1:17">
      <c r="A942" s="9">
        <v>13829</v>
      </c>
      <c r="B942" s="9">
        <v>2</v>
      </c>
      <c r="C942" s="9" t="s">
        <v>1589</v>
      </c>
      <c r="D942" s="9" t="s">
        <v>1590</v>
      </c>
      <c r="E942" s="9" t="s">
        <v>1589</v>
      </c>
      <c r="F942" s="9" t="s">
        <v>1589</v>
      </c>
      <c r="G942" s="9" t="s">
        <v>1592</v>
      </c>
      <c r="H942" s="9" t="s">
        <v>1711</v>
      </c>
      <c r="I942" s="9" t="s">
        <v>1589</v>
      </c>
      <c r="J942" s="9" t="s">
        <v>1612</v>
      </c>
      <c r="K942" s="9">
        <v>1</v>
      </c>
      <c r="L942" s="9">
        <v>10</v>
      </c>
      <c r="M942" s="9">
        <v>2009</v>
      </c>
      <c r="O942" s="9" t="str">
        <f t="shared" si="46"/>
        <v>NO</v>
      </c>
      <c r="P942" s="9" t="str">
        <f t="shared" si="47"/>
        <v>NO</v>
      </c>
      <c r="Q942" s="9" t="str">
        <f t="shared" si="48"/>
        <v>Conditioned</v>
      </c>
    </row>
    <row r="943" spans="1:17">
      <c r="A943" s="9">
        <v>13829</v>
      </c>
      <c r="B943" s="9">
        <v>3</v>
      </c>
      <c r="C943" s="9" t="s">
        <v>1589</v>
      </c>
      <c r="D943" s="9" t="s">
        <v>1590</v>
      </c>
      <c r="E943" s="9" t="s">
        <v>1591</v>
      </c>
      <c r="F943" s="9" t="s">
        <v>1589</v>
      </c>
      <c r="G943" s="9" t="s">
        <v>1592</v>
      </c>
      <c r="H943" s="9" t="s">
        <v>1766</v>
      </c>
      <c r="I943" s="9" t="s">
        <v>1589</v>
      </c>
      <c r="J943" s="9" t="s">
        <v>1597</v>
      </c>
      <c r="K943" s="9">
        <v>1</v>
      </c>
      <c r="L943" s="9">
        <v>18</v>
      </c>
      <c r="M943" s="9">
        <v>1989</v>
      </c>
      <c r="O943" s="9" t="str">
        <f t="shared" si="46"/>
        <v>NO</v>
      </c>
      <c r="P943" s="9" t="str">
        <f t="shared" si="47"/>
        <v>NO</v>
      </c>
      <c r="Q943" s="9" t="str">
        <f t="shared" si="48"/>
        <v>Conditioned</v>
      </c>
    </row>
    <row r="944" spans="1:17">
      <c r="A944" s="9">
        <v>13829</v>
      </c>
      <c r="B944" s="9">
        <v>4</v>
      </c>
      <c r="C944" s="9" t="s">
        <v>1589</v>
      </c>
      <c r="D944" s="9" t="s">
        <v>1590</v>
      </c>
      <c r="E944" s="9" t="s">
        <v>1591</v>
      </c>
      <c r="F944" s="9" t="s">
        <v>1589</v>
      </c>
      <c r="G944" s="9" t="s">
        <v>1592</v>
      </c>
      <c r="H944" s="9" t="s">
        <v>170</v>
      </c>
      <c r="I944" s="9" t="s">
        <v>1589</v>
      </c>
      <c r="J944" s="9" t="s">
        <v>1605</v>
      </c>
      <c r="K944" s="9">
        <v>1</v>
      </c>
      <c r="L944" s="9">
        <v>20</v>
      </c>
      <c r="M944" s="9">
        <v>2004</v>
      </c>
      <c r="O944" s="9" t="str">
        <f t="shared" si="46"/>
        <v>NO</v>
      </c>
      <c r="P944" s="9" t="str">
        <f t="shared" si="47"/>
        <v>YES</v>
      </c>
      <c r="Q944" s="9" t="str">
        <f t="shared" si="48"/>
        <v>Conditioned</v>
      </c>
    </row>
    <row r="945" spans="1:17">
      <c r="A945" s="9">
        <v>13863</v>
      </c>
      <c r="B945" s="9">
        <v>1</v>
      </c>
      <c r="C945" s="9" t="s">
        <v>1589</v>
      </c>
      <c r="D945" s="9" t="s">
        <v>1590</v>
      </c>
      <c r="E945" s="9" t="s">
        <v>1591</v>
      </c>
      <c r="F945" s="9" t="s">
        <v>1589</v>
      </c>
      <c r="G945" s="9" t="s">
        <v>1592</v>
      </c>
      <c r="H945" s="9" t="s">
        <v>178</v>
      </c>
      <c r="I945" s="9" t="s">
        <v>2470</v>
      </c>
      <c r="J945" s="9" t="s">
        <v>1597</v>
      </c>
      <c r="K945" s="9">
        <v>1</v>
      </c>
      <c r="L945" s="9">
        <v>21</v>
      </c>
      <c r="M945" s="9">
        <v>1995</v>
      </c>
      <c r="O945" s="9" t="str">
        <f t="shared" si="46"/>
        <v>NO</v>
      </c>
      <c r="P945" s="9" t="str">
        <f t="shared" si="47"/>
        <v>NO</v>
      </c>
      <c r="Q945" s="9" t="str">
        <f t="shared" si="48"/>
        <v>Conditioned</v>
      </c>
    </row>
    <row r="946" spans="1:17">
      <c r="A946" s="9">
        <v>13867</v>
      </c>
      <c r="B946" s="9">
        <v>1</v>
      </c>
      <c r="C946" s="9" t="s">
        <v>1589</v>
      </c>
      <c r="D946" s="9" t="s">
        <v>1590</v>
      </c>
      <c r="E946" s="9" t="s">
        <v>1591</v>
      </c>
      <c r="F946" s="9" t="s">
        <v>1589</v>
      </c>
      <c r="G946" s="9" t="s">
        <v>1592</v>
      </c>
      <c r="H946" s="9" t="s">
        <v>170</v>
      </c>
      <c r="I946" s="9" t="s">
        <v>2471</v>
      </c>
      <c r="J946" s="9" t="s">
        <v>1608</v>
      </c>
      <c r="K946" s="9">
        <v>1</v>
      </c>
      <c r="L946" s="9">
        <v>21</v>
      </c>
      <c r="M946" s="9">
        <v>2011</v>
      </c>
      <c r="O946" s="9" t="str">
        <f t="shared" si="46"/>
        <v>NO</v>
      </c>
      <c r="P946" s="9" t="str">
        <f t="shared" si="47"/>
        <v>NO</v>
      </c>
      <c r="Q946" s="9" t="str">
        <f t="shared" si="48"/>
        <v>Conditioned</v>
      </c>
    </row>
    <row r="947" spans="1:17">
      <c r="A947" s="9">
        <v>13871</v>
      </c>
      <c r="B947" s="9">
        <v>1</v>
      </c>
      <c r="C947" s="9" t="s">
        <v>1589</v>
      </c>
      <c r="D947" s="9" t="s">
        <v>1590</v>
      </c>
      <c r="E947" s="9" t="s">
        <v>1602</v>
      </c>
      <c r="F947" s="9" t="s">
        <v>1603</v>
      </c>
      <c r="G947" s="9" t="s">
        <v>1592</v>
      </c>
      <c r="H947" s="9" t="s">
        <v>1017</v>
      </c>
      <c r="I947" s="9" t="s">
        <v>2472</v>
      </c>
      <c r="J947" s="9" t="s">
        <v>1610</v>
      </c>
      <c r="K947" s="9">
        <v>1</v>
      </c>
      <c r="L947" s="9">
        <v>21</v>
      </c>
      <c r="M947" s="9">
        <v>1999</v>
      </c>
      <c r="O947" s="9" t="str">
        <f t="shared" si="46"/>
        <v>NO</v>
      </c>
      <c r="P947" s="9" t="str">
        <f t="shared" si="47"/>
        <v>NO</v>
      </c>
      <c r="Q947" s="9" t="str">
        <f t="shared" si="48"/>
        <v>Conditioned</v>
      </c>
    </row>
    <row r="948" spans="1:17">
      <c r="A948" s="9">
        <v>13871</v>
      </c>
      <c r="B948" s="9">
        <v>2</v>
      </c>
      <c r="C948" s="9" t="s">
        <v>1589</v>
      </c>
      <c r="D948" s="9" t="s">
        <v>1590</v>
      </c>
      <c r="E948" s="9" t="s">
        <v>1591</v>
      </c>
      <c r="F948" s="9" t="s">
        <v>1589</v>
      </c>
      <c r="G948" s="9" t="s">
        <v>1606</v>
      </c>
      <c r="H948" s="9" t="s">
        <v>173</v>
      </c>
      <c r="I948" s="9" t="s">
        <v>2473</v>
      </c>
      <c r="J948" s="9" t="s">
        <v>1608</v>
      </c>
      <c r="K948" s="9">
        <v>1</v>
      </c>
      <c r="L948" s="9">
        <v>19</v>
      </c>
      <c r="M948" s="9">
        <v>1981</v>
      </c>
      <c r="O948" s="9" t="str">
        <f t="shared" si="46"/>
        <v>NO</v>
      </c>
      <c r="P948" s="9" t="str">
        <f t="shared" si="47"/>
        <v>NO</v>
      </c>
      <c r="Q948" s="9" t="str">
        <f t="shared" si="48"/>
        <v>Unconditioned</v>
      </c>
    </row>
    <row r="949" spans="1:17">
      <c r="A949" s="9">
        <v>13880</v>
      </c>
      <c r="B949" s="9">
        <v>1</v>
      </c>
      <c r="C949" s="9" t="s">
        <v>1589</v>
      </c>
      <c r="D949" s="9" t="s">
        <v>1590</v>
      </c>
      <c r="E949" s="9" t="s">
        <v>1602</v>
      </c>
      <c r="F949" s="9" t="s">
        <v>1603</v>
      </c>
      <c r="G949" s="9" t="s">
        <v>1592</v>
      </c>
      <c r="H949" s="9" t="s">
        <v>1599</v>
      </c>
      <c r="I949" s="9" t="s">
        <v>2474</v>
      </c>
      <c r="J949" s="9" t="s">
        <v>1601</v>
      </c>
      <c r="K949" s="9">
        <v>1</v>
      </c>
      <c r="L949" s="9">
        <v>25</v>
      </c>
      <c r="M949" s="9">
        <v>2008</v>
      </c>
      <c r="O949" s="9" t="str">
        <f t="shared" si="46"/>
        <v>NO</v>
      </c>
      <c r="P949" s="9" t="str">
        <f t="shared" si="47"/>
        <v>NO</v>
      </c>
      <c r="Q949" s="9" t="str">
        <f t="shared" si="48"/>
        <v>Conditioned</v>
      </c>
    </row>
    <row r="950" spans="1:17">
      <c r="A950" s="9">
        <v>13880</v>
      </c>
      <c r="B950" s="9">
        <v>2</v>
      </c>
      <c r="C950" s="9" t="s">
        <v>1589</v>
      </c>
      <c r="D950" s="9" t="s">
        <v>1590</v>
      </c>
      <c r="E950" s="9" t="s">
        <v>1591</v>
      </c>
      <c r="F950" s="9" t="s">
        <v>1589</v>
      </c>
      <c r="G950" s="9" t="s">
        <v>1592</v>
      </c>
      <c r="H950" s="9" t="s">
        <v>170</v>
      </c>
      <c r="I950" s="9" t="s">
        <v>2475</v>
      </c>
      <c r="J950" s="9" t="s">
        <v>1612</v>
      </c>
      <c r="K950" s="9">
        <v>1</v>
      </c>
      <c r="L950" s="9">
        <v>5</v>
      </c>
      <c r="M950" s="9">
        <v>2003</v>
      </c>
      <c r="O950" s="9" t="str">
        <f t="shared" si="46"/>
        <v>YES</v>
      </c>
      <c r="P950" s="9" t="str">
        <f t="shared" si="47"/>
        <v>NO</v>
      </c>
      <c r="Q950" s="9" t="str">
        <f t="shared" si="48"/>
        <v>Conditioned</v>
      </c>
    </row>
    <row r="951" spans="1:17">
      <c r="A951" s="9">
        <v>13880</v>
      </c>
      <c r="B951" s="9">
        <v>3</v>
      </c>
      <c r="C951" s="9" t="s">
        <v>1589</v>
      </c>
      <c r="D951" s="9" t="s">
        <v>1590</v>
      </c>
      <c r="E951" s="9" t="s">
        <v>1591</v>
      </c>
      <c r="F951" s="9" t="s">
        <v>1589</v>
      </c>
      <c r="G951" s="9" t="s">
        <v>1589</v>
      </c>
      <c r="H951" s="9" t="s">
        <v>1766</v>
      </c>
      <c r="I951" s="9" t="s">
        <v>2476</v>
      </c>
      <c r="J951" s="9" t="s">
        <v>1605</v>
      </c>
      <c r="K951" s="9">
        <v>1</v>
      </c>
      <c r="L951" s="9">
        <v>25</v>
      </c>
      <c r="M951" s="9">
        <v>1992</v>
      </c>
      <c r="O951" s="9" t="str">
        <f t="shared" si="46"/>
        <v>NO</v>
      </c>
      <c r="P951" s="9" t="str">
        <f t="shared" si="47"/>
        <v>YES</v>
      </c>
      <c r="Q951" s="9" t="str">
        <f t="shared" si="48"/>
        <v/>
      </c>
    </row>
    <row r="952" spans="1:17">
      <c r="A952" s="9">
        <v>13895</v>
      </c>
      <c r="B952" s="9">
        <v>1</v>
      </c>
      <c r="C952" s="9" t="s">
        <v>1589</v>
      </c>
      <c r="D952" s="9" t="s">
        <v>1590</v>
      </c>
      <c r="E952" s="9" t="s">
        <v>1591</v>
      </c>
      <c r="F952" s="9" t="s">
        <v>1589</v>
      </c>
      <c r="G952" s="9" t="s">
        <v>1592</v>
      </c>
      <c r="H952" s="9" t="s">
        <v>172</v>
      </c>
      <c r="I952" s="9" t="s">
        <v>2477</v>
      </c>
      <c r="J952" s="9" t="s">
        <v>1597</v>
      </c>
      <c r="K952" s="9">
        <v>1</v>
      </c>
      <c r="L952" s="9">
        <v>19</v>
      </c>
      <c r="M952" s="9">
        <v>1998</v>
      </c>
      <c r="O952" s="9" t="str">
        <f t="shared" si="46"/>
        <v>NO</v>
      </c>
      <c r="P952" s="9" t="str">
        <f t="shared" si="47"/>
        <v>NO</v>
      </c>
      <c r="Q952" s="9" t="str">
        <f t="shared" si="48"/>
        <v>Conditioned</v>
      </c>
    </row>
    <row r="953" spans="1:17">
      <c r="A953" s="9">
        <v>13898</v>
      </c>
      <c r="B953" s="9">
        <v>1</v>
      </c>
      <c r="C953" s="9" t="s">
        <v>1589</v>
      </c>
      <c r="D953" s="9" t="s">
        <v>1590</v>
      </c>
      <c r="E953" s="9" t="s">
        <v>1613</v>
      </c>
      <c r="F953" s="9" t="s">
        <v>1603</v>
      </c>
      <c r="G953" s="9" t="s">
        <v>1592</v>
      </c>
      <c r="H953" s="9" t="s">
        <v>174</v>
      </c>
      <c r="I953" s="9" t="s">
        <v>2478</v>
      </c>
      <c r="J953" s="9" t="s">
        <v>1597</v>
      </c>
      <c r="K953" s="9">
        <v>1</v>
      </c>
      <c r="L953" s="9">
        <v>18</v>
      </c>
      <c r="O953" s="9" t="str">
        <f t="shared" si="46"/>
        <v>NO</v>
      </c>
      <c r="P953" s="9" t="str">
        <f t="shared" si="47"/>
        <v>NO</v>
      </c>
      <c r="Q953" s="9" t="str">
        <f t="shared" si="48"/>
        <v>Conditioned</v>
      </c>
    </row>
    <row r="954" spans="1:17">
      <c r="A954" s="9">
        <v>13898</v>
      </c>
      <c r="B954" s="9">
        <v>2</v>
      </c>
      <c r="C954" s="9" t="s">
        <v>1589</v>
      </c>
      <c r="D954" s="9" t="s">
        <v>1590</v>
      </c>
      <c r="E954" s="9" t="s">
        <v>1591</v>
      </c>
      <c r="F954" s="9" t="s">
        <v>1589</v>
      </c>
      <c r="G954" s="9" t="s">
        <v>1606</v>
      </c>
      <c r="H954" s="9" t="s">
        <v>174</v>
      </c>
      <c r="I954" s="9" t="s">
        <v>1589</v>
      </c>
      <c r="J954" s="9" t="s">
        <v>1587</v>
      </c>
      <c r="K954" s="9">
        <v>1</v>
      </c>
      <c r="L954" s="9">
        <v>21</v>
      </c>
      <c r="M954" s="9">
        <v>1981</v>
      </c>
      <c r="O954" s="9" t="str">
        <f t="shared" si="46"/>
        <v>NO</v>
      </c>
      <c r="P954" s="9" t="str">
        <f t="shared" si="47"/>
        <v>YES</v>
      </c>
      <c r="Q954" s="9" t="str">
        <f t="shared" si="48"/>
        <v>Unconditioned</v>
      </c>
    </row>
    <row r="955" spans="1:17">
      <c r="A955" s="9">
        <v>13903</v>
      </c>
      <c r="B955" s="9">
        <v>1</v>
      </c>
      <c r="C955" s="9" t="s">
        <v>1589</v>
      </c>
      <c r="D955" s="9" t="s">
        <v>1590</v>
      </c>
      <c r="E955" s="9" t="s">
        <v>1602</v>
      </c>
      <c r="F955" s="9" t="s">
        <v>1590</v>
      </c>
      <c r="G955" s="9" t="s">
        <v>1592</v>
      </c>
      <c r="H955" s="9" t="s">
        <v>170</v>
      </c>
      <c r="I955" s="9" t="s">
        <v>2479</v>
      </c>
      <c r="J955" s="9" t="s">
        <v>1597</v>
      </c>
      <c r="K955" s="9">
        <v>1</v>
      </c>
      <c r="L955" s="9">
        <v>20</v>
      </c>
      <c r="M955" s="9">
        <v>2009</v>
      </c>
      <c r="O955" s="9" t="str">
        <f t="shared" si="46"/>
        <v>NO</v>
      </c>
      <c r="P955" s="9" t="str">
        <f t="shared" si="47"/>
        <v>NO</v>
      </c>
      <c r="Q955" s="9" t="str">
        <f t="shared" si="48"/>
        <v>Conditioned</v>
      </c>
    </row>
    <row r="956" spans="1:17">
      <c r="A956" s="9">
        <v>13903</v>
      </c>
      <c r="B956" s="9">
        <v>2</v>
      </c>
      <c r="C956" s="9" t="s">
        <v>1589</v>
      </c>
      <c r="D956" s="9" t="s">
        <v>1590</v>
      </c>
      <c r="E956" s="9" t="s">
        <v>1591</v>
      </c>
      <c r="F956" s="9" t="s">
        <v>1589</v>
      </c>
      <c r="G956" s="9" t="s">
        <v>1606</v>
      </c>
      <c r="H956" s="9" t="s">
        <v>168</v>
      </c>
      <c r="I956" s="9" t="s">
        <v>2480</v>
      </c>
      <c r="J956" s="9" t="s">
        <v>1587</v>
      </c>
      <c r="K956" s="9">
        <v>1</v>
      </c>
      <c r="L956" s="9">
        <v>15</v>
      </c>
      <c r="M956" s="9">
        <v>2004</v>
      </c>
      <c r="O956" s="9" t="str">
        <f t="shared" si="46"/>
        <v>NO</v>
      </c>
      <c r="P956" s="9" t="str">
        <f t="shared" si="47"/>
        <v>YES</v>
      </c>
      <c r="Q956" s="9" t="str">
        <f t="shared" si="48"/>
        <v>Unconditioned</v>
      </c>
    </row>
    <row r="957" spans="1:17">
      <c r="A957" s="9">
        <v>13912</v>
      </c>
      <c r="B957" s="9">
        <v>1</v>
      </c>
      <c r="C957" s="9" t="s">
        <v>2481</v>
      </c>
      <c r="D957" s="9" t="s">
        <v>1590</v>
      </c>
      <c r="E957" s="9" t="s">
        <v>1591</v>
      </c>
      <c r="F957" s="9" t="s">
        <v>1589</v>
      </c>
      <c r="G957" s="9" t="s">
        <v>1606</v>
      </c>
      <c r="H957" s="9" t="s">
        <v>1638</v>
      </c>
      <c r="I957" s="9" t="s">
        <v>2482</v>
      </c>
      <c r="J957" s="9" t="s">
        <v>1597</v>
      </c>
      <c r="K957" s="9">
        <v>1</v>
      </c>
      <c r="L957" s="9">
        <v>10</v>
      </c>
      <c r="M957" s="9">
        <v>1955</v>
      </c>
      <c r="O957" s="9" t="str">
        <f t="shared" si="46"/>
        <v>NO</v>
      </c>
      <c r="P957" s="9" t="str">
        <f t="shared" si="47"/>
        <v>NO</v>
      </c>
      <c r="Q957" s="9" t="str">
        <f t="shared" si="48"/>
        <v>Unconditioned</v>
      </c>
    </row>
    <row r="958" spans="1:17">
      <c r="A958" s="9">
        <v>13912</v>
      </c>
      <c r="B958" s="9">
        <v>2</v>
      </c>
      <c r="C958" s="9" t="s">
        <v>1589</v>
      </c>
      <c r="D958" s="9" t="s">
        <v>1590</v>
      </c>
      <c r="E958" s="9" t="s">
        <v>1613</v>
      </c>
      <c r="F958" s="9" t="s">
        <v>1603</v>
      </c>
      <c r="G958" s="9" t="s">
        <v>1606</v>
      </c>
      <c r="H958" s="9" t="s">
        <v>1766</v>
      </c>
      <c r="I958" s="9" t="s">
        <v>2483</v>
      </c>
      <c r="J958" s="9" t="s">
        <v>1605</v>
      </c>
      <c r="K958" s="9">
        <v>1</v>
      </c>
      <c r="L958" s="9">
        <v>21</v>
      </c>
      <c r="M958" s="9">
        <v>1984</v>
      </c>
      <c r="O958" s="9" t="str">
        <f t="shared" si="46"/>
        <v>NO</v>
      </c>
      <c r="P958" s="9" t="str">
        <f t="shared" si="47"/>
        <v>YES</v>
      </c>
      <c r="Q958" s="9" t="str">
        <f t="shared" si="48"/>
        <v>Unconditioned</v>
      </c>
    </row>
    <row r="959" spans="1:17">
      <c r="A959" s="9">
        <v>13912</v>
      </c>
      <c r="B959" s="9">
        <v>3</v>
      </c>
      <c r="C959" s="9" t="s">
        <v>1589</v>
      </c>
      <c r="D959" s="9" t="s">
        <v>1590</v>
      </c>
      <c r="E959" s="9" t="s">
        <v>1602</v>
      </c>
      <c r="F959" s="9" t="s">
        <v>1603</v>
      </c>
      <c r="G959" s="9" t="s">
        <v>1592</v>
      </c>
      <c r="H959" s="9" t="s">
        <v>170</v>
      </c>
      <c r="I959" s="9" t="s">
        <v>2484</v>
      </c>
      <c r="J959" s="9" t="s">
        <v>1601</v>
      </c>
      <c r="K959" s="9">
        <v>1</v>
      </c>
      <c r="L959" s="9">
        <v>24</v>
      </c>
      <c r="M959" s="9">
        <v>1998</v>
      </c>
      <c r="O959" s="9" t="str">
        <f t="shared" si="46"/>
        <v>NO</v>
      </c>
      <c r="P959" s="9" t="str">
        <f t="shared" si="47"/>
        <v>NO</v>
      </c>
      <c r="Q959" s="9" t="str">
        <f t="shared" si="48"/>
        <v>Conditioned</v>
      </c>
    </row>
    <row r="960" spans="1:17">
      <c r="A960" s="9">
        <v>13948</v>
      </c>
      <c r="B960" s="9">
        <v>1</v>
      </c>
      <c r="C960" s="9" t="s">
        <v>1589</v>
      </c>
      <c r="D960" s="9" t="s">
        <v>1590</v>
      </c>
      <c r="E960" s="9" t="s">
        <v>1613</v>
      </c>
      <c r="F960" s="9" t="s">
        <v>1603</v>
      </c>
      <c r="G960" s="9" t="s">
        <v>1592</v>
      </c>
      <c r="H960" s="9" t="s">
        <v>174</v>
      </c>
      <c r="I960" s="9" t="s">
        <v>2485</v>
      </c>
      <c r="J960" s="9" t="s">
        <v>1608</v>
      </c>
      <c r="K960" s="9">
        <v>1</v>
      </c>
      <c r="L960" s="9">
        <v>23</v>
      </c>
      <c r="M960" s="9">
        <v>2002</v>
      </c>
      <c r="O960" s="9" t="str">
        <f t="shared" si="46"/>
        <v>NO</v>
      </c>
      <c r="P960" s="9" t="str">
        <f t="shared" si="47"/>
        <v>NO</v>
      </c>
      <c r="Q960" s="9" t="str">
        <f t="shared" si="48"/>
        <v>Conditioned</v>
      </c>
    </row>
    <row r="961" spans="1:17">
      <c r="A961" s="9">
        <v>13956</v>
      </c>
      <c r="B961" s="9">
        <v>1</v>
      </c>
      <c r="C961" s="9" t="s">
        <v>1589</v>
      </c>
      <c r="D961" s="9" t="s">
        <v>1603</v>
      </c>
      <c r="E961" s="9" t="s">
        <v>1591</v>
      </c>
      <c r="F961" s="9" t="s">
        <v>1589</v>
      </c>
      <c r="G961" s="9" t="s">
        <v>1592</v>
      </c>
      <c r="H961" s="9" t="s">
        <v>174</v>
      </c>
      <c r="I961" s="9" t="s">
        <v>2486</v>
      </c>
      <c r="J961" s="9" t="s">
        <v>1608</v>
      </c>
      <c r="K961" s="9">
        <v>1</v>
      </c>
      <c r="L961" s="9">
        <v>24</v>
      </c>
      <c r="M961" s="9">
        <v>2011</v>
      </c>
      <c r="O961" s="9" t="str">
        <f t="shared" si="46"/>
        <v>NO</v>
      </c>
      <c r="P961" s="9" t="str">
        <f t="shared" si="47"/>
        <v>NO</v>
      </c>
      <c r="Q961" s="9" t="str">
        <f t="shared" si="48"/>
        <v>Conditioned</v>
      </c>
    </row>
    <row r="962" spans="1:17">
      <c r="A962" s="9">
        <v>13970</v>
      </c>
      <c r="B962" s="9">
        <v>1</v>
      </c>
      <c r="C962" s="9" t="s">
        <v>1589</v>
      </c>
      <c r="D962" s="9" t="s">
        <v>1590</v>
      </c>
      <c r="E962" s="9" t="s">
        <v>1591</v>
      </c>
      <c r="F962" s="9" t="s">
        <v>1589</v>
      </c>
      <c r="G962" s="9" t="s">
        <v>1592</v>
      </c>
      <c r="H962" s="9" t="s">
        <v>169</v>
      </c>
      <c r="I962" s="9" t="s">
        <v>2487</v>
      </c>
      <c r="J962" s="9" t="s">
        <v>1597</v>
      </c>
      <c r="K962" s="9">
        <v>1</v>
      </c>
      <c r="L962" s="9">
        <v>23</v>
      </c>
      <c r="M962" s="9">
        <v>2009</v>
      </c>
      <c r="O962" s="9" t="str">
        <f t="shared" si="46"/>
        <v>NO</v>
      </c>
      <c r="P962" s="9" t="str">
        <f t="shared" si="47"/>
        <v>NO</v>
      </c>
      <c r="Q962" s="9" t="str">
        <f t="shared" si="48"/>
        <v>Conditioned</v>
      </c>
    </row>
    <row r="963" spans="1:17">
      <c r="A963" s="9">
        <v>13970</v>
      </c>
      <c r="B963" s="9">
        <v>2</v>
      </c>
      <c r="C963" s="9" t="s">
        <v>1589</v>
      </c>
      <c r="D963" s="9" t="s">
        <v>1590</v>
      </c>
      <c r="E963" s="9" t="s">
        <v>1591</v>
      </c>
      <c r="F963" s="9" t="s">
        <v>1589</v>
      </c>
      <c r="G963" s="9" t="s">
        <v>1592</v>
      </c>
      <c r="H963" s="9" t="s">
        <v>173</v>
      </c>
      <c r="I963" s="9" t="s">
        <v>2488</v>
      </c>
      <c r="J963" s="9" t="s">
        <v>1597</v>
      </c>
      <c r="K963" s="9">
        <v>1</v>
      </c>
      <c r="L963" s="9">
        <v>21</v>
      </c>
      <c r="M963" s="9">
        <v>1995</v>
      </c>
      <c r="O963" s="9" t="str">
        <f t="shared" si="46"/>
        <v>NO</v>
      </c>
      <c r="P963" s="9" t="str">
        <f t="shared" si="47"/>
        <v>NO</v>
      </c>
      <c r="Q963" s="9" t="str">
        <f t="shared" si="48"/>
        <v>Conditioned</v>
      </c>
    </row>
    <row r="964" spans="1:17">
      <c r="A964" s="9">
        <v>13974</v>
      </c>
      <c r="B964" s="9">
        <v>1</v>
      </c>
      <c r="C964" s="9" t="s">
        <v>1589</v>
      </c>
      <c r="D964" s="9" t="s">
        <v>1590</v>
      </c>
      <c r="E964" s="9" t="s">
        <v>1602</v>
      </c>
      <c r="F964" s="9" t="s">
        <v>1603</v>
      </c>
      <c r="G964" s="9" t="s">
        <v>1592</v>
      </c>
      <c r="H964" s="9" t="s">
        <v>169</v>
      </c>
      <c r="I964" s="9" t="s">
        <v>2489</v>
      </c>
      <c r="J964" s="9" t="s">
        <v>1601</v>
      </c>
      <c r="K964" s="9">
        <v>1</v>
      </c>
      <c r="L964" s="9">
        <v>23</v>
      </c>
      <c r="M964" s="9">
        <v>2006</v>
      </c>
      <c r="O964" s="9" t="str">
        <f t="shared" si="46"/>
        <v>NO</v>
      </c>
      <c r="P964" s="9" t="str">
        <f t="shared" si="47"/>
        <v>NO</v>
      </c>
      <c r="Q964" s="9" t="str">
        <f t="shared" si="48"/>
        <v>Conditioned</v>
      </c>
    </row>
    <row r="965" spans="1:17">
      <c r="A965" s="9">
        <v>13974</v>
      </c>
      <c r="B965" s="9">
        <v>2</v>
      </c>
      <c r="C965" s="9" t="s">
        <v>1589</v>
      </c>
      <c r="D965" s="9" t="s">
        <v>1590</v>
      </c>
      <c r="E965" s="9" t="s">
        <v>1591</v>
      </c>
      <c r="F965" s="9" t="s">
        <v>1589</v>
      </c>
      <c r="G965" s="9" t="s">
        <v>1606</v>
      </c>
      <c r="H965" s="9" t="s">
        <v>1638</v>
      </c>
      <c r="I965" s="9" t="s">
        <v>2490</v>
      </c>
      <c r="J965" s="9" t="s">
        <v>1587</v>
      </c>
      <c r="K965" s="9">
        <v>1</v>
      </c>
      <c r="L965" s="9">
        <v>6</v>
      </c>
      <c r="M965" s="9">
        <v>2003</v>
      </c>
      <c r="O965" s="9" t="str">
        <f t="shared" si="46"/>
        <v>YES</v>
      </c>
      <c r="P965" s="9" t="str">
        <f t="shared" si="47"/>
        <v>YES</v>
      </c>
      <c r="Q965" s="9" t="str">
        <f t="shared" si="48"/>
        <v>Unconditioned</v>
      </c>
    </row>
    <row r="966" spans="1:17">
      <c r="A966" s="9">
        <v>13975</v>
      </c>
      <c r="B966" s="9">
        <v>1</v>
      </c>
      <c r="C966" s="9" t="s">
        <v>1589</v>
      </c>
      <c r="D966" s="9" t="s">
        <v>1590</v>
      </c>
      <c r="E966" s="9" t="s">
        <v>1613</v>
      </c>
      <c r="F966" s="9" t="s">
        <v>1603</v>
      </c>
      <c r="G966" s="9" t="s">
        <v>1592</v>
      </c>
      <c r="H966" s="9" t="s">
        <v>170</v>
      </c>
      <c r="I966" s="9" t="s">
        <v>2491</v>
      </c>
      <c r="J966" s="9" t="s">
        <v>1597</v>
      </c>
      <c r="K966" s="9">
        <v>1</v>
      </c>
      <c r="L966" s="9">
        <v>23</v>
      </c>
      <c r="M966" s="9">
        <v>2002</v>
      </c>
      <c r="O966" s="9" t="str">
        <f t="shared" si="46"/>
        <v>NO</v>
      </c>
      <c r="P966" s="9" t="str">
        <f t="shared" si="47"/>
        <v>NO</v>
      </c>
      <c r="Q966" s="9" t="str">
        <f t="shared" si="48"/>
        <v>Conditioned</v>
      </c>
    </row>
    <row r="967" spans="1:17">
      <c r="A967" s="9">
        <v>13975</v>
      </c>
      <c r="B967" s="9">
        <v>2</v>
      </c>
      <c r="C967" s="9" t="s">
        <v>1589</v>
      </c>
      <c r="D967" s="9" t="s">
        <v>1590</v>
      </c>
      <c r="E967" s="9" t="s">
        <v>1591</v>
      </c>
      <c r="F967" s="9" t="s">
        <v>1589</v>
      </c>
      <c r="G967" s="9" t="s">
        <v>1606</v>
      </c>
      <c r="H967" s="9" t="s">
        <v>1638</v>
      </c>
      <c r="I967" s="9" t="s">
        <v>2492</v>
      </c>
      <c r="J967" s="9" t="s">
        <v>1605</v>
      </c>
      <c r="K967" s="9">
        <v>1</v>
      </c>
      <c r="L967" s="9">
        <v>15</v>
      </c>
      <c r="M967" s="9">
        <v>2007</v>
      </c>
      <c r="O967" s="9" t="str">
        <f t="shared" si="46"/>
        <v>NO</v>
      </c>
      <c r="P967" s="9" t="str">
        <f t="shared" si="47"/>
        <v>YES</v>
      </c>
      <c r="Q967" s="9" t="str">
        <f t="shared" si="48"/>
        <v>Unconditioned</v>
      </c>
    </row>
    <row r="968" spans="1:17">
      <c r="A968" s="9">
        <v>14000</v>
      </c>
      <c r="B968" s="9">
        <v>1</v>
      </c>
      <c r="C968" s="9" t="s">
        <v>1589</v>
      </c>
      <c r="D968" s="9" t="s">
        <v>1590</v>
      </c>
      <c r="E968" s="9" t="s">
        <v>1591</v>
      </c>
      <c r="F968" s="9" t="s">
        <v>1589</v>
      </c>
      <c r="G968" s="9" t="s">
        <v>1592</v>
      </c>
      <c r="H968" s="9" t="s">
        <v>177</v>
      </c>
      <c r="I968" s="9" t="s">
        <v>2493</v>
      </c>
      <c r="J968" s="9" t="s">
        <v>1597</v>
      </c>
      <c r="K968" s="9">
        <v>1</v>
      </c>
      <c r="L968" s="9">
        <v>19</v>
      </c>
      <c r="M968" s="9">
        <v>2001</v>
      </c>
      <c r="O968" s="9" t="str">
        <f t="shared" si="46"/>
        <v>NO</v>
      </c>
      <c r="P968" s="9" t="str">
        <f t="shared" si="47"/>
        <v>NO</v>
      </c>
      <c r="Q968" s="9" t="str">
        <f t="shared" si="48"/>
        <v>Conditioned</v>
      </c>
    </row>
    <row r="969" spans="1:17">
      <c r="A969" s="9">
        <v>14012</v>
      </c>
      <c r="B969" s="9">
        <v>1</v>
      </c>
      <c r="C969" s="9" t="s">
        <v>1589</v>
      </c>
      <c r="D969" s="9" t="s">
        <v>1590</v>
      </c>
      <c r="E969" s="9" t="s">
        <v>1602</v>
      </c>
      <c r="F969" s="9" t="s">
        <v>1603</v>
      </c>
      <c r="G969" s="9" t="s">
        <v>1592</v>
      </c>
      <c r="H969" s="9" t="s">
        <v>1638</v>
      </c>
      <c r="I969" s="9" t="s">
        <v>2494</v>
      </c>
      <c r="J969" s="9" t="s">
        <v>1601</v>
      </c>
      <c r="K969" s="9">
        <v>1</v>
      </c>
      <c r="L969" s="9">
        <v>26</v>
      </c>
      <c r="M969" s="9">
        <v>2002</v>
      </c>
      <c r="O969" s="9" t="str">
        <f t="shared" si="46"/>
        <v>NO</v>
      </c>
      <c r="P969" s="9" t="str">
        <f t="shared" si="47"/>
        <v>NO</v>
      </c>
      <c r="Q969" s="9" t="str">
        <f t="shared" si="48"/>
        <v>Conditioned</v>
      </c>
    </row>
    <row r="970" spans="1:17">
      <c r="A970" s="9">
        <v>14012</v>
      </c>
      <c r="B970" s="9">
        <v>2</v>
      </c>
      <c r="C970" s="9" t="s">
        <v>1589</v>
      </c>
      <c r="D970" s="9" t="s">
        <v>1590</v>
      </c>
      <c r="E970" s="9" t="s">
        <v>1613</v>
      </c>
      <c r="F970" s="9" t="s">
        <v>1603</v>
      </c>
      <c r="G970" s="9" t="s">
        <v>1592</v>
      </c>
      <c r="H970" s="9" t="s">
        <v>1638</v>
      </c>
      <c r="I970" s="9" t="s">
        <v>2495</v>
      </c>
      <c r="J970" s="9" t="s">
        <v>1597</v>
      </c>
      <c r="K970" s="9">
        <v>1</v>
      </c>
      <c r="L970" s="9">
        <v>21</v>
      </c>
      <c r="M970" s="9">
        <v>1997</v>
      </c>
      <c r="O970" s="9" t="str">
        <f t="shared" si="46"/>
        <v>NO</v>
      </c>
      <c r="P970" s="9" t="str">
        <f t="shared" si="47"/>
        <v>NO</v>
      </c>
      <c r="Q970" s="9" t="str">
        <f t="shared" si="48"/>
        <v>Conditioned</v>
      </c>
    </row>
    <row r="971" spans="1:17">
      <c r="A971" s="9">
        <v>14015</v>
      </c>
      <c r="B971" s="9">
        <v>1</v>
      </c>
      <c r="C971" s="9" t="s">
        <v>1589</v>
      </c>
      <c r="D971" s="9" t="s">
        <v>1590</v>
      </c>
      <c r="E971" s="9" t="s">
        <v>1602</v>
      </c>
      <c r="F971" s="9" t="s">
        <v>1603</v>
      </c>
      <c r="G971" s="9" t="s">
        <v>1592</v>
      </c>
      <c r="H971" s="9" t="s">
        <v>170</v>
      </c>
      <c r="I971" s="9" t="s">
        <v>2496</v>
      </c>
      <c r="J971" s="9" t="s">
        <v>1608</v>
      </c>
      <c r="K971" s="9">
        <v>1</v>
      </c>
      <c r="L971" s="9">
        <v>26</v>
      </c>
      <c r="M971" s="9">
        <v>2011</v>
      </c>
      <c r="O971" s="9" t="str">
        <f t="shared" si="46"/>
        <v>NO</v>
      </c>
      <c r="P971" s="9" t="str">
        <f t="shared" si="47"/>
        <v>NO</v>
      </c>
      <c r="Q971" s="9" t="str">
        <f t="shared" si="48"/>
        <v>Conditioned</v>
      </c>
    </row>
    <row r="972" spans="1:17">
      <c r="A972" s="9">
        <v>14015</v>
      </c>
      <c r="B972" s="9">
        <v>2</v>
      </c>
      <c r="C972" s="9" t="s">
        <v>1589</v>
      </c>
      <c r="D972" s="9" t="s">
        <v>1590</v>
      </c>
      <c r="E972" s="9" t="s">
        <v>1591</v>
      </c>
      <c r="F972" s="9" t="s">
        <v>1589</v>
      </c>
      <c r="G972" s="9" t="s">
        <v>1606</v>
      </c>
      <c r="H972" s="9" t="s">
        <v>170</v>
      </c>
      <c r="I972" s="9" t="s">
        <v>2497</v>
      </c>
      <c r="J972" s="9" t="s">
        <v>1587</v>
      </c>
      <c r="K972" s="9">
        <v>1</v>
      </c>
      <c r="L972" s="9">
        <v>11</v>
      </c>
      <c r="M972" s="9">
        <v>2004</v>
      </c>
      <c r="O972" s="9" t="str">
        <f t="shared" si="46"/>
        <v>NO</v>
      </c>
      <c r="P972" s="9" t="str">
        <f t="shared" si="47"/>
        <v>YES</v>
      </c>
      <c r="Q972" s="9" t="str">
        <f t="shared" si="48"/>
        <v>Unconditioned</v>
      </c>
    </row>
    <row r="973" spans="1:17">
      <c r="A973" s="9">
        <v>14017</v>
      </c>
      <c r="B973" s="9">
        <v>1</v>
      </c>
      <c r="C973" s="9" t="s">
        <v>1589</v>
      </c>
      <c r="D973" s="9" t="s">
        <v>1603</v>
      </c>
      <c r="E973" s="9" t="s">
        <v>1613</v>
      </c>
      <c r="F973" s="9" t="s">
        <v>1603</v>
      </c>
      <c r="G973" s="9" t="s">
        <v>1592</v>
      </c>
      <c r="H973" s="9" t="s">
        <v>169</v>
      </c>
      <c r="I973" s="9" t="s">
        <v>2457</v>
      </c>
      <c r="J973" s="9" t="s">
        <v>1608</v>
      </c>
      <c r="K973" s="9">
        <v>1</v>
      </c>
      <c r="L973" s="9">
        <v>26</v>
      </c>
      <c r="M973" s="9">
        <v>2008</v>
      </c>
      <c r="O973" s="9" t="str">
        <f t="shared" si="46"/>
        <v>NO</v>
      </c>
      <c r="P973" s="9" t="str">
        <f t="shared" si="47"/>
        <v>NO</v>
      </c>
      <c r="Q973" s="9" t="str">
        <f t="shared" si="48"/>
        <v>Conditioned</v>
      </c>
    </row>
    <row r="974" spans="1:17">
      <c r="A974" s="9">
        <v>14017</v>
      </c>
      <c r="B974" s="9">
        <v>2</v>
      </c>
      <c r="C974" s="9" t="s">
        <v>1589</v>
      </c>
      <c r="D974" s="9" t="s">
        <v>1590</v>
      </c>
      <c r="E974" s="9" t="s">
        <v>1591</v>
      </c>
      <c r="F974" s="9" t="s">
        <v>1589</v>
      </c>
      <c r="G974" s="9" t="s">
        <v>1592</v>
      </c>
      <c r="H974" s="9" t="s">
        <v>177</v>
      </c>
      <c r="I974" s="9" t="s">
        <v>2498</v>
      </c>
      <c r="J974" s="9" t="s">
        <v>1597</v>
      </c>
      <c r="K974" s="9">
        <v>1</v>
      </c>
      <c r="L974" s="9">
        <v>23</v>
      </c>
      <c r="M974" s="9">
        <v>1984</v>
      </c>
      <c r="O974" s="9" t="str">
        <f t="shared" si="46"/>
        <v>NO</v>
      </c>
      <c r="P974" s="9" t="str">
        <f t="shared" si="47"/>
        <v>NO</v>
      </c>
      <c r="Q974" s="9" t="str">
        <f t="shared" si="48"/>
        <v>Conditioned</v>
      </c>
    </row>
    <row r="975" spans="1:17">
      <c r="A975" s="9">
        <v>14017</v>
      </c>
      <c r="B975" s="9">
        <v>3</v>
      </c>
      <c r="C975" s="9" t="s">
        <v>1589</v>
      </c>
      <c r="D975" s="9" t="s">
        <v>1590</v>
      </c>
      <c r="E975" s="9" t="s">
        <v>1591</v>
      </c>
      <c r="F975" s="9" t="s">
        <v>1589</v>
      </c>
      <c r="G975" s="9" t="s">
        <v>1606</v>
      </c>
      <c r="H975" s="9" t="s">
        <v>176</v>
      </c>
      <c r="I975" s="9" t="s">
        <v>2499</v>
      </c>
      <c r="J975" s="9" t="s">
        <v>1605</v>
      </c>
      <c r="K975" s="9">
        <v>1</v>
      </c>
      <c r="L975" s="9">
        <v>26</v>
      </c>
      <c r="M975" s="9">
        <v>2010</v>
      </c>
      <c r="O975" s="9" t="str">
        <f t="shared" si="46"/>
        <v>NO</v>
      </c>
      <c r="P975" s="9" t="str">
        <f t="shared" si="47"/>
        <v>YES</v>
      </c>
      <c r="Q975" s="9" t="str">
        <f t="shared" si="48"/>
        <v>Unconditioned</v>
      </c>
    </row>
    <row r="976" spans="1:17">
      <c r="A976" s="9">
        <v>14037</v>
      </c>
      <c r="B976" s="9">
        <v>1</v>
      </c>
      <c r="C976" s="9" t="s">
        <v>1589</v>
      </c>
      <c r="D976" s="9" t="s">
        <v>1590</v>
      </c>
      <c r="E976" s="9" t="s">
        <v>1613</v>
      </c>
      <c r="F976" s="9" t="s">
        <v>1603</v>
      </c>
      <c r="G976" s="9" t="s">
        <v>1592</v>
      </c>
      <c r="H976" s="9" t="s">
        <v>173</v>
      </c>
      <c r="I976" s="9" t="s">
        <v>2500</v>
      </c>
      <c r="J976" s="9" t="s">
        <v>1610</v>
      </c>
      <c r="K976" s="9">
        <v>1</v>
      </c>
      <c r="L976" s="9">
        <v>25</v>
      </c>
      <c r="M976" s="9">
        <v>2005</v>
      </c>
      <c r="O976" s="9" t="str">
        <f t="shared" si="46"/>
        <v>NO</v>
      </c>
      <c r="P976" s="9" t="str">
        <f t="shared" si="47"/>
        <v>NO</v>
      </c>
      <c r="Q976" s="9" t="str">
        <f t="shared" si="48"/>
        <v>Conditioned</v>
      </c>
    </row>
    <row r="977" spans="1:17">
      <c r="A977" s="9">
        <v>14046</v>
      </c>
      <c r="B977" s="9">
        <v>1</v>
      </c>
      <c r="C977" s="9" t="s">
        <v>1589</v>
      </c>
      <c r="D977" s="9" t="s">
        <v>1590</v>
      </c>
      <c r="E977" s="9" t="s">
        <v>1613</v>
      </c>
      <c r="F977" s="9" t="s">
        <v>1603</v>
      </c>
      <c r="G977" s="9" t="s">
        <v>1592</v>
      </c>
      <c r="H977" s="9" t="s">
        <v>173</v>
      </c>
      <c r="I977" s="9" t="s">
        <v>2501</v>
      </c>
      <c r="J977" s="9" t="s">
        <v>1597</v>
      </c>
      <c r="K977" s="9">
        <v>1</v>
      </c>
      <c r="L977" s="9">
        <v>21</v>
      </c>
      <c r="M977" s="9">
        <v>1999</v>
      </c>
      <c r="O977" s="9" t="str">
        <f t="shared" si="46"/>
        <v>NO</v>
      </c>
      <c r="P977" s="9" t="str">
        <f t="shared" si="47"/>
        <v>NO</v>
      </c>
      <c r="Q977" s="9" t="str">
        <f t="shared" si="48"/>
        <v>Conditioned</v>
      </c>
    </row>
    <row r="978" spans="1:17">
      <c r="A978" s="9">
        <v>14046</v>
      </c>
      <c r="B978" s="9">
        <v>2</v>
      </c>
      <c r="C978" s="9" t="s">
        <v>1589</v>
      </c>
      <c r="D978" s="9" t="s">
        <v>1590</v>
      </c>
      <c r="E978" s="9" t="s">
        <v>1591</v>
      </c>
      <c r="F978" s="9" t="s">
        <v>1589</v>
      </c>
      <c r="G978" s="9" t="s">
        <v>1592</v>
      </c>
      <c r="H978" s="9" t="s">
        <v>1632</v>
      </c>
      <c r="I978" s="9" t="s">
        <v>1589</v>
      </c>
      <c r="J978" s="9" t="s">
        <v>1587</v>
      </c>
      <c r="K978" s="9">
        <v>1</v>
      </c>
      <c r="L978" s="9">
        <v>20</v>
      </c>
      <c r="M978" s="9">
        <v>2006</v>
      </c>
      <c r="O978" s="9" t="str">
        <f t="shared" si="46"/>
        <v>NO</v>
      </c>
      <c r="P978" s="9" t="str">
        <f t="shared" si="47"/>
        <v>YES</v>
      </c>
      <c r="Q978" s="9" t="str">
        <f t="shared" si="48"/>
        <v>Conditioned</v>
      </c>
    </row>
    <row r="979" spans="1:17">
      <c r="A979" s="9">
        <v>14051</v>
      </c>
      <c r="B979" s="9">
        <v>1</v>
      </c>
      <c r="C979" s="9" t="s">
        <v>1589</v>
      </c>
      <c r="D979" s="9" t="s">
        <v>1590</v>
      </c>
      <c r="E979" s="9" t="s">
        <v>1591</v>
      </c>
      <c r="F979" s="9" t="s">
        <v>1589</v>
      </c>
      <c r="G979" s="9" t="s">
        <v>1592</v>
      </c>
      <c r="H979" s="9" t="s">
        <v>174</v>
      </c>
      <c r="I979" s="9" t="s">
        <v>2502</v>
      </c>
      <c r="J979" s="9" t="s">
        <v>1608</v>
      </c>
      <c r="K979" s="9">
        <v>1</v>
      </c>
      <c r="L979" s="9">
        <v>22</v>
      </c>
      <c r="M979" s="9">
        <v>2001</v>
      </c>
      <c r="O979" s="9" t="str">
        <f t="shared" si="46"/>
        <v>NO</v>
      </c>
      <c r="P979" s="9" t="str">
        <f t="shared" si="47"/>
        <v>NO</v>
      </c>
      <c r="Q979" s="9" t="str">
        <f t="shared" si="48"/>
        <v>Conditioned</v>
      </c>
    </row>
    <row r="980" spans="1:17">
      <c r="A980" s="9">
        <v>14051</v>
      </c>
      <c r="B980" s="9">
        <v>2</v>
      </c>
      <c r="C980" s="9" t="s">
        <v>1589</v>
      </c>
      <c r="D980" s="9" t="s">
        <v>1590</v>
      </c>
      <c r="E980" s="9" t="s">
        <v>1591</v>
      </c>
      <c r="F980" s="9" t="s">
        <v>1589</v>
      </c>
      <c r="G980" s="9" t="s">
        <v>1606</v>
      </c>
      <c r="H980" s="9" t="s">
        <v>169</v>
      </c>
      <c r="I980" s="9" t="s">
        <v>2503</v>
      </c>
      <c r="J980" s="9" t="s">
        <v>1587</v>
      </c>
      <c r="K980" s="9">
        <v>1</v>
      </c>
      <c r="L980" s="9">
        <v>12</v>
      </c>
      <c r="M980" s="9">
        <v>2009</v>
      </c>
      <c r="O980" s="9" t="str">
        <f t="shared" si="46"/>
        <v>NO</v>
      </c>
      <c r="P980" s="9" t="str">
        <f t="shared" si="47"/>
        <v>YES</v>
      </c>
      <c r="Q980" s="9" t="str">
        <f t="shared" si="48"/>
        <v>Unconditioned</v>
      </c>
    </row>
    <row r="981" spans="1:17">
      <c r="A981" s="9">
        <v>14052</v>
      </c>
      <c r="B981" s="9">
        <v>1</v>
      </c>
      <c r="C981" s="9" t="s">
        <v>1589</v>
      </c>
      <c r="D981" s="9" t="s">
        <v>1590</v>
      </c>
      <c r="E981" s="9" t="s">
        <v>1591</v>
      </c>
      <c r="F981" s="9" t="s">
        <v>1589</v>
      </c>
      <c r="G981" s="9" t="s">
        <v>1592</v>
      </c>
      <c r="H981" s="9" t="s">
        <v>174</v>
      </c>
      <c r="I981" s="9" t="s">
        <v>2504</v>
      </c>
      <c r="J981" s="9" t="s">
        <v>1608</v>
      </c>
      <c r="K981" s="9">
        <v>1</v>
      </c>
      <c r="L981" s="9">
        <v>24</v>
      </c>
      <c r="M981" s="9">
        <v>1981</v>
      </c>
      <c r="O981" s="9" t="str">
        <f t="shared" si="46"/>
        <v>NO</v>
      </c>
      <c r="P981" s="9" t="str">
        <f t="shared" si="47"/>
        <v>NO</v>
      </c>
      <c r="Q981" s="9" t="str">
        <f t="shared" si="48"/>
        <v>Conditioned</v>
      </c>
    </row>
    <row r="982" spans="1:17">
      <c r="A982" s="9">
        <v>14052</v>
      </c>
      <c r="B982" s="9">
        <v>2</v>
      </c>
      <c r="C982" s="9" t="s">
        <v>1589</v>
      </c>
      <c r="D982" s="9" t="s">
        <v>1590</v>
      </c>
      <c r="E982" s="9" t="s">
        <v>1591</v>
      </c>
      <c r="F982" s="9" t="s">
        <v>1589</v>
      </c>
      <c r="G982" s="9" t="s">
        <v>1606</v>
      </c>
      <c r="H982" s="9" t="s">
        <v>1624</v>
      </c>
      <c r="I982" s="9" t="s">
        <v>1589</v>
      </c>
      <c r="J982" s="9" t="s">
        <v>1587</v>
      </c>
      <c r="K982" s="9">
        <v>1</v>
      </c>
      <c r="L982" s="9">
        <v>15</v>
      </c>
      <c r="M982" s="9">
        <v>2001</v>
      </c>
      <c r="O982" s="9" t="str">
        <f t="shared" si="46"/>
        <v>NO</v>
      </c>
      <c r="P982" s="9" t="str">
        <f t="shared" si="47"/>
        <v>YES</v>
      </c>
      <c r="Q982" s="9" t="str">
        <f t="shared" si="48"/>
        <v>Unconditioned</v>
      </c>
    </row>
    <row r="983" spans="1:17">
      <c r="A983" s="9">
        <v>14073</v>
      </c>
      <c r="B983" s="9">
        <v>1</v>
      </c>
      <c r="C983" s="9" t="s">
        <v>1589</v>
      </c>
      <c r="D983" s="9" t="s">
        <v>1603</v>
      </c>
      <c r="E983" s="9" t="s">
        <v>1602</v>
      </c>
      <c r="F983" s="9" t="s">
        <v>1603</v>
      </c>
      <c r="G983" s="9" t="s">
        <v>1592</v>
      </c>
      <c r="H983" s="9" t="s">
        <v>176</v>
      </c>
      <c r="I983" s="9" t="s">
        <v>2505</v>
      </c>
      <c r="J983" s="9" t="s">
        <v>1601</v>
      </c>
      <c r="K983" s="9">
        <v>1</v>
      </c>
      <c r="L983" s="9">
        <v>29</v>
      </c>
      <c r="M983" s="9">
        <v>2010</v>
      </c>
      <c r="O983" s="9" t="str">
        <f t="shared" ref="O983:O1046" si="49">IF(L983&lt;7.75,"YES","NO")</f>
        <v>NO</v>
      </c>
      <c r="P983" s="9" t="str">
        <f t="shared" ref="P983:P1046" si="50">VLOOKUP(J983,$Z$21:$AA$27,2,FALSE)</f>
        <v>NO</v>
      </c>
      <c r="Q983" s="9" t="str">
        <f t="shared" ref="Q983:Q1046" si="51">G983</f>
        <v>Conditioned</v>
      </c>
    </row>
    <row r="984" spans="1:17">
      <c r="A984" s="9">
        <v>14078</v>
      </c>
      <c r="B984" s="9">
        <v>1</v>
      </c>
      <c r="C984" s="9" t="s">
        <v>1589</v>
      </c>
      <c r="D984" s="9" t="s">
        <v>1590</v>
      </c>
      <c r="E984" s="9" t="s">
        <v>1602</v>
      </c>
      <c r="F984" s="9" t="s">
        <v>1590</v>
      </c>
      <c r="G984" s="9" t="s">
        <v>1592</v>
      </c>
      <c r="H984" s="9" t="s">
        <v>170</v>
      </c>
      <c r="I984" s="9" t="s">
        <v>2506</v>
      </c>
      <c r="J984" s="9" t="s">
        <v>1601</v>
      </c>
      <c r="K984" s="9">
        <v>1</v>
      </c>
      <c r="L984" s="9">
        <v>27</v>
      </c>
      <c r="M984" s="9">
        <v>1995</v>
      </c>
      <c r="O984" s="9" t="str">
        <f t="shared" si="49"/>
        <v>NO</v>
      </c>
      <c r="P984" s="9" t="str">
        <f t="shared" si="50"/>
        <v>NO</v>
      </c>
      <c r="Q984" s="9" t="str">
        <f t="shared" si="51"/>
        <v>Conditioned</v>
      </c>
    </row>
    <row r="985" spans="1:17">
      <c r="A985" s="9">
        <v>14102</v>
      </c>
      <c r="B985" s="9">
        <v>1</v>
      </c>
      <c r="C985" s="9" t="s">
        <v>1589</v>
      </c>
      <c r="D985" s="9" t="s">
        <v>1590</v>
      </c>
      <c r="E985" s="9" t="s">
        <v>1602</v>
      </c>
      <c r="F985" s="9" t="s">
        <v>1603</v>
      </c>
      <c r="G985" s="9" t="s">
        <v>1592</v>
      </c>
      <c r="H985" s="9" t="s">
        <v>1638</v>
      </c>
      <c r="I985" s="9" t="s">
        <v>2507</v>
      </c>
      <c r="J985" s="9" t="s">
        <v>1601</v>
      </c>
      <c r="K985" s="9">
        <v>1</v>
      </c>
      <c r="L985" s="9">
        <v>31</v>
      </c>
      <c r="M985" s="9">
        <v>2005</v>
      </c>
      <c r="O985" s="9" t="str">
        <f t="shared" si="49"/>
        <v>NO</v>
      </c>
      <c r="P985" s="9" t="str">
        <f t="shared" si="50"/>
        <v>NO</v>
      </c>
      <c r="Q985" s="9" t="str">
        <f t="shared" si="51"/>
        <v>Conditioned</v>
      </c>
    </row>
    <row r="986" spans="1:17">
      <c r="A986" s="9">
        <v>14117</v>
      </c>
      <c r="B986" s="9">
        <v>1</v>
      </c>
      <c r="C986" s="9" t="s">
        <v>1589</v>
      </c>
      <c r="D986" s="9" t="s">
        <v>1590</v>
      </c>
      <c r="E986" s="9" t="s">
        <v>1591</v>
      </c>
      <c r="F986" s="9" t="s">
        <v>1589</v>
      </c>
      <c r="G986" s="9" t="s">
        <v>1592</v>
      </c>
      <c r="H986" s="9" t="s">
        <v>1632</v>
      </c>
      <c r="I986" s="9" t="s">
        <v>2508</v>
      </c>
      <c r="J986" s="9" t="s">
        <v>1597</v>
      </c>
      <c r="K986" s="9">
        <v>1</v>
      </c>
      <c r="L986" s="9">
        <v>21</v>
      </c>
      <c r="M986" s="9">
        <v>2000</v>
      </c>
      <c r="O986" s="9" t="str">
        <f t="shared" si="49"/>
        <v>NO</v>
      </c>
      <c r="P986" s="9" t="str">
        <f t="shared" si="50"/>
        <v>NO</v>
      </c>
      <c r="Q986" s="9" t="str">
        <f t="shared" si="51"/>
        <v>Conditioned</v>
      </c>
    </row>
    <row r="987" spans="1:17">
      <c r="A987" s="9">
        <v>14117</v>
      </c>
      <c r="B987" s="9">
        <v>2</v>
      </c>
      <c r="C987" s="9" t="s">
        <v>2509</v>
      </c>
      <c r="D987" s="9" t="s">
        <v>1590</v>
      </c>
      <c r="E987" s="9" t="s">
        <v>1602</v>
      </c>
      <c r="F987" s="9" t="s">
        <v>1590</v>
      </c>
      <c r="G987" s="9" t="s">
        <v>1592</v>
      </c>
      <c r="H987" s="9" t="s">
        <v>1638</v>
      </c>
      <c r="I987" s="9" t="s">
        <v>2510</v>
      </c>
      <c r="J987" s="9" t="s">
        <v>1605</v>
      </c>
      <c r="K987" s="9">
        <v>1</v>
      </c>
      <c r="L987" s="9">
        <v>19</v>
      </c>
      <c r="O987" s="9" t="str">
        <f t="shared" si="49"/>
        <v>NO</v>
      </c>
      <c r="P987" s="9" t="str">
        <f t="shared" si="50"/>
        <v>YES</v>
      </c>
      <c r="Q987" s="9" t="str">
        <f t="shared" si="51"/>
        <v>Conditioned</v>
      </c>
    </row>
    <row r="988" spans="1:17">
      <c r="A988" s="9">
        <v>14122</v>
      </c>
      <c r="B988" s="9">
        <v>1</v>
      </c>
      <c r="C988" s="9" t="s">
        <v>1589</v>
      </c>
      <c r="D988" s="9" t="s">
        <v>1590</v>
      </c>
      <c r="E988" s="9" t="s">
        <v>1591</v>
      </c>
      <c r="F988" s="9" t="s">
        <v>1589</v>
      </c>
      <c r="G988" s="9" t="s">
        <v>1592</v>
      </c>
      <c r="H988" s="9" t="s">
        <v>1624</v>
      </c>
      <c r="I988" s="9" t="s">
        <v>2511</v>
      </c>
      <c r="J988" s="9" t="s">
        <v>1597</v>
      </c>
      <c r="K988" s="9">
        <v>1</v>
      </c>
      <c r="L988" s="9">
        <v>18</v>
      </c>
      <c r="M988" s="9">
        <v>1996</v>
      </c>
      <c r="O988" s="9" t="str">
        <f t="shared" si="49"/>
        <v>NO</v>
      </c>
      <c r="P988" s="9" t="str">
        <f t="shared" si="50"/>
        <v>NO</v>
      </c>
      <c r="Q988" s="9" t="str">
        <f t="shared" si="51"/>
        <v>Conditioned</v>
      </c>
    </row>
    <row r="989" spans="1:17">
      <c r="A989" s="9">
        <v>14129</v>
      </c>
      <c r="B989" s="9">
        <v>1</v>
      </c>
      <c r="C989" s="9" t="s">
        <v>1589</v>
      </c>
      <c r="D989" s="9" t="s">
        <v>1590</v>
      </c>
      <c r="E989" s="9" t="s">
        <v>1591</v>
      </c>
      <c r="F989" s="9" t="s">
        <v>1589</v>
      </c>
      <c r="G989" s="9" t="s">
        <v>1592</v>
      </c>
      <c r="H989" s="9" t="s">
        <v>177</v>
      </c>
      <c r="I989" s="9" t="s">
        <v>2512</v>
      </c>
      <c r="J989" s="9" t="s">
        <v>1597</v>
      </c>
      <c r="K989" s="9">
        <v>1</v>
      </c>
      <c r="L989" s="9">
        <v>20</v>
      </c>
      <c r="M989" s="9">
        <v>2001</v>
      </c>
      <c r="O989" s="9" t="str">
        <f t="shared" si="49"/>
        <v>NO</v>
      </c>
      <c r="P989" s="9" t="str">
        <f t="shared" si="50"/>
        <v>NO</v>
      </c>
      <c r="Q989" s="9" t="str">
        <f t="shared" si="51"/>
        <v>Conditioned</v>
      </c>
    </row>
    <row r="990" spans="1:17">
      <c r="A990" s="9">
        <v>14140</v>
      </c>
      <c r="B990" s="9">
        <v>1</v>
      </c>
      <c r="C990" s="9" t="s">
        <v>1589</v>
      </c>
      <c r="D990" s="9" t="s">
        <v>1590</v>
      </c>
      <c r="E990" s="9" t="s">
        <v>1591</v>
      </c>
      <c r="F990" s="9" t="s">
        <v>1589</v>
      </c>
      <c r="G990" s="9" t="s">
        <v>1592</v>
      </c>
      <c r="H990" s="9" t="s">
        <v>177</v>
      </c>
      <c r="I990" s="9" t="s">
        <v>2513</v>
      </c>
      <c r="J990" s="9" t="s">
        <v>1597</v>
      </c>
      <c r="K990" s="9">
        <v>1</v>
      </c>
      <c r="L990" s="9">
        <v>20</v>
      </c>
      <c r="M990" s="9">
        <v>1995</v>
      </c>
      <c r="O990" s="9" t="str">
        <f t="shared" si="49"/>
        <v>NO</v>
      </c>
      <c r="P990" s="9" t="str">
        <f t="shared" si="50"/>
        <v>NO</v>
      </c>
      <c r="Q990" s="9" t="str">
        <f t="shared" si="51"/>
        <v>Conditioned</v>
      </c>
    </row>
    <row r="991" spans="1:17">
      <c r="A991" s="9">
        <v>14143</v>
      </c>
      <c r="B991" s="9">
        <v>1</v>
      </c>
      <c r="C991" s="9" t="s">
        <v>1589</v>
      </c>
      <c r="D991" s="9" t="s">
        <v>1590</v>
      </c>
      <c r="E991" s="9" t="s">
        <v>1591</v>
      </c>
      <c r="F991" s="9" t="s">
        <v>1589</v>
      </c>
      <c r="G991" s="9" t="s">
        <v>1592</v>
      </c>
      <c r="H991" s="9" t="s">
        <v>170</v>
      </c>
      <c r="I991" s="9" t="s">
        <v>2514</v>
      </c>
      <c r="J991" s="9" t="s">
        <v>1597</v>
      </c>
      <c r="K991" s="9">
        <v>1</v>
      </c>
      <c r="L991" s="9">
        <v>25</v>
      </c>
      <c r="M991" s="9">
        <v>1997</v>
      </c>
      <c r="O991" s="9" t="str">
        <f t="shared" si="49"/>
        <v>NO</v>
      </c>
      <c r="P991" s="9" t="str">
        <f t="shared" si="50"/>
        <v>NO</v>
      </c>
      <c r="Q991" s="9" t="str">
        <f t="shared" si="51"/>
        <v>Conditioned</v>
      </c>
    </row>
    <row r="992" spans="1:17">
      <c r="A992" s="9">
        <v>14143</v>
      </c>
      <c r="B992" s="9">
        <v>2</v>
      </c>
      <c r="C992" s="9" t="s">
        <v>1589</v>
      </c>
      <c r="D992" s="9" t="s">
        <v>1590</v>
      </c>
      <c r="E992" s="9" t="s">
        <v>1591</v>
      </c>
      <c r="F992" s="9" t="s">
        <v>1589</v>
      </c>
      <c r="G992" s="9" t="s">
        <v>1606</v>
      </c>
      <c r="H992" s="9" t="s">
        <v>169</v>
      </c>
      <c r="I992" s="9" t="s">
        <v>2515</v>
      </c>
      <c r="J992" s="9" t="s">
        <v>1605</v>
      </c>
      <c r="K992" s="9">
        <v>1</v>
      </c>
      <c r="L992" s="9">
        <v>13</v>
      </c>
      <c r="M992" s="9">
        <v>1987</v>
      </c>
      <c r="O992" s="9" t="str">
        <f t="shared" si="49"/>
        <v>NO</v>
      </c>
      <c r="P992" s="9" t="str">
        <f t="shared" si="50"/>
        <v>YES</v>
      </c>
      <c r="Q992" s="9" t="str">
        <f t="shared" si="51"/>
        <v>Unconditioned</v>
      </c>
    </row>
    <row r="993" spans="1:17">
      <c r="A993" s="9">
        <v>14150</v>
      </c>
      <c r="B993" s="9">
        <v>1</v>
      </c>
      <c r="C993" s="9" t="s">
        <v>1589</v>
      </c>
      <c r="D993" s="9" t="s">
        <v>1590</v>
      </c>
      <c r="E993" s="9" t="s">
        <v>1591</v>
      </c>
      <c r="F993" s="9" t="s">
        <v>1589</v>
      </c>
      <c r="G993" s="9" t="s">
        <v>1592</v>
      </c>
      <c r="H993" s="9" t="s">
        <v>170</v>
      </c>
      <c r="I993" s="9" t="s">
        <v>2516</v>
      </c>
      <c r="J993" s="9" t="s">
        <v>1608</v>
      </c>
      <c r="K993" s="9">
        <v>1</v>
      </c>
      <c r="L993" s="9">
        <v>20</v>
      </c>
      <c r="M993" s="9">
        <v>2007</v>
      </c>
      <c r="O993" s="9" t="str">
        <f t="shared" si="49"/>
        <v>NO</v>
      </c>
      <c r="P993" s="9" t="str">
        <f t="shared" si="50"/>
        <v>NO</v>
      </c>
      <c r="Q993" s="9" t="str">
        <f t="shared" si="51"/>
        <v>Conditioned</v>
      </c>
    </row>
    <row r="994" spans="1:17">
      <c r="A994" s="9">
        <v>14150</v>
      </c>
      <c r="B994" s="9">
        <v>2</v>
      </c>
      <c r="C994" s="9" t="s">
        <v>1589</v>
      </c>
      <c r="D994" s="9" t="s">
        <v>1590</v>
      </c>
      <c r="E994" s="9" t="s">
        <v>1602</v>
      </c>
      <c r="F994" s="9" t="s">
        <v>1590</v>
      </c>
      <c r="G994" s="9" t="s">
        <v>1606</v>
      </c>
      <c r="H994" s="9" t="s">
        <v>172</v>
      </c>
      <c r="I994" s="9" t="s">
        <v>2517</v>
      </c>
      <c r="J994" s="9" t="s">
        <v>1601</v>
      </c>
      <c r="K994" s="9">
        <v>1</v>
      </c>
      <c r="L994" s="9">
        <v>20</v>
      </c>
      <c r="M994" s="9">
        <v>1991</v>
      </c>
      <c r="O994" s="9" t="str">
        <f t="shared" si="49"/>
        <v>NO</v>
      </c>
      <c r="P994" s="9" t="str">
        <f t="shared" si="50"/>
        <v>NO</v>
      </c>
      <c r="Q994" s="9" t="str">
        <f t="shared" si="51"/>
        <v>Unconditioned</v>
      </c>
    </row>
    <row r="995" spans="1:17">
      <c r="A995" s="9">
        <v>14150</v>
      </c>
      <c r="B995" s="9">
        <v>3</v>
      </c>
      <c r="C995" s="9" t="s">
        <v>1589</v>
      </c>
      <c r="D995" s="9" t="s">
        <v>1590</v>
      </c>
      <c r="E995" s="9" t="s">
        <v>1591</v>
      </c>
      <c r="F995" s="9" t="s">
        <v>1589</v>
      </c>
      <c r="G995" s="9" t="s">
        <v>1606</v>
      </c>
      <c r="H995" s="9" t="s">
        <v>1900</v>
      </c>
      <c r="I995" s="9" t="s">
        <v>2518</v>
      </c>
      <c r="J995" s="9" t="s">
        <v>1587</v>
      </c>
      <c r="K995" s="9">
        <v>1</v>
      </c>
      <c r="L995" s="9">
        <v>5</v>
      </c>
      <c r="M995" s="9">
        <v>1989</v>
      </c>
      <c r="O995" s="9" t="str">
        <f t="shared" si="49"/>
        <v>YES</v>
      </c>
      <c r="P995" s="9" t="str">
        <f t="shared" si="50"/>
        <v>YES</v>
      </c>
      <c r="Q995" s="9" t="str">
        <f t="shared" si="51"/>
        <v>Unconditioned</v>
      </c>
    </row>
    <row r="996" spans="1:17">
      <c r="A996" s="9">
        <v>14153</v>
      </c>
      <c r="B996" s="9">
        <v>1</v>
      </c>
      <c r="C996" s="9" t="s">
        <v>1589</v>
      </c>
      <c r="D996" s="9" t="s">
        <v>1590</v>
      </c>
      <c r="E996" s="9" t="s">
        <v>1602</v>
      </c>
      <c r="F996" s="9" t="s">
        <v>1603</v>
      </c>
      <c r="G996" s="9" t="s">
        <v>1592</v>
      </c>
      <c r="H996" s="9" t="s">
        <v>177</v>
      </c>
      <c r="I996" s="9" t="s">
        <v>2519</v>
      </c>
      <c r="J996" s="9" t="s">
        <v>1601</v>
      </c>
      <c r="K996" s="9">
        <v>1</v>
      </c>
      <c r="L996" s="9">
        <v>22</v>
      </c>
      <c r="M996" s="9">
        <v>2004</v>
      </c>
      <c r="O996" s="9" t="str">
        <f t="shared" si="49"/>
        <v>NO</v>
      </c>
      <c r="P996" s="9" t="str">
        <f t="shared" si="50"/>
        <v>NO</v>
      </c>
      <c r="Q996" s="9" t="str">
        <f t="shared" si="51"/>
        <v>Conditioned</v>
      </c>
    </row>
    <row r="997" spans="1:17">
      <c r="A997" s="9">
        <v>14162</v>
      </c>
      <c r="B997" s="9">
        <v>1</v>
      </c>
      <c r="C997" s="9" t="s">
        <v>1589</v>
      </c>
      <c r="D997" s="9" t="s">
        <v>1590</v>
      </c>
      <c r="E997" s="9" t="s">
        <v>1591</v>
      </c>
      <c r="F997" s="9" t="s">
        <v>1589</v>
      </c>
      <c r="G997" s="9" t="s">
        <v>1592</v>
      </c>
      <c r="H997" s="9" t="s">
        <v>1638</v>
      </c>
      <c r="I997" s="9" t="s">
        <v>2520</v>
      </c>
      <c r="J997" s="9" t="s">
        <v>1601</v>
      </c>
      <c r="K997" s="9">
        <v>1</v>
      </c>
      <c r="L997" s="9">
        <v>22</v>
      </c>
      <c r="M997" s="9">
        <v>1981</v>
      </c>
      <c r="O997" s="9" t="str">
        <f t="shared" si="49"/>
        <v>NO</v>
      </c>
      <c r="P997" s="9" t="str">
        <f t="shared" si="50"/>
        <v>NO</v>
      </c>
      <c r="Q997" s="9" t="str">
        <f t="shared" si="51"/>
        <v>Conditioned</v>
      </c>
    </row>
    <row r="998" spans="1:17">
      <c r="A998" s="9">
        <v>14162</v>
      </c>
      <c r="B998" s="9">
        <v>2</v>
      </c>
      <c r="C998" s="9" t="s">
        <v>1589</v>
      </c>
      <c r="D998" s="9" t="s">
        <v>1590</v>
      </c>
      <c r="E998" s="9" t="s">
        <v>1591</v>
      </c>
      <c r="F998" s="9" t="s">
        <v>1589</v>
      </c>
      <c r="G998" s="9" t="s">
        <v>1592</v>
      </c>
      <c r="H998" s="9" t="s">
        <v>169</v>
      </c>
      <c r="I998" s="9" t="s">
        <v>1589</v>
      </c>
      <c r="J998" s="9" t="s">
        <v>1605</v>
      </c>
      <c r="K998" s="9">
        <v>1</v>
      </c>
      <c r="L998" s="9">
        <v>21</v>
      </c>
      <c r="O998" s="9" t="str">
        <f t="shared" si="49"/>
        <v>NO</v>
      </c>
      <c r="P998" s="9" t="str">
        <f t="shared" si="50"/>
        <v>YES</v>
      </c>
      <c r="Q998" s="9" t="str">
        <f t="shared" si="51"/>
        <v>Conditioned</v>
      </c>
    </row>
    <row r="999" spans="1:17">
      <c r="A999" s="9">
        <v>14174</v>
      </c>
      <c r="B999" s="9">
        <v>1</v>
      </c>
      <c r="C999" s="9" t="s">
        <v>1589</v>
      </c>
      <c r="D999" s="9" t="s">
        <v>1590</v>
      </c>
      <c r="E999" s="9" t="s">
        <v>1591</v>
      </c>
      <c r="F999" s="9" t="s">
        <v>1589</v>
      </c>
      <c r="G999" s="9" t="s">
        <v>1592</v>
      </c>
      <c r="H999" s="9" t="s">
        <v>1599</v>
      </c>
      <c r="I999" s="9" t="s">
        <v>2521</v>
      </c>
      <c r="J999" s="9" t="s">
        <v>1597</v>
      </c>
      <c r="K999" s="9">
        <v>1</v>
      </c>
      <c r="L999" s="9">
        <v>20</v>
      </c>
      <c r="M999" s="9">
        <v>2001</v>
      </c>
      <c r="O999" s="9" t="str">
        <f t="shared" si="49"/>
        <v>NO</v>
      </c>
      <c r="P999" s="9" t="str">
        <f t="shared" si="50"/>
        <v>NO</v>
      </c>
      <c r="Q999" s="9" t="str">
        <f t="shared" si="51"/>
        <v>Conditioned</v>
      </c>
    </row>
    <row r="1000" spans="1:17">
      <c r="A1000" s="9">
        <v>14181</v>
      </c>
      <c r="B1000" s="9">
        <v>1</v>
      </c>
      <c r="C1000" s="9" t="s">
        <v>1589</v>
      </c>
      <c r="D1000" s="9" t="s">
        <v>1590</v>
      </c>
      <c r="E1000" s="9" t="s">
        <v>1591</v>
      </c>
      <c r="F1000" s="9" t="s">
        <v>1589</v>
      </c>
      <c r="G1000" s="9" t="s">
        <v>1592</v>
      </c>
      <c r="H1000" s="9" t="s">
        <v>177</v>
      </c>
      <c r="I1000" s="9" t="s">
        <v>2522</v>
      </c>
      <c r="J1000" s="9" t="s">
        <v>1608</v>
      </c>
      <c r="K1000" s="9">
        <v>1</v>
      </c>
      <c r="L1000" s="9">
        <v>22</v>
      </c>
      <c r="M1000" s="9">
        <v>2010</v>
      </c>
      <c r="O1000" s="9" t="str">
        <f t="shared" si="49"/>
        <v>NO</v>
      </c>
      <c r="P1000" s="9" t="str">
        <f t="shared" si="50"/>
        <v>NO</v>
      </c>
      <c r="Q1000" s="9" t="str">
        <f t="shared" si="51"/>
        <v>Conditioned</v>
      </c>
    </row>
    <row r="1001" spans="1:17">
      <c r="A1001" s="9">
        <v>14210</v>
      </c>
      <c r="B1001" s="9">
        <v>1</v>
      </c>
      <c r="C1001" s="9" t="s">
        <v>1589</v>
      </c>
      <c r="D1001" s="9" t="s">
        <v>1590</v>
      </c>
      <c r="E1001" s="9" t="s">
        <v>1591</v>
      </c>
      <c r="F1001" s="9" t="s">
        <v>1589</v>
      </c>
      <c r="G1001" s="9" t="s">
        <v>1592</v>
      </c>
      <c r="H1001" s="9" t="s">
        <v>170</v>
      </c>
      <c r="I1001" s="9" t="s">
        <v>2523</v>
      </c>
      <c r="J1001" s="9" t="s">
        <v>1608</v>
      </c>
      <c r="K1001" s="9">
        <v>1</v>
      </c>
      <c r="L1001" s="9">
        <v>22</v>
      </c>
      <c r="M1001" s="9">
        <v>2001</v>
      </c>
      <c r="O1001" s="9" t="str">
        <f t="shared" si="49"/>
        <v>NO</v>
      </c>
      <c r="P1001" s="9" t="str">
        <f t="shared" si="50"/>
        <v>NO</v>
      </c>
      <c r="Q1001" s="9" t="str">
        <f t="shared" si="51"/>
        <v>Conditioned</v>
      </c>
    </row>
    <row r="1002" spans="1:17">
      <c r="A1002" s="9">
        <v>14211</v>
      </c>
      <c r="B1002" s="9">
        <v>1</v>
      </c>
      <c r="C1002" s="9" t="s">
        <v>1589</v>
      </c>
      <c r="D1002" s="9" t="s">
        <v>1590</v>
      </c>
      <c r="E1002" s="9" t="s">
        <v>1591</v>
      </c>
      <c r="F1002" s="9" t="s">
        <v>1589</v>
      </c>
      <c r="G1002" s="9" t="s">
        <v>1606</v>
      </c>
      <c r="H1002" s="9" t="s">
        <v>170</v>
      </c>
      <c r="I1002" s="9" t="s">
        <v>2524</v>
      </c>
      <c r="J1002" s="9" t="s">
        <v>1597</v>
      </c>
      <c r="K1002" s="9">
        <v>1</v>
      </c>
      <c r="L1002" s="9">
        <v>19</v>
      </c>
      <c r="M1002" s="9">
        <v>1993</v>
      </c>
      <c r="O1002" s="9" t="str">
        <f t="shared" si="49"/>
        <v>NO</v>
      </c>
      <c r="P1002" s="9" t="str">
        <f t="shared" si="50"/>
        <v>NO</v>
      </c>
      <c r="Q1002" s="9" t="str">
        <f t="shared" si="51"/>
        <v>Unconditioned</v>
      </c>
    </row>
    <row r="1003" spans="1:17">
      <c r="A1003" s="9">
        <v>14211</v>
      </c>
      <c r="B1003" s="9">
        <v>2</v>
      </c>
      <c r="C1003" s="9" t="s">
        <v>1589</v>
      </c>
      <c r="D1003" s="9" t="s">
        <v>1590</v>
      </c>
      <c r="E1003" s="9" t="s">
        <v>1591</v>
      </c>
      <c r="F1003" s="9" t="s">
        <v>1589</v>
      </c>
      <c r="G1003" s="9" t="s">
        <v>1592</v>
      </c>
      <c r="H1003" s="9" t="s">
        <v>174</v>
      </c>
      <c r="I1003" s="9" t="s">
        <v>2525</v>
      </c>
      <c r="J1003" s="9" t="s">
        <v>1608</v>
      </c>
      <c r="K1003" s="9">
        <v>1</v>
      </c>
      <c r="L1003" s="9">
        <v>22</v>
      </c>
      <c r="M1003" s="9">
        <v>2001</v>
      </c>
      <c r="O1003" s="9" t="str">
        <f t="shared" si="49"/>
        <v>NO</v>
      </c>
      <c r="P1003" s="9" t="str">
        <f t="shared" si="50"/>
        <v>NO</v>
      </c>
      <c r="Q1003" s="9" t="str">
        <f t="shared" si="51"/>
        <v>Conditioned</v>
      </c>
    </row>
    <row r="1004" spans="1:17">
      <c r="A1004" s="9">
        <v>14222</v>
      </c>
      <c r="B1004" s="9">
        <v>1</v>
      </c>
      <c r="C1004" s="9" t="s">
        <v>1589</v>
      </c>
      <c r="D1004" s="9" t="s">
        <v>1590</v>
      </c>
      <c r="E1004" s="9" t="s">
        <v>1591</v>
      </c>
      <c r="F1004" s="9" t="s">
        <v>1589</v>
      </c>
      <c r="G1004" s="9" t="s">
        <v>1592</v>
      </c>
      <c r="H1004" s="9" t="s">
        <v>170</v>
      </c>
      <c r="I1004" s="9" t="s">
        <v>2526</v>
      </c>
      <c r="J1004" s="9" t="s">
        <v>1610</v>
      </c>
      <c r="K1004" s="9">
        <v>1</v>
      </c>
      <c r="L1004" s="9">
        <v>19</v>
      </c>
      <c r="M1004" s="9">
        <v>1981</v>
      </c>
      <c r="O1004" s="9" t="str">
        <f t="shared" si="49"/>
        <v>NO</v>
      </c>
      <c r="P1004" s="9" t="str">
        <f t="shared" si="50"/>
        <v>NO</v>
      </c>
      <c r="Q1004" s="9" t="str">
        <f t="shared" si="51"/>
        <v>Conditioned</v>
      </c>
    </row>
    <row r="1005" spans="1:17">
      <c r="A1005" s="9">
        <v>14264</v>
      </c>
      <c r="B1005" s="9">
        <v>1</v>
      </c>
      <c r="C1005" s="9" t="s">
        <v>1589</v>
      </c>
      <c r="D1005" s="9" t="s">
        <v>1590</v>
      </c>
      <c r="E1005" s="9" t="s">
        <v>1613</v>
      </c>
      <c r="F1005" s="9" t="s">
        <v>1603</v>
      </c>
      <c r="G1005" s="9" t="s">
        <v>1592</v>
      </c>
      <c r="H1005" s="9" t="s">
        <v>170</v>
      </c>
      <c r="I1005" s="9" t="s">
        <v>2527</v>
      </c>
      <c r="J1005" s="9" t="s">
        <v>1597</v>
      </c>
      <c r="K1005" s="9">
        <v>1</v>
      </c>
      <c r="L1005" s="9">
        <v>19</v>
      </c>
      <c r="M1005" s="9">
        <v>2001</v>
      </c>
      <c r="O1005" s="9" t="str">
        <f t="shared" si="49"/>
        <v>NO</v>
      </c>
      <c r="P1005" s="9" t="str">
        <f t="shared" si="50"/>
        <v>NO</v>
      </c>
      <c r="Q1005" s="9" t="str">
        <f t="shared" si="51"/>
        <v>Conditioned</v>
      </c>
    </row>
    <row r="1006" spans="1:17">
      <c r="A1006" s="9">
        <v>14273</v>
      </c>
      <c r="B1006" s="9">
        <v>1</v>
      </c>
      <c r="C1006" s="9" t="s">
        <v>1589</v>
      </c>
      <c r="D1006" s="9" t="s">
        <v>1590</v>
      </c>
      <c r="E1006" s="9" t="s">
        <v>1613</v>
      </c>
      <c r="F1006" s="9" t="s">
        <v>1603</v>
      </c>
      <c r="G1006" s="9" t="s">
        <v>1592</v>
      </c>
      <c r="H1006" s="9" t="s">
        <v>176</v>
      </c>
      <c r="I1006" s="9" t="s">
        <v>2528</v>
      </c>
      <c r="J1006" s="9" t="s">
        <v>1608</v>
      </c>
      <c r="K1006" s="9">
        <v>1</v>
      </c>
      <c r="L1006" s="9">
        <v>21</v>
      </c>
      <c r="M1006" s="9">
        <v>2009</v>
      </c>
      <c r="O1006" s="9" t="str">
        <f t="shared" si="49"/>
        <v>NO</v>
      </c>
      <c r="P1006" s="9" t="str">
        <f t="shared" si="50"/>
        <v>NO</v>
      </c>
      <c r="Q1006" s="9" t="str">
        <f t="shared" si="51"/>
        <v>Conditioned</v>
      </c>
    </row>
    <row r="1007" spans="1:17">
      <c r="A1007" s="9">
        <v>14277</v>
      </c>
      <c r="B1007" s="9">
        <v>1</v>
      </c>
      <c r="C1007" s="9" t="s">
        <v>1589</v>
      </c>
      <c r="D1007" s="9" t="s">
        <v>1590</v>
      </c>
      <c r="E1007" s="9" t="s">
        <v>1602</v>
      </c>
      <c r="F1007" s="9" t="s">
        <v>1603</v>
      </c>
      <c r="G1007" s="9" t="s">
        <v>1592</v>
      </c>
      <c r="H1007" s="9" t="s">
        <v>169</v>
      </c>
      <c r="I1007" s="9" t="s">
        <v>2529</v>
      </c>
      <c r="J1007" s="9" t="s">
        <v>1601</v>
      </c>
      <c r="K1007" s="9">
        <v>1</v>
      </c>
      <c r="L1007" s="9">
        <v>22</v>
      </c>
      <c r="M1007" s="9">
        <v>1997</v>
      </c>
      <c r="O1007" s="9" t="str">
        <f t="shared" si="49"/>
        <v>NO</v>
      </c>
      <c r="P1007" s="9" t="str">
        <f t="shared" si="50"/>
        <v>NO</v>
      </c>
      <c r="Q1007" s="9" t="str">
        <f t="shared" si="51"/>
        <v>Conditioned</v>
      </c>
    </row>
    <row r="1008" spans="1:17">
      <c r="A1008" s="9">
        <v>14277</v>
      </c>
      <c r="B1008" s="9">
        <v>2</v>
      </c>
      <c r="C1008" s="9" t="s">
        <v>1589</v>
      </c>
      <c r="D1008" s="9" t="s">
        <v>1590</v>
      </c>
      <c r="E1008" s="9" t="s">
        <v>1591</v>
      </c>
      <c r="F1008" s="9" t="s">
        <v>1589</v>
      </c>
      <c r="G1008" s="9" t="s">
        <v>1592</v>
      </c>
      <c r="H1008" s="9" t="s">
        <v>1589</v>
      </c>
      <c r="I1008" s="9" t="s">
        <v>2530</v>
      </c>
      <c r="J1008" s="9" t="s">
        <v>1587</v>
      </c>
      <c r="K1008" s="9">
        <v>1</v>
      </c>
      <c r="L1008" s="9">
        <v>6</v>
      </c>
      <c r="M1008" s="9">
        <v>2004</v>
      </c>
      <c r="O1008" s="9" t="str">
        <f t="shared" si="49"/>
        <v>YES</v>
      </c>
      <c r="P1008" s="9" t="str">
        <f t="shared" si="50"/>
        <v>YES</v>
      </c>
      <c r="Q1008" s="9" t="str">
        <f t="shared" si="51"/>
        <v>Conditioned</v>
      </c>
    </row>
    <row r="1009" spans="1:17">
      <c r="A1009" s="9">
        <v>14284</v>
      </c>
      <c r="B1009" s="9">
        <v>1</v>
      </c>
      <c r="C1009" s="9" t="s">
        <v>1589</v>
      </c>
      <c r="D1009" s="9" t="s">
        <v>1590</v>
      </c>
      <c r="E1009" s="9" t="s">
        <v>1613</v>
      </c>
      <c r="F1009" s="9" t="s">
        <v>1603</v>
      </c>
      <c r="G1009" s="9" t="s">
        <v>1592</v>
      </c>
      <c r="H1009" s="9" t="s">
        <v>170</v>
      </c>
      <c r="I1009" s="9" t="s">
        <v>2531</v>
      </c>
      <c r="J1009" s="9" t="s">
        <v>1597</v>
      </c>
      <c r="K1009" s="9">
        <v>1</v>
      </c>
      <c r="L1009" s="9">
        <v>19</v>
      </c>
      <c r="M1009" s="9">
        <v>1992</v>
      </c>
      <c r="O1009" s="9" t="str">
        <f t="shared" si="49"/>
        <v>NO</v>
      </c>
      <c r="P1009" s="9" t="str">
        <f t="shared" si="50"/>
        <v>NO</v>
      </c>
      <c r="Q1009" s="9" t="str">
        <f t="shared" si="51"/>
        <v>Conditioned</v>
      </c>
    </row>
    <row r="1010" spans="1:17">
      <c r="A1010" s="9">
        <v>14285</v>
      </c>
      <c r="B1010" s="9">
        <v>1</v>
      </c>
      <c r="C1010" s="9" t="s">
        <v>1589</v>
      </c>
      <c r="D1010" s="9" t="s">
        <v>1590</v>
      </c>
      <c r="E1010" s="9" t="s">
        <v>1591</v>
      </c>
      <c r="F1010" s="9" t="s">
        <v>1589</v>
      </c>
      <c r="G1010" s="9" t="s">
        <v>1592</v>
      </c>
      <c r="H1010" s="9" t="s">
        <v>169</v>
      </c>
      <c r="I1010" s="9" t="s">
        <v>2532</v>
      </c>
      <c r="J1010" s="9" t="s">
        <v>1597</v>
      </c>
      <c r="K1010" s="9">
        <v>1</v>
      </c>
      <c r="L1010" s="9">
        <v>18</v>
      </c>
      <c r="M1010" s="9">
        <v>2008</v>
      </c>
      <c r="O1010" s="9" t="str">
        <f t="shared" si="49"/>
        <v>NO</v>
      </c>
      <c r="P1010" s="9" t="str">
        <f t="shared" si="50"/>
        <v>NO</v>
      </c>
      <c r="Q1010" s="9" t="str">
        <f t="shared" si="51"/>
        <v>Conditioned</v>
      </c>
    </row>
    <row r="1011" spans="1:17">
      <c r="A1011" s="9">
        <v>14300</v>
      </c>
      <c r="B1011" s="9">
        <v>1</v>
      </c>
      <c r="C1011" s="9" t="s">
        <v>1589</v>
      </c>
      <c r="D1011" s="9" t="s">
        <v>1590</v>
      </c>
      <c r="E1011" s="9" t="s">
        <v>1591</v>
      </c>
      <c r="F1011" s="9" t="s">
        <v>1589</v>
      </c>
      <c r="G1011" s="9" t="s">
        <v>1592</v>
      </c>
      <c r="H1011" s="9" t="s">
        <v>172</v>
      </c>
      <c r="I1011" s="9" t="s">
        <v>2533</v>
      </c>
      <c r="J1011" s="9" t="s">
        <v>1597</v>
      </c>
      <c r="K1011" s="9">
        <v>1</v>
      </c>
      <c r="L1011" s="9">
        <v>18</v>
      </c>
      <c r="M1011" s="9">
        <v>1998</v>
      </c>
      <c r="O1011" s="9" t="str">
        <f t="shared" si="49"/>
        <v>NO</v>
      </c>
      <c r="P1011" s="9" t="str">
        <f t="shared" si="50"/>
        <v>NO</v>
      </c>
      <c r="Q1011" s="9" t="str">
        <f t="shared" si="51"/>
        <v>Conditioned</v>
      </c>
    </row>
    <row r="1012" spans="1:17">
      <c r="A1012" s="9">
        <v>14329</v>
      </c>
      <c r="B1012" s="9">
        <v>1</v>
      </c>
      <c r="C1012" s="9" t="s">
        <v>1589</v>
      </c>
      <c r="D1012" s="9" t="s">
        <v>1590</v>
      </c>
      <c r="E1012" s="9" t="s">
        <v>1591</v>
      </c>
      <c r="F1012" s="9" t="s">
        <v>1589</v>
      </c>
      <c r="G1012" s="9" t="s">
        <v>1606</v>
      </c>
      <c r="H1012" s="9" t="s">
        <v>169</v>
      </c>
      <c r="I1012" s="9" t="s">
        <v>2534</v>
      </c>
      <c r="J1012" s="9" t="s">
        <v>1605</v>
      </c>
      <c r="K1012" s="9">
        <v>1</v>
      </c>
      <c r="L1012" s="9">
        <v>20</v>
      </c>
      <c r="M1012" s="9">
        <v>2011</v>
      </c>
      <c r="O1012" s="9" t="str">
        <f t="shared" si="49"/>
        <v>NO</v>
      </c>
      <c r="P1012" s="9" t="str">
        <f t="shared" si="50"/>
        <v>YES</v>
      </c>
      <c r="Q1012" s="9" t="str">
        <f t="shared" si="51"/>
        <v>Unconditioned</v>
      </c>
    </row>
    <row r="1013" spans="1:17">
      <c r="A1013" s="9">
        <v>14329</v>
      </c>
      <c r="B1013" s="9">
        <v>2</v>
      </c>
      <c r="C1013" s="9" t="s">
        <v>1589</v>
      </c>
      <c r="D1013" s="9" t="s">
        <v>1590</v>
      </c>
      <c r="E1013" s="9" t="s">
        <v>1602</v>
      </c>
      <c r="F1013" s="9" t="s">
        <v>1603</v>
      </c>
      <c r="G1013" s="9" t="s">
        <v>1592</v>
      </c>
      <c r="H1013" s="9" t="s">
        <v>775</v>
      </c>
      <c r="I1013" s="9" t="s">
        <v>2535</v>
      </c>
      <c r="J1013" s="9" t="s">
        <v>1601</v>
      </c>
      <c r="K1013" s="9">
        <v>1</v>
      </c>
      <c r="L1013" s="9">
        <v>25</v>
      </c>
      <c r="M1013" s="9">
        <v>1996</v>
      </c>
      <c r="O1013" s="9" t="str">
        <f t="shared" si="49"/>
        <v>NO</v>
      </c>
      <c r="P1013" s="9" t="str">
        <f t="shared" si="50"/>
        <v>NO</v>
      </c>
      <c r="Q1013" s="9" t="str">
        <f t="shared" si="51"/>
        <v>Conditioned</v>
      </c>
    </row>
    <row r="1014" spans="1:17">
      <c r="A1014" s="9">
        <v>14331</v>
      </c>
      <c r="B1014" s="9">
        <v>1</v>
      </c>
      <c r="C1014" s="9" t="s">
        <v>1589</v>
      </c>
      <c r="D1014" s="9" t="s">
        <v>1590</v>
      </c>
      <c r="E1014" s="9" t="s">
        <v>1591</v>
      </c>
      <c r="F1014" s="9" t="s">
        <v>1589</v>
      </c>
      <c r="G1014" s="9" t="s">
        <v>1592</v>
      </c>
      <c r="H1014" s="9" t="s">
        <v>174</v>
      </c>
      <c r="I1014" s="9" t="s">
        <v>2536</v>
      </c>
      <c r="J1014" s="9" t="s">
        <v>1608</v>
      </c>
      <c r="K1014" s="9">
        <v>1</v>
      </c>
      <c r="L1014" s="9">
        <v>22</v>
      </c>
      <c r="M1014" s="9">
        <v>1990</v>
      </c>
      <c r="O1014" s="9" t="str">
        <f t="shared" si="49"/>
        <v>NO</v>
      </c>
      <c r="P1014" s="9" t="str">
        <f t="shared" si="50"/>
        <v>NO</v>
      </c>
      <c r="Q1014" s="9" t="str">
        <f t="shared" si="51"/>
        <v>Conditioned</v>
      </c>
    </row>
    <row r="1015" spans="1:17">
      <c r="A1015" s="9">
        <v>14331</v>
      </c>
      <c r="B1015" s="9">
        <v>2</v>
      </c>
      <c r="C1015" s="9" t="s">
        <v>1589</v>
      </c>
      <c r="D1015" s="9" t="s">
        <v>1590</v>
      </c>
      <c r="E1015" s="9" t="s">
        <v>1591</v>
      </c>
      <c r="F1015" s="9" t="s">
        <v>1589</v>
      </c>
      <c r="G1015" s="9" t="s">
        <v>1592</v>
      </c>
      <c r="H1015" s="9" t="s">
        <v>169</v>
      </c>
      <c r="I1015" s="9" t="s">
        <v>2537</v>
      </c>
      <c r="J1015" s="9" t="s">
        <v>1597</v>
      </c>
      <c r="K1015" s="9">
        <v>1</v>
      </c>
      <c r="L1015" s="9">
        <v>20</v>
      </c>
      <c r="M1015" s="9">
        <v>2001</v>
      </c>
      <c r="O1015" s="9" t="str">
        <f t="shared" si="49"/>
        <v>NO</v>
      </c>
      <c r="P1015" s="9" t="str">
        <f t="shared" si="50"/>
        <v>NO</v>
      </c>
      <c r="Q1015" s="9" t="str">
        <f t="shared" si="51"/>
        <v>Conditioned</v>
      </c>
    </row>
    <row r="1016" spans="1:17">
      <c r="A1016" s="9">
        <v>14423</v>
      </c>
      <c r="B1016" s="9">
        <v>1</v>
      </c>
      <c r="C1016" s="9" t="s">
        <v>1589</v>
      </c>
      <c r="D1016" s="9" t="s">
        <v>1590</v>
      </c>
      <c r="E1016" s="9" t="s">
        <v>1591</v>
      </c>
      <c r="F1016" s="9" t="s">
        <v>1589</v>
      </c>
      <c r="G1016" s="9" t="s">
        <v>1592</v>
      </c>
      <c r="H1016" s="9" t="s">
        <v>168</v>
      </c>
      <c r="I1016" s="9" t="s">
        <v>2538</v>
      </c>
      <c r="J1016" s="9" t="s">
        <v>1597</v>
      </c>
      <c r="K1016" s="9">
        <v>1</v>
      </c>
      <c r="L1016" s="9">
        <v>19</v>
      </c>
      <c r="M1016" s="9">
        <v>1995</v>
      </c>
      <c r="O1016" s="9" t="str">
        <f t="shared" si="49"/>
        <v>NO</v>
      </c>
      <c r="P1016" s="9" t="str">
        <f t="shared" si="50"/>
        <v>NO</v>
      </c>
      <c r="Q1016" s="9" t="str">
        <f t="shared" si="51"/>
        <v>Conditioned</v>
      </c>
    </row>
    <row r="1017" spans="1:17">
      <c r="A1017" s="9">
        <v>14457</v>
      </c>
      <c r="B1017" s="9">
        <v>1</v>
      </c>
      <c r="C1017" s="9" t="s">
        <v>1589</v>
      </c>
      <c r="D1017" s="9" t="s">
        <v>1590</v>
      </c>
      <c r="E1017" s="9" t="s">
        <v>1613</v>
      </c>
      <c r="F1017" s="9" t="s">
        <v>1603</v>
      </c>
      <c r="G1017" s="9" t="s">
        <v>1592</v>
      </c>
      <c r="H1017" s="9" t="s">
        <v>174</v>
      </c>
      <c r="I1017" s="9" t="s">
        <v>2539</v>
      </c>
      <c r="J1017" s="9" t="s">
        <v>1608</v>
      </c>
      <c r="K1017" s="9">
        <v>1</v>
      </c>
      <c r="L1017" s="9">
        <v>19</v>
      </c>
      <c r="M1017" s="9">
        <v>1999</v>
      </c>
      <c r="O1017" s="9" t="str">
        <f t="shared" si="49"/>
        <v>NO</v>
      </c>
      <c r="P1017" s="9" t="str">
        <f t="shared" si="50"/>
        <v>NO</v>
      </c>
      <c r="Q1017" s="9" t="str">
        <f t="shared" si="51"/>
        <v>Conditioned</v>
      </c>
    </row>
    <row r="1018" spans="1:17">
      <c r="A1018" s="9">
        <v>14508</v>
      </c>
      <c r="B1018" s="9">
        <v>1</v>
      </c>
      <c r="C1018" s="9" t="s">
        <v>1589</v>
      </c>
      <c r="D1018" s="9" t="s">
        <v>1590</v>
      </c>
      <c r="E1018" s="9" t="s">
        <v>1602</v>
      </c>
      <c r="F1018" s="9" t="s">
        <v>1603</v>
      </c>
      <c r="G1018" s="9" t="s">
        <v>1592</v>
      </c>
      <c r="H1018" s="9" t="s">
        <v>170</v>
      </c>
      <c r="I1018" s="9" t="s">
        <v>2540</v>
      </c>
      <c r="J1018" s="9" t="s">
        <v>1608</v>
      </c>
      <c r="K1018" s="9">
        <v>1</v>
      </c>
      <c r="L1018" s="9">
        <v>23</v>
      </c>
      <c r="M1018" s="9">
        <v>2004</v>
      </c>
      <c r="O1018" s="9" t="str">
        <f t="shared" si="49"/>
        <v>NO</v>
      </c>
      <c r="P1018" s="9" t="str">
        <f t="shared" si="50"/>
        <v>NO</v>
      </c>
      <c r="Q1018" s="9" t="str">
        <f t="shared" si="51"/>
        <v>Conditioned</v>
      </c>
    </row>
    <row r="1019" spans="1:17">
      <c r="A1019" s="9">
        <v>14542</v>
      </c>
      <c r="B1019" s="9">
        <v>1</v>
      </c>
      <c r="C1019" s="9" t="s">
        <v>1589</v>
      </c>
      <c r="D1019" s="9" t="s">
        <v>1590</v>
      </c>
      <c r="E1019" s="9" t="s">
        <v>1602</v>
      </c>
      <c r="F1019" s="9" t="s">
        <v>1603</v>
      </c>
      <c r="G1019" s="9" t="s">
        <v>1592</v>
      </c>
      <c r="H1019" s="9" t="s">
        <v>174</v>
      </c>
      <c r="I1019" s="9" t="s">
        <v>2541</v>
      </c>
      <c r="J1019" s="9" t="s">
        <v>1601</v>
      </c>
      <c r="K1019" s="9">
        <v>1</v>
      </c>
      <c r="L1019" s="9">
        <v>22</v>
      </c>
      <c r="M1019" s="9">
        <v>1992</v>
      </c>
      <c r="O1019" s="9" t="str">
        <f t="shared" si="49"/>
        <v>NO</v>
      </c>
      <c r="P1019" s="9" t="str">
        <f t="shared" si="50"/>
        <v>NO</v>
      </c>
      <c r="Q1019" s="9" t="str">
        <f t="shared" si="51"/>
        <v>Conditioned</v>
      </c>
    </row>
    <row r="1020" spans="1:17">
      <c r="A1020" s="9">
        <v>14542</v>
      </c>
      <c r="B1020" s="9">
        <v>2</v>
      </c>
      <c r="C1020" s="9" t="s">
        <v>2542</v>
      </c>
      <c r="D1020" s="9" t="s">
        <v>1590</v>
      </c>
      <c r="E1020" s="9" t="s">
        <v>1591</v>
      </c>
      <c r="F1020" s="9" t="s">
        <v>1589</v>
      </c>
      <c r="G1020" s="9" t="s">
        <v>1592</v>
      </c>
      <c r="H1020" s="9" t="s">
        <v>172</v>
      </c>
      <c r="I1020" s="9" t="s">
        <v>2543</v>
      </c>
      <c r="J1020" s="9" t="s">
        <v>1605</v>
      </c>
      <c r="K1020" s="9">
        <v>1</v>
      </c>
      <c r="L1020" s="9">
        <v>25</v>
      </c>
      <c r="O1020" s="9" t="str">
        <f t="shared" si="49"/>
        <v>NO</v>
      </c>
      <c r="P1020" s="9" t="str">
        <f t="shared" si="50"/>
        <v>YES</v>
      </c>
      <c r="Q1020" s="9" t="str">
        <f t="shared" si="51"/>
        <v>Conditioned</v>
      </c>
    </row>
    <row r="1021" spans="1:17">
      <c r="A1021" s="9">
        <v>14545</v>
      </c>
      <c r="B1021" s="9">
        <v>1</v>
      </c>
      <c r="C1021" s="9" t="s">
        <v>1589</v>
      </c>
      <c r="D1021" s="9" t="s">
        <v>1590</v>
      </c>
      <c r="E1021" s="9" t="s">
        <v>1591</v>
      </c>
      <c r="F1021" s="9" t="s">
        <v>1589</v>
      </c>
      <c r="G1021" s="9" t="s">
        <v>1592</v>
      </c>
      <c r="H1021" s="9" t="s">
        <v>1805</v>
      </c>
      <c r="I1021" s="9" t="s">
        <v>2544</v>
      </c>
      <c r="J1021" s="9" t="s">
        <v>1597</v>
      </c>
      <c r="K1021" s="9">
        <v>1</v>
      </c>
      <c r="L1021" s="9">
        <v>20</v>
      </c>
      <c r="M1021" s="9">
        <v>2001</v>
      </c>
      <c r="O1021" s="9" t="str">
        <f t="shared" si="49"/>
        <v>NO</v>
      </c>
      <c r="P1021" s="9" t="str">
        <f t="shared" si="50"/>
        <v>NO</v>
      </c>
      <c r="Q1021" s="9" t="str">
        <f t="shared" si="51"/>
        <v>Conditioned</v>
      </c>
    </row>
    <row r="1022" spans="1:17">
      <c r="A1022" s="9">
        <v>14545</v>
      </c>
      <c r="B1022" s="9">
        <v>2</v>
      </c>
      <c r="C1022" s="9" t="s">
        <v>1589</v>
      </c>
      <c r="D1022" s="9" t="s">
        <v>1590</v>
      </c>
      <c r="E1022" s="9" t="s">
        <v>1613</v>
      </c>
      <c r="F1022" s="9" t="s">
        <v>1590</v>
      </c>
      <c r="G1022" s="9" t="s">
        <v>1606</v>
      </c>
      <c r="H1022" s="9" t="s">
        <v>177</v>
      </c>
      <c r="I1022" s="9" t="s">
        <v>2545</v>
      </c>
      <c r="J1022" s="9" t="s">
        <v>1597</v>
      </c>
      <c r="K1022" s="9">
        <v>1</v>
      </c>
      <c r="L1022" s="9">
        <v>20</v>
      </c>
      <c r="M1022" s="9">
        <v>1996</v>
      </c>
      <c r="O1022" s="9" t="str">
        <f t="shared" si="49"/>
        <v>NO</v>
      </c>
      <c r="P1022" s="9" t="str">
        <f t="shared" si="50"/>
        <v>NO</v>
      </c>
      <c r="Q1022" s="9" t="str">
        <f t="shared" si="51"/>
        <v>Unconditioned</v>
      </c>
    </row>
    <row r="1023" spans="1:17">
      <c r="A1023" s="9">
        <v>14545</v>
      </c>
      <c r="B1023" s="9">
        <v>3</v>
      </c>
      <c r="C1023" s="9" t="s">
        <v>1589</v>
      </c>
      <c r="D1023" s="9" t="s">
        <v>1590</v>
      </c>
      <c r="E1023" s="9" t="s">
        <v>1591</v>
      </c>
      <c r="F1023" s="9" t="s">
        <v>1589</v>
      </c>
      <c r="G1023" s="9" t="s">
        <v>1592</v>
      </c>
      <c r="H1023" s="9" t="s">
        <v>181</v>
      </c>
      <c r="I1023" s="9" t="s">
        <v>2546</v>
      </c>
      <c r="J1023" s="9" t="s">
        <v>1587</v>
      </c>
      <c r="K1023" s="9">
        <v>1</v>
      </c>
      <c r="L1023" s="9">
        <v>10</v>
      </c>
      <c r="M1023" s="9">
        <v>2011</v>
      </c>
      <c r="O1023" s="9" t="str">
        <f t="shared" si="49"/>
        <v>NO</v>
      </c>
      <c r="P1023" s="9" t="str">
        <f t="shared" si="50"/>
        <v>YES</v>
      </c>
      <c r="Q1023" s="9" t="str">
        <f t="shared" si="51"/>
        <v>Conditioned</v>
      </c>
    </row>
    <row r="1024" spans="1:17">
      <c r="A1024" s="9">
        <v>14560</v>
      </c>
      <c r="B1024" s="9">
        <v>1</v>
      </c>
      <c r="C1024" s="9" t="s">
        <v>2547</v>
      </c>
      <c r="D1024" s="9" t="s">
        <v>1590</v>
      </c>
      <c r="E1024" s="9" t="s">
        <v>1591</v>
      </c>
      <c r="F1024" s="9" t="s">
        <v>1589</v>
      </c>
      <c r="G1024" s="9" t="s">
        <v>1606</v>
      </c>
      <c r="H1024" s="9" t="s">
        <v>1552</v>
      </c>
      <c r="I1024" s="9" t="s">
        <v>1589</v>
      </c>
      <c r="J1024" s="9" t="s">
        <v>1605</v>
      </c>
      <c r="K1024" s="9">
        <v>1</v>
      </c>
      <c r="L1024" s="9">
        <v>20</v>
      </c>
      <c r="O1024" s="9" t="str">
        <f t="shared" si="49"/>
        <v>NO</v>
      </c>
      <c r="P1024" s="9" t="str">
        <f t="shared" si="50"/>
        <v>YES</v>
      </c>
      <c r="Q1024" s="9" t="str">
        <f t="shared" si="51"/>
        <v>Unconditioned</v>
      </c>
    </row>
    <row r="1025" spans="1:17">
      <c r="A1025" s="9">
        <v>14560</v>
      </c>
      <c r="B1025" s="9">
        <v>2</v>
      </c>
      <c r="C1025" s="9" t="s">
        <v>1589</v>
      </c>
      <c r="D1025" s="9" t="s">
        <v>1590</v>
      </c>
      <c r="E1025" s="9" t="s">
        <v>1602</v>
      </c>
      <c r="F1025" s="9" t="s">
        <v>1603</v>
      </c>
      <c r="G1025" s="9" t="s">
        <v>1592</v>
      </c>
      <c r="H1025" s="9" t="s">
        <v>177</v>
      </c>
      <c r="I1025" s="9" t="s">
        <v>2548</v>
      </c>
      <c r="J1025" s="9" t="s">
        <v>1601</v>
      </c>
      <c r="K1025" s="9">
        <v>1</v>
      </c>
      <c r="L1025" s="9">
        <v>22</v>
      </c>
      <c r="M1025" s="9">
        <v>2010</v>
      </c>
      <c r="O1025" s="9" t="str">
        <f t="shared" si="49"/>
        <v>NO</v>
      </c>
      <c r="P1025" s="9" t="str">
        <f t="shared" si="50"/>
        <v>NO</v>
      </c>
      <c r="Q1025" s="9" t="str">
        <f t="shared" si="51"/>
        <v>Conditioned</v>
      </c>
    </row>
    <row r="1026" spans="1:17">
      <c r="A1026" s="9">
        <v>14577</v>
      </c>
      <c r="B1026" s="9">
        <v>1</v>
      </c>
      <c r="C1026" s="9" t="s">
        <v>1589</v>
      </c>
      <c r="D1026" s="9" t="s">
        <v>1590</v>
      </c>
      <c r="E1026" s="9" t="s">
        <v>1591</v>
      </c>
      <c r="F1026" s="9" t="s">
        <v>1589</v>
      </c>
      <c r="G1026" s="9" t="s">
        <v>1592</v>
      </c>
      <c r="H1026" s="9" t="s">
        <v>177</v>
      </c>
      <c r="I1026" s="9" t="s">
        <v>2549</v>
      </c>
      <c r="J1026" s="9" t="s">
        <v>1597</v>
      </c>
      <c r="K1026" s="9">
        <v>1</v>
      </c>
      <c r="L1026" s="9">
        <v>20</v>
      </c>
      <c r="M1026" s="9">
        <v>2002</v>
      </c>
      <c r="O1026" s="9" t="str">
        <f t="shared" si="49"/>
        <v>NO</v>
      </c>
      <c r="P1026" s="9" t="str">
        <f t="shared" si="50"/>
        <v>NO</v>
      </c>
      <c r="Q1026" s="9" t="str">
        <f t="shared" si="51"/>
        <v>Conditioned</v>
      </c>
    </row>
    <row r="1027" spans="1:17">
      <c r="A1027" s="9">
        <v>14577</v>
      </c>
      <c r="B1027" s="9">
        <v>2</v>
      </c>
      <c r="C1027" s="9" t="s">
        <v>1589</v>
      </c>
      <c r="D1027" s="9" t="s">
        <v>1590</v>
      </c>
      <c r="E1027" s="9" t="s">
        <v>1591</v>
      </c>
      <c r="F1027" s="9" t="s">
        <v>1589</v>
      </c>
      <c r="G1027" s="9" t="s">
        <v>1592</v>
      </c>
      <c r="H1027" s="9" t="s">
        <v>169</v>
      </c>
      <c r="I1027" s="9" t="s">
        <v>2550</v>
      </c>
      <c r="J1027" s="9" t="s">
        <v>1605</v>
      </c>
      <c r="L1027" s="9">
        <v>18</v>
      </c>
      <c r="M1027" s="9">
        <v>2009</v>
      </c>
      <c r="O1027" s="9" t="str">
        <f t="shared" si="49"/>
        <v>NO</v>
      </c>
      <c r="P1027" s="9" t="str">
        <f t="shared" si="50"/>
        <v>YES</v>
      </c>
      <c r="Q1027" s="9" t="str">
        <f t="shared" si="51"/>
        <v>Conditioned</v>
      </c>
    </row>
    <row r="1028" spans="1:17">
      <c r="A1028" s="9">
        <v>14646</v>
      </c>
      <c r="B1028" s="9">
        <v>1</v>
      </c>
      <c r="C1028" s="9" t="s">
        <v>1589</v>
      </c>
      <c r="D1028" s="9" t="s">
        <v>1590</v>
      </c>
      <c r="E1028" s="9" t="s">
        <v>1591</v>
      </c>
      <c r="F1028" s="9" t="s">
        <v>1589</v>
      </c>
      <c r="G1028" s="9" t="s">
        <v>1592</v>
      </c>
      <c r="H1028" s="9" t="s">
        <v>170</v>
      </c>
      <c r="I1028" s="9" t="s">
        <v>2551</v>
      </c>
      <c r="J1028" s="9" t="s">
        <v>1597</v>
      </c>
      <c r="K1028" s="9">
        <v>1</v>
      </c>
      <c r="L1028" s="9">
        <v>20</v>
      </c>
      <c r="M1028" s="9">
        <v>1998</v>
      </c>
      <c r="O1028" s="9" t="str">
        <f t="shared" si="49"/>
        <v>NO</v>
      </c>
      <c r="P1028" s="9" t="str">
        <f t="shared" si="50"/>
        <v>NO</v>
      </c>
      <c r="Q1028" s="9" t="str">
        <f t="shared" si="51"/>
        <v>Conditioned</v>
      </c>
    </row>
    <row r="1029" spans="1:17">
      <c r="A1029" s="9">
        <v>14646</v>
      </c>
      <c r="B1029" s="9">
        <v>2</v>
      </c>
      <c r="C1029" s="9" t="s">
        <v>1589</v>
      </c>
      <c r="D1029" s="9" t="s">
        <v>1590</v>
      </c>
      <c r="E1029" s="9" t="s">
        <v>1591</v>
      </c>
      <c r="F1029" s="9" t="s">
        <v>1589</v>
      </c>
      <c r="G1029" s="9" t="s">
        <v>1606</v>
      </c>
      <c r="H1029" s="9" t="s">
        <v>174</v>
      </c>
      <c r="I1029" s="9" t="s">
        <v>2552</v>
      </c>
      <c r="J1029" s="9" t="s">
        <v>1587</v>
      </c>
      <c r="K1029" s="9">
        <v>1</v>
      </c>
      <c r="L1029" s="9">
        <v>15</v>
      </c>
      <c r="M1029" s="9">
        <v>1996</v>
      </c>
      <c r="O1029" s="9" t="str">
        <f t="shared" si="49"/>
        <v>NO</v>
      </c>
      <c r="P1029" s="9" t="str">
        <f t="shared" si="50"/>
        <v>YES</v>
      </c>
      <c r="Q1029" s="9" t="str">
        <f t="shared" si="51"/>
        <v>Unconditioned</v>
      </c>
    </row>
    <row r="1030" spans="1:17">
      <c r="A1030" s="9">
        <v>14674</v>
      </c>
      <c r="B1030" s="9">
        <v>1</v>
      </c>
      <c r="C1030" s="9" t="s">
        <v>1589</v>
      </c>
      <c r="D1030" s="9" t="s">
        <v>1590</v>
      </c>
      <c r="E1030" s="9" t="s">
        <v>1591</v>
      </c>
      <c r="F1030" s="9" t="s">
        <v>1589</v>
      </c>
      <c r="G1030" s="9" t="s">
        <v>1592</v>
      </c>
      <c r="H1030" s="9" t="s">
        <v>177</v>
      </c>
      <c r="I1030" s="9" t="s">
        <v>2553</v>
      </c>
      <c r="J1030" s="9" t="s">
        <v>1597</v>
      </c>
      <c r="K1030" s="9">
        <v>1</v>
      </c>
      <c r="L1030" s="9">
        <v>20</v>
      </c>
      <c r="M1030" s="9">
        <v>2006</v>
      </c>
      <c r="O1030" s="9" t="str">
        <f t="shared" si="49"/>
        <v>NO</v>
      </c>
      <c r="P1030" s="9" t="str">
        <f t="shared" si="50"/>
        <v>NO</v>
      </c>
      <c r="Q1030" s="9" t="str">
        <f t="shared" si="51"/>
        <v>Conditioned</v>
      </c>
    </row>
    <row r="1031" spans="1:17">
      <c r="A1031" s="9">
        <v>14674</v>
      </c>
      <c r="B1031" s="9">
        <v>2</v>
      </c>
      <c r="C1031" s="9" t="s">
        <v>2554</v>
      </c>
      <c r="D1031" s="9" t="s">
        <v>1590</v>
      </c>
      <c r="E1031" s="9" t="s">
        <v>1591</v>
      </c>
      <c r="F1031" s="9" t="s">
        <v>1589</v>
      </c>
      <c r="G1031" s="9" t="s">
        <v>1592</v>
      </c>
      <c r="H1031" s="9" t="s">
        <v>1869</v>
      </c>
      <c r="I1031" s="9" t="s">
        <v>2555</v>
      </c>
      <c r="J1031" s="9" t="s">
        <v>1589</v>
      </c>
      <c r="K1031" s="9">
        <v>1</v>
      </c>
      <c r="L1031" s="9">
        <v>3</v>
      </c>
      <c r="M1031" s="9">
        <v>2007</v>
      </c>
      <c r="O1031" s="9" t="str">
        <f t="shared" si="49"/>
        <v>YES</v>
      </c>
      <c r="P1031" s="9" t="e">
        <f t="shared" si="50"/>
        <v>#N/A</v>
      </c>
      <c r="Q1031" s="9" t="str">
        <f t="shared" si="51"/>
        <v>Conditioned</v>
      </c>
    </row>
    <row r="1032" spans="1:17">
      <c r="A1032" s="9">
        <v>20007</v>
      </c>
      <c r="B1032" s="9">
        <v>1</v>
      </c>
      <c r="C1032" s="9" t="s">
        <v>1589</v>
      </c>
      <c r="D1032" s="9" t="s">
        <v>1603</v>
      </c>
      <c r="E1032" s="9" t="s">
        <v>1602</v>
      </c>
      <c r="F1032" s="9" t="s">
        <v>1603</v>
      </c>
      <c r="G1032" s="9" t="s">
        <v>1592</v>
      </c>
      <c r="H1032" s="9" t="s">
        <v>1624</v>
      </c>
      <c r="I1032" s="9" t="s">
        <v>2556</v>
      </c>
      <c r="J1032" s="9" t="s">
        <v>1601</v>
      </c>
      <c r="K1032" s="9">
        <v>1</v>
      </c>
      <c r="L1032" s="9">
        <v>25</v>
      </c>
      <c r="M1032" s="9">
        <v>2010</v>
      </c>
      <c r="O1032" s="9" t="str">
        <f t="shared" si="49"/>
        <v>NO</v>
      </c>
      <c r="P1032" s="9" t="str">
        <f t="shared" si="50"/>
        <v>NO</v>
      </c>
      <c r="Q1032" s="9" t="str">
        <f t="shared" si="51"/>
        <v>Conditioned</v>
      </c>
    </row>
    <row r="1033" spans="1:17">
      <c r="A1033" s="9">
        <v>20016</v>
      </c>
      <c r="B1033" s="9">
        <v>1</v>
      </c>
      <c r="C1033" s="9" t="s">
        <v>1589</v>
      </c>
      <c r="D1033" s="9" t="s">
        <v>1590</v>
      </c>
      <c r="E1033" s="9" t="s">
        <v>1591</v>
      </c>
      <c r="F1033" s="9" t="s">
        <v>1589</v>
      </c>
      <c r="G1033" s="9" t="s">
        <v>1592</v>
      </c>
      <c r="H1033" s="9" t="s">
        <v>169</v>
      </c>
      <c r="I1033" s="9" t="s">
        <v>2557</v>
      </c>
      <c r="J1033" s="9" t="s">
        <v>1597</v>
      </c>
      <c r="K1033" s="9">
        <v>1</v>
      </c>
      <c r="L1033" s="9">
        <v>13</v>
      </c>
      <c r="M1033" s="9">
        <v>1999</v>
      </c>
      <c r="O1033" s="9" t="str">
        <f t="shared" si="49"/>
        <v>NO</v>
      </c>
      <c r="P1033" s="9" t="str">
        <f t="shared" si="50"/>
        <v>NO</v>
      </c>
      <c r="Q1033" s="9" t="str">
        <f t="shared" si="51"/>
        <v>Conditioned</v>
      </c>
    </row>
    <row r="1034" spans="1:17">
      <c r="A1034" s="9">
        <v>20016</v>
      </c>
      <c r="B1034" s="9">
        <v>2</v>
      </c>
      <c r="C1034" s="9" t="s">
        <v>1589</v>
      </c>
      <c r="D1034" s="9" t="s">
        <v>1590</v>
      </c>
      <c r="E1034" s="9" t="s">
        <v>1591</v>
      </c>
      <c r="F1034" s="9" t="s">
        <v>1589</v>
      </c>
      <c r="G1034" s="9" t="s">
        <v>1606</v>
      </c>
      <c r="H1034" s="9" t="s">
        <v>177</v>
      </c>
      <c r="I1034" s="9" t="s">
        <v>1589</v>
      </c>
      <c r="J1034" s="9" t="s">
        <v>1605</v>
      </c>
      <c r="K1034" s="9">
        <v>1</v>
      </c>
      <c r="L1034" s="9">
        <v>20</v>
      </c>
      <c r="O1034" s="9" t="str">
        <f t="shared" si="49"/>
        <v>NO</v>
      </c>
      <c r="P1034" s="9" t="str">
        <f t="shared" si="50"/>
        <v>YES</v>
      </c>
      <c r="Q1034" s="9" t="str">
        <f t="shared" si="51"/>
        <v>Unconditioned</v>
      </c>
    </row>
    <row r="1035" spans="1:17">
      <c r="A1035" s="9">
        <v>20020</v>
      </c>
      <c r="B1035" s="9">
        <v>1</v>
      </c>
      <c r="C1035" s="9" t="s">
        <v>1589</v>
      </c>
      <c r="D1035" s="9" t="s">
        <v>1590</v>
      </c>
      <c r="E1035" s="9" t="s">
        <v>1591</v>
      </c>
      <c r="F1035" s="9" t="s">
        <v>1589</v>
      </c>
      <c r="G1035" s="9" t="s">
        <v>1592</v>
      </c>
      <c r="H1035" s="9" t="s">
        <v>1638</v>
      </c>
      <c r="I1035" s="9" t="s">
        <v>2558</v>
      </c>
      <c r="J1035" s="9" t="s">
        <v>1597</v>
      </c>
      <c r="K1035" s="9">
        <v>1</v>
      </c>
      <c r="L1035" s="9">
        <v>21</v>
      </c>
      <c r="M1035" s="9">
        <v>1999</v>
      </c>
      <c r="O1035" s="9" t="str">
        <f t="shared" si="49"/>
        <v>NO</v>
      </c>
      <c r="P1035" s="9" t="str">
        <f t="shared" si="50"/>
        <v>NO</v>
      </c>
      <c r="Q1035" s="9" t="str">
        <f t="shared" si="51"/>
        <v>Conditioned</v>
      </c>
    </row>
    <row r="1036" spans="1:17">
      <c r="A1036" s="9">
        <v>20020</v>
      </c>
      <c r="B1036" s="9">
        <v>2</v>
      </c>
      <c r="C1036" s="9" t="s">
        <v>1589</v>
      </c>
      <c r="D1036" s="9" t="s">
        <v>1590</v>
      </c>
      <c r="E1036" s="9" t="s">
        <v>1591</v>
      </c>
      <c r="F1036" s="9" t="s">
        <v>1589</v>
      </c>
      <c r="G1036" s="9" t="s">
        <v>1606</v>
      </c>
      <c r="H1036" s="9" t="s">
        <v>170</v>
      </c>
      <c r="I1036" s="9" t="s">
        <v>2559</v>
      </c>
      <c r="J1036" s="9" t="s">
        <v>1597</v>
      </c>
      <c r="K1036" s="9">
        <v>1</v>
      </c>
      <c r="L1036" s="9">
        <v>21</v>
      </c>
      <c r="M1036" s="9">
        <v>2000</v>
      </c>
      <c r="O1036" s="9" t="str">
        <f t="shared" si="49"/>
        <v>NO</v>
      </c>
      <c r="P1036" s="9" t="str">
        <f t="shared" si="50"/>
        <v>NO</v>
      </c>
      <c r="Q1036" s="9" t="str">
        <f t="shared" si="51"/>
        <v>Unconditioned</v>
      </c>
    </row>
    <row r="1037" spans="1:17">
      <c r="A1037" s="9">
        <v>20020</v>
      </c>
      <c r="B1037" s="9">
        <v>3</v>
      </c>
      <c r="C1037" s="9" t="s">
        <v>2560</v>
      </c>
      <c r="D1037" s="9" t="s">
        <v>1590</v>
      </c>
      <c r="E1037" s="9" t="s">
        <v>1591</v>
      </c>
      <c r="F1037" s="9" t="s">
        <v>1589</v>
      </c>
      <c r="G1037" s="9" t="s">
        <v>1606</v>
      </c>
      <c r="H1037" s="9" t="s">
        <v>1678</v>
      </c>
      <c r="I1037" s="9" t="s">
        <v>1589</v>
      </c>
      <c r="J1037" s="9" t="s">
        <v>1587</v>
      </c>
      <c r="K1037" s="9">
        <v>1</v>
      </c>
      <c r="L1037" s="9">
        <v>20</v>
      </c>
      <c r="O1037" s="9" t="str">
        <f t="shared" si="49"/>
        <v>NO</v>
      </c>
      <c r="P1037" s="9" t="str">
        <f t="shared" si="50"/>
        <v>YES</v>
      </c>
      <c r="Q1037" s="9" t="str">
        <f t="shared" si="51"/>
        <v>Unconditioned</v>
      </c>
    </row>
    <row r="1038" spans="1:17">
      <c r="A1038" s="9">
        <v>20020</v>
      </c>
      <c r="B1038" s="9">
        <v>4</v>
      </c>
      <c r="C1038" s="9" t="s">
        <v>2561</v>
      </c>
      <c r="D1038" s="9" t="s">
        <v>1590</v>
      </c>
      <c r="E1038" s="9" t="s">
        <v>1591</v>
      </c>
      <c r="F1038" s="9" t="s">
        <v>1589</v>
      </c>
      <c r="G1038" s="9" t="s">
        <v>1606</v>
      </c>
      <c r="H1038" s="9" t="s">
        <v>1900</v>
      </c>
      <c r="I1038" s="9" t="s">
        <v>2562</v>
      </c>
      <c r="J1038" s="9" t="s">
        <v>1605</v>
      </c>
      <c r="K1038" s="9">
        <v>1</v>
      </c>
      <c r="L1038" s="9">
        <v>13</v>
      </c>
      <c r="O1038" s="9" t="str">
        <f t="shared" si="49"/>
        <v>NO</v>
      </c>
      <c r="P1038" s="9" t="str">
        <f t="shared" si="50"/>
        <v>YES</v>
      </c>
      <c r="Q1038" s="9" t="str">
        <f t="shared" si="51"/>
        <v>Unconditioned</v>
      </c>
    </row>
    <row r="1039" spans="1:17">
      <c r="A1039" s="9">
        <v>20028</v>
      </c>
      <c r="B1039" s="9">
        <v>1</v>
      </c>
      <c r="C1039" s="9" t="s">
        <v>1589</v>
      </c>
      <c r="D1039" s="9" t="s">
        <v>1590</v>
      </c>
      <c r="E1039" s="9" t="s">
        <v>1602</v>
      </c>
      <c r="F1039" s="9" t="s">
        <v>1590</v>
      </c>
      <c r="G1039" s="9" t="s">
        <v>1592</v>
      </c>
      <c r="H1039" s="9" t="s">
        <v>170</v>
      </c>
      <c r="I1039" s="9" t="s">
        <v>2563</v>
      </c>
      <c r="J1039" s="9" t="s">
        <v>1601</v>
      </c>
      <c r="K1039" s="9">
        <v>1</v>
      </c>
      <c r="L1039" s="9">
        <v>22</v>
      </c>
      <c r="M1039" s="9">
        <v>2001</v>
      </c>
      <c r="O1039" s="9" t="str">
        <f t="shared" si="49"/>
        <v>NO</v>
      </c>
      <c r="P1039" s="9" t="str">
        <f t="shared" si="50"/>
        <v>NO</v>
      </c>
      <c r="Q1039" s="9" t="str">
        <f t="shared" si="51"/>
        <v>Conditioned</v>
      </c>
    </row>
    <row r="1040" spans="1:17">
      <c r="A1040" s="9">
        <v>20028</v>
      </c>
      <c r="B1040" s="9">
        <v>2</v>
      </c>
      <c r="C1040" s="9" t="s">
        <v>1589</v>
      </c>
      <c r="D1040" s="9" t="s">
        <v>1590</v>
      </c>
      <c r="E1040" s="9" t="s">
        <v>1591</v>
      </c>
      <c r="F1040" s="9" t="s">
        <v>1589</v>
      </c>
      <c r="G1040" s="9" t="s">
        <v>1606</v>
      </c>
      <c r="H1040" s="9" t="s">
        <v>170</v>
      </c>
      <c r="I1040" s="9" t="s">
        <v>2564</v>
      </c>
      <c r="J1040" s="9" t="s">
        <v>1605</v>
      </c>
      <c r="K1040" s="9">
        <v>1</v>
      </c>
      <c r="L1040" s="9">
        <v>16</v>
      </c>
      <c r="M1040" s="9">
        <v>2001</v>
      </c>
      <c r="O1040" s="9" t="str">
        <f t="shared" si="49"/>
        <v>NO</v>
      </c>
      <c r="P1040" s="9" t="str">
        <f t="shared" si="50"/>
        <v>YES</v>
      </c>
      <c r="Q1040" s="9" t="str">
        <f t="shared" si="51"/>
        <v>Unconditioned</v>
      </c>
    </row>
    <row r="1041" spans="1:17">
      <c r="A1041" s="9">
        <v>20034</v>
      </c>
      <c r="B1041" s="9">
        <v>1</v>
      </c>
      <c r="C1041" s="9" t="s">
        <v>1589</v>
      </c>
      <c r="D1041" s="9" t="s">
        <v>1590</v>
      </c>
      <c r="E1041" s="9" t="s">
        <v>1591</v>
      </c>
      <c r="F1041" s="9" t="s">
        <v>1589</v>
      </c>
      <c r="G1041" s="9" t="s">
        <v>1592</v>
      </c>
      <c r="H1041" s="9" t="s">
        <v>1638</v>
      </c>
      <c r="I1041" s="9" t="s">
        <v>1589</v>
      </c>
      <c r="J1041" s="9" t="s">
        <v>1597</v>
      </c>
      <c r="K1041" s="9">
        <v>1</v>
      </c>
      <c r="L1041" s="9">
        <v>13</v>
      </c>
      <c r="M1041" s="9">
        <v>1980</v>
      </c>
      <c r="O1041" s="9" t="str">
        <f t="shared" si="49"/>
        <v>NO</v>
      </c>
      <c r="P1041" s="9" t="str">
        <f t="shared" si="50"/>
        <v>NO</v>
      </c>
      <c r="Q1041" s="9" t="str">
        <f t="shared" si="51"/>
        <v>Conditioned</v>
      </c>
    </row>
    <row r="1042" spans="1:17">
      <c r="A1042" s="9">
        <v>20034</v>
      </c>
      <c r="B1042" s="9">
        <v>2</v>
      </c>
      <c r="C1042" s="9" t="s">
        <v>1589</v>
      </c>
      <c r="D1042" s="9" t="s">
        <v>1590</v>
      </c>
      <c r="E1042" s="9" t="s">
        <v>1591</v>
      </c>
      <c r="F1042" s="9" t="s">
        <v>1589</v>
      </c>
      <c r="G1042" s="9" t="s">
        <v>1606</v>
      </c>
      <c r="H1042" s="9" t="s">
        <v>177</v>
      </c>
      <c r="I1042" s="9" t="s">
        <v>2565</v>
      </c>
      <c r="J1042" s="9" t="s">
        <v>1587</v>
      </c>
      <c r="K1042" s="9">
        <v>1</v>
      </c>
      <c r="L1042" s="9">
        <v>12</v>
      </c>
      <c r="M1042" s="9">
        <v>2009</v>
      </c>
      <c r="O1042" s="9" t="str">
        <f t="shared" si="49"/>
        <v>NO</v>
      </c>
      <c r="P1042" s="9" t="str">
        <f t="shared" si="50"/>
        <v>YES</v>
      </c>
      <c r="Q1042" s="9" t="str">
        <f t="shared" si="51"/>
        <v>Unconditioned</v>
      </c>
    </row>
    <row r="1043" spans="1:17">
      <c r="A1043" s="9">
        <v>20038</v>
      </c>
      <c r="B1043" s="9">
        <v>1</v>
      </c>
      <c r="C1043" s="9" t="s">
        <v>1589</v>
      </c>
      <c r="D1043" s="9" t="s">
        <v>1590</v>
      </c>
      <c r="E1043" s="9" t="s">
        <v>1591</v>
      </c>
      <c r="F1043" s="9" t="s">
        <v>1589</v>
      </c>
      <c r="G1043" s="9" t="s">
        <v>1592</v>
      </c>
      <c r="H1043" s="9" t="s">
        <v>1638</v>
      </c>
      <c r="I1043" s="9" t="s">
        <v>2566</v>
      </c>
      <c r="J1043" s="9" t="s">
        <v>1608</v>
      </c>
      <c r="K1043" s="9">
        <v>1</v>
      </c>
      <c r="L1043" s="9">
        <v>22</v>
      </c>
      <c r="M1043" s="9">
        <v>1990</v>
      </c>
      <c r="O1043" s="9" t="str">
        <f t="shared" si="49"/>
        <v>NO</v>
      </c>
      <c r="P1043" s="9" t="str">
        <f t="shared" si="50"/>
        <v>NO</v>
      </c>
      <c r="Q1043" s="9" t="str">
        <f t="shared" si="51"/>
        <v>Conditioned</v>
      </c>
    </row>
    <row r="1044" spans="1:17">
      <c r="A1044" s="9">
        <v>20038</v>
      </c>
      <c r="B1044" s="9">
        <v>2</v>
      </c>
      <c r="C1044" s="9" t="s">
        <v>1589</v>
      </c>
      <c r="D1044" s="9" t="s">
        <v>1590</v>
      </c>
      <c r="E1044" s="9" t="s">
        <v>1591</v>
      </c>
      <c r="F1044" s="9" t="s">
        <v>1589</v>
      </c>
      <c r="G1044" s="9" t="s">
        <v>1592</v>
      </c>
      <c r="H1044" s="9" t="s">
        <v>1638</v>
      </c>
      <c r="I1044" s="9" t="s">
        <v>2567</v>
      </c>
      <c r="J1044" s="9" t="s">
        <v>1605</v>
      </c>
      <c r="K1044" s="9">
        <v>1</v>
      </c>
      <c r="L1044" s="9">
        <v>21</v>
      </c>
      <c r="M1044" s="9">
        <v>1966</v>
      </c>
      <c r="O1044" s="9" t="str">
        <f t="shared" si="49"/>
        <v>NO</v>
      </c>
      <c r="P1044" s="9" t="str">
        <f t="shared" si="50"/>
        <v>YES</v>
      </c>
      <c r="Q1044" s="9" t="str">
        <f t="shared" si="51"/>
        <v>Conditioned</v>
      </c>
    </row>
    <row r="1045" spans="1:17">
      <c r="A1045" s="9">
        <v>20038</v>
      </c>
      <c r="B1045" s="9">
        <v>3</v>
      </c>
      <c r="C1045" s="9" t="s">
        <v>1589</v>
      </c>
      <c r="D1045" s="9" t="s">
        <v>1590</v>
      </c>
      <c r="E1045" s="9" t="s">
        <v>1591</v>
      </c>
      <c r="F1045" s="9" t="s">
        <v>1589</v>
      </c>
      <c r="G1045" s="9" t="s">
        <v>1592</v>
      </c>
      <c r="H1045" s="9" t="s">
        <v>170</v>
      </c>
      <c r="I1045" s="9" t="s">
        <v>2568</v>
      </c>
      <c r="J1045" s="9" t="s">
        <v>1605</v>
      </c>
      <c r="K1045" s="9">
        <v>1</v>
      </c>
      <c r="L1045" s="9">
        <v>20</v>
      </c>
      <c r="M1045" s="9">
        <v>1980</v>
      </c>
      <c r="O1045" s="9" t="str">
        <f t="shared" si="49"/>
        <v>NO</v>
      </c>
      <c r="P1045" s="9" t="str">
        <f t="shared" si="50"/>
        <v>YES</v>
      </c>
      <c r="Q1045" s="9" t="str">
        <f t="shared" si="51"/>
        <v>Conditioned</v>
      </c>
    </row>
    <row r="1046" spans="1:17">
      <c r="A1046" s="9">
        <v>20038</v>
      </c>
      <c r="B1046" s="9">
        <v>4</v>
      </c>
      <c r="C1046" s="9" t="s">
        <v>1589</v>
      </c>
      <c r="D1046" s="9" t="s">
        <v>1590</v>
      </c>
      <c r="E1046" s="9" t="s">
        <v>1591</v>
      </c>
      <c r="F1046" s="9" t="s">
        <v>1589</v>
      </c>
      <c r="G1046" s="9" t="s">
        <v>1592</v>
      </c>
      <c r="H1046" s="9" t="s">
        <v>173</v>
      </c>
      <c r="I1046" s="9" t="s">
        <v>2569</v>
      </c>
      <c r="J1046" s="9" t="s">
        <v>1597</v>
      </c>
      <c r="K1046" s="9">
        <v>0.5</v>
      </c>
      <c r="L1046" s="9">
        <v>20</v>
      </c>
      <c r="M1046" s="9">
        <v>1989</v>
      </c>
      <c r="O1046" s="9" t="str">
        <f t="shared" si="49"/>
        <v>NO</v>
      </c>
      <c r="P1046" s="9" t="str">
        <f t="shared" si="50"/>
        <v>NO</v>
      </c>
      <c r="Q1046" s="9" t="str">
        <f t="shared" si="51"/>
        <v>Conditioned</v>
      </c>
    </row>
    <row r="1047" spans="1:17">
      <c r="A1047" s="9">
        <v>20042</v>
      </c>
      <c r="B1047" s="9">
        <v>1</v>
      </c>
      <c r="C1047" s="9" t="s">
        <v>1589</v>
      </c>
      <c r="D1047" s="9" t="s">
        <v>1590</v>
      </c>
      <c r="E1047" s="9" t="s">
        <v>1602</v>
      </c>
      <c r="F1047" s="9" t="s">
        <v>1603</v>
      </c>
      <c r="G1047" s="9" t="s">
        <v>1592</v>
      </c>
      <c r="H1047" s="9" t="s">
        <v>170</v>
      </c>
      <c r="I1047" s="9" t="s">
        <v>2570</v>
      </c>
      <c r="J1047" s="9" t="s">
        <v>1601</v>
      </c>
      <c r="K1047" s="9">
        <v>1</v>
      </c>
      <c r="L1047" s="9">
        <v>27</v>
      </c>
      <c r="M1047" s="9">
        <v>1999</v>
      </c>
      <c r="O1047" s="9" t="str">
        <f t="shared" ref="O1047:O1110" si="52">IF(L1047&lt;7.75,"YES","NO")</f>
        <v>NO</v>
      </c>
      <c r="P1047" s="9" t="str">
        <f t="shared" ref="P1047:P1110" si="53">VLOOKUP(J1047,$Z$21:$AA$27,2,FALSE)</f>
        <v>NO</v>
      </c>
      <c r="Q1047" s="9" t="str">
        <f t="shared" ref="Q1047:Q1110" si="54">G1047</f>
        <v>Conditioned</v>
      </c>
    </row>
    <row r="1048" spans="1:17">
      <c r="A1048" s="9">
        <v>20042</v>
      </c>
      <c r="B1048" s="9">
        <v>2</v>
      </c>
      <c r="C1048" s="9" t="s">
        <v>1589</v>
      </c>
      <c r="D1048" s="9" t="s">
        <v>1590</v>
      </c>
      <c r="E1048" s="9" t="s">
        <v>1591</v>
      </c>
      <c r="F1048" s="9" t="s">
        <v>1589</v>
      </c>
      <c r="G1048" s="9" t="s">
        <v>1592</v>
      </c>
      <c r="H1048" s="9" t="s">
        <v>1638</v>
      </c>
      <c r="I1048" s="9" t="s">
        <v>2492</v>
      </c>
      <c r="J1048" s="9" t="s">
        <v>1605</v>
      </c>
      <c r="K1048" s="9">
        <v>1</v>
      </c>
      <c r="L1048" s="9">
        <v>21</v>
      </c>
      <c r="M1048" s="9">
        <v>2007</v>
      </c>
      <c r="O1048" s="9" t="str">
        <f t="shared" si="52"/>
        <v>NO</v>
      </c>
      <c r="P1048" s="9" t="str">
        <f t="shared" si="53"/>
        <v>YES</v>
      </c>
      <c r="Q1048" s="9" t="str">
        <f t="shared" si="54"/>
        <v>Conditioned</v>
      </c>
    </row>
    <row r="1049" spans="1:17">
      <c r="A1049" s="9">
        <v>20043</v>
      </c>
      <c r="B1049" s="9">
        <v>1</v>
      </c>
      <c r="C1049" s="9" t="s">
        <v>1589</v>
      </c>
      <c r="D1049" s="9" t="s">
        <v>1590</v>
      </c>
      <c r="E1049" s="9" t="s">
        <v>1591</v>
      </c>
      <c r="F1049" s="9" t="s">
        <v>1589</v>
      </c>
      <c r="G1049" s="9" t="s">
        <v>1592</v>
      </c>
      <c r="H1049" s="9" t="s">
        <v>177</v>
      </c>
      <c r="I1049" s="9" t="s">
        <v>2571</v>
      </c>
      <c r="J1049" s="9" t="s">
        <v>1597</v>
      </c>
      <c r="K1049" s="9">
        <v>1</v>
      </c>
      <c r="L1049" s="9">
        <v>21</v>
      </c>
      <c r="M1049" s="9">
        <v>2005</v>
      </c>
      <c r="O1049" s="9" t="str">
        <f t="shared" si="52"/>
        <v>NO</v>
      </c>
      <c r="P1049" s="9" t="str">
        <f t="shared" si="53"/>
        <v>NO</v>
      </c>
      <c r="Q1049" s="9" t="str">
        <f t="shared" si="54"/>
        <v>Conditioned</v>
      </c>
    </row>
    <row r="1050" spans="1:17">
      <c r="A1050" s="9">
        <v>20051</v>
      </c>
      <c r="B1050" s="9">
        <v>1</v>
      </c>
      <c r="C1050" s="9" t="s">
        <v>1589</v>
      </c>
      <c r="D1050" s="9" t="s">
        <v>1603</v>
      </c>
      <c r="E1050" s="9" t="s">
        <v>1602</v>
      </c>
      <c r="F1050" s="9" t="s">
        <v>1603</v>
      </c>
      <c r="G1050" s="9" t="s">
        <v>1592</v>
      </c>
      <c r="H1050" s="9" t="s">
        <v>1638</v>
      </c>
      <c r="I1050" s="9" t="s">
        <v>2572</v>
      </c>
      <c r="J1050" s="9" t="s">
        <v>1601</v>
      </c>
      <c r="K1050" s="9">
        <v>1</v>
      </c>
      <c r="L1050" s="9">
        <v>26</v>
      </c>
      <c r="M1050" s="9">
        <v>2002</v>
      </c>
      <c r="O1050" s="9" t="str">
        <f t="shared" si="52"/>
        <v>NO</v>
      </c>
      <c r="P1050" s="9" t="str">
        <f t="shared" si="53"/>
        <v>NO</v>
      </c>
      <c r="Q1050" s="9" t="str">
        <f t="shared" si="54"/>
        <v>Conditioned</v>
      </c>
    </row>
    <row r="1051" spans="1:17">
      <c r="A1051" s="9">
        <v>20058</v>
      </c>
      <c r="B1051" s="9">
        <v>1</v>
      </c>
      <c r="C1051" s="9" t="s">
        <v>1589</v>
      </c>
      <c r="D1051" s="9" t="s">
        <v>1590</v>
      </c>
      <c r="E1051" s="9" t="s">
        <v>1613</v>
      </c>
      <c r="F1051" s="9" t="s">
        <v>1603</v>
      </c>
      <c r="G1051" s="9" t="s">
        <v>1592</v>
      </c>
      <c r="H1051" s="9" t="s">
        <v>177</v>
      </c>
      <c r="I1051" s="9" t="s">
        <v>2573</v>
      </c>
      <c r="J1051" s="9" t="s">
        <v>1597</v>
      </c>
      <c r="K1051" s="9">
        <v>1</v>
      </c>
      <c r="L1051" s="9">
        <v>18</v>
      </c>
      <c r="M1051" s="9">
        <v>2008</v>
      </c>
      <c r="O1051" s="9" t="str">
        <f t="shared" si="52"/>
        <v>NO</v>
      </c>
      <c r="P1051" s="9" t="str">
        <f t="shared" si="53"/>
        <v>NO</v>
      </c>
      <c r="Q1051" s="9" t="str">
        <f t="shared" si="54"/>
        <v>Conditioned</v>
      </c>
    </row>
    <row r="1052" spans="1:17">
      <c r="A1052" s="9">
        <v>20065</v>
      </c>
      <c r="B1052" s="9">
        <v>1</v>
      </c>
      <c r="C1052" s="9" t="s">
        <v>1589</v>
      </c>
      <c r="D1052" s="9" t="s">
        <v>1590</v>
      </c>
      <c r="E1052" s="9" t="s">
        <v>1613</v>
      </c>
      <c r="F1052" s="9" t="s">
        <v>1603</v>
      </c>
      <c r="G1052" s="9" t="s">
        <v>1592</v>
      </c>
      <c r="H1052" s="9" t="s">
        <v>1638</v>
      </c>
      <c r="I1052" s="9" t="s">
        <v>2574</v>
      </c>
      <c r="J1052" s="9" t="s">
        <v>1597</v>
      </c>
      <c r="K1052" s="9">
        <v>1</v>
      </c>
      <c r="L1052" s="9">
        <v>18</v>
      </c>
      <c r="M1052" s="9">
        <v>2004</v>
      </c>
      <c r="O1052" s="9" t="str">
        <f t="shared" si="52"/>
        <v>NO</v>
      </c>
      <c r="P1052" s="9" t="str">
        <f t="shared" si="53"/>
        <v>NO</v>
      </c>
      <c r="Q1052" s="9" t="str">
        <f t="shared" si="54"/>
        <v>Conditioned</v>
      </c>
    </row>
    <row r="1053" spans="1:17">
      <c r="A1053" s="9">
        <v>20065</v>
      </c>
      <c r="B1053" s="9">
        <v>2</v>
      </c>
      <c r="C1053" s="9" t="s">
        <v>1589</v>
      </c>
      <c r="D1053" s="9" t="s">
        <v>1590</v>
      </c>
      <c r="E1053" s="9" t="s">
        <v>1591</v>
      </c>
      <c r="F1053" s="9" t="s">
        <v>1589</v>
      </c>
      <c r="G1053" s="9" t="s">
        <v>1592</v>
      </c>
      <c r="H1053" s="9" t="s">
        <v>1638</v>
      </c>
      <c r="I1053" s="9" t="s">
        <v>1589</v>
      </c>
      <c r="J1053" s="9" t="s">
        <v>1587</v>
      </c>
      <c r="K1053" s="9">
        <v>1</v>
      </c>
      <c r="L1053" s="9">
        <v>9</v>
      </c>
      <c r="M1053" s="9">
        <v>2004</v>
      </c>
      <c r="O1053" s="9" t="str">
        <f t="shared" si="52"/>
        <v>NO</v>
      </c>
      <c r="P1053" s="9" t="str">
        <f t="shared" si="53"/>
        <v>YES</v>
      </c>
      <c r="Q1053" s="9" t="str">
        <f t="shared" si="54"/>
        <v>Conditioned</v>
      </c>
    </row>
    <row r="1054" spans="1:17">
      <c r="A1054" s="9">
        <v>20065</v>
      </c>
      <c r="B1054" s="9">
        <v>3</v>
      </c>
      <c r="C1054" s="9" t="s">
        <v>1589</v>
      </c>
      <c r="D1054" s="9" t="s">
        <v>1590</v>
      </c>
      <c r="E1054" s="9" t="s">
        <v>1591</v>
      </c>
      <c r="F1054" s="9" t="s">
        <v>1589</v>
      </c>
      <c r="G1054" s="9" t="s">
        <v>1592</v>
      </c>
      <c r="H1054" s="9" t="s">
        <v>167</v>
      </c>
      <c r="I1054" s="9" t="s">
        <v>2575</v>
      </c>
      <c r="J1054" s="9" t="s">
        <v>1589</v>
      </c>
      <c r="K1054" s="9">
        <v>1</v>
      </c>
      <c r="L1054" s="9">
        <v>4</v>
      </c>
      <c r="M1054" s="9">
        <v>1998</v>
      </c>
      <c r="O1054" s="9" t="str">
        <f t="shared" si="52"/>
        <v>YES</v>
      </c>
      <c r="P1054" s="9" t="e">
        <f t="shared" si="53"/>
        <v>#N/A</v>
      </c>
      <c r="Q1054" s="9" t="str">
        <f t="shared" si="54"/>
        <v>Conditioned</v>
      </c>
    </row>
    <row r="1055" spans="1:17">
      <c r="A1055" s="9">
        <v>20066</v>
      </c>
      <c r="B1055" s="9">
        <v>1</v>
      </c>
      <c r="C1055" s="9" t="s">
        <v>1589</v>
      </c>
      <c r="D1055" s="9" t="s">
        <v>1590</v>
      </c>
      <c r="E1055" s="9" t="s">
        <v>1591</v>
      </c>
      <c r="F1055" s="9" t="s">
        <v>1589</v>
      </c>
      <c r="G1055" s="9" t="s">
        <v>1592</v>
      </c>
      <c r="H1055" s="9" t="s">
        <v>170</v>
      </c>
      <c r="I1055" s="9" t="s">
        <v>2576</v>
      </c>
      <c r="J1055" s="9" t="s">
        <v>1608</v>
      </c>
      <c r="K1055" s="9">
        <v>1</v>
      </c>
      <c r="L1055" s="9">
        <v>18</v>
      </c>
      <c r="M1055" s="9">
        <v>2009</v>
      </c>
      <c r="O1055" s="9" t="str">
        <f t="shared" si="52"/>
        <v>NO</v>
      </c>
      <c r="P1055" s="9" t="str">
        <f t="shared" si="53"/>
        <v>NO</v>
      </c>
      <c r="Q1055" s="9" t="str">
        <f t="shared" si="54"/>
        <v>Conditioned</v>
      </c>
    </row>
    <row r="1056" spans="1:17">
      <c r="A1056" s="9">
        <v>20066</v>
      </c>
      <c r="B1056" s="9">
        <v>2</v>
      </c>
      <c r="C1056" s="9" t="s">
        <v>1589</v>
      </c>
      <c r="D1056" s="9" t="s">
        <v>1590</v>
      </c>
      <c r="E1056" s="9" t="s">
        <v>1591</v>
      </c>
      <c r="F1056" s="9" t="s">
        <v>1589</v>
      </c>
      <c r="G1056" s="9" t="s">
        <v>1606</v>
      </c>
      <c r="H1056" s="9" t="s">
        <v>170</v>
      </c>
      <c r="I1056" s="9" t="s">
        <v>2577</v>
      </c>
      <c r="J1056" s="9" t="s">
        <v>1605</v>
      </c>
      <c r="K1056" s="9">
        <v>1</v>
      </c>
      <c r="L1056" s="9">
        <v>16</v>
      </c>
      <c r="M1056" s="9">
        <v>1990</v>
      </c>
      <c r="O1056" s="9" t="str">
        <f t="shared" si="52"/>
        <v>NO</v>
      </c>
      <c r="P1056" s="9" t="str">
        <f t="shared" si="53"/>
        <v>YES</v>
      </c>
      <c r="Q1056" s="9" t="str">
        <f t="shared" si="54"/>
        <v>Unconditioned</v>
      </c>
    </row>
    <row r="1057" spans="1:17">
      <c r="A1057" s="9">
        <v>20076</v>
      </c>
      <c r="B1057" s="9">
        <v>1</v>
      </c>
      <c r="C1057" s="9" t="s">
        <v>1589</v>
      </c>
      <c r="D1057" s="9" t="s">
        <v>1590</v>
      </c>
      <c r="E1057" s="9" t="s">
        <v>1602</v>
      </c>
      <c r="F1057" s="9" t="s">
        <v>1603</v>
      </c>
      <c r="G1057" s="9" t="s">
        <v>1592</v>
      </c>
      <c r="H1057" s="9" t="s">
        <v>1638</v>
      </c>
      <c r="I1057" s="9" t="s">
        <v>2578</v>
      </c>
      <c r="J1057" s="9" t="s">
        <v>1601</v>
      </c>
      <c r="K1057" s="9">
        <v>1</v>
      </c>
      <c r="L1057" s="9">
        <v>21</v>
      </c>
      <c r="M1057" s="9">
        <v>2004</v>
      </c>
      <c r="O1057" s="9" t="str">
        <f t="shared" si="52"/>
        <v>NO</v>
      </c>
      <c r="P1057" s="9" t="str">
        <f t="shared" si="53"/>
        <v>NO</v>
      </c>
      <c r="Q1057" s="9" t="str">
        <f t="shared" si="54"/>
        <v>Conditioned</v>
      </c>
    </row>
    <row r="1058" spans="1:17">
      <c r="A1058" s="9">
        <v>20078</v>
      </c>
      <c r="B1058" s="9">
        <v>1</v>
      </c>
      <c r="C1058" s="9" t="s">
        <v>1589</v>
      </c>
      <c r="D1058" s="9" t="s">
        <v>1590</v>
      </c>
      <c r="E1058" s="9" t="s">
        <v>1613</v>
      </c>
      <c r="F1058" s="9" t="s">
        <v>1603</v>
      </c>
      <c r="G1058" s="9" t="s">
        <v>1592</v>
      </c>
      <c r="H1058" s="9" t="s">
        <v>177</v>
      </c>
      <c r="I1058" s="9" t="s">
        <v>2579</v>
      </c>
      <c r="J1058" s="9" t="s">
        <v>1597</v>
      </c>
      <c r="K1058" s="9">
        <v>1</v>
      </c>
      <c r="L1058" s="9">
        <v>19</v>
      </c>
      <c r="M1058" s="9">
        <v>2001</v>
      </c>
      <c r="O1058" s="9" t="str">
        <f t="shared" si="52"/>
        <v>NO</v>
      </c>
      <c r="P1058" s="9" t="str">
        <f t="shared" si="53"/>
        <v>NO</v>
      </c>
      <c r="Q1058" s="9" t="str">
        <f t="shared" si="54"/>
        <v>Conditioned</v>
      </c>
    </row>
    <row r="1059" spans="1:17">
      <c r="A1059" s="9">
        <v>20078</v>
      </c>
      <c r="B1059" s="9">
        <v>2</v>
      </c>
      <c r="C1059" s="9" t="s">
        <v>1589</v>
      </c>
      <c r="D1059" s="9" t="s">
        <v>1590</v>
      </c>
      <c r="E1059" s="9" t="s">
        <v>1591</v>
      </c>
      <c r="F1059" s="9" t="s">
        <v>1589</v>
      </c>
      <c r="G1059" s="9" t="s">
        <v>1592</v>
      </c>
      <c r="H1059" s="9" t="s">
        <v>1638</v>
      </c>
      <c r="I1059" s="9" t="s">
        <v>2580</v>
      </c>
      <c r="J1059" s="9" t="s">
        <v>1605</v>
      </c>
      <c r="K1059" s="9">
        <v>1</v>
      </c>
      <c r="L1059" s="9">
        <v>21</v>
      </c>
      <c r="M1059" s="9">
        <v>2003</v>
      </c>
      <c r="O1059" s="9" t="str">
        <f t="shared" si="52"/>
        <v>NO</v>
      </c>
      <c r="P1059" s="9" t="str">
        <f t="shared" si="53"/>
        <v>YES</v>
      </c>
      <c r="Q1059" s="9" t="str">
        <f t="shared" si="54"/>
        <v>Conditioned</v>
      </c>
    </row>
    <row r="1060" spans="1:17">
      <c r="A1060" s="9">
        <v>20078</v>
      </c>
      <c r="B1060" s="9">
        <v>3</v>
      </c>
      <c r="C1060" s="9" t="s">
        <v>1589</v>
      </c>
      <c r="D1060" s="9" t="s">
        <v>1590</v>
      </c>
      <c r="E1060" s="9" t="s">
        <v>1602</v>
      </c>
      <c r="F1060" s="9" t="s">
        <v>1590</v>
      </c>
      <c r="G1060" s="9" t="s">
        <v>1606</v>
      </c>
      <c r="H1060" s="9" t="s">
        <v>172</v>
      </c>
      <c r="I1060" s="9" t="s">
        <v>2581</v>
      </c>
      <c r="J1060" s="9" t="s">
        <v>1601</v>
      </c>
      <c r="K1060" s="9">
        <v>0.5</v>
      </c>
      <c r="L1060" s="9">
        <v>22</v>
      </c>
      <c r="M1060" s="9">
        <v>1985</v>
      </c>
      <c r="O1060" s="9" t="str">
        <f t="shared" si="52"/>
        <v>NO</v>
      </c>
      <c r="P1060" s="9" t="str">
        <f t="shared" si="53"/>
        <v>NO</v>
      </c>
      <c r="Q1060" s="9" t="str">
        <f t="shared" si="54"/>
        <v>Unconditioned</v>
      </c>
    </row>
    <row r="1061" spans="1:17">
      <c r="A1061" s="9">
        <v>20080</v>
      </c>
      <c r="B1061" s="9">
        <v>1</v>
      </c>
      <c r="C1061" s="9" t="s">
        <v>1589</v>
      </c>
      <c r="D1061" s="9" t="s">
        <v>1590</v>
      </c>
      <c r="E1061" s="9" t="s">
        <v>1591</v>
      </c>
      <c r="F1061" s="9" t="s">
        <v>1589</v>
      </c>
      <c r="G1061" s="9" t="s">
        <v>1592</v>
      </c>
      <c r="H1061" s="9" t="s">
        <v>174</v>
      </c>
      <c r="I1061" s="9" t="s">
        <v>2582</v>
      </c>
      <c r="J1061" s="9" t="s">
        <v>1608</v>
      </c>
      <c r="K1061" s="9">
        <v>1</v>
      </c>
      <c r="L1061" s="9">
        <v>22</v>
      </c>
      <c r="M1061" s="9">
        <v>2011</v>
      </c>
      <c r="O1061" s="9" t="str">
        <f t="shared" si="52"/>
        <v>NO</v>
      </c>
      <c r="P1061" s="9" t="str">
        <f t="shared" si="53"/>
        <v>NO</v>
      </c>
      <c r="Q1061" s="9" t="str">
        <f t="shared" si="54"/>
        <v>Conditioned</v>
      </c>
    </row>
    <row r="1062" spans="1:17">
      <c r="A1062" s="9">
        <v>20080</v>
      </c>
      <c r="B1062" s="9">
        <v>2</v>
      </c>
      <c r="C1062" s="9" t="s">
        <v>1589</v>
      </c>
      <c r="D1062" s="9" t="s">
        <v>1590</v>
      </c>
      <c r="E1062" s="9" t="s">
        <v>1591</v>
      </c>
      <c r="F1062" s="9" t="s">
        <v>1589</v>
      </c>
      <c r="G1062" s="9" t="s">
        <v>1592</v>
      </c>
      <c r="H1062" s="9" t="s">
        <v>2583</v>
      </c>
      <c r="I1062" s="9" t="s">
        <v>1589</v>
      </c>
      <c r="J1062" s="9" t="s">
        <v>1597</v>
      </c>
      <c r="K1062" s="9">
        <v>1</v>
      </c>
      <c r="L1062" s="9">
        <v>18</v>
      </c>
      <c r="M1062" s="9">
        <v>1981</v>
      </c>
      <c r="O1062" s="9" t="str">
        <f t="shared" si="52"/>
        <v>NO</v>
      </c>
      <c r="P1062" s="9" t="str">
        <f t="shared" si="53"/>
        <v>NO</v>
      </c>
      <c r="Q1062" s="9" t="str">
        <f t="shared" si="54"/>
        <v>Conditioned</v>
      </c>
    </row>
    <row r="1063" spans="1:17">
      <c r="A1063" s="9">
        <v>20080</v>
      </c>
      <c r="B1063" s="9">
        <v>3</v>
      </c>
      <c r="C1063" s="9" t="s">
        <v>1589</v>
      </c>
      <c r="D1063" s="9" t="s">
        <v>1590</v>
      </c>
      <c r="E1063" s="9" t="s">
        <v>1591</v>
      </c>
      <c r="F1063" s="9" t="s">
        <v>1589</v>
      </c>
      <c r="G1063" s="9" t="s">
        <v>1592</v>
      </c>
      <c r="H1063" s="9" t="s">
        <v>170</v>
      </c>
      <c r="I1063" s="9" t="s">
        <v>2584</v>
      </c>
      <c r="J1063" s="9" t="s">
        <v>1605</v>
      </c>
      <c r="K1063" s="9">
        <v>1</v>
      </c>
      <c r="L1063" s="9">
        <v>20</v>
      </c>
      <c r="M1063" s="9">
        <v>1990</v>
      </c>
      <c r="O1063" s="9" t="str">
        <f t="shared" si="52"/>
        <v>NO</v>
      </c>
      <c r="P1063" s="9" t="str">
        <f t="shared" si="53"/>
        <v>YES</v>
      </c>
      <c r="Q1063" s="9" t="str">
        <f t="shared" si="54"/>
        <v>Conditioned</v>
      </c>
    </row>
    <row r="1064" spans="1:17">
      <c r="A1064" s="9">
        <v>20081</v>
      </c>
      <c r="B1064" s="9">
        <v>1</v>
      </c>
      <c r="C1064" s="9" t="s">
        <v>1589</v>
      </c>
      <c r="D1064" s="9" t="s">
        <v>1590</v>
      </c>
      <c r="E1064" s="9" t="s">
        <v>1602</v>
      </c>
      <c r="F1064" s="9" t="s">
        <v>1603</v>
      </c>
      <c r="G1064" s="9" t="s">
        <v>1592</v>
      </c>
      <c r="H1064" s="9" t="s">
        <v>174</v>
      </c>
      <c r="I1064" s="9" t="s">
        <v>2585</v>
      </c>
      <c r="J1064" s="9" t="s">
        <v>1601</v>
      </c>
      <c r="K1064" s="9">
        <v>1</v>
      </c>
      <c r="L1064" s="9">
        <v>25</v>
      </c>
      <c r="M1064" s="9">
        <v>2009</v>
      </c>
      <c r="O1064" s="9" t="str">
        <f t="shared" si="52"/>
        <v>NO</v>
      </c>
      <c r="P1064" s="9" t="str">
        <f t="shared" si="53"/>
        <v>NO</v>
      </c>
      <c r="Q1064" s="9" t="str">
        <f t="shared" si="54"/>
        <v>Conditioned</v>
      </c>
    </row>
    <row r="1065" spans="1:17">
      <c r="A1065" s="9">
        <v>20081</v>
      </c>
      <c r="B1065" s="9">
        <v>2</v>
      </c>
      <c r="C1065" s="9" t="s">
        <v>1589</v>
      </c>
      <c r="D1065" s="9" t="s">
        <v>1590</v>
      </c>
      <c r="E1065" s="9" t="s">
        <v>1591</v>
      </c>
      <c r="F1065" s="9" t="s">
        <v>1589</v>
      </c>
      <c r="G1065" s="9" t="s">
        <v>1592</v>
      </c>
      <c r="H1065" s="9" t="s">
        <v>1638</v>
      </c>
      <c r="I1065" s="9" t="s">
        <v>2586</v>
      </c>
      <c r="J1065" s="9" t="s">
        <v>1597</v>
      </c>
      <c r="K1065" s="9">
        <v>1</v>
      </c>
      <c r="L1065" s="9">
        <v>24</v>
      </c>
      <c r="M1065" s="9">
        <v>1997</v>
      </c>
      <c r="O1065" s="9" t="str">
        <f t="shared" si="52"/>
        <v>NO</v>
      </c>
      <c r="P1065" s="9" t="str">
        <f t="shared" si="53"/>
        <v>NO</v>
      </c>
      <c r="Q1065" s="9" t="str">
        <f t="shared" si="54"/>
        <v>Conditioned</v>
      </c>
    </row>
    <row r="1066" spans="1:17">
      <c r="A1066" s="9">
        <v>20081</v>
      </c>
      <c r="B1066" s="9">
        <v>3</v>
      </c>
      <c r="C1066" s="9" t="s">
        <v>1589</v>
      </c>
      <c r="D1066" s="9" t="s">
        <v>1590</v>
      </c>
      <c r="E1066" s="9" t="s">
        <v>1591</v>
      </c>
      <c r="F1066" s="9" t="s">
        <v>1589</v>
      </c>
      <c r="G1066" s="9" t="s">
        <v>1592</v>
      </c>
      <c r="H1066" s="9" t="s">
        <v>1638</v>
      </c>
      <c r="I1066" s="9" t="s">
        <v>1589</v>
      </c>
      <c r="J1066" s="9" t="s">
        <v>1589</v>
      </c>
      <c r="K1066" s="9">
        <v>1</v>
      </c>
      <c r="L1066" s="9">
        <v>10</v>
      </c>
      <c r="O1066" s="9" t="str">
        <f t="shared" si="52"/>
        <v>NO</v>
      </c>
      <c r="P1066" s="9" t="e">
        <f t="shared" si="53"/>
        <v>#N/A</v>
      </c>
      <c r="Q1066" s="9" t="str">
        <f t="shared" si="54"/>
        <v>Conditioned</v>
      </c>
    </row>
    <row r="1067" spans="1:17">
      <c r="A1067" s="9">
        <v>20081</v>
      </c>
      <c r="B1067" s="9">
        <v>4</v>
      </c>
      <c r="C1067" s="9" t="s">
        <v>1589</v>
      </c>
      <c r="D1067" s="9" t="s">
        <v>1590</v>
      </c>
      <c r="E1067" s="9" t="s">
        <v>1591</v>
      </c>
      <c r="F1067" s="9" t="s">
        <v>1589</v>
      </c>
      <c r="G1067" s="9" t="s">
        <v>1592</v>
      </c>
      <c r="H1067" s="9" t="s">
        <v>170</v>
      </c>
      <c r="I1067" s="9" t="s">
        <v>1589</v>
      </c>
      <c r="J1067" s="9" t="s">
        <v>1589</v>
      </c>
      <c r="K1067" s="9">
        <v>1</v>
      </c>
      <c r="L1067" s="9">
        <v>10</v>
      </c>
      <c r="O1067" s="9" t="str">
        <f t="shared" si="52"/>
        <v>NO</v>
      </c>
      <c r="P1067" s="9" t="e">
        <f t="shared" si="53"/>
        <v>#N/A</v>
      </c>
      <c r="Q1067" s="9" t="str">
        <f t="shared" si="54"/>
        <v>Conditioned</v>
      </c>
    </row>
    <row r="1068" spans="1:17">
      <c r="A1068" s="9">
        <v>20081</v>
      </c>
      <c r="B1068" s="9">
        <v>5</v>
      </c>
      <c r="C1068" s="9" t="s">
        <v>1589</v>
      </c>
      <c r="D1068" s="9" t="s">
        <v>1590</v>
      </c>
      <c r="E1068" s="9" t="s">
        <v>1591</v>
      </c>
      <c r="F1068" s="9" t="s">
        <v>1589</v>
      </c>
      <c r="G1068" s="9" t="s">
        <v>1606</v>
      </c>
      <c r="H1068" s="9" t="s">
        <v>1678</v>
      </c>
      <c r="I1068" s="9" t="s">
        <v>1589</v>
      </c>
      <c r="J1068" s="9" t="s">
        <v>1605</v>
      </c>
      <c r="K1068" s="9">
        <v>1</v>
      </c>
      <c r="L1068" s="9">
        <v>14</v>
      </c>
      <c r="O1068" s="9" t="str">
        <f t="shared" si="52"/>
        <v>NO</v>
      </c>
      <c r="P1068" s="9" t="str">
        <f t="shared" si="53"/>
        <v>YES</v>
      </c>
      <c r="Q1068" s="9" t="str">
        <f t="shared" si="54"/>
        <v>Unconditioned</v>
      </c>
    </row>
    <row r="1069" spans="1:17">
      <c r="A1069" s="9">
        <v>20085</v>
      </c>
      <c r="B1069" s="9">
        <v>1</v>
      </c>
      <c r="C1069" s="9" t="s">
        <v>1589</v>
      </c>
      <c r="D1069" s="9" t="s">
        <v>1590</v>
      </c>
      <c r="E1069" s="9" t="s">
        <v>1602</v>
      </c>
      <c r="F1069" s="9" t="s">
        <v>1603</v>
      </c>
      <c r="G1069" s="9" t="s">
        <v>1592</v>
      </c>
      <c r="H1069" s="9" t="s">
        <v>170</v>
      </c>
      <c r="I1069" s="9" t="s">
        <v>2587</v>
      </c>
      <c r="J1069" s="9" t="s">
        <v>1601</v>
      </c>
      <c r="K1069" s="9">
        <v>1</v>
      </c>
      <c r="L1069" s="9">
        <v>21</v>
      </c>
      <c r="M1069" s="9">
        <v>2002</v>
      </c>
      <c r="O1069" s="9" t="str">
        <f t="shared" si="52"/>
        <v>NO</v>
      </c>
      <c r="P1069" s="9" t="str">
        <f t="shared" si="53"/>
        <v>NO</v>
      </c>
      <c r="Q1069" s="9" t="str">
        <f t="shared" si="54"/>
        <v>Conditioned</v>
      </c>
    </row>
    <row r="1070" spans="1:17">
      <c r="A1070" s="9">
        <v>20088</v>
      </c>
      <c r="B1070" s="9">
        <v>1</v>
      </c>
      <c r="C1070" s="9" t="s">
        <v>1589</v>
      </c>
      <c r="D1070" s="9" t="s">
        <v>1590</v>
      </c>
      <c r="E1070" s="9" t="s">
        <v>1589</v>
      </c>
      <c r="F1070" s="9" t="s">
        <v>1589</v>
      </c>
      <c r="G1070" s="9" t="s">
        <v>1592</v>
      </c>
      <c r="H1070" s="9" t="s">
        <v>173</v>
      </c>
      <c r="I1070" s="9" t="s">
        <v>2588</v>
      </c>
      <c r="J1070" s="9" t="s">
        <v>1597</v>
      </c>
      <c r="K1070" s="9">
        <v>1</v>
      </c>
      <c r="L1070" s="9">
        <v>19</v>
      </c>
      <c r="M1070" s="9">
        <v>1981</v>
      </c>
      <c r="O1070" s="9" t="str">
        <f t="shared" si="52"/>
        <v>NO</v>
      </c>
      <c r="P1070" s="9" t="str">
        <f t="shared" si="53"/>
        <v>NO</v>
      </c>
      <c r="Q1070" s="9" t="str">
        <f t="shared" si="54"/>
        <v>Conditioned</v>
      </c>
    </row>
    <row r="1071" spans="1:17">
      <c r="A1071" s="9">
        <v>20088</v>
      </c>
      <c r="B1071" s="9">
        <v>2</v>
      </c>
      <c r="C1071" s="9" t="s">
        <v>2589</v>
      </c>
      <c r="D1071" s="9" t="s">
        <v>1590</v>
      </c>
      <c r="E1071" s="9" t="s">
        <v>1591</v>
      </c>
      <c r="F1071" s="9" t="s">
        <v>1589</v>
      </c>
      <c r="G1071" s="9" t="s">
        <v>1606</v>
      </c>
      <c r="H1071" s="9" t="s">
        <v>178</v>
      </c>
      <c r="I1071" s="9" t="s">
        <v>2590</v>
      </c>
      <c r="J1071" s="9" t="s">
        <v>1605</v>
      </c>
      <c r="K1071" s="9">
        <v>1</v>
      </c>
      <c r="L1071" s="9">
        <v>21</v>
      </c>
      <c r="M1071" s="9">
        <v>1970</v>
      </c>
      <c r="O1071" s="9" t="str">
        <f t="shared" si="52"/>
        <v>NO</v>
      </c>
      <c r="P1071" s="9" t="str">
        <f t="shared" si="53"/>
        <v>YES</v>
      </c>
      <c r="Q1071" s="9" t="str">
        <f t="shared" si="54"/>
        <v>Unconditioned</v>
      </c>
    </row>
    <row r="1072" spans="1:17">
      <c r="A1072" s="9">
        <v>20089</v>
      </c>
      <c r="B1072" s="9">
        <v>1</v>
      </c>
      <c r="C1072" s="9" t="s">
        <v>1589</v>
      </c>
      <c r="D1072" s="9" t="s">
        <v>1590</v>
      </c>
      <c r="E1072" s="9" t="s">
        <v>1602</v>
      </c>
      <c r="F1072" s="9" t="s">
        <v>1603</v>
      </c>
      <c r="G1072" s="9" t="s">
        <v>1592</v>
      </c>
      <c r="H1072" s="9" t="s">
        <v>170</v>
      </c>
      <c r="I1072" s="9" t="s">
        <v>2591</v>
      </c>
      <c r="J1072" s="9" t="s">
        <v>1601</v>
      </c>
      <c r="K1072" s="9">
        <v>1</v>
      </c>
      <c r="L1072" s="9">
        <v>23</v>
      </c>
      <c r="M1072" s="9">
        <v>2001</v>
      </c>
      <c r="O1072" s="9" t="str">
        <f t="shared" si="52"/>
        <v>NO</v>
      </c>
      <c r="P1072" s="9" t="str">
        <f t="shared" si="53"/>
        <v>NO</v>
      </c>
      <c r="Q1072" s="9" t="str">
        <f t="shared" si="54"/>
        <v>Conditioned</v>
      </c>
    </row>
    <row r="1073" spans="1:17">
      <c r="A1073" s="9">
        <v>20095</v>
      </c>
      <c r="B1073" s="9">
        <v>1</v>
      </c>
      <c r="C1073" s="9" t="s">
        <v>1589</v>
      </c>
      <c r="D1073" s="9" t="s">
        <v>1590</v>
      </c>
      <c r="E1073" s="9" t="s">
        <v>1591</v>
      </c>
      <c r="F1073" s="9" t="s">
        <v>1589</v>
      </c>
      <c r="G1073" s="9" t="s">
        <v>1592</v>
      </c>
      <c r="H1073" s="9" t="s">
        <v>170</v>
      </c>
      <c r="I1073" s="9" t="s">
        <v>2592</v>
      </c>
      <c r="J1073" s="9" t="s">
        <v>1597</v>
      </c>
      <c r="K1073" s="9">
        <v>1</v>
      </c>
      <c r="L1073" s="9">
        <v>21</v>
      </c>
      <c r="M1073" s="9">
        <v>1999</v>
      </c>
      <c r="O1073" s="9" t="str">
        <f t="shared" si="52"/>
        <v>NO</v>
      </c>
      <c r="P1073" s="9" t="str">
        <f t="shared" si="53"/>
        <v>NO</v>
      </c>
      <c r="Q1073" s="9" t="str">
        <f t="shared" si="54"/>
        <v>Conditioned</v>
      </c>
    </row>
    <row r="1074" spans="1:17">
      <c r="A1074" s="9">
        <v>20100</v>
      </c>
      <c r="B1074" s="9">
        <v>1</v>
      </c>
      <c r="C1074" s="9" t="s">
        <v>1589</v>
      </c>
      <c r="D1074" s="9" t="s">
        <v>1590</v>
      </c>
      <c r="E1074" s="9" t="s">
        <v>1591</v>
      </c>
      <c r="F1074" s="9" t="s">
        <v>1589</v>
      </c>
      <c r="G1074" s="9" t="s">
        <v>1592</v>
      </c>
      <c r="H1074" s="9" t="s">
        <v>1638</v>
      </c>
      <c r="I1074" s="9" t="s">
        <v>2593</v>
      </c>
      <c r="J1074" s="9" t="s">
        <v>1597</v>
      </c>
      <c r="K1074" s="9">
        <v>1</v>
      </c>
      <c r="L1074" s="9">
        <v>19</v>
      </c>
      <c r="M1074" s="9">
        <v>1998</v>
      </c>
      <c r="O1074" s="9" t="str">
        <f t="shared" si="52"/>
        <v>NO</v>
      </c>
      <c r="P1074" s="9" t="str">
        <f t="shared" si="53"/>
        <v>NO</v>
      </c>
      <c r="Q1074" s="9" t="str">
        <f t="shared" si="54"/>
        <v>Conditioned</v>
      </c>
    </row>
    <row r="1075" spans="1:17">
      <c r="A1075" s="9">
        <v>20106</v>
      </c>
      <c r="B1075" s="9">
        <v>1</v>
      </c>
      <c r="C1075" s="9" t="s">
        <v>1589</v>
      </c>
      <c r="D1075" s="9" t="s">
        <v>1590</v>
      </c>
      <c r="E1075" s="9" t="s">
        <v>1591</v>
      </c>
      <c r="F1075" s="9" t="s">
        <v>1589</v>
      </c>
      <c r="G1075" s="9" t="s">
        <v>1592</v>
      </c>
      <c r="H1075" s="9" t="s">
        <v>1632</v>
      </c>
      <c r="I1075" s="9" t="s">
        <v>2594</v>
      </c>
      <c r="J1075" s="9" t="s">
        <v>1597</v>
      </c>
      <c r="K1075" s="9">
        <v>1</v>
      </c>
      <c r="L1075" s="9">
        <v>25</v>
      </c>
      <c r="M1075" s="9">
        <v>2001</v>
      </c>
      <c r="O1075" s="9" t="str">
        <f t="shared" si="52"/>
        <v>NO</v>
      </c>
      <c r="P1075" s="9" t="str">
        <f t="shared" si="53"/>
        <v>NO</v>
      </c>
      <c r="Q1075" s="9" t="str">
        <f t="shared" si="54"/>
        <v>Conditioned</v>
      </c>
    </row>
    <row r="1076" spans="1:17">
      <c r="A1076" s="9">
        <v>20108</v>
      </c>
      <c r="B1076" s="9">
        <v>1</v>
      </c>
      <c r="C1076" s="9" t="s">
        <v>1589</v>
      </c>
      <c r="D1076" s="9" t="s">
        <v>1590</v>
      </c>
      <c r="E1076" s="9" t="s">
        <v>1591</v>
      </c>
      <c r="F1076" s="9" t="s">
        <v>1589</v>
      </c>
      <c r="G1076" s="9" t="s">
        <v>1592</v>
      </c>
      <c r="H1076" s="9" t="s">
        <v>170</v>
      </c>
      <c r="I1076" s="9" t="s">
        <v>2595</v>
      </c>
      <c r="J1076" s="9" t="s">
        <v>1597</v>
      </c>
      <c r="K1076" s="9">
        <v>1</v>
      </c>
      <c r="L1076" s="9">
        <v>18</v>
      </c>
      <c r="M1076" s="9">
        <v>2001</v>
      </c>
      <c r="O1076" s="9" t="str">
        <f t="shared" si="52"/>
        <v>NO</v>
      </c>
      <c r="P1076" s="9" t="str">
        <f t="shared" si="53"/>
        <v>NO</v>
      </c>
      <c r="Q1076" s="9" t="str">
        <f t="shared" si="54"/>
        <v>Conditioned</v>
      </c>
    </row>
    <row r="1077" spans="1:17">
      <c r="A1077" s="9">
        <v>20109</v>
      </c>
      <c r="B1077" s="9">
        <v>1</v>
      </c>
      <c r="C1077" s="9" t="s">
        <v>1589</v>
      </c>
      <c r="D1077" s="9" t="s">
        <v>1590</v>
      </c>
      <c r="E1077" s="9" t="s">
        <v>1591</v>
      </c>
      <c r="F1077" s="9" t="s">
        <v>1589</v>
      </c>
      <c r="G1077" s="9" t="s">
        <v>1592</v>
      </c>
      <c r="H1077" s="9" t="s">
        <v>1900</v>
      </c>
      <c r="I1077" s="9" t="s">
        <v>2596</v>
      </c>
      <c r="J1077" s="9" t="s">
        <v>1597</v>
      </c>
      <c r="K1077" s="9">
        <v>1</v>
      </c>
      <c r="L1077" s="9">
        <v>18</v>
      </c>
      <c r="M1077" s="9">
        <v>1988</v>
      </c>
      <c r="O1077" s="9" t="str">
        <f t="shared" si="52"/>
        <v>NO</v>
      </c>
      <c r="P1077" s="9" t="str">
        <f t="shared" si="53"/>
        <v>NO</v>
      </c>
      <c r="Q1077" s="9" t="str">
        <f t="shared" si="54"/>
        <v>Conditioned</v>
      </c>
    </row>
    <row r="1078" spans="1:17">
      <c r="A1078" s="9">
        <v>20109</v>
      </c>
      <c r="B1078" s="9">
        <v>2</v>
      </c>
      <c r="C1078" s="9" t="s">
        <v>1589</v>
      </c>
      <c r="D1078" s="9" t="s">
        <v>1590</v>
      </c>
      <c r="E1078" s="9" t="s">
        <v>1591</v>
      </c>
      <c r="F1078" s="9" t="s">
        <v>1589</v>
      </c>
      <c r="G1078" s="9" t="s">
        <v>1606</v>
      </c>
      <c r="H1078" s="9" t="s">
        <v>173</v>
      </c>
      <c r="I1078" s="9" t="s">
        <v>2597</v>
      </c>
      <c r="J1078" s="9" t="s">
        <v>1605</v>
      </c>
      <c r="K1078" s="9">
        <v>1</v>
      </c>
      <c r="L1078" s="9">
        <v>16</v>
      </c>
      <c r="M1078" s="9">
        <v>2005</v>
      </c>
      <c r="O1078" s="9" t="str">
        <f t="shared" si="52"/>
        <v>NO</v>
      </c>
      <c r="P1078" s="9" t="str">
        <f t="shared" si="53"/>
        <v>YES</v>
      </c>
      <c r="Q1078" s="9" t="str">
        <f t="shared" si="54"/>
        <v>Unconditioned</v>
      </c>
    </row>
    <row r="1079" spans="1:17">
      <c r="A1079" s="9">
        <v>20111</v>
      </c>
      <c r="B1079" s="9">
        <v>1</v>
      </c>
      <c r="C1079" s="9" t="s">
        <v>1589</v>
      </c>
      <c r="D1079" s="9" t="s">
        <v>1590</v>
      </c>
      <c r="E1079" s="9" t="s">
        <v>1591</v>
      </c>
      <c r="F1079" s="9" t="s">
        <v>1589</v>
      </c>
      <c r="G1079" s="9" t="s">
        <v>1592</v>
      </c>
      <c r="H1079" s="9" t="s">
        <v>1624</v>
      </c>
      <c r="I1079" s="9" t="s">
        <v>2598</v>
      </c>
      <c r="J1079" s="9" t="s">
        <v>1597</v>
      </c>
      <c r="K1079" s="9">
        <v>1</v>
      </c>
      <c r="L1079" s="9">
        <v>14</v>
      </c>
      <c r="M1079" s="9">
        <v>2002</v>
      </c>
      <c r="O1079" s="9" t="str">
        <f t="shared" si="52"/>
        <v>NO</v>
      </c>
      <c r="P1079" s="9" t="str">
        <f t="shared" si="53"/>
        <v>NO</v>
      </c>
      <c r="Q1079" s="9" t="str">
        <f t="shared" si="54"/>
        <v>Conditioned</v>
      </c>
    </row>
    <row r="1080" spans="1:17">
      <c r="A1080" s="9">
        <v>20117</v>
      </c>
      <c r="B1080" s="9">
        <v>1</v>
      </c>
      <c r="C1080" s="9" t="s">
        <v>1589</v>
      </c>
      <c r="D1080" s="9" t="s">
        <v>1590</v>
      </c>
      <c r="E1080" s="9" t="s">
        <v>1613</v>
      </c>
      <c r="F1080" s="9" t="s">
        <v>1590</v>
      </c>
      <c r="G1080" s="9" t="s">
        <v>1592</v>
      </c>
      <c r="H1080" s="9" t="s">
        <v>177</v>
      </c>
      <c r="I1080" s="9" t="s">
        <v>2599</v>
      </c>
      <c r="J1080" s="9" t="s">
        <v>1597</v>
      </c>
      <c r="K1080" s="9">
        <v>1</v>
      </c>
      <c r="L1080" s="9">
        <v>26</v>
      </c>
      <c r="M1080" s="9">
        <v>2005</v>
      </c>
      <c r="O1080" s="9" t="str">
        <f t="shared" si="52"/>
        <v>NO</v>
      </c>
      <c r="P1080" s="9" t="str">
        <f t="shared" si="53"/>
        <v>NO</v>
      </c>
      <c r="Q1080" s="9" t="str">
        <f t="shared" si="54"/>
        <v>Conditioned</v>
      </c>
    </row>
    <row r="1081" spans="1:17">
      <c r="A1081" s="9">
        <v>20125</v>
      </c>
      <c r="B1081" s="9">
        <v>1</v>
      </c>
      <c r="C1081" s="9" t="s">
        <v>1589</v>
      </c>
      <c r="D1081" s="9" t="s">
        <v>1590</v>
      </c>
      <c r="E1081" s="9" t="s">
        <v>1591</v>
      </c>
      <c r="F1081" s="9" t="s">
        <v>1589</v>
      </c>
      <c r="G1081" s="9" t="s">
        <v>1606</v>
      </c>
      <c r="H1081" s="9" t="s">
        <v>1638</v>
      </c>
      <c r="I1081" s="9" t="s">
        <v>2600</v>
      </c>
      <c r="J1081" s="9" t="s">
        <v>1605</v>
      </c>
      <c r="K1081" s="9">
        <v>1</v>
      </c>
      <c r="L1081" s="9">
        <v>25</v>
      </c>
      <c r="M1081" s="9">
        <v>1992</v>
      </c>
      <c r="O1081" s="9" t="str">
        <f t="shared" si="52"/>
        <v>NO</v>
      </c>
      <c r="P1081" s="9" t="str">
        <f t="shared" si="53"/>
        <v>YES</v>
      </c>
      <c r="Q1081" s="9" t="str">
        <f t="shared" si="54"/>
        <v>Unconditioned</v>
      </c>
    </row>
    <row r="1082" spans="1:17">
      <c r="A1082" s="9">
        <v>20125</v>
      </c>
      <c r="B1082" s="9">
        <v>2</v>
      </c>
      <c r="C1082" s="9" t="s">
        <v>1589</v>
      </c>
      <c r="D1082" s="9" t="s">
        <v>1590</v>
      </c>
      <c r="E1082" s="9" t="s">
        <v>1613</v>
      </c>
      <c r="F1082" s="9" t="s">
        <v>1603</v>
      </c>
      <c r="G1082" s="9" t="s">
        <v>1592</v>
      </c>
      <c r="H1082" s="9" t="s">
        <v>1624</v>
      </c>
      <c r="I1082" s="9" t="s">
        <v>2601</v>
      </c>
      <c r="J1082" s="9" t="s">
        <v>1597</v>
      </c>
      <c r="K1082" s="9">
        <v>1</v>
      </c>
      <c r="L1082" s="9">
        <v>21</v>
      </c>
      <c r="M1082" s="9">
        <v>1998</v>
      </c>
      <c r="O1082" s="9" t="str">
        <f t="shared" si="52"/>
        <v>NO</v>
      </c>
      <c r="P1082" s="9" t="str">
        <f t="shared" si="53"/>
        <v>NO</v>
      </c>
      <c r="Q1082" s="9" t="str">
        <f t="shared" si="54"/>
        <v>Conditioned</v>
      </c>
    </row>
    <row r="1083" spans="1:17">
      <c r="A1083" s="9">
        <v>20152</v>
      </c>
      <c r="B1083" s="9">
        <v>1</v>
      </c>
      <c r="C1083" s="9" t="s">
        <v>1589</v>
      </c>
      <c r="D1083" s="9" t="s">
        <v>1590</v>
      </c>
      <c r="E1083" s="9" t="s">
        <v>1602</v>
      </c>
      <c r="F1083" s="9" t="s">
        <v>1603</v>
      </c>
      <c r="G1083" s="9" t="s">
        <v>1592</v>
      </c>
      <c r="H1083" s="9" t="s">
        <v>1638</v>
      </c>
      <c r="I1083" s="9" t="s">
        <v>2602</v>
      </c>
      <c r="J1083" s="9" t="s">
        <v>1601</v>
      </c>
      <c r="K1083" s="9">
        <v>1</v>
      </c>
      <c r="L1083" s="9">
        <v>24</v>
      </c>
      <c r="M1083" s="9">
        <v>1982</v>
      </c>
      <c r="O1083" s="9" t="str">
        <f t="shared" si="52"/>
        <v>NO</v>
      </c>
      <c r="P1083" s="9" t="str">
        <f t="shared" si="53"/>
        <v>NO</v>
      </c>
      <c r="Q1083" s="9" t="str">
        <f t="shared" si="54"/>
        <v>Conditioned</v>
      </c>
    </row>
    <row r="1084" spans="1:17">
      <c r="A1084" s="9">
        <v>20152</v>
      </c>
      <c r="B1084" s="9">
        <v>2</v>
      </c>
      <c r="C1084" s="9" t="s">
        <v>1589</v>
      </c>
      <c r="D1084" s="9" t="s">
        <v>1590</v>
      </c>
      <c r="E1084" s="9" t="s">
        <v>1591</v>
      </c>
      <c r="F1084" s="9" t="s">
        <v>1589</v>
      </c>
      <c r="G1084" s="9" t="s">
        <v>1606</v>
      </c>
      <c r="H1084" s="9" t="s">
        <v>1589</v>
      </c>
      <c r="I1084" s="9" t="s">
        <v>2603</v>
      </c>
      <c r="J1084" s="9" t="s">
        <v>1605</v>
      </c>
      <c r="K1084" s="9">
        <v>1</v>
      </c>
      <c r="L1084" s="9">
        <v>22</v>
      </c>
      <c r="M1084" s="9">
        <v>1994</v>
      </c>
      <c r="O1084" s="9" t="str">
        <f t="shared" si="52"/>
        <v>NO</v>
      </c>
      <c r="P1084" s="9" t="str">
        <f t="shared" si="53"/>
        <v>YES</v>
      </c>
      <c r="Q1084" s="9" t="str">
        <f t="shared" si="54"/>
        <v>Unconditioned</v>
      </c>
    </row>
    <row r="1085" spans="1:17">
      <c r="A1085" s="9">
        <v>20152</v>
      </c>
      <c r="B1085" s="9">
        <v>3</v>
      </c>
      <c r="C1085" s="9" t="s">
        <v>2604</v>
      </c>
      <c r="D1085" s="9" t="s">
        <v>1590</v>
      </c>
      <c r="E1085" s="9" t="s">
        <v>1591</v>
      </c>
      <c r="F1085" s="9" t="s">
        <v>1589</v>
      </c>
      <c r="G1085" s="9" t="s">
        <v>1592</v>
      </c>
      <c r="H1085" s="9" t="s">
        <v>1589</v>
      </c>
      <c r="I1085" s="9" t="s">
        <v>1589</v>
      </c>
      <c r="J1085" s="9" t="s">
        <v>1589</v>
      </c>
      <c r="L1085" s="9">
        <v>5</v>
      </c>
      <c r="O1085" s="9" t="str">
        <f t="shared" si="52"/>
        <v>YES</v>
      </c>
      <c r="P1085" s="9" t="e">
        <f t="shared" si="53"/>
        <v>#N/A</v>
      </c>
      <c r="Q1085" s="9" t="str">
        <f t="shared" si="54"/>
        <v>Conditioned</v>
      </c>
    </row>
    <row r="1086" spans="1:17">
      <c r="A1086" s="9">
        <v>20154</v>
      </c>
      <c r="B1086" s="9">
        <v>1</v>
      </c>
      <c r="C1086" s="9" t="s">
        <v>1589</v>
      </c>
      <c r="D1086" s="9" t="s">
        <v>1590</v>
      </c>
      <c r="E1086" s="9" t="s">
        <v>1602</v>
      </c>
      <c r="F1086" s="9" t="s">
        <v>1603</v>
      </c>
      <c r="G1086" s="9" t="s">
        <v>1592</v>
      </c>
      <c r="H1086" s="9" t="s">
        <v>177</v>
      </c>
      <c r="I1086" s="9" t="s">
        <v>2605</v>
      </c>
      <c r="J1086" s="9" t="s">
        <v>1601</v>
      </c>
      <c r="K1086" s="9">
        <v>1</v>
      </c>
      <c r="L1086" s="9">
        <v>25</v>
      </c>
      <c r="M1086" s="9">
        <v>2010</v>
      </c>
      <c r="O1086" s="9" t="str">
        <f t="shared" si="52"/>
        <v>NO</v>
      </c>
      <c r="P1086" s="9" t="str">
        <f t="shared" si="53"/>
        <v>NO</v>
      </c>
      <c r="Q1086" s="9" t="str">
        <f t="shared" si="54"/>
        <v>Conditioned</v>
      </c>
    </row>
    <row r="1087" spans="1:17">
      <c r="A1087" s="9">
        <v>20154</v>
      </c>
      <c r="B1087" s="9">
        <v>2</v>
      </c>
      <c r="C1087" s="9" t="s">
        <v>1589</v>
      </c>
      <c r="D1087" s="9" t="s">
        <v>1590</v>
      </c>
      <c r="E1087" s="9" t="s">
        <v>1591</v>
      </c>
      <c r="F1087" s="9" t="s">
        <v>1589</v>
      </c>
      <c r="G1087" s="9" t="s">
        <v>1606</v>
      </c>
      <c r="H1087" s="9" t="s">
        <v>2235</v>
      </c>
      <c r="I1087" s="9" t="s">
        <v>1589</v>
      </c>
      <c r="J1087" s="9" t="s">
        <v>1587</v>
      </c>
      <c r="K1087" s="9">
        <v>1</v>
      </c>
      <c r="L1087" s="9">
        <v>15</v>
      </c>
      <c r="O1087" s="9" t="str">
        <f t="shared" si="52"/>
        <v>NO</v>
      </c>
      <c r="P1087" s="9" t="str">
        <f t="shared" si="53"/>
        <v>YES</v>
      </c>
      <c r="Q1087" s="9" t="str">
        <f t="shared" si="54"/>
        <v>Unconditioned</v>
      </c>
    </row>
    <row r="1088" spans="1:17">
      <c r="A1088" s="9">
        <v>20155</v>
      </c>
      <c r="B1088" s="9">
        <v>1</v>
      </c>
      <c r="C1088" s="9" t="s">
        <v>1589</v>
      </c>
      <c r="D1088" s="9" t="s">
        <v>1603</v>
      </c>
      <c r="E1088" s="9" t="s">
        <v>1613</v>
      </c>
      <c r="F1088" s="9" t="s">
        <v>1603</v>
      </c>
      <c r="G1088" s="9" t="s">
        <v>1592</v>
      </c>
      <c r="H1088" s="9" t="s">
        <v>170</v>
      </c>
      <c r="I1088" s="9" t="s">
        <v>2606</v>
      </c>
      <c r="J1088" s="9" t="s">
        <v>1597</v>
      </c>
      <c r="K1088" s="9">
        <v>1</v>
      </c>
      <c r="L1088" s="9">
        <v>18</v>
      </c>
      <c r="M1088" s="9">
        <v>2010</v>
      </c>
      <c r="O1088" s="9" t="str">
        <f t="shared" si="52"/>
        <v>NO</v>
      </c>
      <c r="P1088" s="9" t="str">
        <f t="shared" si="53"/>
        <v>NO</v>
      </c>
      <c r="Q1088" s="9" t="str">
        <f t="shared" si="54"/>
        <v>Conditioned</v>
      </c>
    </row>
    <row r="1089" spans="1:17">
      <c r="A1089" s="9">
        <v>20156</v>
      </c>
      <c r="B1089" s="9">
        <v>1</v>
      </c>
      <c r="C1089" s="9" t="s">
        <v>1589</v>
      </c>
      <c r="D1089" s="9" t="s">
        <v>1603</v>
      </c>
      <c r="E1089" s="9" t="s">
        <v>1602</v>
      </c>
      <c r="F1089" s="9" t="s">
        <v>1603</v>
      </c>
      <c r="G1089" s="9" t="s">
        <v>1592</v>
      </c>
      <c r="H1089" s="9" t="s">
        <v>170</v>
      </c>
      <c r="I1089" s="9" t="s">
        <v>2607</v>
      </c>
      <c r="J1089" s="9" t="s">
        <v>1601</v>
      </c>
      <c r="K1089" s="9">
        <v>1</v>
      </c>
      <c r="L1089" s="9">
        <v>22</v>
      </c>
      <c r="M1089" s="9">
        <v>2011</v>
      </c>
      <c r="O1089" s="9" t="str">
        <f t="shared" si="52"/>
        <v>NO</v>
      </c>
      <c r="P1089" s="9" t="str">
        <f t="shared" si="53"/>
        <v>NO</v>
      </c>
      <c r="Q1089" s="9" t="str">
        <f t="shared" si="54"/>
        <v>Conditioned</v>
      </c>
    </row>
    <row r="1090" spans="1:17">
      <c r="A1090" s="9">
        <v>20163</v>
      </c>
      <c r="B1090" s="9">
        <v>1</v>
      </c>
      <c r="C1090" s="9" t="s">
        <v>1589</v>
      </c>
      <c r="D1090" s="9" t="s">
        <v>1590</v>
      </c>
      <c r="E1090" s="9" t="s">
        <v>1591</v>
      </c>
      <c r="F1090" s="9" t="s">
        <v>1589</v>
      </c>
      <c r="G1090" s="9" t="s">
        <v>1606</v>
      </c>
      <c r="H1090" s="9" t="s">
        <v>1624</v>
      </c>
      <c r="I1090" s="9" t="s">
        <v>2608</v>
      </c>
      <c r="J1090" s="9" t="s">
        <v>1605</v>
      </c>
      <c r="K1090" s="9">
        <v>1</v>
      </c>
      <c r="L1090" s="9">
        <v>12</v>
      </c>
      <c r="M1090" s="9">
        <v>1984</v>
      </c>
      <c r="O1090" s="9" t="str">
        <f t="shared" si="52"/>
        <v>NO</v>
      </c>
      <c r="P1090" s="9" t="str">
        <f t="shared" si="53"/>
        <v>YES</v>
      </c>
      <c r="Q1090" s="9" t="str">
        <f t="shared" si="54"/>
        <v>Unconditioned</v>
      </c>
    </row>
    <row r="1091" spans="1:17">
      <c r="A1091" s="9">
        <v>20163</v>
      </c>
      <c r="B1091" s="9">
        <v>2</v>
      </c>
      <c r="C1091" s="9" t="s">
        <v>1589</v>
      </c>
      <c r="D1091" s="9" t="s">
        <v>1590</v>
      </c>
      <c r="E1091" s="9" t="s">
        <v>1591</v>
      </c>
      <c r="F1091" s="9" t="s">
        <v>1589</v>
      </c>
      <c r="G1091" s="9" t="s">
        <v>1592</v>
      </c>
      <c r="H1091" s="9" t="s">
        <v>1766</v>
      </c>
      <c r="I1091" s="9" t="s">
        <v>2609</v>
      </c>
      <c r="J1091" s="9" t="s">
        <v>1605</v>
      </c>
      <c r="K1091" s="9">
        <v>1</v>
      </c>
      <c r="L1091" s="9">
        <v>16</v>
      </c>
      <c r="O1091" s="9" t="str">
        <f t="shared" si="52"/>
        <v>NO</v>
      </c>
      <c r="P1091" s="9" t="str">
        <f t="shared" si="53"/>
        <v>YES</v>
      </c>
      <c r="Q1091" s="9" t="str">
        <f t="shared" si="54"/>
        <v>Conditioned</v>
      </c>
    </row>
    <row r="1092" spans="1:17">
      <c r="A1092" s="9">
        <v>20163</v>
      </c>
      <c r="B1092" s="9">
        <v>3</v>
      </c>
      <c r="C1092" s="9" t="s">
        <v>1589</v>
      </c>
      <c r="D1092" s="9" t="s">
        <v>1590</v>
      </c>
      <c r="E1092" s="9" t="s">
        <v>1591</v>
      </c>
      <c r="F1092" s="9" t="s">
        <v>1589</v>
      </c>
      <c r="G1092" s="9" t="s">
        <v>1606</v>
      </c>
      <c r="H1092" s="9" t="s">
        <v>170</v>
      </c>
      <c r="I1092" s="9" t="s">
        <v>2610</v>
      </c>
      <c r="J1092" s="9" t="s">
        <v>1605</v>
      </c>
      <c r="K1092" s="9">
        <v>1</v>
      </c>
      <c r="L1092" s="9">
        <v>22</v>
      </c>
      <c r="M1092" s="9">
        <v>2010</v>
      </c>
      <c r="O1092" s="9" t="str">
        <f t="shared" si="52"/>
        <v>NO</v>
      </c>
      <c r="P1092" s="9" t="str">
        <f t="shared" si="53"/>
        <v>YES</v>
      </c>
      <c r="Q1092" s="9" t="str">
        <f t="shared" si="54"/>
        <v>Unconditioned</v>
      </c>
    </row>
    <row r="1093" spans="1:17">
      <c r="A1093" s="9">
        <v>20163</v>
      </c>
      <c r="B1093" s="9">
        <v>4</v>
      </c>
      <c r="C1093" s="9" t="s">
        <v>1589</v>
      </c>
      <c r="D1093" s="9" t="s">
        <v>1590</v>
      </c>
      <c r="E1093" s="9" t="s">
        <v>1591</v>
      </c>
      <c r="F1093" s="9" t="s">
        <v>1589</v>
      </c>
      <c r="G1093" s="9" t="s">
        <v>1592</v>
      </c>
      <c r="H1093" s="9" t="s">
        <v>1638</v>
      </c>
      <c r="I1093" s="9" t="s">
        <v>2611</v>
      </c>
      <c r="J1093" s="9" t="s">
        <v>1597</v>
      </c>
      <c r="K1093" s="9">
        <v>1</v>
      </c>
      <c r="L1093" s="9">
        <v>20</v>
      </c>
      <c r="M1093" s="9">
        <v>2007</v>
      </c>
      <c r="O1093" s="9" t="str">
        <f t="shared" si="52"/>
        <v>NO</v>
      </c>
      <c r="P1093" s="9" t="str">
        <f t="shared" si="53"/>
        <v>NO</v>
      </c>
      <c r="Q1093" s="9" t="str">
        <f t="shared" si="54"/>
        <v>Conditioned</v>
      </c>
    </row>
    <row r="1094" spans="1:17">
      <c r="A1094" s="9">
        <v>20166</v>
      </c>
      <c r="B1094" s="9">
        <v>1</v>
      </c>
      <c r="C1094" s="9" t="s">
        <v>1589</v>
      </c>
      <c r="D1094" s="9" t="s">
        <v>1590</v>
      </c>
      <c r="E1094" s="9" t="s">
        <v>1591</v>
      </c>
      <c r="F1094" s="9" t="s">
        <v>1589</v>
      </c>
      <c r="G1094" s="9" t="s">
        <v>1592</v>
      </c>
      <c r="H1094" s="9" t="s">
        <v>170</v>
      </c>
      <c r="I1094" s="9" t="s">
        <v>1914</v>
      </c>
      <c r="J1094" s="9" t="s">
        <v>1605</v>
      </c>
      <c r="K1094" s="9">
        <v>1</v>
      </c>
      <c r="L1094" s="9">
        <v>10</v>
      </c>
      <c r="M1094" s="9">
        <v>2001</v>
      </c>
      <c r="O1094" s="9" t="str">
        <f t="shared" si="52"/>
        <v>NO</v>
      </c>
      <c r="P1094" s="9" t="str">
        <f t="shared" si="53"/>
        <v>YES</v>
      </c>
      <c r="Q1094" s="9" t="str">
        <f t="shared" si="54"/>
        <v>Conditioned</v>
      </c>
    </row>
    <row r="1095" spans="1:17">
      <c r="A1095" s="9">
        <v>20166</v>
      </c>
      <c r="B1095" s="9">
        <v>2</v>
      </c>
      <c r="C1095" s="9" t="s">
        <v>1589</v>
      </c>
      <c r="D1095" s="9" t="s">
        <v>1590</v>
      </c>
      <c r="E1095" s="9" t="s">
        <v>1602</v>
      </c>
      <c r="F1095" s="9" t="s">
        <v>1603</v>
      </c>
      <c r="G1095" s="9" t="s">
        <v>1592</v>
      </c>
      <c r="H1095" s="9" t="s">
        <v>170</v>
      </c>
      <c r="I1095" s="9" t="s">
        <v>2612</v>
      </c>
      <c r="J1095" s="9" t="s">
        <v>1608</v>
      </c>
      <c r="K1095" s="9">
        <v>1</v>
      </c>
      <c r="L1095" s="9">
        <v>20</v>
      </c>
      <c r="M1095" s="9">
        <v>2006</v>
      </c>
      <c r="O1095" s="9" t="str">
        <f t="shared" si="52"/>
        <v>NO</v>
      </c>
      <c r="P1095" s="9" t="str">
        <f t="shared" si="53"/>
        <v>NO</v>
      </c>
      <c r="Q1095" s="9" t="str">
        <f t="shared" si="54"/>
        <v>Conditioned</v>
      </c>
    </row>
    <row r="1096" spans="1:17">
      <c r="A1096" s="9">
        <v>20166</v>
      </c>
      <c r="B1096" s="9">
        <v>3</v>
      </c>
      <c r="C1096" s="9" t="s">
        <v>1589</v>
      </c>
      <c r="D1096" s="9" t="s">
        <v>1590</v>
      </c>
      <c r="E1096" s="9" t="s">
        <v>1591</v>
      </c>
      <c r="F1096" s="9" t="s">
        <v>1589</v>
      </c>
      <c r="G1096" s="9" t="s">
        <v>1592</v>
      </c>
      <c r="H1096" s="9" t="s">
        <v>170</v>
      </c>
      <c r="I1096" s="9" t="s">
        <v>1633</v>
      </c>
      <c r="J1096" s="9" t="s">
        <v>1605</v>
      </c>
      <c r="K1096" s="9">
        <v>1</v>
      </c>
      <c r="L1096" s="9">
        <v>10</v>
      </c>
      <c r="M1096" s="9">
        <v>2004</v>
      </c>
      <c r="O1096" s="9" t="str">
        <f t="shared" si="52"/>
        <v>NO</v>
      </c>
      <c r="P1096" s="9" t="str">
        <f t="shared" si="53"/>
        <v>YES</v>
      </c>
      <c r="Q1096" s="9" t="str">
        <f t="shared" si="54"/>
        <v>Conditioned</v>
      </c>
    </row>
    <row r="1097" spans="1:17">
      <c r="A1097" s="9">
        <v>20166</v>
      </c>
      <c r="B1097" s="9">
        <v>4</v>
      </c>
      <c r="C1097" s="9" t="s">
        <v>1589</v>
      </c>
      <c r="D1097" s="9" t="s">
        <v>1590</v>
      </c>
      <c r="E1097" s="9" t="s">
        <v>1602</v>
      </c>
      <c r="F1097" s="9" t="s">
        <v>1590</v>
      </c>
      <c r="G1097" s="9" t="s">
        <v>1606</v>
      </c>
      <c r="H1097" s="9" t="s">
        <v>170</v>
      </c>
      <c r="I1097" s="9" t="s">
        <v>2613</v>
      </c>
      <c r="J1097" s="9" t="s">
        <v>1601</v>
      </c>
      <c r="K1097" s="9">
        <v>1</v>
      </c>
      <c r="L1097" s="9">
        <v>18</v>
      </c>
      <c r="M1097" s="9">
        <v>2001</v>
      </c>
      <c r="O1097" s="9" t="str">
        <f t="shared" si="52"/>
        <v>NO</v>
      </c>
      <c r="P1097" s="9" t="str">
        <f t="shared" si="53"/>
        <v>NO</v>
      </c>
      <c r="Q1097" s="9" t="str">
        <f t="shared" si="54"/>
        <v>Unconditioned</v>
      </c>
    </row>
    <row r="1098" spans="1:17">
      <c r="A1098" s="9">
        <v>20168</v>
      </c>
      <c r="B1098" s="9">
        <v>1</v>
      </c>
      <c r="C1098" s="9" t="s">
        <v>1589</v>
      </c>
      <c r="D1098" s="9" t="s">
        <v>1590</v>
      </c>
      <c r="E1098" s="9" t="s">
        <v>1602</v>
      </c>
      <c r="F1098" s="9" t="s">
        <v>1603</v>
      </c>
      <c r="G1098" s="9" t="s">
        <v>1592</v>
      </c>
      <c r="H1098" s="9" t="s">
        <v>173</v>
      </c>
      <c r="I1098" s="9" t="s">
        <v>2614</v>
      </c>
      <c r="J1098" s="9" t="s">
        <v>1601</v>
      </c>
      <c r="K1098" s="9">
        <v>1</v>
      </c>
      <c r="L1098" s="9">
        <v>24</v>
      </c>
      <c r="M1098" s="9">
        <v>2002</v>
      </c>
      <c r="O1098" s="9" t="str">
        <f t="shared" si="52"/>
        <v>NO</v>
      </c>
      <c r="P1098" s="9" t="str">
        <f t="shared" si="53"/>
        <v>NO</v>
      </c>
      <c r="Q1098" s="9" t="str">
        <f t="shared" si="54"/>
        <v>Conditioned</v>
      </c>
    </row>
    <row r="1099" spans="1:17">
      <c r="A1099" s="9">
        <v>20168</v>
      </c>
      <c r="B1099" s="9">
        <v>2</v>
      </c>
      <c r="C1099" s="9" t="s">
        <v>1589</v>
      </c>
      <c r="D1099" s="9" t="s">
        <v>1590</v>
      </c>
      <c r="E1099" s="9" t="s">
        <v>1591</v>
      </c>
      <c r="F1099" s="9" t="s">
        <v>1589</v>
      </c>
      <c r="G1099" s="9" t="s">
        <v>1606</v>
      </c>
      <c r="H1099" s="9" t="s">
        <v>1552</v>
      </c>
      <c r="I1099" s="9" t="s">
        <v>2615</v>
      </c>
      <c r="J1099" s="9" t="s">
        <v>1605</v>
      </c>
      <c r="K1099" s="9">
        <v>1</v>
      </c>
      <c r="L1099" s="9">
        <v>18</v>
      </c>
      <c r="M1099" s="9">
        <v>2001</v>
      </c>
      <c r="O1099" s="9" t="str">
        <f t="shared" si="52"/>
        <v>NO</v>
      </c>
      <c r="P1099" s="9" t="str">
        <f t="shared" si="53"/>
        <v>YES</v>
      </c>
      <c r="Q1099" s="9" t="str">
        <f t="shared" si="54"/>
        <v>Unconditioned</v>
      </c>
    </row>
    <row r="1100" spans="1:17">
      <c r="A1100" s="9">
        <v>20168</v>
      </c>
      <c r="B1100" s="9">
        <v>3</v>
      </c>
      <c r="C1100" s="9" t="s">
        <v>1589</v>
      </c>
      <c r="D1100" s="9" t="s">
        <v>1590</v>
      </c>
      <c r="E1100" s="9" t="s">
        <v>1591</v>
      </c>
      <c r="F1100" s="9" t="s">
        <v>1589</v>
      </c>
      <c r="G1100" s="9" t="s">
        <v>1606</v>
      </c>
      <c r="H1100" s="9" t="s">
        <v>170</v>
      </c>
      <c r="I1100" s="9" t="s">
        <v>2616</v>
      </c>
      <c r="J1100" s="9" t="s">
        <v>1608</v>
      </c>
      <c r="K1100" s="9">
        <v>1</v>
      </c>
      <c r="L1100" s="9">
        <v>20</v>
      </c>
      <c r="M1100" s="9">
        <v>2001</v>
      </c>
      <c r="O1100" s="9" t="str">
        <f t="shared" si="52"/>
        <v>NO</v>
      </c>
      <c r="P1100" s="9" t="str">
        <f t="shared" si="53"/>
        <v>NO</v>
      </c>
      <c r="Q1100" s="9" t="str">
        <f t="shared" si="54"/>
        <v>Unconditioned</v>
      </c>
    </row>
    <row r="1101" spans="1:17">
      <c r="A1101" s="9">
        <v>20180</v>
      </c>
      <c r="B1101" s="9">
        <v>1</v>
      </c>
      <c r="C1101" s="9" t="s">
        <v>1589</v>
      </c>
      <c r="D1101" s="9" t="s">
        <v>1590</v>
      </c>
      <c r="E1101" s="9" t="s">
        <v>1602</v>
      </c>
      <c r="F1101" s="9" t="s">
        <v>1603</v>
      </c>
      <c r="G1101" s="9" t="s">
        <v>1592</v>
      </c>
      <c r="H1101" s="9" t="s">
        <v>173</v>
      </c>
      <c r="I1101" s="9" t="s">
        <v>1589</v>
      </c>
      <c r="J1101" s="9" t="s">
        <v>1601</v>
      </c>
      <c r="K1101" s="9">
        <v>1</v>
      </c>
      <c r="L1101" s="9">
        <v>22</v>
      </c>
      <c r="O1101" s="9" t="str">
        <f t="shared" si="52"/>
        <v>NO</v>
      </c>
      <c r="P1101" s="9" t="str">
        <f t="shared" si="53"/>
        <v>NO</v>
      </c>
      <c r="Q1101" s="9" t="str">
        <f t="shared" si="54"/>
        <v>Conditioned</v>
      </c>
    </row>
    <row r="1102" spans="1:17">
      <c r="A1102" s="9">
        <v>20180</v>
      </c>
      <c r="B1102" s="9">
        <v>2</v>
      </c>
      <c r="C1102" s="9" t="s">
        <v>1589</v>
      </c>
      <c r="D1102" s="9" t="s">
        <v>1590</v>
      </c>
      <c r="E1102" s="9" t="s">
        <v>1589</v>
      </c>
      <c r="F1102" s="9" t="s">
        <v>1589</v>
      </c>
      <c r="G1102" s="9" t="s">
        <v>1592</v>
      </c>
      <c r="H1102" s="9" t="s">
        <v>170</v>
      </c>
      <c r="I1102" s="9" t="s">
        <v>2617</v>
      </c>
      <c r="J1102" s="9" t="s">
        <v>1612</v>
      </c>
      <c r="K1102" s="9">
        <v>1</v>
      </c>
      <c r="L1102" s="9">
        <v>8</v>
      </c>
      <c r="O1102" s="9" t="str">
        <f t="shared" si="52"/>
        <v>NO</v>
      </c>
      <c r="P1102" s="9" t="str">
        <f t="shared" si="53"/>
        <v>NO</v>
      </c>
      <c r="Q1102" s="9" t="str">
        <f t="shared" si="54"/>
        <v>Conditioned</v>
      </c>
    </row>
    <row r="1103" spans="1:17">
      <c r="A1103" s="9">
        <v>20182</v>
      </c>
      <c r="B1103" s="9">
        <v>1</v>
      </c>
      <c r="C1103" s="9" t="s">
        <v>1589</v>
      </c>
      <c r="D1103" s="9" t="s">
        <v>1590</v>
      </c>
      <c r="E1103" s="9" t="s">
        <v>1613</v>
      </c>
      <c r="F1103" s="9" t="s">
        <v>1603</v>
      </c>
      <c r="G1103" s="9" t="s">
        <v>1592</v>
      </c>
      <c r="H1103" s="9" t="s">
        <v>169</v>
      </c>
      <c r="I1103" s="9" t="s">
        <v>2618</v>
      </c>
      <c r="J1103" s="9" t="s">
        <v>1597</v>
      </c>
      <c r="K1103" s="9">
        <v>1</v>
      </c>
      <c r="L1103" s="9">
        <v>25</v>
      </c>
      <c r="M1103" s="9">
        <v>2009</v>
      </c>
      <c r="O1103" s="9" t="str">
        <f t="shared" si="52"/>
        <v>NO</v>
      </c>
      <c r="P1103" s="9" t="str">
        <f t="shared" si="53"/>
        <v>NO</v>
      </c>
      <c r="Q1103" s="9" t="str">
        <f t="shared" si="54"/>
        <v>Conditioned</v>
      </c>
    </row>
    <row r="1104" spans="1:17">
      <c r="A1104" s="9">
        <v>20184</v>
      </c>
      <c r="B1104" s="9">
        <v>1</v>
      </c>
      <c r="C1104" s="9" t="s">
        <v>1589</v>
      </c>
      <c r="D1104" s="9" t="s">
        <v>1590</v>
      </c>
      <c r="E1104" s="9" t="s">
        <v>1591</v>
      </c>
      <c r="F1104" s="9" t="s">
        <v>1589</v>
      </c>
      <c r="G1104" s="9" t="s">
        <v>1592</v>
      </c>
      <c r="H1104" s="9" t="s">
        <v>177</v>
      </c>
      <c r="I1104" s="9" t="s">
        <v>2619</v>
      </c>
      <c r="J1104" s="9" t="s">
        <v>1597</v>
      </c>
      <c r="K1104" s="9">
        <v>1</v>
      </c>
      <c r="L1104" s="9">
        <v>18</v>
      </c>
      <c r="M1104" s="9">
        <v>1993</v>
      </c>
      <c r="O1104" s="9" t="str">
        <f t="shared" si="52"/>
        <v>NO</v>
      </c>
      <c r="P1104" s="9" t="str">
        <f t="shared" si="53"/>
        <v>NO</v>
      </c>
      <c r="Q1104" s="9" t="str">
        <f t="shared" si="54"/>
        <v>Conditioned</v>
      </c>
    </row>
    <row r="1105" spans="1:17">
      <c r="A1105" s="9">
        <v>20184</v>
      </c>
      <c r="B1105" s="9">
        <v>2</v>
      </c>
      <c r="C1105" s="9" t="s">
        <v>1589</v>
      </c>
      <c r="D1105" s="9" t="s">
        <v>1590</v>
      </c>
      <c r="E1105" s="9" t="s">
        <v>1591</v>
      </c>
      <c r="F1105" s="9" t="s">
        <v>1589</v>
      </c>
      <c r="G1105" s="9" t="s">
        <v>1592</v>
      </c>
      <c r="H1105" s="9" t="s">
        <v>169</v>
      </c>
      <c r="I1105" s="9" t="s">
        <v>2620</v>
      </c>
      <c r="J1105" s="9" t="s">
        <v>1605</v>
      </c>
      <c r="K1105" s="9">
        <v>1</v>
      </c>
      <c r="L1105" s="9">
        <v>20</v>
      </c>
      <c r="M1105" s="9">
        <v>1998</v>
      </c>
      <c r="O1105" s="9" t="str">
        <f t="shared" si="52"/>
        <v>NO</v>
      </c>
      <c r="P1105" s="9" t="str">
        <f t="shared" si="53"/>
        <v>YES</v>
      </c>
      <c r="Q1105" s="9" t="str">
        <f t="shared" si="54"/>
        <v>Conditioned</v>
      </c>
    </row>
    <row r="1106" spans="1:17">
      <c r="A1106" s="9">
        <v>20185</v>
      </c>
      <c r="B1106" s="9">
        <v>1</v>
      </c>
      <c r="C1106" s="9" t="s">
        <v>1589</v>
      </c>
      <c r="D1106" s="9" t="s">
        <v>1590</v>
      </c>
      <c r="E1106" s="9" t="s">
        <v>1591</v>
      </c>
      <c r="F1106" s="9" t="s">
        <v>1589</v>
      </c>
      <c r="G1106" s="9" t="s">
        <v>1592</v>
      </c>
      <c r="H1106" s="9" t="s">
        <v>1624</v>
      </c>
      <c r="I1106" s="9" t="s">
        <v>2621</v>
      </c>
      <c r="J1106" s="9" t="s">
        <v>1597</v>
      </c>
      <c r="K1106" s="9">
        <v>1</v>
      </c>
      <c r="L1106" s="9">
        <v>19</v>
      </c>
      <c r="M1106" s="9">
        <v>1998</v>
      </c>
      <c r="O1106" s="9" t="str">
        <f t="shared" si="52"/>
        <v>NO</v>
      </c>
      <c r="P1106" s="9" t="str">
        <f t="shared" si="53"/>
        <v>NO</v>
      </c>
      <c r="Q1106" s="9" t="str">
        <f t="shared" si="54"/>
        <v>Conditioned</v>
      </c>
    </row>
    <row r="1107" spans="1:17">
      <c r="A1107" s="9">
        <v>20185</v>
      </c>
      <c r="B1107" s="9">
        <v>2</v>
      </c>
      <c r="C1107" s="9" t="s">
        <v>2622</v>
      </c>
      <c r="D1107" s="9" t="s">
        <v>1603</v>
      </c>
      <c r="E1107" s="9" t="s">
        <v>1591</v>
      </c>
      <c r="F1107" s="9" t="s">
        <v>1589</v>
      </c>
      <c r="G1107" s="9" t="s">
        <v>1606</v>
      </c>
      <c r="H1107" s="9" t="s">
        <v>177</v>
      </c>
      <c r="I1107" s="9" t="s">
        <v>1589</v>
      </c>
      <c r="J1107" s="9" t="s">
        <v>1587</v>
      </c>
      <c r="K1107" s="9">
        <v>1</v>
      </c>
      <c r="L1107" s="9">
        <v>21</v>
      </c>
      <c r="M1107" s="9">
        <v>2005</v>
      </c>
      <c r="O1107" s="9" t="str">
        <f t="shared" si="52"/>
        <v>NO</v>
      </c>
      <c r="P1107" s="9" t="str">
        <f t="shared" si="53"/>
        <v>YES</v>
      </c>
      <c r="Q1107" s="9" t="str">
        <f t="shared" si="54"/>
        <v>Unconditioned</v>
      </c>
    </row>
    <row r="1108" spans="1:17">
      <c r="A1108" s="9">
        <v>20188</v>
      </c>
      <c r="B1108" s="9">
        <v>1</v>
      </c>
      <c r="C1108" s="9" t="s">
        <v>1589</v>
      </c>
      <c r="D1108" s="9" t="s">
        <v>1590</v>
      </c>
      <c r="E1108" s="9" t="s">
        <v>1591</v>
      </c>
      <c r="F1108" s="9" t="s">
        <v>1589</v>
      </c>
      <c r="G1108" s="9" t="s">
        <v>1592</v>
      </c>
      <c r="H1108" s="9" t="s">
        <v>169</v>
      </c>
      <c r="I1108" s="9" t="s">
        <v>1589</v>
      </c>
      <c r="J1108" s="9" t="s">
        <v>1597</v>
      </c>
      <c r="K1108" s="9">
        <v>1</v>
      </c>
      <c r="L1108" s="9">
        <v>18</v>
      </c>
      <c r="M1108" s="9">
        <v>1988</v>
      </c>
      <c r="O1108" s="9" t="str">
        <f t="shared" si="52"/>
        <v>NO</v>
      </c>
      <c r="P1108" s="9" t="str">
        <f t="shared" si="53"/>
        <v>NO</v>
      </c>
      <c r="Q1108" s="9" t="str">
        <f t="shared" si="54"/>
        <v>Conditioned</v>
      </c>
    </row>
    <row r="1109" spans="1:17">
      <c r="A1109" s="9">
        <v>20188</v>
      </c>
      <c r="B1109" s="9">
        <v>2</v>
      </c>
      <c r="C1109" s="9" t="s">
        <v>1589</v>
      </c>
      <c r="D1109" s="9" t="s">
        <v>1590</v>
      </c>
      <c r="E1109" s="9" t="s">
        <v>1591</v>
      </c>
      <c r="F1109" s="9" t="s">
        <v>1589</v>
      </c>
      <c r="G1109" s="9" t="s">
        <v>1606</v>
      </c>
      <c r="H1109" s="9" t="s">
        <v>1766</v>
      </c>
      <c r="I1109" s="9" t="s">
        <v>2623</v>
      </c>
      <c r="J1109" s="9" t="s">
        <v>1587</v>
      </c>
      <c r="K1109" s="9">
        <v>1</v>
      </c>
      <c r="L1109" s="9">
        <v>10</v>
      </c>
      <c r="M1109" s="9">
        <v>2002</v>
      </c>
      <c r="O1109" s="9" t="str">
        <f t="shared" si="52"/>
        <v>NO</v>
      </c>
      <c r="P1109" s="9" t="str">
        <f t="shared" si="53"/>
        <v>YES</v>
      </c>
      <c r="Q1109" s="9" t="str">
        <f t="shared" si="54"/>
        <v>Unconditioned</v>
      </c>
    </row>
    <row r="1110" spans="1:17">
      <c r="A1110" s="9">
        <v>20200</v>
      </c>
      <c r="B1110" s="9">
        <v>1</v>
      </c>
      <c r="C1110" s="9" t="s">
        <v>1589</v>
      </c>
      <c r="D1110" s="9" t="s">
        <v>1590</v>
      </c>
      <c r="E1110" s="9" t="s">
        <v>1602</v>
      </c>
      <c r="F1110" s="9" t="s">
        <v>1603</v>
      </c>
      <c r="G1110" s="9" t="s">
        <v>1592</v>
      </c>
      <c r="H1110" s="9" t="s">
        <v>173</v>
      </c>
      <c r="I1110" s="9" t="s">
        <v>2624</v>
      </c>
      <c r="J1110" s="9" t="s">
        <v>1601</v>
      </c>
      <c r="K1110" s="9">
        <v>1</v>
      </c>
      <c r="L1110" s="9">
        <v>18</v>
      </c>
      <c r="M1110" s="9">
        <v>2008</v>
      </c>
      <c r="O1110" s="9" t="str">
        <f t="shared" si="52"/>
        <v>NO</v>
      </c>
      <c r="P1110" s="9" t="str">
        <f t="shared" si="53"/>
        <v>NO</v>
      </c>
      <c r="Q1110" s="9" t="str">
        <f t="shared" si="54"/>
        <v>Conditioned</v>
      </c>
    </row>
    <row r="1111" spans="1:17">
      <c r="A1111" s="9">
        <v>20206</v>
      </c>
      <c r="B1111" s="9">
        <v>1</v>
      </c>
      <c r="C1111" s="9" t="s">
        <v>1589</v>
      </c>
      <c r="D1111" s="9" t="s">
        <v>1590</v>
      </c>
      <c r="E1111" s="9" t="s">
        <v>1591</v>
      </c>
      <c r="F1111" s="9" t="s">
        <v>1589</v>
      </c>
      <c r="G1111" s="9" t="s">
        <v>1592</v>
      </c>
      <c r="H1111" s="9" t="s">
        <v>170</v>
      </c>
      <c r="I1111" s="9" t="s">
        <v>2625</v>
      </c>
      <c r="J1111" s="9" t="s">
        <v>1597</v>
      </c>
      <c r="K1111" s="9">
        <v>1</v>
      </c>
      <c r="L1111" s="9">
        <v>16</v>
      </c>
      <c r="M1111" s="9">
        <v>2009</v>
      </c>
      <c r="O1111" s="9" t="str">
        <f t="shared" ref="O1111:O1174" si="55">IF(L1111&lt;7.75,"YES","NO")</f>
        <v>NO</v>
      </c>
      <c r="P1111" s="9" t="str">
        <f t="shared" ref="P1111:P1174" si="56">VLOOKUP(J1111,$Z$21:$AA$27,2,FALSE)</f>
        <v>NO</v>
      </c>
      <c r="Q1111" s="9" t="str">
        <f t="shared" ref="Q1111:Q1174" si="57">G1111</f>
        <v>Conditioned</v>
      </c>
    </row>
    <row r="1112" spans="1:17">
      <c r="A1112" s="9">
        <v>20215</v>
      </c>
      <c r="B1112" s="9">
        <v>1</v>
      </c>
      <c r="C1112" s="9" t="s">
        <v>1589</v>
      </c>
      <c r="D1112" s="9" t="s">
        <v>1590</v>
      </c>
      <c r="E1112" s="9" t="s">
        <v>1589</v>
      </c>
      <c r="F1112" s="9" t="s">
        <v>1589</v>
      </c>
      <c r="G1112" s="9" t="s">
        <v>1592</v>
      </c>
      <c r="H1112" s="9" t="s">
        <v>1766</v>
      </c>
      <c r="I1112" s="9" t="s">
        <v>2626</v>
      </c>
      <c r="J1112" s="9" t="s">
        <v>1612</v>
      </c>
      <c r="K1112" s="9">
        <v>1</v>
      </c>
      <c r="L1112" s="9">
        <v>18</v>
      </c>
      <c r="M1112" s="9">
        <v>1989</v>
      </c>
      <c r="O1112" s="9" t="str">
        <f t="shared" si="55"/>
        <v>NO</v>
      </c>
      <c r="P1112" s="9" t="str">
        <f t="shared" si="56"/>
        <v>NO</v>
      </c>
      <c r="Q1112" s="9" t="str">
        <f t="shared" si="57"/>
        <v>Conditioned</v>
      </c>
    </row>
    <row r="1113" spans="1:17">
      <c r="A1113" s="9">
        <v>20215</v>
      </c>
      <c r="B1113" s="9">
        <v>2</v>
      </c>
      <c r="C1113" s="9" t="s">
        <v>1589</v>
      </c>
      <c r="D1113" s="9" t="s">
        <v>1590</v>
      </c>
      <c r="E1113" s="9" t="s">
        <v>1591</v>
      </c>
      <c r="F1113" s="9" t="s">
        <v>1589</v>
      </c>
      <c r="G1113" s="9" t="s">
        <v>1592</v>
      </c>
      <c r="H1113" s="9" t="s">
        <v>1624</v>
      </c>
      <c r="I1113" s="9" t="s">
        <v>1589</v>
      </c>
      <c r="J1113" s="9" t="s">
        <v>1587</v>
      </c>
      <c r="K1113" s="9">
        <v>1</v>
      </c>
      <c r="L1113" s="9">
        <v>18</v>
      </c>
      <c r="M1113" s="9">
        <v>1970</v>
      </c>
      <c r="O1113" s="9" t="str">
        <f t="shared" si="55"/>
        <v>NO</v>
      </c>
      <c r="P1113" s="9" t="str">
        <f t="shared" si="56"/>
        <v>YES</v>
      </c>
      <c r="Q1113" s="9" t="str">
        <f t="shared" si="57"/>
        <v>Conditioned</v>
      </c>
    </row>
    <row r="1114" spans="1:17">
      <c r="A1114" s="9">
        <v>20215</v>
      </c>
      <c r="B1114" s="9">
        <v>3</v>
      </c>
      <c r="C1114" s="9" t="s">
        <v>1589</v>
      </c>
      <c r="D1114" s="9" t="s">
        <v>1590</v>
      </c>
      <c r="E1114" s="9" t="s">
        <v>1591</v>
      </c>
      <c r="F1114" s="9" t="s">
        <v>1589</v>
      </c>
      <c r="G1114" s="9" t="s">
        <v>1592</v>
      </c>
      <c r="H1114" s="9" t="s">
        <v>1624</v>
      </c>
      <c r="I1114" s="9" t="s">
        <v>2627</v>
      </c>
      <c r="J1114" s="9" t="s">
        <v>1605</v>
      </c>
      <c r="K1114" s="9">
        <v>1</v>
      </c>
      <c r="L1114" s="9">
        <v>20</v>
      </c>
      <c r="M1114" s="9">
        <v>1979</v>
      </c>
      <c r="O1114" s="9" t="str">
        <f t="shared" si="55"/>
        <v>NO</v>
      </c>
      <c r="P1114" s="9" t="str">
        <f t="shared" si="56"/>
        <v>YES</v>
      </c>
      <c r="Q1114" s="9" t="str">
        <f t="shared" si="57"/>
        <v>Conditioned</v>
      </c>
    </row>
    <row r="1115" spans="1:17">
      <c r="A1115" s="9">
        <v>20215</v>
      </c>
      <c r="B1115" s="9">
        <v>4</v>
      </c>
      <c r="C1115" s="9" t="s">
        <v>1589</v>
      </c>
      <c r="D1115" s="9" t="s">
        <v>1590</v>
      </c>
      <c r="E1115" s="9" t="s">
        <v>1591</v>
      </c>
      <c r="F1115" s="9" t="s">
        <v>1589</v>
      </c>
      <c r="G1115" s="9" t="s">
        <v>1606</v>
      </c>
      <c r="H1115" s="9" t="s">
        <v>1017</v>
      </c>
      <c r="I1115" s="9" t="s">
        <v>2628</v>
      </c>
      <c r="J1115" s="9" t="s">
        <v>1597</v>
      </c>
      <c r="K1115" s="9">
        <v>1</v>
      </c>
      <c r="L1115" s="9">
        <v>20</v>
      </c>
      <c r="M1115" s="9">
        <v>2000</v>
      </c>
      <c r="O1115" s="9" t="str">
        <f t="shared" si="55"/>
        <v>NO</v>
      </c>
      <c r="P1115" s="9" t="str">
        <f t="shared" si="56"/>
        <v>NO</v>
      </c>
      <c r="Q1115" s="9" t="str">
        <f t="shared" si="57"/>
        <v>Unconditioned</v>
      </c>
    </row>
    <row r="1116" spans="1:17">
      <c r="A1116" s="9">
        <v>20230</v>
      </c>
      <c r="B1116" s="9">
        <v>1</v>
      </c>
      <c r="C1116" s="9" t="s">
        <v>1589</v>
      </c>
      <c r="D1116" s="9" t="s">
        <v>1590</v>
      </c>
      <c r="E1116" s="9" t="s">
        <v>1613</v>
      </c>
      <c r="F1116" s="9" t="s">
        <v>1603</v>
      </c>
      <c r="G1116" s="9" t="s">
        <v>1592</v>
      </c>
      <c r="H1116" s="9" t="s">
        <v>170</v>
      </c>
      <c r="I1116" s="9" t="s">
        <v>2629</v>
      </c>
      <c r="J1116" s="9" t="s">
        <v>1597</v>
      </c>
      <c r="K1116" s="9">
        <v>1</v>
      </c>
      <c r="L1116" s="9">
        <v>21</v>
      </c>
      <c r="M1116" s="9">
        <v>2004</v>
      </c>
      <c r="O1116" s="9" t="str">
        <f t="shared" si="55"/>
        <v>NO</v>
      </c>
      <c r="P1116" s="9" t="str">
        <f t="shared" si="56"/>
        <v>NO</v>
      </c>
      <c r="Q1116" s="9" t="str">
        <f t="shared" si="57"/>
        <v>Conditioned</v>
      </c>
    </row>
    <row r="1117" spans="1:17">
      <c r="A1117" s="9">
        <v>20230</v>
      </c>
      <c r="B1117" s="9">
        <v>2</v>
      </c>
      <c r="C1117" s="9" t="s">
        <v>1589</v>
      </c>
      <c r="D1117" s="9" t="s">
        <v>1590</v>
      </c>
      <c r="E1117" s="9" t="s">
        <v>1591</v>
      </c>
      <c r="F1117" s="9" t="s">
        <v>1589</v>
      </c>
      <c r="G1117" s="9" t="s">
        <v>1592</v>
      </c>
      <c r="H1117" s="9" t="s">
        <v>1678</v>
      </c>
      <c r="I1117" s="9" t="s">
        <v>2630</v>
      </c>
      <c r="J1117" s="9" t="s">
        <v>1605</v>
      </c>
      <c r="K1117" s="9">
        <v>1</v>
      </c>
      <c r="L1117" s="9">
        <v>12</v>
      </c>
      <c r="M1117" s="9">
        <v>1971</v>
      </c>
      <c r="O1117" s="9" t="str">
        <f t="shared" si="55"/>
        <v>NO</v>
      </c>
      <c r="P1117" s="9" t="str">
        <f t="shared" si="56"/>
        <v>YES</v>
      </c>
      <c r="Q1117" s="9" t="str">
        <f t="shared" si="57"/>
        <v>Conditioned</v>
      </c>
    </row>
    <row r="1118" spans="1:17">
      <c r="A1118" s="9">
        <v>20244</v>
      </c>
      <c r="B1118" s="9">
        <v>1</v>
      </c>
      <c r="C1118" s="9" t="s">
        <v>1589</v>
      </c>
      <c r="D1118" s="9" t="s">
        <v>1590</v>
      </c>
      <c r="E1118" s="9" t="s">
        <v>1591</v>
      </c>
      <c r="F1118" s="9" t="s">
        <v>1589</v>
      </c>
      <c r="G1118" s="9" t="s">
        <v>1606</v>
      </c>
      <c r="H1118" s="9" t="s">
        <v>170</v>
      </c>
      <c r="I1118" s="9" t="s">
        <v>1633</v>
      </c>
      <c r="J1118" s="9" t="s">
        <v>1605</v>
      </c>
      <c r="K1118" s="9">
        <v>1</v>
      </c>
      <c r="L1118" s="9">
        <v>18</v>
      </c>
      <c r="M1118" s="9">
        <v>1991</v>
      </c>
      <c r="O1118" s="9" t="str">
        <f t="shared" si="55"/>
        <v>NO</v>
      </c>
      <c r="P1118" s="9" t="str">
        <f t="shared" si="56"/>
        <v>YES</v>
      </c>
      <c r="Q1118" s="9" t="str">
        <f t="shared" si="57"/>
        <v>Unconditioned</v>
      </c>
    </row>
    <row r="1119" spans="1:17">
      <c r="A1119" s="9">
        <v>20245</v>
      </c>
      <c r="B1119" s="9">
        <v>1</v>
      </c>
      <c r="C1119" s="9" t="s">
        <v>1589</v>
      </c>
      <c r="D1119" s="9" t="s">
        <v>1590</v>
      </c>
      <c r="E1119" s="9" t="s">
        <v>1591</v>
      </c>
      <c r="F1119" s="9" t="s">
        <v>1589</v>
      </c>
      <c r="G1119" s="9" t="s">
        <v>1592</v>
      </c>
      <c r="H1119" s="9" t="s">
        <v>170</v>
      </c>
      <c r="I1119" s="9" t="s">
        <v>2631</v>
      </c>
      <c r="J1119" s="9" t="s">
        <v>1605</v>
      </c>
      <c r="K1119" s="9">
        <v>1</v>
      </c>
      <c r="L1119" s="9">
        <v>8</v>
      </c>
      <c r="M1119" s="9">
        <v>2004</v>
      </c>
      <c r="O1119" s="9" t="str">
        <f t="shared" si="55"/>
        <v>NO</v>
      </c>
      <c r="P1119" s="9" t="str">
        <f t="shared" si="56"/>
        <v>YES</v>
      </c>
      <c r="Q1119" s="9" t="str">
        <f t="shared" si="57"/>
        <v>Conditioned</v>
      </c>
    </row>
    <row r="1120" spans="1:17">
      <c r="A1120" s="9">
        <v>20245</v>
      </c>
      <c r="B1120" s="9">
        <v>2</v>
      </c>
      <c r="C1120" s="9" t="s">
        <v>1589</v>
      </c>
      <c r="D1120" s="9" t="s">
        <v>1590</v>
      </c>
      <c r="E1120" s="9" t="s">
        <v>1591</v>
      </c>
      <c r="F1120" s="9" t="s">
        <v>1589</v>
      </c>
      <c r="G1120" s="9" t="s">
        <v>1592</v>
      </c>
      <c r="H1120" s="9" t="s">
        <v>170</v>
      </c>
      <c r="I1120" s="9" t="s">
        <v>2632</v>
      </c>
      <c r="J1120" s="9" t="s">
        <v>1612</v>
      </c>
      <c r="K1120" s="9">
        <v>1</v>
      </c>
      <c r="L1120" s="9">
        <v>6</v>
      </c>
      <c r="M1120" s="9">
        <v>2004</v>
      </c>
      <c r="O1120" s="9" t="str">
        <f t="shared" si="55"/>
        <v>YES</v>
      </c>
      <c r="P1120" s="9" t="str">
        <f t="shared" si="56"/>
        <v>NO</v>
      </c>
      <c r="Q1120" s="9" t="str">
        <f t="shared" si="57"/>
        <v>Conditioned</v>
      </c>
    </row>
    <row r="1121" spans="1:17">
      <c r="A1121" s="9">
        <v>20250</v>
      </c>
      <c r="B1121" s="9">
        <v>1</v>
      </c>
      <c r="C1121" s="9" t="s">
        <v>1589</v>
      </c>
      <c r="D1121" s="9" t="s">
        <v>1590</v>
      </c>
      <c r="E1121" s="9" t="s">
        <v>1613</v>
      </c>
      <c r="F1121" s="9" t="s">
        <v>1603</v>
      </c>
      <c r="G1121" s="9" t="s">
        <v>1592</v>
      </c>
      <c r="H1121" s="9" t="s">
        <v>170</v>
      </c>
      <c r="I1121" s="9" t="s">
        <v>2633</v>
      </c>
      <c r="J1121" s="9" t="s">
        <v>1601</v>
      </c>
      <c r="K1121" s="9">
        <v>1</v>
      </c>
      <c r="L1121" s="9">
        <v>22</v>
      </c>
      <c r="M1121" s="9">
        <v>1987</v>
      </c>
      <c r="O1121" s="9" t="str">
        <f t="shared" si="55"/>
        <v>NO</v>
      </c>
      <c r="P1121" s="9" t="str">
        <f t="shared" si="56"/>
        <v>NO</v>
      </c>
      <c r="Q1121" s="9" t="str">
        <f t="shared" si="57"/>
        <v>Conditioned</v>
      </c>
    </row>
    <row r="1122" spans="1:17">
      <c r="A1122" s="9">
        <v>20264</v>
      </c>
      <c r="B1122" s="9">
        <v>1</v>
      </c>
      <c r="C1122" s="9" t="s">
        <v>1589</v>
      </c>
      <c r="D1122" s="9" t="s">
        <v>1590</v>
      </c>
      <c r="E1122" s="9" t="s">
        <v>1602</v>
      </c>
      <c r="F1122" s="9" t="s">
        <v>1603</v>
      </c>
      <c r="G1122" s="9" t="s">
        <v>1592</v>
      </c>
      <c r="H1122" s="9" t="s">
        <v>173</v>
      </c>
      <c r="I1122" s="9" t="s">
        <v>2634</v>
      </c>
      <c r="J1122" s="9" t="s">
        <v>1610</v>
      </c>
      <c r="K1122" s="9">
        <v>1</v>
      </c>
      <c r="L1122" s="9">
        <v>25</v>
      </c>
      <c r="M1122" s="9">
        <v>2008</v>
      </c>
      <c r="O1122" s="9" t="str">
        <f t="shared" si="55"/>
        <v>NO</v>
      </c>
      <c r="P1122" s="9" t="str">
        <f t="shared" si="56"/>
        <v>NO</v>
      </c>
      <c r="Q1122" s="9" t="str">
        <f t="shared" si="57"/>
        <v>Conditioned</v>
      </c>
    </row>
    <row r="1123" spans="1:17">
      <c r="A1123" s="9">
        <v>20264</v>
      </c>
      <c r="B1123" s="9">
        <v>2</v>
      </c>
      <c r="C1123" s="9" t="s">
        <v>1589</v>
      </c>
      <c r="D1123" s="9" t="s">
        <v>1590</v>
      </c>
      <c r="E1123" s="9" t="s">
        <v>1602</v>
      </c>
      <c r="F1123" s="9" t="s">
        <v>1590</v>
      </c>
      <c r="G1123" s="9" t="s">
        <v>1606</v>
      </c>
      <c r="H1123" s="9" t="s">
        <v>172</v>
      </c>
      <c r="I1123" s="9" t="s">
        <v>1589</v>
      </c>
      <c r="J1123" s="9" t="s">
        <v>1601</v>
      </c>
      <c r="K1123" s="9">
        <v>1</v>
      </c>
      <c r="L1123" s="9">
        <v>22</v>
      </c>
      <c r="M1123" s="9">
        <v>1989</v>
      </c>
      <c r="O1123" s="9" t="str">
        <f t="shared" si="55"/>
        <v>NO</v>
      </c>
      <c r="P1123" s="9" t="str">
        <f t="shared" si="56"/>
        <v>NO</v>
      </c>
      <c r="Q1123" s="9" t="str">
        <f t="shared" si="57"/>
        <v>Unconditioned</v>
      </c>
    </row>
    <row r="1124" spans="1:17">
      <c r="A1124" s="9">
        <v>20265</v>
      </c>
      <c r="B1124" s="9">
        <v>1</v>
      </c>
      <c r="C1124" s="9" t="s">
        <v>1589</v>
      </c>
      <c r="D1124" s="9" t="s">
        <v>1590</v>
      </c>
      <c r="E1124" s="9" t="s">
        <v>1591</v>
      </c>
      <c r="F1124" s="9" t="s">
        <v>1589</v>
      </c>
      <c r="G1124" s="9" t="s">
        <v>1592</v>
      </c>
      <c r="H1124" s="9" t="s">
        <v>1599</v>
      </c>
      <c r="I1124" s="9" t="s">
        <v>2635</v>
      </c>
      <c r="J1124" s="9" t="s">
        <v>1597</v>
      </c>
      <c r="K1124" s="9">
        <v>1</v>
      </c>
      <c r="L1124" s="9">
        <v>23</v>
      </c>
      <c r="M1124" s="9">
        <v>1995</v>
      </c>
      <c r="O1124" s="9" t="str">
        <f t="shared" si="55"/>
        <v>NO</v>
      </c>
      <c r="P1124" s="9" t="str">
        <f t="shared" si="56"/>
        <v>NO</v>
      </c>
      <c r="Q1124" s="9" t="str">
        <f t="shared" si="57"/>
        <v>Conditioned</v>
      </c>
    </row>
    <row r="1125" spans="1:17">
      <c r="A1125" s="9">
        <v>20265</v>
      </c>
      <c r="B1125" s="9">
        <v>2</v>
      </c>
      <c r="C1125" s="9" t="s">
        <v>1589</v>
      </c>
      <c r="D1125" s="9" t="s">
        <v>1590</v>
      </c>
      <c r="E1125" s="9" t="s">
        <v>1591</v>
      </c>
      <c r="F1125" s="9" t="s">
        <v>1589</v>
      </c>
      <c r="G1125" s="9" t="s">
        <v>1592</v>
      </c>
      <c r="H1125" s="9" t="s">
        <v>169</v>
      </c>
      <c r="I1125" s="9" t="s">
        <v>2636</v>
      </c>
      <c r="J1125" s="9" t="s">
        <v>1605</v>
      </c>
      <c r="K1125" s="9">
        <v>1</v>
      </c>
      <c r="L1125" s="9">
        <v>14</v>
      </c>
      <c r="M1125" s="9">
        <v>2007</v>
      </c>
      <c r="O1125" s="9" t="str">
        <f t="shared" si="55"/>
        <v>NO</v>
      </c>
      <c r="P1125" s="9" t="str">
        <f t="shared" si="56"/>
        <v>YES</v>
      </c>
      <c r="Q1125" s="9" t="str">
        <f t="shared" si="57"/>
        <v>Conditioned</v>
      </c>
    </row>
    <row r="1126" spans="1:17">
      <c r="A1126" s="9">
        <v>20265</v>
      </c>
      <c r="B1126" s="9">
        <v>3</v>
      </c>
      <c r="C1126" s="9" t="s">
        <v>1589</v>
      </c>
      <c r="D1126" s="9" t="s">
        <v>1590</v>
      </c>
      <c r="E1126" s="9" t="s">
        <v>1591</v>
      </c>
      <c r="F1126" s="9" t="s">
        <v>1589</v>
      </c>
      <c r="G1126" s="9" t="s">
        <v>1606</v>
      </c>
      <c r="H1126" s="9" t="s">
        <v>177</v>
      </c>
      <c r="I1126" s="9" t="s">
        <v>2637</v>
      </c>
      <c r="J1126" s="9" t="s">
        <v>1597</v>
      </c>
      <c r="K1126" s="9">
        <v>0.5</v>
      </c>
      <c r="L1126" s="9">
        <v>17</v>
      </c>
      <c r="O1126" s="9" t="str">
        <f t="shared" si="55"/>
        <v>NO</v>
      </c>
      <c r="P1126" s="9" t="str">
        <f t="shared" si="56"/>
        <v>NO</v>
      </c>
      <c r="Q1126" s="9" t="str">
        <f t="shared" si="57"/>
        <v>Unconditioned</v>
      </c>
    </row>
    <row r="1127" spans="1:17">
      <c r="A1127" s="9">
        <v>20266</v>
      </c>
      <c r="B1127" s="9">
        <v>1</v>
      </c>
      <c r="C1127" s="9" t="s">
        <v>1589</v>
      </c>
      <c r="D1127" s="9" t="s">
        <v>1590</v>
      </c>
      <c r="E1127" s="9" t="s">
        <v>1602</v>
      </c>
      <c r="F1127" s="9" t="s">
        <v>1603</v>
      </c>
      <c r="G1127" s="9" t="s">
        <v>1592</v>
      </c>
      <c r="H1127" s="9" t="s">
        <v>173</v>
      </c>
      <c r="I1127" s="9" t="s">
        <v>2638</v>
      </c>
      <c r="J1127" s="9" t="s">
        <v>1608</v>
      </c>
      <c r="K1127" s="9">
        <v>1</v>
      </c>
      <c r="L1127" s="9">
        <v>20</v>
      </c>
      <c r="M1127" s="9">
        <v>2006</v>
      </c>
      <c r="O1127" s="9" t="str">
        <f t="shared" si="55"/>
        <v>NO</v>
      </c>
      <c r="P1127" s="9" t="str">
        <f t="shared" si="56"/>
        <v>NO</v>
      </c>
      <c r="Q1127" s="9" t="str">
        <f t="shared" si="57"/>
        <v>Conditioned</v>
      </c>
    </row>
    <row r="1128" spans="1:17">
      <c r="A1128" s="9">
        <v>20266</v>
      </c>
      <c r="B1128" s="9">
        <v>2</v>
      </c>
      <c r="C1128" s="9" t="s">
        <v>1589</v>
      </c>
      <c r="D1128" s="9" t="s">
        <v>1590</v>
      </c>
      <c r="E1128" s="9" t="s">
        <v>1602</v>
      </c>
      <c r="F1128" s="9" t="s">
        <v>1603</v>
      </c>
      <c r="G1128" s="9" t="s">
        <v>1606</v>
      </c>
      <c r="H1128" s="9" t="s">
        <v>174</v>
      </c>
      <c r="I1128" s="9" t="s">
        <v>2639</v>
      </c>
      <c r="J1128" s="9" t="s">
        <v>1601</v>
      </c>
      <c r="K1128" s="9">
        <v>1</v>
      </c>
      <c r="L1128" s="9">
        <v>20</v>
      </c>
      <c r="O1128" s="9" t="str">
        <f t="shared" si="55"/>
        <v>NO</v>
      </c>
      <c r="P1128" s="9" t="str">
        <f t="shared" si="56"/>
        <v>NO</v>
      </c>
      <c r="Q1128" s="9" t="str">
        <f t="shared" si="57"/>
        <v>Unconditioned</v>
      </c>
    </row>
    <row r="1129" spans="1:17">
      <c r="A1129" s="9">
        <v>20266</v>
      </c>
      <c r="B1129" s="9">
        <v>3</v>
      </c>
      <c r="C1129" s="9" t="s">
        <v>1589</v>
      </c>
      <c r="D1129" s="9" t="s">
        <v>1590</v>
      </c>
      <c r="E1129" s="9" t="s">
        <v>1591</v>
      </c>
      <c r="F1129" s="9" t="s">
        <v>1589</v>
      </c>
      <c r="G1129" s="9" t="s">
        <v>1606</v>
      </c>
      <c r="H1129" s="9" t="s">
        <v>169</v>
      </c>
      <c r="I1129" s="9" t="s">
        <v>2640</v>
      </c>
      <c r="J1129" s="9" t="s">
        <v>1605</v>
      </c>
      <c r="K1129" s="9">
        <v>1</v>
      </c>
      <c r="L1129" s="9">
        <v>20</v>
      </c>
      <c r="M1129" s="9">
        <v>2004</v>
      </c>
      <c r="O1129" s="9" t="str">
        <f t="shared" si="55"/>
        <v>NO</v>
      </c>
      <c r="P1129" s="9" t="str">
        <f t="shared" si="56"/>
        <v>YES</v>
      </c>
      <c r="Q1129" s="9" t="str">
        <f t="shared" si="57"/>
        <v>Unconditioned</v>
      </c>
    </row>
    <row r="1130" spans="1:17">
      <c r="A1130" s="9">
        <v>20274</v>
      </c>
      <c r="B1130" s="9">
        <v>1</v>
      </c>
      <c r="C1130" s="9" t="s">
        <v>1589</v>
      </c>
      <c r="D1130" s="9" t="s">
        <v>1590</v>
      </c>
      <c r="E1130" s="9" t="s">
        <v>1613</v>
      </c>
      <c r="F1130" s="9" t="s">
        <v>1603</v>
      </c>
      <c r="G1130" s="9" t="s">
        <v>1592</v>
      </c>
      <c r="H1130" s="9" t="s">
        <v>173</v>
      </c>
      <c r="I1130" s="9" t="s">
        <v>2641</v>
      </c>
      <c r="J1130" s="9" t="s">
        <v>1608</v>
      </c>
      <c r="K1130" s="9">
        <v>1</v>
      </c>
      <c r="L1130" s="9">
        <v>22</v>
      </c>
      <c r="M1130" s="9">
        <v>2006</v>
      </c>
      <c r="O1130" s="9" t="str">
        <f t="shared" si="55"/>
        <v>NO</v>
      </c>
      <c r="P1130" s="9" t="str">
        <f t="shared" si="56"/>
        <v>NO</v>
      </c>
      <c r="Q1130" s="9" t="str">
        <f t="shared" si="57"/>
        <v>Conditioned</v>
      </c>
    </row>
    <row r="1131" spans="1:17">
      <c r="A1131" s="9">
        <v>20287</v>
      </c>
      <c r="B1131" s="9">
        <v>1</v>
      </c>
      <c r="C1131" s="9" t="s">
        <v>1589</v>
      </c>
      <c r="D1131" s="9" t="s">
        <v>1603</v>
      </c>
      <c r="E1131" s="9" t="s">
        <v>1602</v>
      </c>
      <c r="F1131" s="9" t="s">
        <v>1603</v>
      </c>
      <c r="G1131" s="9" t="s">
        <v>1592</v>
      </c>
      <c r="H1131" s="9" t="s">
        <v>1638</v>
      </c>
      <c r="I1131" s="9" t="s">
        <v>2642</v>
      </c>
      <c r="J1131" s="9" t="s">
        <v>1608</v>
      </c>
      <c r="K1131" s="9">
        <v>1</v>
      </c>
      <c r="L1131" s="9">
        <v>26</v>
      </c>
      <c r="M1131" s="9">
        <v>2009</v>
      </c>
      <c r="O1131" s="9" t="str">
        <f t="shared" si="55"/>
        <v>NO</v>
      </c>
      <c r="P1131" s="9" t="str">
        <f t="shared" si="56"/>
        <v>NO</v>
      </c>
      <c r="Q1131" s="9" t="str">
        <f t="shared" si="57"/>
        <v>Conditioned</v>
      </c>
    </row>
    <row r="1132" spans="1:17">
      <c r="A1132" s="9">
        <v>20287</v>
      </c>
      <c r="B1132" s="9">
        <v>2</v>
      </c>
      <c r="C1132" s="9" t="s">
        <v>1589</v>
      </c>
      <c r="D1132" s="9" t="s">
        <v>1590</v>
      </c>
      <c r="E1132" s="9" t="s">
        <v>1591</v>
      </c>
      <c r="F1132" s="9" t="s">
        <v>1589</v>
      </c>
      <c r="G1132" s="9" t="s">
        <v>1592</v>
      </c>
      <c r="H1132" s="9" t="s">
        <v>1638</v>
      </c>
      <c r="I1132" s="9" t="s">
        <v>1589</v>
      </c>
      <c r="J1132" s="9" t="s">
        <v>1587</v>
      </c>
      <c r="K1132" s="9">
        <v>1</v>
      </c>
      <c r="L1132" s="9">
        <v>26</v>
      </c>
      <c r="O1132" s="9" t="str">
        <f t="shared" si="55"/>
        <v>NO</v>
      </c>
      <c r="P1132" s="9" t="str">
        <f t="shared" si="56"/>
        <v>YES</v>
      </c>
      <c r="Q1132" s="9" t="str">
        <f t="shared" si="57"/>
        <v>Conditioned</v>
      </c>
    </row>
    <row r="1133" spans="1:17">
      <c r="A1133" s="9">
        <v>20288</v>
      </c>
      <c r="B1133" s="9">
        <v>1</v>
      </c>
      <c r="C1133" s="9" t="s">
        <v>1589</v>
      </c>
      <c r="D1133" s="9" t="s">
        <v>1590</v>
      </c>
      <c r="E1133" s="9" t="s">
        <v>1602</v>
      </c>
      <c r="F1133" s="9" t="s">
        <v>1603</v>
      </c>
      <c r="G1133" s="9" t="s">
        <v>1592</v>
      </c>
      <c r="H1133" s="9" t="s">
        <v>173</v>
      </c>
      <c r="I1133" s="9" t="s">
        <v>2643</v>
      </c>
      <c r="J1133" s="9" t="s">
        <v>1601</v>
      </c>
      <c r="K1133" s="9">
        <v>1</v>
      </c>
      <c r="L1133" s="9">
        <v>24</v>
      </c>
      <c r="M1133" s="9">
        <v>2007</v>
      </c>
      <c r="O1133" s="9" t="str">
        <f t="shared" si="55"/>
        <v>NO</v>
      </c>
      <c r="P1133" s="9" t="str">
        <f t="shared" si="56"/>
        <v>NO</v>
      </c>
      <c r="Q1133" s="9" t="str">
        <f t="shared" si="57"/>
        <v>Conditioned</v>
      </c>
    </row>
    <row r="1134" spans="1:17">
      <c r="A1134" s="9">
        <v>20290</v>
      </c>
      <c r="B1134" s="9">
        <v>1</v>
      </c>
      <c r="C1134" s="9" t="s">
        <v>1589</v>
      </c>
      <c r="D1134" s="9" t="s">
        <v>1590</v>
      </c>
      <c r="E1134" s="9" t="s">
        <v>1591</v>
      </c>
      <c r="F1134" s="9" t="s">
        <v>1589</v>
      </c>
      <c r="G1134" s="9" t="s">
        <v>1592</v>
      </c>
      <c r="H1134" s="9" t="s">
        <v>172</v>
      </c>
      <c r="I1134" s="9" t="s">
        <v>2644</v>
      </c>
      <c r="J1134" s="9" t="s">
        <v>1608</v>
      </c>
      <c r="K1134" s="9">
        <v>1</v>
      </c>
      <c r="L1134" s="9">
        <v>21</v>
      </c>
      <c r="M1134" s="9">
        <v>1985</v>
      </c>
      <c r="O1134" s="9" t="str">
        <f t="shared" si="55"/>
        <v>NO</v>
      </c>
      <c r="P1134" s="9" t="str">
        <f t="shared" si="56"/>
        <v>NO</v>
      </c>
      <c r="Q1134" s="9" t="str">
        <f t="shared" si="57"/>
        <v>Conditioned</v>
      </c>
    </row>
    <row r="1135" spans="1:17">
      <c r="A1135" s="9">
        <v>20290</v>
      </c>
      <c r="B1135" s="9">
        <v>2</v>
      </c>
      <c r="C1135" s="9" t="s">
        <v>1589</v>
      </c>
      <c r="D1135" s="9" t="s">
        <v>1590</v>
      </c>
      <c r="E1135" s="9" t="s">
        <v>1591</v>
      </c>
      <c r="F1135" s="9" t="s">
        <v>1589</v>
      </c>
      <c r="G1135" s="9" t="s">
        <v>1592</v>
      </c>
      <c r="H1135" s="9" t="s">
        <v>172</v>
      </c>
      <c r="I1135" s="9" t="s">
        <v>2645</v>
      </c>
      <c r="J1135" s="9" t="s">
        <v>1597</v>
      </c>
      <c r="K1135" s="9">
        <v>1</v>
      </c>
      <c r="L1135" s="9">
        <v>21</v>
      </c>
      <c r="M1135" s="9">
        <v>2001</v>
      </c>
      <c r="O1135" s="9" t="str">
        <f t="shared" si="55"/>
        <v>NO</v>
      </c>
      <c r="P1135" s="9" t="str">
        <f t="shared" si="56"/>
        <v>NO</v>
      </c>
      <c r="Q1135" s="9" t="str">
        <f t="shared" si="57"/>
        <v>Conditioned</v>
      </c>
    </row>
    <row r="1136" spans="1:17">
      <c r="A1136" s="9">
        <v>20294</v>
      </c>
      <c r="B1136" s="9">
        <v>1</v>
      </c>
      <c r="C1136" s="9" t="s">
        <v>1589</v>
      </c>
      <c r="D1136" s="9" t="s">
        <v>1590</v>
      </c>
      <c r="E1136" s="9" t="s">
        <v>1602</v>
      </c>
      <c r="F1136" s="9" t="s">
        <v>1603</v>
      </c>
      <c r="G1136" s="9" t="s">
        <v>1592</v>
      </c>
      <c r="H1136" s="9" t="s">
        <v>174</v>
      </c>
      <c r="I1136" s="9" t="s">
        <v>2646</v>
      </c>
      <c r="J1136" s="9" t="s">
        <v>1601</v>
      </c>
      <c r="K1136" s="9">
        <v>1</v>
      </c>
      <c r="L1136" s="9">
        <v>25</v>
      </c>
      <c r="M1136" s="9">
        <v>1999</v>
      </c>
      <c r="O1136" s="9" t="str">
        <f t="shared" si="55"/>
        <v>NO</v>
      </c>
      <c r="P1136" s="9" t="str">
        <f t="shared" si="56"/>
        <v>NO</v>
      </c>
      <c r="Q1136" s="9" t="str">
        <f t="shared" si="57"/>
        <v>Conditioned</v>
      </c>
    </row>
    <row r="1137" spans="1:17">
      <c r="A1137" s="9">
        <v>20297</v>
      </c>
      <c r="B1137" s="9">
        <v>1</v>
      </c>
      <c r="C1137" s="9" t="s">
        <v>1589</v>
      </c>
      <c r="D1137" s="9" t="s">
        <v>1590</v>
      </c>
      <c r="E1137" s="9" t="s">
        <v>1591</v>
      </c>
      <c r="F1137" s="9" t="s">
        <v>1589</v>
      </c>
      <c r="G1137" s="9" t="s">
        <v>1592</v>
      </c>
      <c r="H1137" s="9" t="s">
        <v>1624</v>
      </c>
      <c r="I1137" s="9" t="s">
        <v>2647</v>
      </c>
      <c r="J1137" s="9" t="s">
        <v>1597</v>
      </c>
      <c r="K1137" s="9">
        <v>1</v>
      </c>
      <c r="L1137" s="9">
        <v>18</v>
      </c>
      <c r="M1137" s="9">
        <v>2005</v>
      </c>
      <c r="O1137" s="9" t="str">
        <f t="shared" si="55"/>
        <v>NO</v>
      </c>
      <c r="P1137" s="9" t="str">
        <f t="shared" si="56"/>
        <v>NO</v>
      </c>
      <c r="Q1137" s="9" t="str">
        <f t="shared" si="57"/>
        <v>Conditioned</v>
      </c>
    </row>
    <row r="1138" spans="1:17">
      <c r="A1138" s="9">
        <v>20297</v>
      </c>
      <c r="B1138" s="9">
        <v>2</v>
      </c>
      <c r="C1138" s="9" t="s">
        <v>1589</v>
      </c>
      <c r="D1138" s="9" t="s">
        <v>1590</v>
      </c>
      <c r="E1138" s="9" t="s">
        <v>1591</v>
      </c>
      <c r="F1138" s="9" t="s">
        <v>1589</v>
      </c>
      <c r="G1138" s="9" t="s">
        <v>1606</v>
      </c>
      <c r="H1138" s="9" t="s">
        <v>1624</v>
      </c>
      <c r="I1138" s="9" t="s">
        <v>2648</v>
      </c>
      <c r="J1138" s="9" t="s">
        <v>1597</v>
      </c>
      <c r="K1138" s="9">
        <v>1</v>
      </c>
      <c r="L1138" s="9">
        <v>12</v>
      </c>
      <c r="M1138" s="9">
        <v>1978</v>
      </c>
      <c r="O1138" s="9" t="str">
        <f t="shared" si="55"/>
        <v>NO</v>
      </c>
      <c r="P1138" s="9" t="str">
        <f t="shared" si="56"/>
        <v>NO</v>
      </c>
      <c r="Q1138" s="9" t="str">
        <f t="shared" si="57"/>
        <v>Unconditioned</v>
      </c>
    </row>
    <row r="1139" spans="1:17">
      <c r="A1139" s="9">
        <v>20297</v>
      </c>
      <c r="B1139" s="9">
        <v>3</v>
      </c>
      <c r="C1139" s="9" t="s">
        <v>1589</v>
      </c>
      <c r="D1139" s="9" t="s">
        <v>1590</v>
      </c>
      <c r="E1139" s="9" t="s">
        <v>1591</v>
      </c>
      <c r="F1139" s="9" t="s">
        <v>1589</v>
      </c>
      <c r="G1139" s="9" t="s">
        <v>1606</v>
      </c>
      <c r="H1139" s="9" t="s">
        <v>177</v>
      </c>
      <c r="I1139" s="9" t="s">
        <v>2137</v>
      </c>
      <c r="J1139" s="9" t="s">
        <v>1587</v>
      </c>
      <c r="K1139" s="9">
        <v>1</v>
      </c>
      <c r="L1139" s="9">
        <v>12</v>
      </c>
      <c r="M1139" s="9">
        <v>2006</v>
      </c>
      <c r="O1139" s="9" t="str">
        <f t="shared" si="55"/>
        <v>NO</v>
      </c>
      <c r="P1139" s="9" t="str">
        <f t="shared" si="56"/>
        <v>YES</v>
      </c>
      <c r="Q1139" s="9" t="str">
        <f t="shared" si="57"/>
        <v>Unconditioned</v>
      </c>
    </row>
    <row r="1140" spans="1:17">
      <c r="A1140" s="9">
        <v>20303</v>
      </c>
      <c r="B1140" s="9">
        <v>1</v>
      </c>
      <c r="C1140" s="9" t="s">
        <v>1589</v>
      </c>
      <c r="D1140" s="9" t="s">
        <v>1590</v>
      </c>
      <c r="E1140" s="9" t="s">
        <v>1591</v>
      </c>
      <c r="F1140" s="9" t="s">
        <v>1589</v>
      </c>
      <c r="G1140" s="9" t="s">
        <v>1592</v>
      </c>
      <c r="H1140" s="9" t="s">
        <v>174</v>
      </c>
      <c r="I1140" s="9" t="s">
        <v>2649</v>
      </c>
      <c r="J1140" s="9" t="s">
        <v>1608</v>
      </c>
      <c r="K1140" s="9">
        <v>1</v>
      </c>
      <c r="L1140" s="9">
        <v>26</v>
      </c>
      <c r="M1140" s="9">
        <v>1996</v>
      </c>
      <c r="O1140" s="9" t="str">
        <f t="shared" si="55"/>
        <v>NO</v>
      </c>
      <c r="P1140" s="9" t="str">
        <f t="shared" si="56"/>
        <v>NO</v>
      </c>
      <c r="Q1140" s="9" t="str">
        <f t="shared" si="57"/>
        <v>Conditioned</v>
      </c>
    </row>
    <row r="1141" spans="1:17">
      <c r="A1141" s="9">
        <v>20303</v>
      </c>
      <c r="B1141" s="9">
        <v>2</v>
      </c>
      <c r="C1141" s="9" t="s">
        <v>1589</v>
      </c>
      <c r="D1141" s="9" t="s">
        <v>1590</v>
      </c>
      <c r="E1141" s="9" t="s">
        <v>1591</v>
      </c>
      <c r="F1141" s="9" t="s">
        <v>1589</v>
      </c>
      <c r="G1141" s="9" t="s">
        <v>1592</v>
      </c>
      <c r="H1141" s="9" t="s">
        <v>177</v>
      </c>
      <c r="I1141" s="9" t="s">
        <v>2650</v>
      </c>
      <c r="J1141" s="9" t="s">
        <v>1597</v>
      </c>
      <c r="K1141" s="9">
        <v>1</v>
      </c>
      <c r="L1141" s="9">
        <v>26</v>
      </c>
      <c r="M1141" s="9">
        <v>2005</v>
      </c>
      <c r="O1141" s="9" t="str">
        <f t="shared" si="55"/>
        <v>NO</v>
      </c>
      <c r="P1141" s="9" t="str">
        <f t="shared" si="56"/>
        <v>NO</v>
      </c>
      <c r="Q1141" s="9" t="str">
        <f t="shared" si="57"/>
        <v>Conditioned</v>
      </c>
    </row>
    <row r="1142" spans="1:17">
      <c r="A1142" s="9">
        <v>20305</v>
      </c>
      <c r="B1142" s="9">
        <v>1</v>
      </c>
      <c r="C1142" s="9" t="s">
        <v>1589</v>
      </c>
      <c r="D1142" s="9" t="s">
        <v>1590</v>
      </c>
      <c r="E1142" s="9" t="s">
        <v>1602</v>
      </c>
      <c r="F1142" s="9" t="s">
        <v>1603</v>
      </c>
      <c r="G1142" s="9" t="s">
        <v>1592</v>
      </c>
      <c r="H1142" s="9" t="s">
        <v>169</v>
      </c>
      <c r="I1142" s="9" t="s">
        <v>2651</v>
      </c>
      <c r="J1142" s="9" t="s">
        <v>1601</v>
      </c>
      <c r="K1142" s="9">
        <v>1</v>
      </c>
      <c r="L1142" s="9">
        <v>23</v>
      </c>
      <c r="M1142" s="9">
        <v>2003</v>
      </c>
      <c r="O1142" s="9" t="str">
        <f t="shared" si="55"/>
        <v>NO</v>
      </c>
      <c r="P1142" s="9" t="str">
        <f t="shared" si="56"/>
        <v>NO</v>
      </c>
      <c r="Q1142" s="9" t="str">
        <f t="shared" si="57"/>
        <v>Conditioned</v>
      </c>
    </row>
    <row r="1143" spans="1:17">
      <c r="A1143" s="9">
        <v>20305</v>
      </c>
      <c r="B1143" s="9">
        <v>2</v>
      </c>
      <c r="C1143" s="9" t="s">
        <v>1589</v>
      </c>
      <c r="D1143" s="9" t="s">
        <v>1590</v>
      </c>
      <c r="E1143" s="9" t="s">
        <v>1591</v>
      </c>
      <c r="F1143" s="9" t="s">
        <v>1589</v>
      </c>
      <c r="G1143" s="9" t="s">
        <v>1592</v>
      </c>
      <c r="H1143" s="9" t="s">
        <v>1638</v>
      </c>
      <c r="I1143" s="9" t="s">
        <v>2652</v>
      </c>
      <c r="J1143" s="9" t="s">
        <v>1605</v>
      </c>
      <c r="K1143" s="9">
        <v>1</v>
      </c>
      <c r="L1143" s="9">
        <v>14</v>
      </c>
      <c r="M1143" s="9">
        <v>2002</v>
      </c>
      <c r="O1143" s="9" t="str">
        <f t="shared" si="55"/>
        <v>NO</v>
      </c>
      <c r="P1143" s="9" t="str">
        <f t="shared" si="56"/>
        <v>YES</v>
      </c>
      <c r="Q1143" s="9" t="str">
        <f t="shared" si="57"/>
        <v>Conditioned</v>
      </c>
    </row>
    <row r="1144" spans="1:17">
      <c r="A1144" s="9">
        <v>20305</v>
      </c>
      <c r="B1144" s="9">
        <v>3</v>
      </c>
      <c r="C1144" s="9" t="s">
        <v>1589</v>
      </c>
      <c r="D1144" s="9" t="s">
        <v>1590</v>
      </c>
      <c r="E1144" s="9" t="s">
        <v>1591</v>
      </c>
      <c r="F1144" s="9" t="s">
        <v>1589</v>
      </c>
      <c r="G1144" s="9" t="s">
        <v>1606</v>
      </c>
      <c r="H1144" s="9" t="s">
        <v>177</v>
      </c>
      <c r="I1144" s="9" t="s">
        <v>1589</v>
      </c>
      <c r="J1144" s="9" t="s">
        <v>1605</v>
      </c>
      <c r="K1144" s="9">
        <v>1</v>
      </c>
      <c r="L1144" s="9">
        <v>16</v>
      </c>
      <c r="O1144" s="9" t="str">
        <f t="shared" si="55"/>
        <v>NO</v>
      </c>
      <c r="P1144" s="9" t="str">
        <f t="shared" si="56"/>
        <v>YES</v>
      </c>
      <c r="Q1144" s="9" t="str">
        <f t="shared" si="57"/>
        <v>Unconditioned</v>
      </c>
    </row>
    <row r="1145" spans="1:17">
      <c r="A1145" s="9">
        <v>20311</v>
      </c>
      <c r="B1145" s="9">
        <v>1</v>
      </c>
      <c r="C1145" s="9" t="s">
        <v>2653</v>
      </c>
      <c r="D1145" s="9" t="s">
        <v>1590</v>
      </c>
      <c r="E1145" s="9" t="s">
        <v>1602</v>
      </c>
      <c r="F1145" s="9" t="s">
        <v>1603</v>
      </c>
      <c r="G1145" s="9" t="s">
        <v>1592</v>
      </c>
      <c r="H1145" s="9" t="s">
        <v>170</v>
      </c>
      <c r="I1145" s="9" t="s">
        <v>2654</v>
      </c>
      <c r="J1145" s="9" t="s">
        <v>1601</v>
      </c>
      <c r="K1145" s="9">
        <v>1</v>
      </c>
      <c r="L1145" s="9">
        <v>22</v>
      </c>
      <c r="O1145" s="9" t="str">
        <f t="shared" si="55"/>
        <v>NO</v>
      </c>
      <c r="P1145" s="9" t="str">
        <f t="shared" si="56"/>
        <v>NO</v>
      </c>
      <c r="Q1145" s="9" t="str">
        <f t="shared" si="57"/>
        <v>Conditioned</v>
      </c>
    </row>
    <row r="1146" spans="1:17">
      <c r="A1146" s="9">
        <v>20311</v>
      </c>
      <c r="B1146" s="9">
        <v>2</v>
      </c>
      <c r="C1146" s="9" t="s">
        <v>1589</v>
      </c>
      <c r="D1146" s="9" t="s">
        <v>1590</v>
      </c>
      <c r="E1146" s="9" t="s">
        <v>1591</v>
      </c>
      <c r="F1146" s="9" t="s">
        <v>1589</v>
      </c>
      <c r="G1146" s="9" t="s">
        <v>1592</v>
      </c>
      <c r="H1146" s="9" t="s">
        <v>177</v>
      </c>
      <c r="I1146" s="9" t="s">
        <v>2655</v>
      </c>
      <c r="J1146" s="9" t="s">
        <v>1605</v>
      </c>
      <c r="K1146" s="9">
        <v>1</v>
      </c>
      <c r="L1146" s="9">
        <v>15</v>
      </c>
      <c r="M1146" s="9">
        <v>2008</v>
      </c>
      <c r="O1146" s="9" t="str">
        <f t="shared" si="55"/>
        <v>NO</v>
      </c>
      <c r="P1146" s="9" t="str">
        <f t="shared" si="56"/>
        <v>YES</v>
      </c>
      <c r="Q1146" s="9" t="str">
        <f t="shared" si="57"/>
        <v>Conditioned</v>
      </c>
    </row>
    <row r="1147" spans="1:17">
      <c r="A1147" s="9">
        <v>20324</v>
      </c>
      <c r="B1147" s="9">
        <v>1</v>
      </c>
      <c r="C1147" s="9" t="s">
        <v>1589</v>
      </c>
      <c r="D1147" s="9" t="s">
        <v>1590</v>
      </c>
      <c r="E1147" s="9" t="s">
        <v>1613</v>
      </c>
      <c r="F1147" s="9" t="s">
        <v>1603</v>
      </c>
      <c r="G1147" s="9" t="s">
        <v>1606</v>
      </c>
      <c r="H1147" s="9" t="s">
        <v>174</v>
      </c>
      <c r="I1147" s="9" t="s">
        <v>2656</v>
      </c>
      <c r="J1147" s="9" t="s">
        <v>1608</v>
      </c>
      <c r="K1147" s="9">
        <v>1</v>
      </c>
      <c r="L1147" s="9">
        <v>22</v>
      </c>
      <c r="M1147" s="9">
        <v>2011</v>
      </c>
      <c r="O1147" s="9" t="str">
        <f t="shared" si="55"/>
        <v>NO</v>
      </c>
      <c r="P1147" s="9" t="str">
        <f t="shared" si="56"/>
        <v>NO</v>
      </c>
      <c r="Q1147" s="9" t="str">
        <f t="shared" si="57"/>
        <v>Unconditioned</v>
      </c>
    </row>
    <row r="1148" spans="1:17">
      <c r="A1148" s="9">
        <v>20324</v>
      </c>
      <c r="B1148" s="9">
        <v>2</v>
      </c>
      <c r="C1148" s="9" t="s">
        <v>1589</v>
      </c>
      <c r="D1148" s="9" t="s">
        <v>1590</v>
      </c>
      <c r="E1148" s="9" t="s">
        <v>1591</v>
      </c>
      <c r="F1148" s="9" t="s">
        <v>1589</v>
      </c>
      <c r="G1148" s="9" t="s">
        <v>1606</v>
      </c>
      <c r="H1148" s="9" t="s">
        <v>1638</v>
      </c>
      <c r="I1148" s="9" t="s">
        <v>2657</v>
      </c>
      <c r="J1148" s="9" t="s">
        <v>1597</v>
      </c>
      <c r="K1148" s="9">
        <v>1</v>
      </c>
      <c r="L1148" s="9">
        <v>20</v>
      </c>
      <c r="M1148" s="9">
        <v>1996</v>
      </c>
      <c r="O1148" s="9" t="str">
        <f t="shared" si="55"/>
        <v>NO</v>
      </c>
      <c r="P1148" s="9" t="str">
        <f t="shared" si="56"/>
        <v>NO</v>
      </c>
      <c r="Q1148" s="9" t="str">
        <f t="shared" si="57"/>
        <v>Unconditioned</v>
      </c>
    </row>
    <row r="1149" spans="1:17">
      <c r="A1149" s="9">
        <v>20324</v>
      </c>
      <c r="B1149" s="9">
        <v>3</v>
      </c>
      <c r="C1149" s="9" t="s">
        <v>1589</v>
      </c>
      <c r="D1149" s="9" t="s">
        <v>1590</v>
      </c>
      <c r="E1149" s="9" t="s">
        <v>1591</v>
      </c>
      <c r="F1149" s="9" t="s">
        <v>1589</v>
      </c>
      <c r="G1149" s="9" t="s">
        <v>1606</v>
      </c>
      <c r="H1149" s="9" t="s">
        <v>1638</v>
      </c>
      <c r="I1149" s="9" t="s">
        <v>2658</v>
      </c>
      <c r="J1149" s="9" t="s">
        <v>1587</v>
      </c>
      <c r="K1149" s="9">
        <v>1</v>
      </c>
      <c r="L1149" s="9">
        <v>20</v>
      </c>
      <c r="M1149" s="9">
        <v>1995</v>
      </c>
      <c r="O1149" s="9" t="str">
        <f t="shared" si="55"/>
        <v>NO</v>
      </c>
      <c r="P1149" s="9" t="str">
        <f t="shared" si="56"/>
        <v>YES</v>
      </c>
      <c r="Q1149" s="9" t="str">
        <f t="shared" si="57"/>
        <v>Unconditioned</v>
      </c>
    </row>
    <row r="1150" spans="1:17">
      <c r="A1150" s="9">
        <v>20325</v>
      </c>
      <c r="B1150" s="9">
        <v>1</v>
      </c>
      <c r="C1150" s="9" t="s">
        <v>1589</v>
      </c>
      <c r="D1150" s="9" t="s">
        <v>1590</v>
      </c>
      <c r="E1150" s="9" t="s">
        <v>1602</v>
      </c>
      <c r="F1150" s="9" t="s">
        <v>1603</v>
      </c>
      <c r="G1150" s="9" t="s">
        <v>1592</v>
      </c>
      <c r="H1150" s="9" t="s">
        <v>1638</v>
      </c>
      <c r="I1150" s="9" t="s">
        <v>2659</v>
      </c>
      <c r="J1150" s="9" t="s">
        <v>1601</v>
      </c>
      <c r="K1150" s="9">
        <v>0.75</v>
      </c>
      <c r="L1150" s="9">
        <v>22</v>
      </c>
      <c r="M1150" s="9">
        <v>1993</v>
      </c>
      <c r="O1150" s="9" t="str">
        <f t="shared" si="55"/>
        <v>NO</v>
      </c>
      <c r="P1150" s="9" t="str">
        <f t="shared" si="56"/>
        <v>NO</v>
      </c>
      <c r="Q1150" s="9" t="str">
        <f t="shared" si="57"/>
        <v>Conditioned</v>
      </c>
    </row>
    <row r="1151" spans="1:17">
      <c r="A1151" s="9">
        <v>20325</v>
      </c>
      <c r="B1151" s="9">
        <v>2</v>
      </c>
      <c r="C1151" s="9" t="s">
        <v>1589</v>
      </c>
      <c r="D1151" s="9" t="s">
        <v>1590</v>
      </c>
      <c r="E1151" s="9" t="s">
        <v>1591</v>
      </c>
      <c r="F1151" s="9" t="s">
        <v>1589</v>
      </c>
      <c r="G1151" s="9" t="s">
        <v>1606</v>
      </c>
      <c r="H1151" s="9" t="s">
        <v>1552</v>
      </c>
      <c r="I1151" s="9" t="s">
        <v>1589</v>
      </c>
      <c r="J1151" s="9" t="s">
        <v>1587</v>
      </c>
      <c r="K1151" s="9">
        <v>1</v>
      </c>
      <c r="L1151" s="9">
        <v>13</v>
      </c>
      <c r="O1151" s="9" t="str">
        <f t="shared" si="55"/>
        <v>NO</v>
      </c>
      <c r="P1151" s="9" t="str">
        <f t="shared" si="56"/>
        <v>YES</v>
      </c>
      <c r="Q1151" s="9" t="str">
        <f t="shared" si="57"/>
        <v>Unconditioned</v>
      </c>
    </row>
    <row r="1152" spans="1:17">
      <c r="A1152" s="9">
        <v>20325</v>
      </c>
      <c r="B1152" s="9">
        <v>3</v>
      </c>
      <c r="C1152" s="9" t="s">
        <v>1589</v>
      </c>
      <c r="D1152" s="9" t="s">
        <v>1590</v>
      </c>
      <c r="E1152" s="9" t="s">
        <v>1602</v>
      </c>
      <c r="F1152" s="9" t="s">
        <v>1603</v>
      </c>
      <c r="G1152" s="9" t="s">
        <v>1606</v>
      </c>
      <c r="H1152" s="9" t="s">
        <v>174</v>
      </c>
      <c r="I1152" s="9" t="s">
        <v>2660</v>
      </c>
      <c r="J1152" s="9" t="s">
        <v>1601</v>
      </c>
      <c r="K1152" s="9">
        <v>1</v>
      </c>
      <c r="L1152" s="9">
        <v>22</v>
      </c>
      <c r="M1152" s="9">
        <v>1999</v>
      </c>
      <c r="O1152" s="9" t="str">
        <f t="shared" si="55"/>
        <v>NO</v>
      </c>
      <c r="P1152" s="9" t="str">
        <f t="shared" si="56"/>
        <v>NO</v>
      </c>
      <c r="Q1152" s="9" t="str">
        <f t="shared" si="57"/>
        <v>Unconditioned</v>
      </c>
    </row>
    <row r="1153" spans="1:17">
      <c r="A1153" s="9">
        <v>20325</v>
      </c>
      <c r="B1153" s="9">
        <v>4</v>
      </c>
      <c r="C1153" s="9" t="s">
        <v>1589</v>
      </c>
      <c r="D1153" s="9" t="s">
        <v>1590</v>
      </c>
      <c r="E1153" s="9" t="s">
        <v>1591</v>
      </c>
      <c r="F1153" s="9" t="s">
        <v>1589</v>
      </c>
      <c r="G1153" s="9" t="s">
        <v>1606</v>
      </c>
      <c r="H1153" s="9" t="s">
        <v>1632</v>
      </c>
      <c r="I1153" s="9" t="s">
        <v>1589</v>
      </c>
      <c r="J1153" s="9" t="s">
        <v>1605</v>
      </c>
      <c r="K1153" s="9">
        <v>1</v>
      </c>
      <c r="L1153" s="9">
        <v>15</v>
      </c>
      <c r="O1153" s="9" t="str">
        <f t="shared" si="55"/>
        <v>NO</v>
      </c>
      <c r="P1153" s="9" t="str">
        <f t="shared" si="56"/>
        <v>YES</v>
      </c>
      <c r="Q1153" s="9" t="str">
        <f t="shared" si="57"/>
        <v>Unconditioned</v>
      </c>
    </row>
    <row r="1154" spans="1:17">
      <c r="A1154" s="9">
        <v>20338</v>
      </c>
      <c r="B1154" s="9">
        <v>1</v>
      </c>
      <c r="C1154" s="9" t="s">
        <v>1589</v>
      </c>
      <c r="D1154" s="9" t="s">
        <v>1590</v>
      </c>
      <c r="E1154" s="9" t="s">
        <v>1591</v>
      </c>
      <c r="F1154" s="9" t="s">
        <v>1589</v>
      </c>
      <c r="G1154" s="9" t="s">
        <v>1592</v>
      </c>
      <c r="H1154" s="9" t="s">
        <v>170</v>
      </c>
      <c r="I1154" s="9" t="s">
        <v>2661</v>
      </c>
      <c r="J1154" s="9" t="s">
        <v>1597</v>
      </c>
      <c r="K1154" s="9">
        <v>1</v>
      </c>
      <c r="L1154" s="9">
        <v>15</v>
      </c>
      <c r="M1154" s="9">
        <v>2009</v>
      </c>
      <c r="O1154" s="9" t="str">
        <f t="shared" si="55"/>
        <v>NO</v>
      </c>
      <c r="P1154" s="9" t="str">
        <f t="shared" si="56"/>
        <v>NO</v>
      </c>
      <c r="Q1154" s="9" t="str">
        <f t="shared" si="57"/>
        <v>Conditioned</v>
      </c>
    </row>
    <row r="1155" spans="1:17">
      <c r="A1155" s="9">
        <v>20338</v>
      </c>
      <c r="B1155" s="9">
        <v>2</v>
      </c>
      <c r="C1155" s="9" t="s">
        <v>1589</v>
      </c>
      <c r="D1155" s="9" t="s">
        <v>1590</v>
      </c>
      <c r="E1155" s="9" t="s">
        <v>1591</v>
      </c>
      <c r="F1155" s="9" t="s">
        <v>1589</v>
      </c>
      <c r="G1155" s="9" t="s">
        <v>1592</v>
      </c>
      <c r="H1155" s="9" t="s">
        <v>181</v>
      </c>
      <c r="I1155" s="9" t="s">
        <v>1589</v>
      </c>
      <c r="J1155" s="9" t="s">
        <v>1587</v>
      </c>
      <c r="K1155" s="9">
        <v>1</v>
      </c>
      <c r="L1155" s="9">
        <v>10</v>
      </c>
      <c r="M1155" s="9">
        <v>2008</v>
      </c>
      <c r="O1155" s="9" t="str">
        <f t="shared" si="55"/>
        <v>NO</v>
      </c>
      <c r="P1155" s="9" t="str">
        <f t="shared" si="56"/>
        <v>YES</v>
      </c>
      <c r="Q1155" s="9" t="str">
        <f t="shared" si="57"/>
        <v>Conditioned</v>
      </c>
    </row>
    <row r="1156" spans="1:17">
      <c r="A1156" s="9">
        <v>20340</v>
      </c>
      <c r="B1156" s="9">
        <v>1</v>
      </c>
      <c r="C1156" s="9" t="s">
        <v>1589</v>
      </c>
      <c r="D1156" s="9" t="s">
        <v>1590</v>
      </c>
      <c r="E1156" s="9" t="s">
        <v>1591</v>
      </c>
      <c r="F1156" s="9" t="s">
        <v>1589</v>
      </c>
      <c r="G1156" s="9" t="s">
        <v>1592</v>
      </c>
      <c r="H1156" s="9" t="s">
        <v>1599</v>
      </c>
      <c r="I1156" s="9" t="s">
        <v>2662</v>
      </c>
      <c r="J1156" s="9" t="s">
        <v>1597</v>
      </c>
      <c r="K1156" s="9">
        <v>1</v>
      </c>
      <c r="L1156" s="9">
        <v>20</v>
      </c>
      <c r="M1156" s="9">
        <v>1994</v>
      </c>
      <c r="O1156" s="9" t="str">
        <f t="shared" si="55"/>
        <v>NO</v>
      </c>
      <c r="P1156" s="9" t="str">
        <f t="shared" si="56"/>
        <v>NO</v>
      </c>
      <c r="Q1156" s="9" t="str">
        <f t="shared" si="57"/>
        <v>Conditioned</v>
      </c>
    </row>
    <row r="1157" spans="1:17">
      <c r="A1157" s="9">
        <v>20340</v>
      </c>
      <c r="B1157" s="9">
        <v>2</v>
      </c>
      <c r="C1157" s="9" t="s">
        <v>1589</v>
      </c>
      <c r="D1157" s="9" t="s">
        <v>1590</v>
      </c>
      <c r="E1157" s="9" t="s">
        <v>1591</v>
      </c>
      <c r="F1157" s="9" t="s">
        <v>1589</v>
      </c>
      <c r="G1157" s="9" t="s">
        <v>1606</v>
      </c>
      <c r="H1157" s="9" t="s">
        <v>1900</v>
      </c>
      <c r="I1157" s="9" t="s">
        <v>2663</v>
      </c>
      <c r="J1157" s="9" t="s">
        <v>1587</v>
      </c>
      <c r="K1157" s="9">
        <v>1</v>
      </c>
      <c r="L1157" s="9">
        <v>23</v>
      </c>
      <c r="O1157" s="9" t="str">
        <f t="shared" si="55"/>
        <v>NO</v>
      </c>
      <c r="P1157" s="9" t="str">
        <f t="shared" si="56"/>
        <v>YES</v>
      </c>
      <c r="Q1157" s="9" t="str">
        <f t="shared" si="57"/>
        <v>Unconditioned</v>
      </c>
    </row>
    <row r="1158" spans="1:17">
      <c r="A1158" s="9">
        <v>20344</v>
      </c>
      <c r="B1158" s="9">
        <v>1</v>
      </c>
      <c r="C1158" s="9" t="s">
        <v>1589</v>
      </c>
      <c r="D1158" s="9" t="s">
        <v>1590</v>
      </c>
      <c r="E1158" s="9" t="s">
        <v>1591</v>
      </c>
      <c r="F1158" s="9" t="s">
        <v>1589</v>
      </c>
      <c r="G1158" s="9" t="s">
        <v>1592</v>
      </c>
      <c r="H1158" s="9" t="s">
        <v>174</v>
      </c>
      <c r="I1158" s="9" t="s">
        <v>2664</v>
      </c>
      <c r="J1158" s="9" t="s">
        <v>1601</v>
      </c>
      <c r="K1158" s="9">
        <v>1</v>
      </c>
      <c r="L1158" s="9">
        <v>25</v>
      </c>
      <c r="M1158" s="9">
        <v>1990</v>
      </c>
      <c r="O1158" s="9" t="str">
        <f t="shared" si="55"/>
        <v>NO</v>
      </c>
      <c r="P1158" s="9" t="str">
        <f t="shared" si="56"/>
        <v>NO</v>
      </c>
      <c r="Q1158" s="9" t="str">
        <f t="shared" si="57"/>
        <v>Conditioned</v>
      </c>
    </row>
    <row r="1159" spans="1:17">
      <c r="A1159" s="9">
        <v>20351</v>
      </c>
      <c r="B1159" s="9">
        <v>1</v>
      </c>
      <c r="C1159" s="9" t="s">
        <v>1589</v>
      </c>
      <c r="D1159" s="9" t="s">
        <v>1590</v>
      </c>
      <c r="E1159" s="9" t="s">
        <v>1591</v>
      </c>
      <c r="F1159" s="9" t="s">
        <v>1589</v>
      </c>
      <c r="G1159" s="9" t="s">
        <v>1592</v>
      </c>
      <c r="H1159" s="9" t="s">
        <v>172</v>
      </c>
      <c r="I1159" s="9" t="s">
        <v>2665</v>
      </c>
      <c r="J1159" s="9" t="s">
        <v>1597</v>
      </c>
      <c r="K1159" s="9">
        <v>1</v>
      </c>
      <c r="L1159" s="9">
        <v>26</v>
      </c>
      <c r="M1159" s="9">
        <v>1995</v>
      </c>
      <c r="O1159" s="9" t="str">
        <f t="shared" si="55"/>
        <v>NO</v>
      </c>
      <c r="P1159" s="9" t="str">
        <f t="shared" si="56"/>
        <v>NO</v>
      </c>
      <c r="Q1159" s="9" t="str">
        <f t="shared" si="57"/>
        <v>Conditioned</v>
      </c>
    </row>
    <row r="1160" spans="1:17">
      <c r="A1160" s="9">
        <v>20357</v>
      </c>
      <c r="B1160" s="9">
        <v>1</v>
      </c>
      <c r="C1160" s="9" t="s">
        <v>1589</v>
      </c>
      <c r="D1160" s="9" t="s">
        <v>1590</v>
      </c>
      <c r="E1160" s="9" t="s">
        <v>1591</v>
      </c>
      <c r="F1160" s="9" t="s">
        <v>1589</v>
      </c>
      <c r="G1160" s="9" t="s">
        <v>1592</v>
      </c>
      <c r="H1160" s="9" t="s">
        <v>169</v>
      </c>
      <c r="I1160" s="9" t="s">
        <v>2666</v>
      </c>
      <c r="J1160" s="9" t="s">
        <v>1597</v>
      </c>
      <c r="K1160" s="9">
        <v>1</v>
      </c>
      <c r="L1160" s="9">
        <v>22</v>
      </c>
      <c r="M1160" s="9">
        <v>2008</v>
      </c>
      <c r="O1160" s="9" t="str">
        <f t="shared" si="55"/>
        <v>NO</v>
      </c>
      <c r="P1160" s="9" t="str">
        <f t="shared" si="56"/>
        <v>NO</v>
      </c>
      <c r="Q1160" s="9" t="str">
        <f t="shared" si="57"/>
        <v>Conditioned</v>
      </c>
    </row>
    <row r="1161" spans="1:17">
      <c r="A1161" s="9">
        <v>20357</v>
      </c>
      <c r="B1161" s="9">
        <v>2</v>
      </c>
      <c r="C1161" s="9" t="s">
        <v>1589</v>
      </c>
      <c r="D1161" s="9" t="s">
        <v>1590</v>
      </c>
      <c r="E1161" s="9" t="s">
        <v>1591</v>
      </c>
      <c r="F1161" s="9" t="s">
        <v>1589</v>
      </c>
      <c r="G1161" s="9" t="s">
        <v>1592</v>
      </c>
      <c r="H1161" s="9" t="s">
        <v>2121</v>
      </c>
      <c r="I1161" s="9" t="s">
        <v>2667</v>
      </c>
      <c r="J1161" s="9" t="s">
        <v>1587</v>
      </c>
      <c r="K1161" s="9">
        <v>1</v>
      </c>
      <c r="L1161" s="9">
        <v>16</v>
      </c>
      <c r="O1161" s="9" t="str">
        <f t="shared" si="55"/>
        <v>NO</v>
      </c>
      <c r="P1161" s="9" t="str">
        <f t="shared" si="56"/>
        <v>YES</v>
      </c>
      <c r="Q1161" s="9" t="str">
        <f t="shared" si="57"/>
        <v>Conditioned</v>
      </c>
    </row>
    <row r="1162" spans="1:17">
      <c r="A1162" s="9">
        <v>20357</v>
      </c>
      <c r="B1162" s="9">
        <v>3</v>
      </c>
      <c r="C1162" s="9" t="s">
        <v>1589</v>
      </c>
      <c r="D1162" s="9" t="s">
        <v>1590</v>
      </c>
      <c r="E1162" s="9" t="s">
        <v>1591</v>
      </c>
      <c r="F1162" s="9" t="s">
        <v>1589</v>
      </c>
      <c r="G1162" s="9" t="s">
        <v>1592</v>
      </c>
      <c r="H1162" s="9" t="s">
        <v>170</v>
      </c>
      <c r="I1162" s="9" t="s">
        <v>2668</v>
      </c>
      <c r="J1162" s="9" t="s">
        <v>1587</v>
      </c>
      <c r="K1162" s="9">
        <v>1</v>
      </c>
      <c r="L1162" s="9">
        <v>10</v>
      </c>
      <c r="M1162" s="9">
        <v>2005</v>
      </c>
      <c r="O1162" s="9" t="str">
        <f t="shared" si="55"/>
        <v>NO</v>
      </c>
      <c r="P1162" s="9" t="str">
        <f t="shared" si="56"/>
        <v>YES</v>
      </c>
      <c r="Q1162" s="9" t="str">
        <f t="shared" si="57"/>
        <v>Conditioned</v>
      </c>
    </row>
    <row r="1163" spans="1:17">
      <c r="A1163" s="9">
        <v>20360</v>
      </c>
      <c r="B1163" s="9">
        <v>1</v>
      </c>
      <c r="C1163" s="9" t="s">
        <v>1589</v>
      </c>
      <c r="D1163" s="9" t="s">
        <v>1590</v>
      </c>
      <c r="E1163" s="9" t="s">
        <v>1591</v>
      </c>
      <c r="F1163" s="9" t="s">
        <v>1589</v>
      </c>
      <c r="G1163" s="9" t="s">
        <v>1592</v>
      </c>
      <c r="H1163" s="9" t="s">
        <v>169</v>
      </c>
      <c r="I1163" s="9" t="s">
        <v>1589</v>
      </c>
      <c r="J1163" s="9" t="s">
        <v>1597</v>
      </c>
      <c r="K1163" s="9">
        <v>1</v>
      </c>
      <c r="L1163" s="9">
        <v>19</v>
      </c>
      <c r="M1163" s="9">
        <v>1986</v>
      </c>
      <c r="O1163" s="9" t="str">
        <f t="shared" si="55"/>
        <v>NO</v>
      </c>
      <c r="P1163" s="9" t="str">
        <f t="shared" si="56"/>
        <v>NO</v>
      </c>
      <c r="Q1163" s="9" t="str">
        <f t="shared" si="57"/>
        <v>Conditioned</v>
      </c>
    </row>
    <row r="1164" spans="1:17">
      <c r="A1164" s="9">
        <v>20360</v>
      </c>
      <c r="B1164" s="9">
        <v>2</v>
      </c>
      <c r="C1164" s="9" t="s">
        <v>1589</v>
      </c>
      <c r="D1164" s="9" t="s">
        <v>1590</v>
      </c>
      <c r="E1164" s="9" t="s">
        <v>1591</v>
      </c>
      <c r="F1164" s="9" t="s">
        <v>1589</v>
      </c>
      <c r="G1164" s="9" t="s">
        <v>1592</v>
      </c>
      <c r="H1164" s="9" t="s">
        <v>169</v>
      </c>
      <c r="I1164" s="9" t="s">
        <v>2669</v>
      </c>
      <c r="J1164" s="9" t="s">
        <v>1587</v>
      </c>
      <c r="K1164" s="9">
        <v>1</v>
      </c>
      <c r="L1164" s="9">
        <v>24</v>
      </c>
      <c r="M1164" s="9">
        <v>2004</v>
      </c>
      <c r="O1164" s="9" t="str">
        <f t="shared" si="55"/>
        <v>NO</v>
      </c>
      <c r="P1164" s="9" t="str">
        <f t="shared" si="56"/>
        <v>YES</v>
      </c>
      <c r="Q1164" s="9" t="str">
        <f t="shared" si="57"/>
        <v>Conditioned</v>
      </c>
    </row>
    <row r="1165" spans="1:17">
      <c r="A1165" s="9">
        <v>20363</v>
      </c>
      <c r="B1165" s="9">
        <v>1</v>
      </c>
      <c r="C1165" s="9" t="s">
        <v>1589</v>
      </c>
      <c r="D1165" s="9" t="s">
        <v>1603</v>
      </c>
      <c r="E1165" s="9" t="s">
        <v>1602</v>
      </c>
      <c r="F1165" s="9" t="s">
        <v>1603</v>
      </c>
      <c r="G1165" s="9" t="s">
        <v>1592</v>
      </c>
      <c r="H1165" s="9" t="s">
        <v>169</v>
      </c>
      <c r="I1165" s="9" t="s">
        <v>2670</v>
      </c>
      <c r="J1165" s="9" t="s">
        <v>1601</v>
      </c>
      <c r="K1165" s="9">
        <v>1</v>
      </c>
      <c r="L1165" s="9">
        <v>26</v>
      </c>
      <c r="M1165" s="9">
        <v>2004</v>
      </c>
      <c r="O1165" s="9" t="str">
        <f t="shared" si="55"/>
        <v>NO</v>
      </c>
      <c r="P1165" s="9" t="str">
        <f t="shared" si="56"/>
        <v>NO</v>
      </c>
      <c r="Q1165" s="9" t="str">
        <f t="shared" si="57"/>
        <v>Conditioned</v>
      </c>
    </row>
    <row r="1166" spans="1:17">
      <c r="A1166" s="9">
        <v>20363</v>
      </c>
      <c r="B1166" s="9">
        <v>2</v>
      </c>
      <c r="C1166" s="9" t="s">
        <v>1589</v>
      </c>
      <c r="D1166" s="9" t="s">
        <v>1590</v>
      </c>
      <c r="E1166" s="9" t="s">
        <v>1591</v>
      </c>
      <c r="F1166" s="9" t="s">
        <v>1589</v>
      </c>
      <c r="G1166" s="9" t="s">
        <v>1592</v>
      </c>
      <c r="H1166" s="9" t="s">
        <v>1638</v>
      </c>
      <c r="I1166" s="9" t="s">
        <v>2671</v>
      </c>
      <c r="J1166" s="9" t="s">
        <v>1597</v>
      </c>
      <c r="K1166" s="9">
        <v>1</v>
      </c>
      <c r="L1166" s="9">
        <v>19</v>
      </c>
      <c r="M1166" s="9">
        <v>1980</v>
      </c>
      <c r="O1166" s="9" t="str">
        <f t="shared" si="55"/>
        <v>NO</v>
      </c>
      <c r="P1166" s="9" t="str">
        <f t="shared" si="56"/>
        <v>NO</v>
      </c>
      <c r="Q1166" s="9" t="str">
        <f t="shared" si="57"/>
        <v>Conditioned</v>
      </c>
    </row>
    <row r="1167" spans="1:17">
      <c r="A1167" s="9">
        <v>20371</v>
      </c>
      <c r="B1167" s="9">
        <v>1</v>
      </c>
      <c r="C1167" s="9" t="s">
        <v>1589</v>
      </c>
      <c r="D1167" s="9" t="s">
        <v>1590</v>
      </c>
      <c r="E1167" s="9" t="s">
        <v>1591</v>
      </c>
      <c r="F1167" s="9" t="s">
        <v>1589</v>
      </c>
      <c r="G1167" s="9" t="s">
        <v>1592</v>
      </c>
      <c r="H1167" s="9" t="s">
        <v>169</v>
      </c>
      <c r="I1167" s="9" t="s">
        <v>2672</v>
      </c>
      <c r="J1167" s="9" t="s">
        <v>1597</v>
      </c>
      <c r="K1167" s="9">
        <v>1</v>
      </c>
      <c r="L1167" s="9">
        <v>21</v>
      </c>
      <c r="M1167" s="9">
        <v>2008</v>
      </c>
      <c r="O1167" s="9" t="str">
        <f t="shared" si="55"/>
        <v>NO</v>
      </c>
      <c r="P1167" s="9" t="str">
        <f t="shared" si="56"/>
        <v>NO</v>
      </c>
      <c r="Q1167" s="9" t="str">
        <f t="shared" si="57"/>
        <v>Conditioned</v>
      </c>
    </row>
    <row r="1168" spans="1:17">
      <c r="A1168" s="9">
        <v>20371</v>
      </c>
      <c r="B1168" s="9">
        <v>2</v>
      </c>
      <c r="C1168" s="9" t="s">
        <v>1589</v>
      </c>
      <c r="D1168" s="9" t="s">
        <v>1590</v>
      </c>
      <c r="E1168" s="9" t="s">
        <v>1591</v>
      </c>
      <c r="F1168" s="9" t="s">
        <v>1589</v>
      </c>
      <c r="G1168" s="9" t="s">
        <v>1592</v>
      </c>
      <c r="H1168" s="9" t="s">
        <v>1900</v>
      </c>
      <c r="I1168" s="9" t="s">
        <v>1589</v>
      </c>
      <c r="J1168" s="9" t="s">
        <v>1587</v>
      </c>
      <c r="L1168" s="9">
        <v>5</v>
      </c>
      <c r="O1168" s="9" t="str">
        <f t="shared" si="55"/>
        <v>YES</v>
      </c>
      <c r="P1168" s="9" t="str">
        <f t="shared" si="56"/>
        <v>YES</v>
      </c>
      <c r="Q1168" s="9" t="str">
        <f t="shared" si="57"/>
        <v>Conditioned</v>
      </c>
    </row>
    <row r="1169" spans="1:17">
      <c r="A1169" s="9">
        <v>20371</v>
      </c>
      <c r="B1169" s="9">
        <v>3</v>
      </c>
      <c r="C1169" s="9" t="s">
        <v>1589</v>
      </c>
      <c r="D1169" s="9" t="s">
        <v>1590</v>
      </c>
      <c r="E1169" s="9" t="s">
        <v>1591</v>
      </c>
      <c r="F1169" s="9" t="s">
        <v>1589</v>
      </c>
      <c r="G1169" s="9" t="s">
        <v>1592</v>
      </c>
      <c r="H1169" s="9" t="s">
        <v>1624</v>
      </c>
      <c r="I1169" s="9" t="s">
        <v>1589</v>
      </c>
      <c r="J1169" s="9" t="s">
        <v>1587</v>
      </c>
      <c r="K1169" s="9">
        <v>1</v>
      </c>
      <c r="L1169" s="9">
        <v>11</v>
      </c>
      <c r="O1169" s="9" t="str">
        <f t="shared" si="55"/>
        <v>NO</v>
      </c>
      <c r="P1169" s="9" t="str">
        <f t="shared" si="56"/>
        <v>YES</v>
      </c>
      <c r="Q1169" s="9" t="str">
        <f t="shared" si="57"/>
        <v>Conditioned</v>
      </c>
    </row>
    <row r="1170" spans="1:17">
      <c r="A1170" s="9">
        <v>20374</v>
      </c>
      <c r="B1170" s="9">
        <v>1</v>
      </c>
      <c r="C1170" s="9" t="s">
        <v>1589</v>
      </c>
      <c r="D1170" s="9" t="s">
        <v>1590</v>
      </c>
      <c r="E1170" s="9" t="s">
        <v>1613</v>
      </c>
      <c r="F1170" s="9" t="s">
        <v>1603</v>
      </c>
      <c r="G1170" s="9" t="s">
        <v>1592</v>
      </c>
      <c r="H1170" s="9" t="s">
        <v>1552</v>
      </c>
      <c r="I1170" s="9" t="s">
        <v>2673</v>
      </c>
      <c r="J1170" s="9" t="s">
        <v>1597</v>
      </c>
      <c r="K1170" s="9">
        <v>1</v>
      </c>
      <c r="L1170" s="9">
        <v>20</v>
      </c>
      <c r="M1170" s="9">
        <v>2005</v>
      </c>
      <c r="O1170" s="9" t="str">
        <f t="shared" si="55"/>
        <v>NO</v>
      </c>
      <c r="P1170" s="9" t="str">
        <f t="shared" si="56"/>
        <v>NO</v>
      </c>
      <c r="Q1170" s="9" t="str">
        <f t="shared" si="57"/>
        <v>Conditioned</v>
      </c>
    </row>
    <row r="1171" spans="1:17">
      <c r="A1171" s="9">
        <v>20374</v>
      </c>
      <c r="B1171" s="9">
        <v>2</v>
      </c>
      <c r="C1171" s="9" t="s">
        <v>1589</v>
      </c>
      <c r="D1171" s="9" t="s">
        <v>1590</v>
      </c>
      <c r="E1171" s="9" t="s">
        <v>1591</v>
      </c>
      <c r="F1171" s="9" t="s">
        <v>1589</v>
      </c>
      <c r="G1171" s="9" t="s">
        <v>1606</v>
      </c>
      <c r="H1171" s="9" t="s">
        <v>1638</v>
      </c>
      <c r="I1171" s="9" t="s">
        <v>2674</v>
      </c>
      <c r="J1171" s="9" t="s">
        <v>1605</v>
      </c>
      <c r="K1171" s="9">
        <v>1</v>
      </c>
      <c r="L1171" s="9">
        <v>18</v>
      </c>
      <c r="M1171" s="9">
        <v>2004</v>
      </c>
      <c r="O1171" s="9" t="str">
        <f t="shared" si="55"/>
        <v>NO</v>
      </c>
      <c r="P1171" s="9" t="str">
        <f t="shared" si="56"/>
        <v>YES</v>
      </c>
      <c r="Q1171" s="9" t="str">
        <f t="shared" si="57"/>
        <v>Unconditioned</v>
      </c>
    </row>
    <row r="1172" spans="1:17">
      <c r="A1172" s="9">
        <v>20381</v>
      </c>
      <c r="B1172" s="9">
        <v>1</v>
      </c>
      <c r="C1172" s="9" t="s">
        <v>1589</v>
      </c>
      <c r="D1172" s="9" t="s">
        <v>1590</v>
      </c>
      <c r="E1172" s="9" t="s">
        <v>1613</v>
      </c>
      <c r="F1172" s="9" t="s">
        <v>1590</v>
      </c>
      <c r="G1172" s="9" t="s">
        <v>1592</v>
      </c>
      <c r="H1172" s="9" t="s">
        <v>170</v>
      </c>
      <c r="I1172" s="9" t="s">
        <v>2675</v>
      </c>
      <c r="J1172" s="9" t="s">
        <v>1597</v>
      </c>
      <c r="K1172" s="9">
        <v>1</v>
      </c>
      <c r="L1172" s="9">
        <v>20</v>
      </c>
      <c r="M1172" s="9">
        <v>1981</v>
      </c>
      <c r="O1172" s="9" t="str">
        <f t="shared" si="55"/>
        <v>NO</v>
      </c>
      <c r="P1172" s="9" t="str">
        <f t="shared" si="56"/>
        <v>NO</v>
      </c>
      <c r="Q1172" s="9" t="str">
        <f t="shared" si="57"/>
        <v>Conditioned</v>
      </c>
    </row>
    <row r="1173" spans="1:17">
      <c r="A1173" s="9">
        <v>20381</v>
      </c>
      <c r="B1173" s="9">
        <v>2</v>
      </c>
      <c r="C1173" s="9" t="s">
        <v>1589</v>
      </c>
      <c r="D1173" s="9" t="s">
        <v>1590</v>
      </c>
      <c r="E1173" s="9" t="s">
        <v>1591</v>
      </c>
      <c r="F1173" s="9" t="s">
        <v>1589</v>
      </c>
      <c r="G1173" s="9" t="s">
        <v>1592</v>
      </c>
      <c r="H1173" s="9" t="s">
        <v>1624</v>
      </c>
      <c r="I1173" s="9" t="s">
        <v>1589</v>
      </c>
      <c r="J1173" s="9" t="s">
        <v>1605</v>
      </c>
      <c r="K1173" s="9">
        <v>1</v>
      </c>
      <c r="L1173" s="9">
        <v>25</v>
      </c>
      <c r="O1173" s="9" t="str">
        <f t="shared" si="55"/>
        <v>NO</v>
      </c>
      <c r="P1173" s="9" t="str">
        <f t="shared" si="56"/>
        <v>YES</v>
      </c>
      <c r="Q1173" s="9" t="str">
        <f t="shared" si="57"/>
        <v>Conditioned</v>
      </c>
    </row>
    <row r="1174" spans="1:17">
      <c r="A1174" s="9">
        <v>20384</v>
      </c>
      <c r="B1174" s="9">
        <v>1</v>
      </c>
      <c r="C1174" s="9" t="s">
        <v>1589</v>
      </c>
      <c r="D1174" s="9" t="s">
        <v>1590</v>
      </c>
      <c r="E1174" s="9" t="s">
        <v>1613</v>
      </c>
      <c r="F1174" s="9" t="s">
        <v>1590</v>
      </c>
      <c r="G1174" s="9" t="s">
        <v>1592</v>
      </c>
      <c r="H1174" s="9" t="s">
        <v>177</v>
      </c>
      <c r="I1174" s="9" t="s">
        <v>2676</v>
      </c>
      <c r="J1174" s="9" t="s">
        <v>1597</v>
      </c>
      <c r="K1174" s="9">
        <v>1</v>
      </c>
      <c r="L1174" s="9">
        <v>30</v>
      </c>
      <c r="M1174" s="9">
        <v>2008</v>
      </c>
      <c r="O1174" s="9" t="str">
        <f t="shared" si="55"/>
        <v>NO</v>
      </c>
      <c r="P1174" s="9" t="str">
        <f t="shared" si="56"/>
        <v>NO</v>
      </c>
      <c r="Q1174" s="9" t="str">
        <f t="shared" si="57"/>
        <v>Conditioned</v>
      </c>
    </row>
    <row r="1175" spans="1:17">
      <c r="A1175" s="9">
        <v>20390</v>
      </c>
      <c r="B1175" s="9">
        <v>1</v>
      </c>
      <c r="C1175" s="9" t="s">
        <v>1589</v>
      </c>
      <c r="D1175" s="9" t="s">
        <v>1590</v>
      </c>
      <c r="E1175" s="9" t="s">
        <v>1591</v>
      </c>
      <c r="F1175" s="9" t="s">
        <v>1589</v>
      </c>
      <c r="G1175" s="9" t="s">
        <v>1592</v>
      </c>
      <c r="H1175" s="9" t="s">
        <v>1624</v>
      </c>
      <c r="I1175" s="9" t="s">
        <v>2677</v>
      </c>
      <c r="J1175" s="9" t="s">
        <v>1597</v>
      </c>
      <c r="K1175" s="9">
        <v>1</v>
      </c>
      <c r="L1175" s="9">
        <v>22</v>
      </c>
      <c r="M1175" s="9">
        <v>1999</v>
      </c>
      <c r="O1175" s="9" t="str">
        <f t="shared" ref="O1175:O1238" si="58">IF(L1175&lt;7.75,"YES","NO")</f>
        <v>NO</v>
      </c>
      <c r="P1175" s="9" t="str">
        <f t="shared" ref="P1175:P1238" si="59">VLOOKUP(J1175,$Z$21:$AA$27,2,FALSE)</f>
        <v>NO</v>
      </c>
      <c r="Q1175" s="9" t="str">
        <f t="shared" ref="Q1175:Q1238" si="60">G1175</f>
        <v>Conditioned</v>
      </c>
    </row>
    <row r="1176" spans="1:17">
      <c r="A1176" s="9">
        <v>20390</v>
      </c>
      <c r="B1176" s="9">
        <v>2</v>
      </c>
      <c r="C1176" s="9" t="s">
        <v>1589</v>
      </c>
      <c r="D1176" s="9" t="s">
        <v>1590</v>
      </c>
      <c r="E1176" s="9" t="s">
        <v>1591</v>
      </c>
      <c r="F1176" s="9" t="s">
        <v>1589</v>
      </c>
      <c r="G1176" s="9" t="s">
        <v>1592</v>
      </c>
      <c r="H1176" s="9" t="s">
        <v>1624</v>
      </c>
      <c r="I1176" s="9" t="s">
        <v>2678</v>
      </c>
      <c r="J1176" s="9" t="s">
        <v>1587</v>
      </c>
      <c r="K1176" s="9">
        <v>1</v>
      </c>
      <c r="L1176" s="9">
        <v>10</v>
      </c>
      <c r="M1176" s="9">
        <v>2003</v>
      </c>
      <c r="O1176" s="9" t="str">
        <f t="shared" si="58"/>
        <v>NO</v>
      </c>
      <c r="P1176" s="9" t="str">
        <f t="shared" si="59"/>
        <v>YES</v>
      </c>
      <c r="Q1176" s="9" t="str">
        <f t="shared" si="60"/>
        <v>Conditioned</v>
      </c>
    </row>
    <row r="1177" spans="1:17">
      <c r="A1177" s="9">
        <v>20392</v>
      </c>
      <c r="B1177" s="9">
        <v>1</v>
      </c>
      <c r="C1177" s="9" t="s">
        <v>1589</v>
      </c>
      <c r="D1177" s="9" t="s">
        <v>1603</v>
      </c>
      <c r="E1177" s="9" t="s">
        <v>1602</v>
      </c>
      <c r="F1177" s="9" t="s">
        <v>1603</v>
      </c>
      <c r="G1177" s="9" t="s">
        <v>1592</v>
      </c>
      <c r="H1177" s="9" t="s">
        <v>170</v>
      </c>
      <c r="I1177" s="9" t="s">
        <v>2679</v>
      </c>
      <c r="J1177" s="9" t="s">
        <v>1608</v>
      </c>
      <c r="K1177" s="9">
        <v>1</v>
      </c>
      <c r="L1177" s="9">
        <v>25</v>
      </c>
      <c r="M1177" s="9">
        <v>2009</v>
      </c>
      <c r="O1177" s="9" t="str">
        <f t="shared" si="58"/>
        <v>NO</v>
      </c>
      <c r="P1177" s="9" t="str">
        <f t="shared" si="59"/>
        <v>NO</v>
      </c>
      <c r="Q1177" s="9" t="str">
        <f t="shared" si="60"/>
        <v>Conditioned</v>
      </c>
    </row>
    <row r="1178" spans="1:17">
      <c r="A1178" s="9">
        <v>20392</v>
      </c>
      <c r="B1178" s="9">
        <v>2</v>
      </c>
      <c r="C1178" s="9" t="s">
        <v>1589</v>
      </c>
      <c r="D1178" s="9" t="s">
        <v>1590</v>
      </c>
      <c r="E1178" s="9" t="s">
        <v>1591</v>
      </c>
      <c r="F1178" s="9" t="s">
        <v>1589</v>
      </c>
      <c r="G1178" s="9" t="s">
        <v>1606</v>
      </c>
      <c r="H1178" s="9" t="s">
        <v>170</v>
      </c>
      <c r="I1178" s="9" t="s">
        <v>2680</v>
      </c>
      <c r="J1178" s="9" t="s">
        <v>1605</v>
      </c>
      <c r="K1178" s="9">
        <v>1</v>
      </c>
      <c r="L1178" s="9">
        <v>22</v>
      </c>
      <c r="M1178" s="9">
        <v>2005</v>
      </c>
      <c r="O1178" s="9" t="str">
        <f t="shared" si="58"/>
        <v>NO</v>
      </c>
      <c r="P1178" s="9" t="str">
        <f t="shared" si="59"/>
        <v>YES</v>
      </c>
      <c r="Q1178" s="9" t="str">
        <f t="shared" si="60"/>
        <v>Unconditioned</v>
      </c>
    </row>
    <row r="1179" spans="1:17">
      <c r="A1179" s="9">
        <v>20395</v>
      </c>
      <c r="B1179" s="9">
        <v>1</v>
      </c>
      <c r="C1179" s="9" t="s">
        <v>1589</v>
      </c>
      <c r="D1179" s="9" t="s">
        <v>1590</v>
      </c>
      <c r="E1179" s="9" t="s">
        <v>1613</v>
      </c>
      <c r="F1179" s="9" t="s">
        <v>1603</v>
      </c>
      <c r="G1179" s="9" t="s">
        <v>1592</v>
      </c>
      <c r="H1179" s="9" t="s">
        <v>1599</v>
      </c>
      <c r="I1179" s="9" t="s">
        <v>2681</v>
      </c>
      <c r="J1179" s="9" t="s">
        <v>1608</v>
      </c>
      <c r="K1179" s="9">
        <v>1</v>
      </c>
      <c r="L1179" s="9">
        <v>22</v>
      </c>
      <c r="M1179" s="9">
        <v>2006</v>
      </c>
      <c r="O1179" s="9" t="str">
        <f t="shared" si="58"/>
        <v>NO</v>
      </c>
      <c r="P1179" s="9" t="str">
        <f t="shared" si="59"/>
        <v>NO</v>
      </c>
      <c r="Q1179" s="9" t="str">
        <f t="shared" si="60"/>
        <v>Conditioned</v>
      </c>
    </row>
    <row r="1180" spans="1:17">
      <c r="A1180" s="9">
        <v>20395</v>
      </c>
      <c r="B1180" s="9">
        <v>2</v>
      </c>
      <c r="C1180" s="9" t="s">
        <v>1589</v>
      </c>
      <c r="D1180" s="9" t="s">
        <v>1590</v>
      </c>
      <c r="E1180" s="9" t="s">
        <v>1591</v>
      </c>
      <c r="F1180" s="9" t="s">
        <v>1589</v>
      </c>
      <c r="G1180" s="9" t="s">
        <v>1606</v>
      </c>
      <c r="H1180" s="9" t="s">
        <v>170</v>
      </c>
      <c r="I1180" s="9" t="s">
        <v>1589</v>
      </c>
      <c r="J1180" s="9" t="s">
        <v>1587</v>
      </c>
      <c r="K1180" s="9">
        <v>1</v>
      </c>
      <c r="L1180" s="9">
        <v>18</v>
      </c>
      <c r="M1180" s="9">
        <v>2002</v>
      </c>
      <c r="O1180" s="9" t="str">
        <f t="shared" si="58"/>
        <v>NO</v>
      </c>
      <c r="P1180" s="9" t="str">
        <f t="shared" si="59"/>
        <v>YES</v>
      </c>
      <c r="Q1180" s="9" t="str">
        <f t="shared" si="60"/>
        <v>Unconditioned</v>
      </c>
    </row>
    <row r="1181" spans="1:17">
      <c r="A1181" s="9">
        <v>20408</v>
      </c>
      <c r="B1181" s="9">
        <v>1</v>
      </c>
      <c r="C1181" s="9" t="s">
        <v>1589</v>
      </c>
      <c r="D1181" s="9" t="s">
        <v>1590</v>
      </c>
      <c r="E1181" s="9" t="s">
        <v>1591</v>
      </c>
      <c r="F1181" s="9" t="s">
        <v>1589</v>
      </c>
      <c r="G1181" s="9" t="s">
        <v>1592</v>
      </c>
      <c r="H1181" s="9" t="s">
        <v>1638</v>
      </c>
      <c r="I1181" s="9" t="s">
        <v>2682</v>
      </c>
      <c r="J1181" s="9" t="s">
        <v>1597</v>
      </c>
      <c r="K1181" s="9">
        <v>1</v>
      </c>
      <c r="L1181" s="9">
        <v>18</v>
      </c>
      <c r="M1181" s="9">
        <v>1998</v>
      </c>
      <c r="O1181" s="9" t="str">
        <f t="shared" si="58"/>
        <v>NO</v>
      </c>
      <c r="P1181" s="9" t="str">
        <f t="shared" si="59"/>
        <v>NO</v>
      </c>
      <c r="Q1181" s="9" t="str">
        <f t="shared" si="60"/>
        <v>Conditioned</v>
      </c>
    </row>
    <row r="1182" spans="1:17">
      <c r="A1182" s="9">
        <v>20408</v>
      </c>
      <c r="B1182" s="9">
        <v>2</v>
      </c>
      <c r="C1182" s="9" t="s">
        <v>1589</v>
      </c>
      <c r="D1182" s="9" t="s">
        <v>1590</v>
      </c>
      <c r="E1182" s="9" t="s">
        <v>1591</v>
      </c>
      <c r="F1182" s="9" t="s">
        <v>1589</v>
      </c>
      <c r="G1182" s="9" t="s">
        <v>1606</v>
      </c>
      <c r="H1182" s="9" t="s">
        <v>2683</v>
      </c>
      <c r="I1182" s="9" t="s">
        <v>2684</v>
      </c>
      <c r="J1182" s="9" t="s">
        <v>1587</v>
      </c>
      <c r="K1182" s="9">
        <v>1</v>
      </c>
      <c r="L1182" s="9">
        <v>15</v>
      </c>
      <c r="M1182" s="9">
        <v>1998</v>
      </c>
      <c r="O1182" s="9" t="str">
        <f t="shared" si="58"/>
        <v>NO</v>
      </c>
      <c r="P1182" s="9" t="str">
        <f t="shared" si="59"/>
        <v>YES</v>
      </c>
      <c r="Q1182" s="9" t="str">
        <f t="shared" si="60"/>
        <v>Unconditioned</v>
      </c>
    </row>
    <row r="1183" spans="1:17">
      <c r="A1183" s="9">
        <v>20411</v>
      </c>
      <c r="B1183" s="9">
        <v>1</v>
      </c>
      <c r="C1183" s="9" t="s">
        <v>2685</v>
      </c>
      <c r="D1183" s="9" t="s">
        <v>1590</v>
      </c>
      <c r="E1183" s="9" t="s">
        <v>1591</v>
      </c>
      <c r="F1183" s="9" t="s">
        <v>1589</v>
      </c>
      <c r="G1183" s="9" t="s">
        <v>1592</v>
      </c>
      <c r="H1183" s="9" t="s">
        <v>169</v>
      </c>
      <c r="I1183" s="9" t="s">
        <v>2686</v>
      </c>
      <c r="J1183" s="9" t="s">
        <v>1597</v>
      </c>
      <c r="K1183" s="9">
        <v>1</v>
      </c>
      <c r="L1183" s="9">
        <v>18</v>
      </c>
      <c r="M1183" s="9">
        <v>1992</v>
      </c>
      <c r="O1183" s="9" t="str">
        <f t="shared" si="58"/>
        <v>NO</v>
      </c>
      <c r="P1183" s="9" t="str">
        <f t="shared" si="59"/>
        <v>NO</v>
      </c>
      <c r="Q1183" s="9" t="str">
        <f t="shared" si="60"/>
        <v>Conditioned</v>
      </c>
    </row>
    <row r="1184" spans="1:17">
      <c r="A1184" s="9">
        <v>20414</v>
      </c>
      <c r="B1184" s="9">
        <v>1</v>
      </c>
      <c r="C1184" s="9" t="s">
        <v>1589</v>
      </c>
      <c r="D1184" s="9" t="s">
        <v>1590</v>
      </c>
      <c r="E1184" s="9" t="s">
        <v>1613</v>
      </c>
      <c r="F1184" s="9" t="s">
        <v>1603</v>
      </c>
      <c r="G1184" s="9" t="s">
        <v>1592</v>
      </c>
      <c r="H1184" s="9" t="s">
        <v>173</v>
      </c>
      <c r="I1184" s="9" t="s">
        <v>2687</v>
      </c>
      <c r="J1184" s="9" t="s">
        <v>1608</v>
      </c>
      <c r="K1184" s="9">
        <v>1</v>
      </c>
      <c r="L1184" s="9">
        <v>24</v>
      </c>
      <c r="M1184" s="9">
        <v>2010</v>
      </c>
      <c r="O1184" s="9" t="str">
        <f t="shared" si="58"/>
        <v>NO</v>
      </c>
      <c r="P1184" s="9" t="str">
        <f t="shared" si="59"/>
        <v>NO</v>
      </c>
      <c r="Q1184" s="9" t="str">
        <f t="shared" si="60"/>
        <v>Conditioned</v>
      </c>
    </row>
    <row r="1185" spans="1:17">
      <c r="A1185" s="9">
        <v>20426</v>
      </c>
      <c r="B1185" s="9">
        <v>1</v>
      </c>
      <c r="C1185" s="9" t="s">
        <v>1589</v>
      </c>
      <c r="D1185" s="9" t="s">
        <v>1590</v>
      </c>
      <c r="E1185" s="9" t="s">
        <v>1591</v>
      </c>
      <c r="F1185" s="9" t="s">
        <v>1589</v>
      </c>
      <c r="G1185" s="9" t="s">
        <v>1592</v>
      </c>
      <c r="H1185" s="9" t="s">
        <v>1638</v>
      </c>
      <c r="I1185" s="9" t="s">
        <v>2688</v>
      </c>
      <c r="J1185" s="9" t="s">
        <v>1597</v>
      </c>
      <c r="K1185" s="9">
        <v>1</v>
      </c>
      <c r="L1185" s="9">
        <v>16</v>
      </c>
      <c r="M1185" s="9">
        <v>1985</v>
      </c>
      <c r="O1185" s="9" t="str">
        <f t="shared" si="58"/>
        <v>NO</v>
      </c>
      <c r="P1185" s="9" t="str">
        <f t="shared" si="59"/>
        <v>NO</v>
      </c>
      <c r="Q1185" s="9" t="str">
        <f t="shared" si="60"/>
        <v>Conditioned</v>
      </c>
    </row>
    <row r="1186" spans="1:17">
      <c r="A1186" s="9">
        <v>20430</v>
      </c>
      <c r="B1186" s="9">
        <v>1</v>
      </c>
      <c r="C1186" s="9" t="s">
        <v>1589</v>
      </c>
      <c r="D1186" s="9" t="s">
        <v>1590</v>
      </c>
      <c r="E1186" s="9" t="s">
        <v>1613</v>
      </c>
      <c r="F1186" s="9" t="s">
        <v>1590</v>
      </c>
      <c r="G1186" s="9" t="s">
        <v>1606</v>
      </c>
      <c r="H1186" s="9" t="s">
        <v>173</v>
      </c>
      <c r="I1186" s="9" t="s">
        <v>2689</v>
      </c>
      <c r="J1186" s="9" t="s">
        <v>1597</v>
      </c>
      <c r="K1186" s="9">
        <v>1</v>
      </c>
      <c r="L1186" s="9">
        <v>21</v>
      </c>
      <c r="M1186" s="9">
        <v>1982</v>
      </c>
      <c r="O1186" s="9" t="str">
        <f t="shared" si="58"/>
        <v>NO</v>
      </c>
      <c r="P1186" s="9" t="str">
        <f t="shared" si="59"/>
        <v>NO</v>
      </c>
      <c r="Q1186" s="9" t="str">
        <f t="shared" si="60"/>
        <v>Unconditioned</v>
      </c>
    </row>
    <row r="1187" spans="1:17">
      <c r="A1187" s="9">
        <v>20430</v>
      </c>
      <c r="B1187" s="9">
        <v>2</v>
      </c>
      <c r="C1187" s="9" t="s">
        <v>1589</v>
      </c>
      <c r="D1187" s="9" t="s">
        <v>1590</v>
      </c>
      <c r="E1187" s="9" t="s">
        <v>1591</v>
      </c>
      <c r="F1187" s="9" t="s">
        <v>1589</v>
      </c>
      <c r="G1187" s="9" t="s">
        <v>1592</v>
      </c>
      <c r="H1187" s="9" t="s">
        <v>172</v>
      </c>
      <c r="I1187" s="9" t="s">
        <v>2690</v>
      </c>
      <c r="J1187" s="9" t="s">
        <v>1601</v>
      </c>
      <c r="K1187" s="9">
        <v>1</v>
      </c>
      <c r="L1187" s="9">
        <v>20</v>
      </c>
      <c r="M1187" s="9">
        <v>1992</v>
      </c>
      <c r="O1187" s="9" t="str">
        <f t="shared" si="58"/>
        <v>NO</v>
      </c>
      <c r="P1187" s="9" t="str">
        <f t="shared" si="59"/>
        <v>NO</v>
      </c>
      <c r="Q1187" s="9" t="str">
        <f t="shared" si="60"/>
        <v>Conditioned</v>
      </c>
    </row>
    <row r="1188" spans="1:17">
      <c r="A1188" s="9">
        <v>20433</v>
      </c>
      <c r="B1188" s="9">
        <v>1</v>
      </c>
      <c r="C1188" s="9" t="s">
        <v>1589</v>
      </c>
      <c r="D1188" s="9" t="s">
        <v>1590</v>
      </c>
      <c r="E1188" s="9" t="s">
        <v>1591</v>
      </c>
      <c r="F1188" s="9" t="s">
        <v>1589</v>
      </c>
      <c r="G1188" s="9" t="s">
        <v>1606</v>
      </c>
      <c r="H1188" s="9" t="s">
        <v>1638</v>
      </c>
      <c r="I1188" s="9" t="s">
        <v>2691</v>
      </c>
      <c r="J1188" s="9" t="s">
        <v>1597</v>
      </c>
      <c r="K1188" s="9">
        <v>1</v>
      </c>
      <c r="L1188" s="9">
        <v>22</v>
      </c>
      <c r="M1188" s="9">
        <v>1980</v>
      </c>
      <c r="O1188" s="9" t="str">
        <f t="shared" si="58"/>
        <v>NO</v>
      </c>
      <c r="P1188" s="9" t="str">
        <f t="shared" si="59"/>
        <v>NO</v>
      </c>
      <c r="Q1188" s="9" t="str">
        <f t="shared" si="60"/>
        <v>Unconditioned</v>
      </c>
    </row>
    <row r="1189" spans="1:17">
      <c r="A1189" s="9">
        <v>20433</v>
      </c>
      <c r="B1189" s="9">
        <v>2</v>
      </c>
      <c r="C1189" s="9" t="s">
        <v>2692</v>
      </c>
      <c r="D1189" s="9" t="s">
        <v>1590</v>
      </c>
      <c r="E1189" s="9" t="s">
        <v>1602</v>
      </c>
      <c r="F1189" s="9" t="s">
        <v>1603</v>
      </c>
      <c r="G1189" s="9" t="s">
        <v>1592</v>
      </c>
      <c r="H1189" s="9" t="s">
        <v>170</v>
      </c>
      <c r="I1189" s="9" t="s">
        <v>2693</v>
      </c>
      <c r="J1189" s="9" t="s">
        <v>1601</v>
      </c>
      <c r="K1189" s="9">
        <v>1</v>
      </c>
      <c r="L1189" s="9">
        <v>22</v>
      </c>
      <c r="O1189" s="9" t="str">
        <f t="shared" si="58"/>
        <v>NO</v>
      </c>
      <c r="P1189" s="9" t="str">
        <f t="shared" si="59"/>
        <v>NO</v>
      </c>
      <c r="Q1189" s="9" t="str">
        <f t="shared" si="60"/>
        <v>Conditioned</v>
      </c>
    </row>
    <row r="1190" spans="1:17">
      <c r="A1190" s="9">
        <v>20440</v>
      </c>
      <c r="B1190" s="9">
        <v>1</v>
      </c>
      <c r="C1190" s="9" t="s">
        <v>1589</v>
      </c>
      <c r="D1190" s="9" t="s">
        <v>1590</v>
      </c>
      <c r="E1190" s="9" t="s">
        <v>1602</v>
      </c>
      <c r="F1190" s="9" t="s">
        <v>1603</v>
      </c>
      <c r="G1190" s="9" t="s">
        <v>1592</v>
      </c>
      <c r="H1190" s="9" t="s">
        <v>173</v>
      </c>
      <c r="I1190" s="9" t="s">
        <v>2694</v>
      </c>
      <c r="J1190" s="9" t="s">
        <v>1601</v>
      </c>
      <c r="K1190" s="9">
        <v>1</v>
      </c>
      <c r="L1190" s="9">
        <v>19</v>
      </c>
      <c r="M1190" s="9">
        <v>2005</v>
      </c>
      <c r="O1190" s="9" t="str">
        <f t="shared" si="58"/>
        <v>NO</v>
      </c>
      <c r="P1190" s="9" t="str">
        <f t="shared" si="59"/>
        <v>NO</v>
      </c>
      <c r="Q1190" s="9" t="str">
        <f t="shared" si="60"/>
        <v>Conditioned</v>
      </c>
    </row>
    <row r="1191" spans="1:17">
      <c r="A1191" s="9">
        <v>20445</v>
      </c>
      <c r="B1191" s="9">
        <v>1</v>
      </c>
      <c r="C1191" s="9" t="s">
        <v>1589</v>
      </c>
      <c r="D1191" s="9" t="s">
        <v>1590</v>
      </c>
      <c r="E1191" s="9" t="s">
        <v>1591</v>
      </c>
      <c r="F1191" s="9" t="s">
        <v>1589</v>
      </c>
      <c r="G1191" s="9" t="s">
        <v>1592</v>
      </c>
      <c r="H1191" s="9" t="s">
        <v>173</v>
      </c>
      <c r="I1191" s="9" t="s">
        <v>2695</v>
      </c>
      <c r="J1191" s="9" t="s">
        <v>1608</v>
      </c>
      <c r="K1191" s="9">
        <v>1</v>
      </c>
      <c r="L1191" s="9">
        <v>20</v>
      </c>
      <c r="M1191" s="9">
        <v>2005</v>
      </c>
      <c r="O1191" s="9" t="str">
        <f t="shared" si="58"/>
        <v>NO</v>
      </c>
      <c r="P1191" s="9" t="str">
        <f t="shared" si="59"/>
        <v>NO</v>
      </c>
      <c r="Q1191" s="9" t="str">
        <f t="shared" si="60"/>
        <v>Conditioned</v>
      </c>
    </row>
    <row r="1192" spans="1:17">
      <c r="A1192" s="9">
        <v>20446</v>
      </c>
      <c r="B1192" s="9">
        <v>1</v>
      </c>
      <c r="C1192" s="9" t="s">
        <v>1589</v>
      </c>
      <c r="D1192" s="9" t="s">
        <v>1590</v>
      </c>
      <c r="E1192" s="9" t="s">
        <v>1591</v>
      </c>
      <c r="F1192" s="9" t="s">
        <v>1589</v>
      </c>
      <c r="G1192" s="9" t="s">
        <v>1592</v>
      </c>
      <c r="H1192" s="9" t="s">
        <v>169</v>
      </c>
      <c r="I1192" s="9" t="s">
        <v>2696</v>
      </c>
      <c r="J1192" s="9" t="s">
        <v>1597</v>
      </c>
      <c r="K1192" s="9">
        <v>1</v>
      </c>
      <c r="L1192" s="9">
        <v>20</v>
      </c>
      <c r="M1192" s="9">
        <v>2003</v>
      </c>
      <c r="O1192" s="9" t="str">
        <f t="shared" si="58"/>
        <v>NO</v>
      </c>
      <c r="P1192" s="9" t="str">
        <f t="shared" si="59"/>
        <v>NO</v>
      </c>
      <c r="Q1192" s="9" t="str">
        <f t="shared" si="60"/>
        <v>Conditioned</v>
      </c>
    </row>
    <row r="1193" spans="1:17">
      <c r="A1193" s="9">
        <v>20448</v>
      </c>
      <c r="B1193" s="9">
        <v>1</v>
      </c>
      <c r="C1193" s="9" t="s">
        <v>1589</v>
      </c>
      <c r="D1193" s="9" t="s">
        <v>1603</v>
      </c>
      <c r="E1193" s="9" t="s">
        <v>1602</v>
      </c>
      <c r="F1193" s="9" t="s">
        <v>1603</v>
      </c>
      <c r="G1193" s="9" t="s">
        <v>1592</v>
      </c>
      <c r="H1193" s="9" t="s">
        <v>170</v>
      </c>
      <c r="I1193" s="9" t="s">
        <v>2697</v>
      </c>
      <c r="J1193" s="9" t="s">
        <v>1601</v>
      </c>
      <c r="K1193" s="9">
        <v>1</v>
      </c>
      <c r="L1193" s="9">
        <v>22</v>
      </c>
      <c r="M1193" s="9">
        <v>2006</v>
      </c>
      <c r="O1193" s="9" t="str">
        <f t="shared" si="58"/>
        <v>NO</v>
      </c>
      <c r="P1193" s="9" t="str">
        <f t="shared" si="59"/>
        <v>NO</v>
      </c>
      <c r="Q1193" s="9" t="str">
        <f t="shared" si="60"/>
        <v>Conditioned</v>
      </c>
    </row>
    <row r="1194" spans="1:17">
      <c r="A1194" s="9">
        <v>20448</v>
      </c>
      <c r="B1194" s="9">
        <v>2</v>
      </c>
      <c r="C1194" s="9" t="s">
        <v>1589</v>
      </c>
      <c r="D1194" s="9" t="s">
        <v>1603</v>
      </c>
      <c r="E1194" s="9" t="s">
        <v>1591</v>
      </c>
      <c r="F1194" s="9" t="s">
        <v>1589</v>
      </c>
      <c r="G1194" s="9" t="s">
        <v>1606</v>
      </c>
      <c r="H1194" s="9" t="s">
        <v>181</v>
      </c>
      <c r="I1194" s="9" t="s">
        <v>2698</v>
      </c>
      <c r="J1194" s="9" t="s">
        <v>1587</v>
      </c>
      <c r="K1194" s="9">
        <v>1</v>
      </c>
      <c r="L1194" s="9">
        <v>5</v>
      </c>
      <c r="O1194" s="9" t="str">
        <f t="shared" si="58"/>
        <v>YES</v>
      </c>
      <c r="P1194" s="9" t="str">
        <f t="shared" si="59"/>
        <v>YES</v>
      </c>
      <c r="Q1194" s="9" t="str">
        <f t="shared" si="60"/>
        <v>Unconditioned</v>
      </c>
    </row>
    <row r="1195" spans="1:17">
      <c r="A1195" s="9">
        <v>20457</v>
      </c>
      <c r="B1195" s="9">
        <v>1</v>
      </c>
      <c r="C1195" s="9" t="s">
        <v>1589</v>
      </c>
      <c r="D1195" s="9" t="s">
        <v>1590</v>
      </c>
      <c r="E1195" s="9" t="s">
        <v>1602</v>
      </c>
      <c r="F1195" s="9" t="s">
        <v>1603</v>
      </c>
      <c r="G1195" s="9" t="s">
        <v>1592</v>
      </c>
      <c r="H1195" s="9" t="s">
        <v>169</v>
      </c>
      <c r="I1195" s="9" t="s">
        <v>2699</v>
      </c>
      <c r="J1195" s="9" t="s">
        <v>1601</v>
      </c>
      <c r="K1195" s="9">
        <v>1</v>
      </c>
      <c r="L1195" s="9">
        <v>26</v>
      </c>
      <c r="M1195" s="9">
        <v>2005</v>
      </c>
      <c r="O1195" s="9" t="str">
        <f t="shared" si="58"/>
        <v>NO</v>
      </c>
      <c r="P1195" s="9" t="str">
        <f t="shared" si="59"/>
        <v>NO</v>
      </c>
      <c r="Q1195" s="9" t="str">
        <f t="shared" si="60"/>
        <v>Conditioned</v>
      </c>
    </row>
    <row r="1196" spans="1:17">
      <c r="A1196" s="9">
        <v>20458</v>
      </c>
      <c r="B1196" s="9">
        <v>1</v>
      </c>
      <c r="C1196" s="9" t="s">
        <v>1589</v>
      </c>
      <c r="D1196" s="9" t="s">
        <v>1590</v>
      </c>
      <c r="E1196" s="9" t="s">
        <v>1602</v>
      </c>
      <c r="F1196" s="9" t="s">
        <v>1590</v>
      </c>
      <c r="G1196" s="9" t="s">
        <v>1592</v>
      </c>
      <c r="H1196" s="9" t="s">
        <v>170</v>
      </c>
      <c r="I1196" s="9" t="s">
        <v>2700</v>
      </c>
      <c r="J1196" s="9" t="s">
        <v>1601</v>
      </c>
      <c r="K1196" s="9">
        <v>1</v>
      </c>
      <c r="L1196" s="9">
        <v>28</v>
      </c>
      <c r="O1196" s="9" t="str">
        <f t="shared" si="58"/>
        <v>NO</v>
      </c>
      <c r="P1196" s="9" t="str">
        <f t="shared" si="59"/>
        <v>NO</v>
      </c>
      <c r="Q1196" s="9" t="str">
        <f t="shared" si="60"/>
        <v>Conditioned</v>
      </c>
    </row>
    <row r="1197" spans="1:17">
      <c r="A1197" s="9">
        <v>20458</v>
      </c>
      <c r="B1197" s="9">
        <v>2</v>
      </c>
      <c r="C1197" s="9" t="s">
        <v>1589</v>
      </c>
      <c r="D1197" s="9" t="s">
        <v>1590</v>
      </c>
      <c r="E1197" s="9" t="s">
        <v>1591</v>
      </c>
      <c r="F1197" s="9" t="s">
        <v>1589</v>
      </c>
      <c r="G1197" s="9" t="s">
        <v>1606</v>
      </c>
      <c r="H1197" s="9" t="s">
        <v>170</v>
      </c>
      <c r="I1197" s="9" t="s">
        <v>2701</v>
      </c>
      <c r="J1197" s="9" t="s">
        <v>1605</v>
      </c>
      <c r="K1197" s="9">
        <v>1</v>
      </c>
      <c r="L1197" s="9">
        <v>26</v>
      </c>
      <c r="M1197" s="9">
        <v>1982</v>
      </c>
      <c r="O1197" s="9" t="str">
        <f t="shared" si="58"/>
        <v>NO</v>
      </c>
      <c r="P1197" s="9" t="str">
        <f t="shared" si="59"/>
        <v>YES</v>
      </c>
      <c r="Q1197" s="9" t="str">
        <f t="shared" si="60"/>
        <v>Unconditioned</v>
      </c>
    </row>
    <row r="1198" spans="1:17">
      <c r="A1198" s="9">
        <v>20458</v>
      </c>
      <c r="B1198" s="9">
        <v>3</v>
      </c>
      <c r="C1198" s="9" t="s">
        <v>1589</v>
      </c>
      <c r="D1198" s="9" t="s">
        <v>1590</v>
      </c>
      <c r="E1198" s="9" t="s">
        <v>1591</v>
      </c>
      <c r="F1198" s="9" t="s">
        <v>1589</v>
      </c>
      <c r="G1198" s="9" t="s">
        <v>1606</v>
      </c>
      <c r="H1198" s="9" t="s">
        <v>172</v>
      </c>
      <c r="I1198" s="9" t="s">
        <v>1589</v>
      </c>
      <c r="J1198" s="9" t="s">
        <v>1587</v>
      </c>
      <c r="K1198" s="9">
        <v>1</v>
      </c>
      <c r="L1198" s="9">
        <v>30</v>
      </c>
      <c r="M1198" s="9">
        <v>1970</v>
      </c>
      <c r="O1198" s="9" t="str">
        <f t="shared" si="58"/>
        <v>NO</v>
      </c>
      <c r="P1198" s="9" t="str">
        <f t="shared" si="59"/>
        <v>YES</v>
      </c>
      <c r="Q1198" s="9" t="str">
        <f t="shared" si="60"/>
        <v>Unconditioned</v>
      </c>
    </row>
    <row r="1199" spans="1:17">
      <c r="A1199" s="9">
        <v>20466</v>
      </c>
      <c r="B1199" s="9">
        <v>1</v>
      </c>
      <c r="C1199" s="9" t="s">
        <v>1589</v>
      </c>
      <c r="D1199" s="9" t="s">
        <v>1603</v>
      </c>
      <c r="E1199" s="9" t="s">
        <v>1591</v>
      </c>
      <c r="F1199" s="9" t="s">
        <v>1589</v>
      </c>
      <c r="G1199" s="9" t="s">
        <v>1592</v>
      </c>
      <c r="H1199" s="9" t="s">
        <v>174</v>
      </c>
      <c r="I1199" s="9" t="s">
        <v>2702</v>
      </c>
      <c r="J1199" s="9" t="s">
        <v>1608</v>
      </c>
      <c r="K1199" s="9">
        <v>1</v>
      </c>
      <c r="L1199" s="9">
        <v>23</v>
      </c>
      <c r="M1199" s="9">
        <v>2009</v>
      </c>
      <c r="O1199" s="9" t="str">
        <f t="shared" si="58"/>
        <v>NO</v>
      </c>
      <c r="P1199" s="9" t="str">
        <f t="shared" si="59"/>
        <v>NO</v>
      </c>
      <c r="Q1199" s="9" t="str">
        <f t="shared" si="60"/>
        <v>Conditioned</v>
      </c>
    </row>
    <row r="1200" spans="1:17">
      <c r="A1200" s="9">
        <v>20466</v>
      </c>
      <c r="B1200" s="9">
        <v>2</v>
      </c>
      <c r="C1200" s="9" t="s">
        <v>2703</v>
      </c>
      <c r="D1200" s="9" t="s">
        <v>1590</v>
      </c>
      <c r="E1200" s="9" t="s">
        <v>1591</v>
      </c>
      <c r="F1200" s="9" t="s">
        <v>1589</v>
      </c>
      <c r="G1200" s="9" t="s">
        <v>1592</v>
      </c>
      <c r="H1200" s="9" t="s">
        <v>1638</v>
      </c>
      <c r="I1200" s="9" t="s">
        <v>1589</v>
      </c>
      <c r="J1200" s="9" t="s">
        <v>1587</v>
      </c>
      <c r="K1200" s="9">
        <v>1</v>
      </c>
      <c r="L1200" s="9">
        <v>18</v>
      </c>
      <c r="O1200" s="9" t="str">
        <f t="shared" si="58"/>
        <v>NO</v>
      </c>
      <c r="P1200" s="9" t="str">
        <f t="shared" si="59"/>
        <v>YES</v>
      </c>
      <c r="Q1200" s="9" t="str">
        <f t="shared" si="60"/>
        <v>Conditioned</v>
      </c>
    </row>
    <row r="1201" spans="1:17">
      <c r="A1201" s="9">
        <v>20469</v>
      </c>
      <c r="B1201" s="9">
        <v>1</v>
      </c>
      <c r="C1201" s="9" t="s">
        <v>1589</v>
      </c>
      <c r="D1201" s="9" t="s">
        <v>1590</v>
      </c>
      <c r="E1201" s="9" t="s">
        <v>1613</v>
      </c>
      <c r="F1201" s="9" t="s">
        <v>1603</v>
      </c>
      <c r="G1201" s="9" t="s">
        <v>1592</v>
      </c>
      <c r="H1201" s="9" t="s">
        <v>169</v>
      </c>
      <c r="I1201" s="9" t="s">
        <v>2704</v>
      </c>
      <c r="J1201" s="9" t="s">
        <v>1597</v>
      </c>
      <c r="K1201" s="9">
        <v>1</v>
      </c>
      <c r="L1201" s="9">
        <v>21</v>
      </c>
      <c r="M1201" s="9">
        <v>1999</v>
      </c>
      <c r="O1201" s="9" t="str">
        <f t="shared" si="58"/>
        <v>NO</v>
      </c>
      <c r="P1201" s="9" t="str">
        <f t="shared" si="59"/>
        <v>NO</v>
      </c>
      <c r="Q1201" s="9" t="str">
        <f t="shared" si="60"/>
        <v>Conditioned</v>
      </c>
    </row>
    <row r="1202" spans="1:17">
      <c r="A1202" s="9">
        <v>20469</v>
      </c>
      <c r="B1202" s="9">
        <v>2</v>
      </c>
      <c r="C1202" s="9" t="s">
        <v>1589</v>
      </c>
      <c r="D1202" s="9" t="s">
        <v>1590</v>
      </c>
      <c r="E1202" s="9" t="s">
        <v>1591</v>
      </c>
      <c r="F1202" s="9" t="s">
        <v>1589</v>
      </c>
      <c r="G1202" s="9" t="s">
        <v>1606</v>
      </c>
      <c r="H1202" s="9" t="s">
        <v>1552</v>
      </c>
      <c r="I1202" s="9" t="s">
        <v>2705</v>
      </c>
      <c r="J1202" s="9" t="s">
        <v>1597</v>
      </c>
      <c r="K1202" s="9">
        <v>1</v>
      </c>
      <c r="L1202" s="9">
        <v>17</v>
      </c>
      <c r="M1202" s="9">
        <v>1988</v>
      </c>
      <c r="O1202" s="9" t="str">
        <f t="shared" si="58"/>
        <v>NO</v>
      </c>
      <c r="P1202" s="9" t="str">
        <f t="shared" si="59"/>
        <v>NO</v>
      </c>
      <c r="Q1202" s="9" t="str">
        <f t="shared" si="60"/>
        <v>Unconditioned</v>
      </c>
    </row>
    <row r="1203" spans="1:17">
      <c r="A1203" s="9">
        <v>20469</v>
      </c>
      <c r="B1203" s="9">
        <v>3</v>
      </c>
      <c r="C1203" s="9" t="s">
        <v>2706</v>
      </c>
      <c r="D1203" s="9" t="s">
        <v>1590</v>
      </c>
      <c r="E1203" s="9" t="s">
        <v>1591</v>
      </c>
      <c r="F1203" s="9" t="s">
        <v>1589</v>
      </c>
      <c r="G1203" s="9" t="s">
        <v>1606</v>
      </c>
      <c r="H1203" s="9" t="s">
        <v>169</v>
      </c>
      <c r="I1203" s="9" t="s">
        <v>1589</v>
      </c>
      <c r="J1203" s="9" t="s">
        <v>1605</v>
      </c>
      <c r="K1203" s="9">
        <v>1</v>
      </c>
      <c r="L1203" s="9">
        <v>12</v>
      </c>
      <c r="M1203" s="9">
        <v>1975</v>
      </c>
      <c r="O1203" s="9" t="str">
        <f t="shared" si="58"/>
        <v>NO</v>
      </c>
      <c r="P1203" s="9" t="str">
        <f t="shared" si="59"/>
        <v>YES</v>
      </c>
      <c r="Q1203" s="9" t="str">
        <f t="shared" si="60"/>
        <v>Unconditioned</v>
      </c>
    </row>
    <row r="1204" spans="1:17">
      <c r="A1204" s="9">
        <v>20472</v>
      </c>
      <c r="B1204" s="9">
        <v>1</v>
      </c>
      <c r="C1204" s="9" t="s">
        <v>1589</v>
      </c>
      <c r="D1204" s="9" t="s">
        <v>1590</v>
      </c>
      <c r="E1204" s="9" t="s">
        <v>1613</v>
      </c>
      <c r="F1204" s="9" t="s">
        <v>1590</v>
      </c>
      <c r="G1204" s="9" t="s">
        <v>1592</v>
      </c>
      <c r="H1204" s="9" t="s">
        <v>174</v>
      </c>
      <c r="I1204" s="9" t="s">
        <v>2707</v>
      </c>
      <c r="J1204" s="9" t="s">
        <v>1608</v>
      </c>
      <c r="K1204" s="9">
        <v>1</v>
      </c>
      <c r="L1204" s="9">
        <v>18</v>
      </c>
      <c r="O1204" s="9" t="str">
        <f t="shared" si="58"/>
        <v>NO</v>
      </c>
      <c r="P1204" s="9" t="str">
        <f t="shared" si="59"/>
        <v>NO</v>
      </c>
      <c r="Q1204" s="9" t="str">
        <f t="shared" si="60"/>
        <v>Conditioned</v>
      </c>
    </row>
    <row r="1205" spans="1:17">
      <c r="A1205" s="9">
        <v>20472</v>
      </c>
      <c r="B1205" s="9">
        <v>2</v>
      </c>
      <c r="C1205" s="9" t="s">
        <v>1589</v>
      </c>
      <c r="D1205" s="9" t="s">
        <v>1590</v>
      </c>
      <c r="E1205" s="9" t="s">
        <v>1591</v>
      </c>
      <c r="F1205" s="9" t="s">
        <v>1589</v>
      </c>
      <c r="G1205" s="9" t="s">
        <v>1606</v>
      </c>
      <c r="H1205" s="9" t="s">
        <v>177</v>
      </c>
      <c r="I1205" s="9" t="s">
        <v>2708</v>
      </c>
      <c r="J1205" s="9" t="s">
        <v>1587</v>
      </c>
      <c r="K1205" s="9">
        <v>1</v>
      </c>
      <c r="L1205" s="9">
        <v>10</v>
      </c>
      <c r="M1205" s="9">
        <v>2007</v>
      </c>
      <c r="O1205" s="9" t="str">
        <f t="shared" si="58"/>
        <v>NO</v>
      </c>
      <c r="P1205" s="9" t="str">
        <f t="shared" si="59"/>
        <v>YES</v>
      </c>
      <c r="Q1205" s="9" t="str">
        <f t="shared" si="60"/>
        <v>Unconditioned</v>
      </c>
    </row>
    <row r="1206" spans="1:17">
      <c r="A1206" s="9">
        <v>20472</v>
      </c>
      <c r="B1206" s="9">
        <v>3</v>
      </c>
      <c r="C1206" s="9" t="s">
        <v>1589</v>
      </c>
      <c r="D1206" s="9" t="s">
        <v>1590</v>
      </c>
      <c r="E1206" s="9" t="s">
        <v>1613</v>
      </c>
      <c r="F1206" s="9" t="s">
        <v>1603</v>
      </c>
      <c r="G1206" s="9" t="s">
        <v>1592</v>
      </c>
      <c r="H1206" s="9" t="s">
        <v>177</v>
      </c>
      <c r="I1206" s="9" t="s">
        <v>2709</v>
      </c>
      <c r="J1206" s="9" t="s">
        <v>1608</v>
      </c>
      <c r="K1206" s="9">
        <v>1</v>
      </c>
      <c r="L1206" s="9">
        <v>18</v>
      </c>
      <c r="M1206" s="9">
        <v>2000</v>
      </c>
      <c r="O1206" s="9" t="str">
        <f t="shared" si="58"/>
        <v>NO</v>
      </c>
      <c r="P1206" s="9" t="str">
        <f t="shared" si="59"/>
        <v>NO</v>
      </c>
      <c r="Q1206" s="9" t="str">
        <f t="shared" si="60"/>
        <v>Conditioned</v>
      </c>
    </row>
    <row r="1207" spans="1:17">
      <c r="A1207" s="9">
        <v>20477</v>
      </c>
      <c r="B1207" s="9">
        <v>1</v>
      </c>
      <c r="C1207" s="9" t="s">
        <v>1589</v>
      </c>
      <c r="D1207" s="9" t="s">
        <v>1590</v>
      </c>
      <c r="E1207" s="9" t="s">
        <v>1602</v>
      </c>
      <c r="F1207" s="9" t="s">
        <v>1603</v>
      </c>
      <c r="G1207" s="9" t="s">
        <v>1592</v>
      </c>
      <c r="H1207" s="9" t="s">
        <v>1638</v>
      </c>
      <c r="I1207" s="9" t="s">
        <v>2710</v>
      </c>
      <c r="J1207" s="9" t="s">
        <v>1601</v>
      </c>
      <c r="K1207" s="9">
        <v>1</v>
      </c>
      <c r="L1207" s="9">
        <v>25</v>
      </c>
      <c r="M1207" s="9">
        <v>2006</v>
      </c>
      <c r="O1207" s="9" t="str">
        <f t="shared" si="58"/>
        <v>NO</v>
      </c>
      <c r="P1207" s="9" t="str">
        <f t="shared" si="59"/>
        <v>NO</v>
      </c>
      <c r="Q1207" s="9" t="str">
        <f t="shared" si="60"/>
        <v>Conditioned</v>
      </c>
    </row>
    <row r="1208" spans="1:17">
      <c r="A1208" s="9">
        <v>20485</v>
      </c>
      <c r="B1208" s="9">
        <v>1</v>
      </c>
      <c r="C1208" s="9" t="s">
        <v>1589</v>
      </c>
      <c r="D1208" s="9" t="s">
        <v>1590</v>
      </c>
      <c r="E1208" s="9" t="s">
        <v>1602</v>
      </c>
      <c r="F1208" s="9" t="s">
        <v>1603</v>
      </c>
      <c r="G1208" s="9" t="s">
        <v>1592</v>
      </c>
      <c r="H1208" s="9" t="s">
        <v>1638</v>
      </c>
      <c r="I1208" s="9" t="s">
        <v>2711</v>
      </c>
      <c r="J1208" s="9" t="s">
        <v>1601</v>
      </c>
      <c r="K1208" s="9">
        <v>1</v>
      </c>
      <c r="L1208" s="9">
        <v>22</v>
      </c>
      <c r="M1208" s="9">
        <v>2002</v>
      </c>
      <c r="O1208" s="9" t="str">
        <f t="shared" si="58"/>
        <v>NO</v>
      </c>
      <c r="P1208" s="9" t="str">
        <f t="shared" si="59"/>
        <v>NO</v>
      </c>
      <c r="Q1208" s="9" t="str">
        <f t="shared" si="60"/>
        <v>Conditioned</v>
      </c>
    </row>
    <row r="1209" spans="1:17">
      <c r="A1209" s="9">
        <v>20485</v>
      </c>
      <c r="B1209" s="9">
        <v>2</v>
      </c>
      <c r="C1209" s="9" t="s">
        <v>1589</v>
      </c>
      <c r="D1209" s="9" t="s">
        <v>1590</v>
      </c>
      <c r="E1209" s="9" t="s">
        <v>1591</v>
      </c>
      <c r="F1209" s="9" t="s">
        <v>1589</v>
      </c>
      <c r="G1209" s="9" t="s">
        <v>1592</v>
      </c>
      <c r="H1209" s="9" t="s">
        <v>1638</v>
      </c>
      <c r="I1209" s="9" t="s">
        <v>2712</v>
      </c>
      <c r="J1209" s="9" t="s">
        <v>1597</v>
      </c>
      <c r="K1209" s="9">
        <v>1</v>
      </c>
      <c r="L1209" s="9">
        <v>15</v>
      </c>
      <c r="M1209" s="9">
        <v>1961</v>
      </c>
      <c r="O1209" s="9" t="str">
        <f t="shared" si="58"/>
        <v>NO</v>
      </c>
      <c r="P1209" s="9" t="str">
        <f t="shared" si="59"/>
        <v>NO</v>
      </c>
      <c r="Q1209" s="9" t="str">
        <f t="shared" si="60"/>
        <v>Conditioned</v>
      </c>
    </row>
    <row r="1210" spans="1:17">
      <c r="A1210" s="9">
        <v>20491</v>
      </c>
      <c r="B1210" s="9">
        <v>1</v>
      </c>
      <c r="C1210" s="9" t="s">
        <v>1589</v>
      </c>
      <c r="D1210" s="9" t="s">
        <v>1590</v>
      </c>
      <c r="E1210" s="9" t="s">
        <v>1602</v>
      </c>
      <c r="F1210" s="9" t="s">
        <v>1603</v>
      </c>
      <c r="G1210" s="9" t="s">
        <v>1592</v>
      </c>
      <c r="H1210" s="9" t="s">
        <v>170</v>
      </c>
      <c r="I1210" s="9" t="s">
        <v>2713</v>
      </c>
      <c r="J1210" s="9" t="s">
        <v>1601</v>
      </c>
      <c r="K1210" s="9">
        <v>1</v>
      </c>
      <c r="L1210" s="9">
        <v>20</v>
      </c>
      <c r="M1210" s="9">
        <v>1990</v>
      </c>
      <c r="O1210" s="9" t="str">
        <f t="shared" si="58"/>
        <v>NO</v>
      </c>
      <c r="P1210" s="9" t="str">
        <f t="shared" si="59"/>
        <v>NO</v>
      </c>
      <c r="Q1210" s="9" t="str">
        <f t="shared" si="60"/>
        <v>Conditioned</v>
      </c>
    </row>
    <row r="1211" spans="1:17">
      <c r="A1211" s="9">
        <v>20505</v>
      </c>
      <c r="B1211" s="9">
        <v>1</v>
      </c>
      <c r="C1211" s="9" t="s">
        <v>1589</v>
      </c>
      <c r="D1211" s="9" t="s">
        <v>1603</v>
      </c>
      <c r="E1211" s="9" t="s">
        <v>1591</v>
      </c>
      <c r="F1211" s="9" t="s">
        <v>1589</v>
      </c>
      <c r="G1211" s="9" t="s">
        <v>1592</v>
      </c>
      <c r="H1211" s="9" t="s">
        <v>1463</v>
      </c>
      <c r="I1211" s="9" t="s">
        <v>2714</v>
      </c>
      <c r="J1211" s="9" t="s">
        <v>1612</v>
      </c>
      <c r="K1211" s="9">
        <v>1</v>
      </c>
      <c r="L1211" s="9">
        <v>20</v>
      </c>
      <c r="M1211" s="9">
        <v>1998</v>
      </c>
      <c r="O1211" s="9" t="str">
        <f t="shared" si="58"/>
        <v>NO</v>
      </c>
      <c r="P1211" s="9" t="str">
        <f t="shared" si="59"/>
        <v>NO</v>
      </c>
      <c r="Q1211" s="9" t="str">
        <f t="shared" si="60"/>
        <v>Conditioned</v>
      </c>
    </row>
    <row r="1212" spans="1:17">
      <c r="A1212" s="9">
        <v>20505</v>
      </c>
      <c r="B1212" s="9">
        <v>2</v>
      </c>
      <c r="C1212" s="9" t="s">
        <v>1589</v>
      </c>
      <c r="D1212" s="9" t="s">
        <v>1603</v>
      </c>
      <c r="E1212" s="9" t="s">
        <v>1591</v>
      </c>
      <c r="F1212" s="9" t="s">
        <v>1589</v>
      </c>
      <c r="G1212" s="9" t="s">
        <v>1592</v>
      </c>
      <c r="H1212" s="9" t="s">
        <v>1463</v>
      </c>
      <c r="I1212" s="9" t="s">
        <v>2715</v>
      </c>
      <c r="J1212" s="9" t="s">
        <v>1605</v>
      </c>
      <c r="K1212" s="9">
        <v>1</v>
      </c>
      <c r="L1212" s="9">
        <v>20</v>
      </c>
      <c r="M1212" s="9">
        <v>1998</v>
      </c>
      <c r="O1212" s="9" t="str">
        <f t="shared" si="58"/>
        <v>NO</v>
      </c>
      <c r="P1212" s="9" t="str">
        <f t="shared" si="59"/>
        <v>YES</v>
      </c>
      <c r="Q1212" s="9" t="str">
        <f t="shared" si="60"/>
        <v>Conditioned</v>
      </c>
    </row>
    <row r="1213" spans="1:17">
      <c r="A1213" s="9">
        <v>20516</v>
      </c>
      <c r="B1213" s="9">
        <v>1</v>
      </c>
      <c r="C1213" s="9" t="s">
        <v>1589</v>
      </c>
      <c r="D1213" s="9" t="s">
        <v>1590</v>
      </c>
      <c r="E1213" s="9" t="s">
        <v>1602</v>
      </c>
      <c r="F1213" s="9" t="s">
        <v>1603</v>
      </c>
      <c r="G1213" s="9" t="s">
        <v>1592</v>
      </c>
      <c r="H1213" s="9" t="s">
        <v>1638</v>
      </c>
      <c r="I1213" s="9" t="s">
        <v>2716</v>
      </c>
      <c r="J1213" s="9" t="s">
        <v>1601</v>
      </c>
      <c r="K1213" s="9">
        <v>1</v>
      </c>
      <c r="L1213" s="9">
        <v>25</v>
      </c>
      <c r="M1213" s="9">
        <v>2009</v>
      </c>
      <c r="O1213" s="9" t="str">
        <f t="shared" si="58"/>
        <v>NO</v>
      </c>
      <c r="P1213" s="9" t="str">
        <f t="shared" si="59"/>
        <v>NO</v>
      </c>
      <c r="Q1213" s="9" t="str">
        <f t="shared" si="60"/>
        <v>Conditioned</v>
      </c>
    </row>
    <row r="1214" spans="1:17">
      <c r="A1214" s="9">
        <v>20540</v>
      </c>
      <c r="B1214" s="9">
        <v>1</v>
      </c>
      <c r="C1214" s="9" t="s">
        <v>1589</v>
      </c>
      <c r="D1214" s="9" t="s">
        <v>1590</v>
      </c>
      <c r="E1214" s="9" t="s">
        <v>1602</v>
      </c>
      <c r="F1214" s="9" t="s">
        <v>1603</v>
      </c>
      <c r="G1214" s="9" t="s">
        <v>1592</v>
      </c>
      <c r="H1214" s="9" t="s">
        <v>177</v>
      </c>
      <c r="I1214" s="9" t="s">
        <v>2717</v>
      </c>
      <c r="J1214" s="9" t="s">
        <v>1601</v>
      </c>
      <c r="K1214" s="9">
        <v>1</v>
      </c>
      <c r="L1214" s="9">
        <v>24</v>
      </c>
      <c r="M1214" s="9">
        <v>2005</v>
      </c>
      <c r="O1214" s="9" t="str">
        <f t="shared" si="58"/>
        <v>NO</v>
      </c>
      <c r="P1214" s="9" t="str">
        <f t="shared" si="59"/>
        <v>NO</v>
      </c>
      <c r="Q1214" s="9" t="str">
        <f t="shared" si="60"/>
        <v>Conditioned</v>
      </c>
    </row>
    <row r="1215" spans="1:17">
      <c r="A1215" s="9">
        <v>20540</v>
      </c>
      <c r="B1215" s="9">
        <v>2</v>
      </c>
      <c r="C1215" s="9" t="s">
        <v>1589</v>
      </c>
      <c r="D1215" s="9" t="s">
        <v>1590</v>
      </c>
      <c r="E1215" s="9" t="s">
        <v>1591</v>
      </c>
      <c r="F1215" s="9" t="s">
        <v>1589</v>
      </c>
      <c r="G1215" s="9" t="s">
        <v>1592</v>
      </c>
      <c r="H1215" s="9" t="s">
        <v>1589</v>
      </c>
      <c r="I1215" s="9" t="s">
        <v>2718</v>
      </c>
      <c r="J1215" s="9" t="s">
        <v>1605</v>
      </c>
      <c r="K1215" s="9">
        <v>1</v>
      </c>
      <c r="L1215" s="9">
        <v>18</v>
      </c>
      <c r="M1215" s="9">
        <v>1998</v>
      </c>
      <c r="O1215" s="9" t="str">
        <f t="shared" si="58"/>
        <v>NO</v>
      </c>
      <c r="P1215" s="9" t="str">
        <f t="shared" si="59"/>
        <v>YES</v>
      </c>
      <c r="Q1215" s="9" t="str">
        <f t="shared" si="60"/>
        <v>Conditioned</v>
      </c>
    </row>
    <row r="1216" spans="1:17">
      <c r="A1216" s="9">
        <v>20547</v>
      </c>
      <c r="B1216" s="9">
        <v>1</v>
      </c>
      <c r="C1216" s="9" t="s">
        <v>1589</v>
      </c>
      <c r="D1216" s="9" t="s">
        <v>1590</v>
      </c>
      <c r="E1216" s="9" t="s">
        <v>1602</v>
      </c>
      <c r="F1216" s="9" t="s">
        <v>1603</v>
      </c>
      <c r="G1216" s="9" t="s">
        <v>1592</v>
      </c>
      <c r="H1216" s="9" t="s">
        <v>177</v>
      </c>
      <c r="I1216" s="9" t="s">
        <v>2719</v>
      </c>
      <c r="J1216" s="9" t="s">
        <v>1601</v>
      </c>
      <c r="K1216" s="9">
        <v>1</v>
      </c>
      <c r="L1216" s="9">
        <v>20</v>
      </c>
      <c r="M1216" s="9">
        <v>1997</v>
      </c>
      <c r="O1216" s="9" t="str">
        <f t="shared" si="58"/>
        <v>NO</v>
      </c>
      <c r="P1216" s="9" t="str">
        <f t="shared" si="59"/>
        <v>NO</v>
      </c>
      <c r="Q1216" s="9" t="str">
        <f t="shared" si="60"/>
        <v>Conditioned</v>
      </c>
    </row>
    <row r="1217" spans="1:17">
      <c r="A1217" s="9">
        <v>20553</v>
      </c>
      <c r="B1217" s="9">
        <v>1</v>
      </c>
      <c r="C1217" s="9" t="s">
        <v>1589</v>
      </c>
      <c r="D1217" s="9" t="s">
        <v>1590</v>
      </c>
      <c r="E1217" s="9" t="s">
        <v>1591</v>
      </c>
      <c r="F1217" s="9" t="s">
        <v>1589</v>
      </c>
      <c r="G1217" s="9" t="s">
        <v>1592</v>
      </c>
      <c r="H1217" s="9" t="s">
        <v>170</v>
      </c>
      <c r="I1217" s="9" t="s">
        <v>2720</v>
      </c>
      <c r="J1217" s="9" t="s">
        <v>1608</v>
      </c>
      <c r="K1217" s="9">
        <v>1</v>
      </c>
      <c r="L1217" s="9">
        <v>18</v>
      </c>
      <c r="M1217" s="9">
        <v>1999</v>
      </c>
      <c r="O1217" s="9" t="str">
        <f t="shared" si="58"/>
        <v>NO</v>
      </c>
      <c r="P1217" s="9" t="str">
        <f t="shared" si="59"/>
        <v>NO</v>
      </c>
      <c r="Q1217" s="9" t="str">
        <f t="shared" si="60"/>
        <v>Conditioned</v>
      </c>
    </row>
    <row r="1218" spans="1:17">
      <c r="A1218" s="9">
        <v>20559</v>
      </c>
      <c r="B1218" s="9">
        <v>1</v>
      </c>
      <c r="C1218" s="9" t="s">
        <v>1589</v>
      </c>
      <c r="D1218" s="9" t="s">
        <v>1590</v>
      </c>
      <c r="E1218" s="9" t="s">
        <v>1591</v>
      </c>
      <c r="F1218" s="9" t="s">
        <v>1589</v>
      </c>
      <c r="G1218" s="9" t="s">
        <v>1592</v>
      </c>
      <c r="H1218" s="9" t="s">
        <v>1638</v>
      </c>
      <c r="I1218" s="9" t="s">
        <v>2721</v>
      </c>
      <c r="J1218" s="9" t="s">
        <v>1597</v>
      </c>
      <c r="K1218" s="9">
        <v>1</v>
      </c>
      <c r="L1218" s="9">
        <v>13</v>
      </c>
      <c r="M1218" s="9">
        <v>1982</v>
      </c>
      <c r="O1218" s="9" t="str">
        <f t="shared" si="58"/>
        <v>NO</v>
      </c>
      <c r="P1218" s="9" t="str">
        <f t="shared" si="59"/>
        <v>NO</v>
      </c>
      <c r="Q1218" s="9" t="str">
        <f t="shared" si="60"/>
        <v>Conditioned</v>
      </c>
    </row>
    <row r="1219" spans="1:17">
      <c r="A1219" s="9">
        <v>20565</v>
      </c>
      <c r="B1219" s="9">
        <v>1</v>
      </c>
      <c r="C1219" s="9" t="s">
        <v>1589</v>
      </c>
      <c r="D1219" s="9" t="s">
        <v>1590</v>
      </c>
      <c r="E1219" s="9" t="s">
        <v>1602</v>
      </c>
      <c r="F1219" s="9" t="s">
        <v>1603</v>
      </c>
      <c r="G1219" s="9" t="s">
        <v>1592</v>
      </c>
      <c r="H1219" s="9" t="s">
        <v>1638</v>
      </c>
      <c r="I1219" s="9" t="s">
        <v>2722</v>
      </c>
      <c r="J1219" s="9" t="s">
        <v>1601</v>
      </c>
      <c r="K1219" s="9">
        <v>1</v>
      </c>
      <c r="L1219" s="9">
        <v>25</v>
      </c>
      <c r="M1219" s="9">
        <v>1998</v>
      </c>
      <c r="O1219" s="9" t="str">
        <f t="shared" si="58"/>
        <v>NO</v>
      </c>
      <c r="P1219" s="9" t="str">
        <f t="shared" si="59"/>
        <v>NO</v>
      </c>
      <c r="Q1219" s="9" t="str">
        <f t="shared" si="60"/>
        <v>Conditioned</v>
      </c>
    </row>
    <row r="1220" spans="1:17">
      <c r="A1220" s="9">
        <v>20574</v>
      </c>
      <c r="B1220" s="9">
        <v>1</v>
      </c>
      <c r="C1220" s="9" t="s">
        <v>1589</v>
      </c>
      <c r="D1220" s="9" t="s">
        <v>1603</v>
      </c>
      <c r="E1220" s="9" t="s">
        <v>1613</v>
      </c>
      <c r="F1220" s="9" t="s">
        <v>1603</v>
      </c>
      <c r="G1220" s="9" t="s">
        <v>1592</v>
      </c>
      <c r="H1220" s="9" t="s">
        <v>173</v>
      </c>
      <c r="I1220" s="9" t="s">
        <v>2723</v>
      </c>
      <c r="J1220" s="9" t="s">
        <v>1608</v>
      </c>
      <c r="K1220" s="9">
        <v>1</v>
      </c>
      <c r="L1220" s="9">
        <v>22</v>
      </c>
      <c r="M1220" s="9">
        <v>2003</v>
      </c>
      <c r="O1220" s="9" t="str">
        <f t="shared" si="58"/>
        <v>NO</v>
      </c>
      <c r="P1220" s="9" t="str">
        <f t="shared" si="59"/>
        <v>NO</v>
      </c>
      <c r="Q1220" s="9" t="str">
        <f t="shared" si="60"/>
        <v>Conditioned</v>
      </c>
    </row>
    <row r="1221" spans="1:17">
      <c r="A1221" s="9">
        <v>20586</v>
      </c>
      <c r="B1221" s="9">
        <v>1</v>
      </c>
      <c r="C1221" s="9" t="s">
        <v>1589</v>
      </c>
      <c r="D1221" s="9" t="s">
        <v>1590</v>
      </c>
      <c r="E1221" s="9" t="s">
        <v>1602</v>
      </c>
      <c r="F1221" s="9" t="s">
        <v>1590</v>
      </c>
      <c r="G1221" s="9" t="s">
        <v>1592</v>
      </c>
      <c r="H1221" s="9" t="s">
        <v>177</v>
      </c>
      <c r="I1221" s="9" t="s">
        <v>2724</v>
      </c>
      <c r="J1221" s="9" t="s">
        <v>1601</v>
      </c>
      <c r="K1221" s="9">
        <v>1</v>
      </c>
      <c r="L1221" s="9">
        <v>25</v>
      </c>
      <c r="M1221" s="9">
        <v>1995</v>
      </c>
      <c r="O1221" s="9" t="str">
        <f t="shared" si="58"/>
        <v>NO</v>
      </c>
      <c r="P1221" s="9" t="str">
        <f t="shared" si="59"/>
        <v>NO</v>
      </c>
      <c r="Q1221" s="9" t="str">
        <f t="shared" si="60"/>
        <v>Conditioned</v>
      </c>
    </row>
    <row r="1222" spans="1:17">
      <c r="A1222" s="9">
        <v>20586</v>
      </c>
      <c r="B1222" s="9">
        <v>2</v>
      </c>
      <c r="C1222" s="9" t="s">
        <v>1589</v>
      </c>
      <c r="D1222" s="9" t="s">
        <v>1590</v>
      </c>
      <c r="E1222" s="9" t="s">
        <v>1591</v>
      </c>
      <c r="F1222" s="9" t="s">
        <v>1589</v>
      </c>
      <c r="G1222" s="9" t="s">
        <v>1606</v>
      </c>
      <c r="H1222" s="9" t="s">
        <v>1638</v>
      </c>
      <c r="I1222" s="9" t="s">
        <v>2725</v>
      </c>
      <c r="J1222" s="9" t="s">
        <v>1601</v>
      </c>
      <c r="K1222" s="9">
        <v>1</v>
      </c>
      <c r="L1222" s="9">
        <v>22</v>
      </c>
      <c r="M1222" s="9">
        <v>1989</v>
      </c>
      <c r="O1222" s="9" t="str">
        <f t="shared" si="58"/>
        <v>NO</v>
      </c>
      <c r="P1222" s="9" t="str">
        <f t="shared" si="59"/>
        <v>NO</v>
      </c>
      <c r="Q1222" s="9" t="str">
        <f t="shared" si="60"/>
        <v>Unconditioned</v>
      </c>
    </row>
    <row r="1223" spans="1:17">
      <c r="A1223" s="9">
        <v>20586</v>
      </c>
      <c r="B1223" s="9">
        <v>3</v>
      </c>
      <c r="C1223" s="9" t="s">
        <v>1589</v>
      </c>
      <c r="D1223" s="9" t="s">
        <v>1590</v>
      </c>
      <c r="E1223" s="9" t="s">
        <v>1591</v>
      </c>
      <c r="F1223" s="9" t="s">
        <v>1589</v>
      </c>
      <c r="G1223" s="9" t="s">
        <v>1606</v>
      </c>
      <c r="H1223" s="9" t="s">
        <v>173</v>
      </c>
      <c r="I1223" s="9" t="s">
        <v>2726</v>
      </c>
      <c r="J1223" s="9" t="s">
        <v>1605</v>
      </c>
      <c r="K1223" s="9">
        <v>1</v>
      </c>
      <c r="L1223" s="9">
        <v>15</v>
      </c>
      <c r="M1223" s="9">
        <v>2004</v>
      </c>
      <c r="O1223" s="9" t="str">
        <f t="shared" si="58"/>
        <v>NO</v>
      </c>
      <c r="P1223" s="9" t="str">
        <f t="shared" si="59"/>
        <v>YES</v>
      </c>
      <c r="Q1223" s="9" t="str">
        <f t="shared" si="60"/>
        <v>Unconditioned</v>
      </c>
    </row>
    <row r="1224" spans="1:17">
      <c r="A1224" s="9">
        <v>20593</v>
      </c>
      <c r="B1224" s="9">
        <v>1</v>
      </c>
      <c r="C1224" s="9" t="s">
        <v>1589</v>
      </c>
      <c r="D1224" s="9" t="s">
        <v>1603</v>
      </c>
      <c r="E1224" s="9" t="s">
        <v>1602</v>
      </c>
      <c r="F1224" s="9" t="s">
        <v>1603</v>
      </c>
      <c r="G1224" s="9" t="s">
        <v>1592</v>
      </c>
      <c r="H1224" s="9" t="s">
        <v>1638</v>
      </c>
      <c r="I1224" s="9" t="s">
        <v>2727</v>
      </c>
      <c r="J1224" s="9" t="s">
        <v>1601</v>
      </c>
      <c r="K1224" s="9">
        <v>1</v>
      </c>
      <c r="L1224" s="9">
        <v>30</v>
      </c>
      <c r="M1224" s="9">
        <v>2011</v>
      </c>
      <c r="O1224" s="9" t="str">
        <f t="shared" si="58"/>
        <v>NO</v>
      </c>
      <c r="P1224" s="9" t="str">
        <f t="shared" si="59"/>
        <v>NO</v>
      </c>
      <c r="Q1224" s="9" t="str">
        <f t="shared" si="60"/>
        <v>Conditioned</v>
      </c>
    </row>
    <row r="1225" spans="1:17">
      <c r="A1225" s="9">
        <v>20593</v>
      </c>
      <c r="B1225" s="9">
        <v>2</v>
      </c>
      <c r="C1225" s="9" t="s">
        <v>1589</v>
      </c>
      <c r="D1225" s="9" t="s">
        <v>1590</v>
      </c>
      <c r="E1225" s="9" t="s">
        <v>1591</v>
      </c>
      <c r="F1225" s="9" t="s">
        <v>1589</v>
      </c>
      <c r="G1225" s="9" t="s">
        <v>1606</v>
      </c>
      <c r="H1225" s="9" t="s">
        <v>169</v>
      </c>
      <c r="I1225" s="9" t="s">
        <v>2728</v>
      </c>
      <c r="J1225" s="9" t="s">
        <v>1605</v>
      </c>
      <c r="K1225" s="9">
        <v>1</v>
      </c>
      <c r="L1225" s="9">
        <v>36</v>
      </c>
      <c r="M1225" s="9">
        <v>2002</v>
      </c>
      <c r="O1225" s="9" t="str">
        <f t="shared" si="58"/>
        <v>NO</v>
      </c>
      <c r="P1225" s="9" t="str">
        <f t="shared" si="59"/>
        <v>YES</v>
      </c>
      <c r="Q1225" s="9" t="str">
        <f t="shared" si="60"/>
        <v>Unconditioned</v>
      </c>
    </row>
    <row r="1226" spans="1:17">
      <c r="A1226" s="9">
        <v>20595</v>
      </c>
      <c r="B1226" s="9">
        <v>1</v>
      </c>
      <c r="C1226" s="9" t="s">
        <v>1589</v>
      </c>
      <c r="D1226" s="9" t="s">
        <v>1590</v>
      </c>
      <c r="E1226" s="9" t="s">
        <v>1591</v>
      </c>
      <c r="F1226" s="9" t="s">
        <v>1589</v>
      </c>
      <c r="G1226" s="9" t="s">
        <v>1592</v>
      </c>
      <c r="H1226" s="9" t="s">
        <v>1638</v>
      </c>
      <c r="I1226" s="9" t="s">
        <v>1589</v>
      </c>
      <c r="J1226" s="9" t="s">
        <v>1597</v>
      </c>
      <c r="K1226" s="9">
        <v>1</v>
      </c>
      <c r="L1226" s="9">
        <v>18</v>
      </c>
      <c r="M1226" s="9">
        <v>1982</v>
      </c>
      <c r="O1226" s="9" t="str">
        <f t="shared" si="58"/>
        <v>NO</v>
      </c>
      <c r="P1226" s="9" t="str">
        <f t="shared" si="59"/>
        <v>NO</v>
      </c>
      <c r="Q1226" s="9" t="str">
        <f t="shared" si="60"/>
        <v>Conditioned</v>
      </c>
    </row>
    <row r="1227" spans="1:17">
      <c r="A1227" s="9">
        <v>20595</v>
      </c>
      <c r="B1227" s="9">
        <v>2</v>
      </c>
      <c r="C1227" s="9" t="s">
        <v>1589</v>
      </c>
      <c r="D1227" s="9" t="s">
        <v>1590</v>
      </c>
      <c r="E1227" s="9" t="s">
        <v>1591</v>
      </c>
      <c r="F1227" s="9" t="s">
        <v>1589</v>
      </c>
      <c r="G1227" s="9" t="s">
        <v>1592</v>
      </c>
      <c r="H1227" s="9" t="s">
        <v>177</v>
      </c>
      <c r="I1227" s="9" t="s">
        <v>1589</v>
      </c>
      <c r="J1227" s="9" t="s">
        <v>1605</v>
      </c>
      <c r="K1227" s="9">
        <v>1</v>
      </c>
      <c r="L1227" s="9">
        <v>18</v>
      </c>
      <c r="M1227" s="9">
        <v>1990</v>
      </c>
      <c r="O1227" s="9" t="str">
        <f t="shared" si="58"/>
        <v>NO</v>
      </c>
      <c r="P1227" s="9" t="str">
        <f t="shared" si="59"/>
        <v>YES</v>
      </c>
      <c r="Q1227" s="9" t="str">
        <f t="shared" si="60"/>
        <v>Conditioned</v>
      </c>
    </row>
    <row r="1228" spans="1:17">
      <c r="A1228" s="9">
        <v>20601</v>
      </c>
      <c r="B1228" s="9">
        <v>1</v>
      </c>
      <c r="C1228" s="9" t="s">
        <v>1589</v>
      </c>
      <c r="D1228" s="9" t="s">
        <v>1590</v>
      </c>
      <c r="E1228" s="9" t="s">
        <v>1591</v>
      </c>
      <c r="F1228" s="9" t="s">
        <v>1589</v>
      </c>
      <c r="G1228" s="9" t="s">
        <v>1592</v>
      </c>
      <c r="H1228" s="9" t="s">
        <v>1638</v>
      </c>
      <c r="I1228" s="9" t="s">
        <v>2729</v>
      </c>
      <c r="J1228" s="9" t="s">
        <v>1597</v>
      </c>
      <c r="K1228" s="9">
        <v>1</v>
      </c>
      <c r="L1228" s="9">
        <v>21</v>
      </c>
      <c r="M1228" s="9">
        <v>2009</v>
      </c>
      <c r="O1228" s="9" t="str">
        <f t="shared" si="58"/>
        <v>NO</v>
      </c>
      <c r="P1228" s="9" t="str">
        <f t="shared" si="59"/>
        <v>NO</v>
      </c>
      <c r="Q1228" s="9" t="str">
        <f t="shared" si="60"/>
        <v>Conditioned</v>
      </c>
    </row>
    <row r="1229" spans="1:17">
      <c r="A1229" s="9">
        <v>20603</v>
      </c>
      <c r="B1229" s="9">
        <v>1</v>
      </c>
      <c r="C1229" s="9" t="s">
        <v>1589</v>
      </c>
      <c r="D1229" s="9" t="s">
        <v>1590</v>
      </c>
      <c r="E1229" s="9" t="s">
        <v>1591</v>
      </c>
      <c r="F1229" s="9" t="s">
        <v>1589</v>
      </c>
      <c r="G1229" s="9" t="s">
        <v>1592</v>
      </c>
      <c r="H1229" s="9" t="s">
        <v>170</v>
      </c>
      <c r="I1229" s="9" t="s">
        <v>2730</v>
      </c>
      <c r="J1229" s="9" t="s">
        <v>1610</v>
      </c>
      <c r="K1229" s="9">
        <v>1</v>
      </c>
      <c r="L1229" s="9">
        <v>22</v>
      </c>
      <c r="M1229" s="9">
        <v>2010</v>
      </c>
      <c r="O1229" s="9" t="str">
        <f t="shared" si="58"/>
        <v>NO</v>
      </c>
      <c r="P1229" s="9" t="str">
        <f t="shared" si="59"/>
        <v>NO</v>
      </c>
      <c r="Q1229" s="9" t="str">
        <f t="shared" si="60"/>
        <v>Conditioned</v>
      </c>
    </row>
    <row r="1230" spans="1:17">
      <c r="A1230" s="9">
        <v>20606</v>
      </c>
      <c r="B1230" s="9">
        <v>1</v>
      </c>
      <c r="C1230" s="9" t="s">
        <v>1589</v>
      </c>
      <c r="D1230" s="9" t="s">
        <v>1590</v>
      </c>
      <c r="E1230" s="9" t="s">
        <v>1613</v>
      </c>
      <c r="F1230" s="9" t="s">
        <v>1603</v>
      </c>
      <c r="G1230" s="9" t="s">
        <v>1592</v>
      </c>
      <c r="H1230" s="9" t="s">
        <v>174</v>
      </c>
      <c r="I1230" s="9" t="s">
        <v>2731</v>
      </c>
      <c r="J1230" s="9" t="s">
        <v>1597</v>
      </c>
      <c r="K1230" s="9">
        <v>1</v>
      </c>
      <c r="L1230" s="9">
        <v>22</v>
      </c>
      <c r="M1230" s="9">
        <v>1995</v>
      </c>
      <c r="O1230" s="9" t="str">
        <f t="shared" si="58"/>
        <v>NO</v>
      </c>
      <c r="P1230" s="9" t="str">
        <f t="shared" si="59"/>
        <v>NO</v>
      </c>
      <c r="Q1230" s="9" t="str">
        <f t="shared" si="60"/>
        <v>Conditioned</v>
      </c>
    </row>
    <row r="1231" spans="1:17">
      <c r="A1231" s="9">
        <v>20606</v>
      </c>
      <c r="B1231" s="9">
        <v>2</v>
      </c>
      <c r="C1231" s="9" t="s">
        <v>1589</v>
      </c>
      <c r="D1231" s="9" t="s">
        <v>1590</v>
      </c>
      <c r="E1231" s="9" t="s">
        <v>1591</v>
      </c>
      <c r="F1231" s="9" t="s">
        <v>1589</v>
      </c>
      <c r="G1231" s="9" t="s">
        <v>1606</v>
      </c>
      <c r="H1231" s="9" t="s">
        <v>169</v>
      </c>
      <c r="I1231" s="9" t="s">
        <v>1589</v>
      </c>
      <c r="J1231" s="9" t="s">
        <v>1587</v>
      </c>
      <c r="L1231" s="9">
        <v>10</v>
      </c>
      <c r="O1231" s="9" t="str">
        <f t="shared" si="58"/>
        <v>NO</v>
      </c>
      <c r="P1231" s="9" t="str">
        <f t="shared" si="59"/>
        <v>YES</v>
      </c>
      <c r="Q1231" s="9" t="str">
        <f t="shared" si="60"/>
        <v>Unconditioned</v>
      </c>
    </row>
    <row r="1232" spans="1:17">
      <c r="A1232" s="9">
        <v>20612</v>
      </c>
      <c r="B1232" s="9">
        <v>1</v>
      </c>
      <c r="C1232" s="9" t="s">
        <v>1589</v>
      </c>
      <c r="D1232" s="9" t="s">
        <v>1590</v>
      </c>
      <c r="E1232" s="9" t="s">
        <v>1591</v>
      </c>
      <c r="F1232" s="9" t="s">
        <v>1589</v>
      </c>
      <c r="G1232" s="9" t="s">
        <v>1592</v>
      </c>
      <c r="H1232" s="9" t="s">
        <v>177</v>
      </c>
      <c r="I1232" s="9" t="s">
        <v>2732</v>
      </c>
      <c r="J1232" s="9" t="s">
        <v>1597</v>
      </c>
      <c r="K1232" s="9">
        <v>1</v>
      </c>
      <c r="L1232" s="9">
        <v>18</v>
      </c>
      <c r="M1232" s="9">
        <v>1998</v>
      </c>
      <c r="O1232" s="9" t="str">
        <f t="shared" si="58"/>
        <v>NO</v>
      </c>
      <c r="P1232" s="9" t="str">
        <f t="shared" si="59"/>
        <v>NO</v>
      </c>
      <c r="Q1232" s="9" t="str">
        <f t="shared" si="60"/>
        <v>Conditioned</v>
      </c>
    </row>
    <row r="1233" spans="1:17">
      <c r="A1233" s="9">
        <v>20613</v>
      </c>
      <c r="B1233" s="9">
        <v>1</v>
      </c>
      <c r="C1233" s="9" t="s">
        <v>1589</v>
      </c>
      <c r="D1233" s="9" t="s">
        <v>1590</v>
      </c>
      <c r="E1233" s="9" t="s">
        <v>1602</v>
      </c>
      <c r="F1233" s="9" t="s">
        <v>1603</v>
      </c>
      <c r="G1233" s="9" t="s">
        <v>1592</v>
      </c>
      <c r="H1233" s="9" t="s">
        <v>170</v>
      </c>
      <c r="I1233" s="9" t="s">
        <v>2733</v>
      </c>
      <c r="J1233" s="9" t="s">
        <v>1608</v>
      </c>
      <c r="K1233" s="9">
        <v>1</v>
      </c>
      <c r="L1233" s="9">
        <v>26</v>
      </c>
      <c r="M1233" s="9">
        <v>2008</v>
      </c>
      <c r="O1233" s="9" t="str">
        <f t="shared" si="58"/>
        <v>NO</v>
      </c>
      <c r="P1233" s="9" t="str">
        <f t="shared" si="59"/>
        <v>NO</v>
      </c>
      <c r="Q1233" s="9" t="str">
        <f t="shared" si="60"/>
        <v>Conditioned</v>
      </c>
    </row>
    <row r="1234" spans="1:17">
      <c r="A1234" s="9">
        <v>20613</v>
      </c>
      <c r="B1234" s="9">
        <v>2</v>
      </c>
      <c r="C1234" s="9" t="s">
        <v>1589</v>
      </c>
      <c r="D1234" s="9" t="s">
        <v>1590</v>
      </c>
      <c r="E1234" s="9" t="s">
        <v>1591</v>
      </c>
      <c r="F1234" s="9" t="s">
        <v>1589</v>
      </c>
      <c r="G1234" s="9" t="s">
        <v>1606</v>
      </c>
      <c r="H1234" s="9" t="s">
        <v>169</v>
      </c>
      <c r="I1234" s="9" t="s">
        <v>2734</v>
      </c>
      <c r="J1234" s="9" t="s">
        <v>1597</v>
      </c>
      <c r="K1234" s="9">
        <v>1</v>
      </c>
      <c r="L1234" s="9">
        <v>19</v>
      </c>
      <c r="M1234" s="9">
        <v>2007</v>
      </c>
      <c r="O1234" s="9" t="str">
        <f t="shared" si="58"/>
        <v>NO</v>
      </c>
      <c r="P1234" s="9" t="str">
        <f t="shared" si="59"/>
        <v>NO</v>
      </c>
      <c r="Q1234" s="9" t="str">
        <f t="shared" si="60"/>
        <v>Unconditioned</v>
      </c>
    </row>
    <row r="1235" spans="1:17">
      <c r="A1235" s="9">
        <v>20618</v>
      </c>
      <c r="B1235" s="9">
        <v>1</v>
      </c>
      <c r="C1235" s="9" t="s">
        <v>1589</v>
      </c>
      <c r="D1235" s="9" t="s">
        <v>1590</v>
      </c>
      <c r="E1235" s="9" t="s">
        <v>1613</v>
      </c>
      <c r="F1235" s="9" t="s">
        <v>1603</v>
      </c>
      <c r="G1235" s="9" t="s">
        <v>1592</v>
      </c>
      <c r="H1235" s="9" t="s">
        <v>170</v>
      </c>
      <c r="I1235" s="9" t="s">
        <v>2735</v>
      </c>
      <c r="J1235" s="9" t="s">
        <v>1597</v>
      </c>
      <c r="K1235" s="9">
        <v>1</v>
      </c>
      <c r="L1235" s="9">
        <v>21</v>
      </c>
      <c r="M1235" s="9">
        <v>1989</v>
      </c>
      <c r="O1235" s="9" t="str">
        <f t="shared" si="58"/>
        <v>NO</v>
      </c>
      <c r="P1235" s="9" t="str">
        <f t="shared" si="59"/>
        <v>NO</v>
      </c>
      <c r="Q1235" s="9" t="str">
        <f t="shared" si="60"/>
        <v>Conditioned</v>
      </c>
    </row>
    <row r="1236" spans="1:17">
      <c r="A1236" s="9">
        <v>20618</v>
      </c>
      <c r="B1236" s="9">
        <v>2</v>
      </c>
      <c r="C1236" s="9" t="s">
        <v>1589</v>
      </c>
      <c r="D1236" s="9" t="s">
        <v>1590</v>
      </c>
      <c r="E1236" s="9" t="s">
        <v>1591</v>
      </c>
      <c r="F1236" s="9" t="s">
        <v>1589</v>
      </c>
      <c r="G1236" s="9" t="s">
        <v>1606</v>
      </c>
      <c r="H1236" s="9" t="s">
        <v>1805</v>
      </c>
      <c r="I1236" s="9" t="s">
        <v>2736</v>
      </c>
      <c r="J1236" s="9" t="s">
        <v>1597</v>
      </c>
      <c r="K1236" s="9">
        <v>1</v>
      </c>
      <c r="L1236" s="9">
        <v>18</v>
      </c>
      <c r="M1236" s="9">
        <v>1994</v>
      </c>
      <c r="O1236" s="9" t="str">
        <f t="shared" si="58"/>
        <v>NO</v>
      </c>
      <c r="P1236" s="9" t="str">
        <f t="shared" si="59"/>
        <v>NO</v>
      </c>
      <c r="Q1236" s="9" t="str">
        <f t="shared" si="60"/>
        <v>Unconditioned</v>
      </c>
    </row>
    <row r="1237" spans="1:17">
      <c r="A1237" s="9">
        <v>20618</v>
      </c>
      <c r="B1237" s="9">
        <v>3</v>
      </c>
      <c r="C1237" s="9" t="s">
        <v>2737</v>
      </c>
      <c r="D1237" s="9" t="s">
        <v>1590</v>
      </c>
      <c r="E1237" s="9" t="s">
        <v>1591</v>
      </c>
      <c r="F1237" s="9" t="s">
        <v>1589</v>
      </c>
      <c r="G1237" s="9" t="s">
        <v>1592</v>
      </c>
      <c r="H1237" s="9" t="s">
        <v>1624</v>
      </c>
      <c r="I1237" s="9" t="s">
        <v>2738</v>
      </c>
      <c r="J1237" s="9" t="s">
        <v>1612</v>
      </c>
      <c r="K1237" s="9">
        <v>1</v>
      </c>
      <c r="L1237" s="9">
        <v>4</v>
      </c>
      <c r="M1237" s="9">
        <v>2003</v>
      </c>
      <c r="O1237" s="9" t="str">
        <f t="shared" si="58"/>
        <v>YES</v>
      </c>
      <c r="P1237" s="9" t="str">
        <f t="shared" si="59"/>
        <v>NO</v>
      </c>
      <c r="Q1237" s="9" t="str">
        <f t="shared" si="60"/>
        <v>Conditioned</v>
      </c>
    </row>
    <row r="1238" spans="1:17">
      <c r="A1238" s="9">
        <v>20619</v>
      </c>
      <c r="B1238" s="9">
        <v>1</v>
      </c>
      <c r="C1238" s="9" t="s">
        <v>1589</v>
      </c>
      <c r="D1238" s="9" t="s">
        <v>1590</v>
      </c>
      <c r="E1238" s="9" t="s">
        <v>1591</v>
      </c>
      <c r="F1238" s="9" t="s">
        <v>1589</v>
      </c>
      <c r="G1238" s="9" t="s">
        <v>1606</v>
      </c>
      <c r="H1238" s="9" t="s">
        <v>170</v>
      </c>
      <c r="I1238" s="9" t="s">
        <v>2739</v>
      </c>
      <c r="J1238" s="9" t="s">
        <v>1597</v>
      </c>
      <c r="K1238" s="9">
        <v>1</v>
      </c>
      <c r="L1238" s="9">
        <v>22</v>
      </c>
      <c r="M1238" s="9">
        <v>1999</v>
      </c>
      <c r="O1238" s="9" t="str">
        <f t="shared" si="58"/>
        <v>NO</v>
      </c>
      <c r="P1238" s="9" t="str">
        <f t="shared" si="59"/>
        <v>NO</v>
      </c>
      <c r="Q1238" s="9" t="str">
        <f t="shared" si="60"/>
        <v>Unconditioned</v>
      </c>
    </row>
    <row r="1239" spans="1:17">
      <c r="A1239" s="9">
        <v>20619</v>
      </c>
      <c r="B1239" s="9">
        <v>2</v>
      </c>
      <c r="C1239" s="9" t="s">
        <v>1589</v>
      </c>
      <c r="D1239" s="9" t="s">
        <v>1590</v>
      </c>
      <c r="E1239" s="9" t="s">
        <v>1591</v>
      </c>
      <c r="F1239" s="9" t="s">
        <v>1589</v>
      </c>
      <c r="G1239" s="9" t="s">
        <v>1606</v>
      </c>
      <c r="H1239" s="9" t="s">
        <v>1766</v>
      </c>
      <c r="I1239" s="9" t="s">
        <v>2740</v>
      </c>
      <c r="J1239" s="9" t="s">
        <v>1587</v>
      </c>
      <c r="K1239" s="9">
        <v>1</v>
      </c>
      <c r="L1239" s="9">
        <v>14</v>
      </c>
      <c r="M1239" s="9">
        <v>1990</v>
      </c>
      <c r="O1239" s="9" t="str">
        <f t="shared" ref="O1239:O1302" si="61">IF(L1239&lt;7.75,"YES","NO")</f>
        <v>NO</v>
      </c>
      <c r="P1239" s="9" t="str">
        <f t="shared" ref="P1239:P1302" si="62">VLOOKUP(J1239,$Z$21:$AA$27,2,FALSE)</f>
        <v>YES</v>
      </c>
      <c r="Q1239" s="9" t="str">
        <f t="shared" ref="Q1239:Q1302" si="63">G1239</f>
        <v>Unconditioned</v>
      </c>
    </row>
    <row r="1240" spans="1:17">
      <c r="A1240" s="9">
        <v>20619</v>
      </c>
      <c r="B1240" s="9">
        <v>3</v>
      </c>
      <c r="C1240" s="9" t="s">
        <v>1589</v>
      </c>
      <c r="D1240" s="9" t="s">
        <v>1590</v>
      </c>
      <c r="E1240" s="9" t="s">
        <v>1602</v>
      </c>
      <c r="F1240" s="9" t="s">
        <v>1603</v>
      </c>
      <c r="G1240" s="9" t="s">
        <v>1592</v>
      </c>
      <c r="H1240" s="9" t="s">
        <v>170</v>
      </c>
      <c r="I1240" s="9" t="s">
        <v>2741</v>
      </c>
      <c r="J1240" s="9" t="s">
        <v>1601</v>
      </c>
      <c r="K1240" s="9">
        <v>1</v>
      </c>
      <c r="L1240" s="9">
        <v>28</v>
      </c>
      <c r="M1240" s="9">
        <v>2005</v>
      </c>
      <c r="O1240" s="9" t="str">
        <f t="shared" si="61"/>
        <v>NO</v>
      </c>
      <c r="P1240" s="9" t="str">
        <f t="shared" si="62"/>
        <v>NO</v>
      </c>
      <c r="Q1240" s="9" t="str">
        <f t="shared" si="63"/>
        <v>Conditioned</v>
      </c>
    </row>
    <row r="1241" spans="1:17">
      <c r="A1241" s="9">
        <v>20626</v>
      </c>
      <c r="B1241" s="9">
        <v>1</v>
      </c>
      <c r="C1241" s="9" t="s">
        <v>1589</v>
      </c>
      <c r="D1241" s="9" t="s">
        <v>1590</v>
      </c>
      <c r="E1241" s="9" t="s">
        <v>1602</v>
      </c>
      <c r="F1241" s="9" t="s">
        <v>1603</v>
      </c>
      <c r="G1241" s="9" t="s">
        <v>1592</v>
      </c>
      <c r="H1241" s="9" t="s">
        <v>1638</v>
      </c>
      <c r="I1241" s="9" t="s">
        <v>2742</v>
      </c>
      <c r="J1241" s="9" t="s">
        <v>1601</v>
      </c>
      <c r="K1241" s="9">
        <v>1</v>
      </c>
      <c r="L1241" s="9">
        <v>22</v>
      </c>
      <c r="M1241" s="9">
        <v>2004</v>
      </c>
      <c r="O1241" s="9" t="str">
        <f t="shared" si="61"/>
        <v>NO</v>
      </c>
      <c r="P1241" s="9" t="str">
        <f t="shared" si="62"/>
        <v>NO</v>
      </c>
      <c r="Q1241" s="9" t="str">
        <f t="shared" si="63"/>
        <v>Conditioned</v>
      </c>
    </row>
    <row r="1242" spans="1:17">
      <c r="A1242" s="9">
        <v>20626</v>
      </c>
      <c r="B1242" s="9">
        <v>2</v>
      </c>
      <c r="C1242" s="9" t="s">
        <v>1589</v>
      </c>
      <c r="D1242" s="9" t="s">
        <v>1590</v>
      </c>
      <c r="E1242" s="9" t="s">
        <v>1591</v>
      </c>
      <c r="F1242" s="9" t="s">
        <v>1589</v>
      </c>
      <c r="G1242" s="9" t="s">
        <v>1592</v>
      </c>
      <c r="H1242" s="9" t="s">
        <v>1632</v>
      </c>
      <c r="I1242" s="9" t="s">
        <v>2743</v>
      </c>
      <c r="J1242" s="9" t="s">
        <v>1605</v>
      </c>
      <c r="K1242" s="9">
        <v>1</v>
      </c>
      <c r="L1242" s="9">
        <v>12</v>
      </c>
      <c r="M1242" s="9">
        <v>1998</v>
      </c>
      <c r="O1242" s="9" t="str">
        <f t="shared" si="61"/>
        <v>NO</v>
      </c>
      <c r="P1242" s="9" t="str">
        <f t="shared" si="62"/>
        <v>YES</v>
      </c>
      <c r="Q1242" s="9" t="str">
        <f t="shared" si="63"/>
        <v>Conditioned</v>
      </c>
    </row>
    <row r="1243" spans="1:17">
      <c r="A1243" s="9">
        <v>20632</v>
      </c>
      <c r="B1243" s="9">
        <v>1</v>
      </c>
      <c r="C1243" s="9" t="s">
        <v>1589</v>
      </c>
      <c r="D1243" s="9" t="s">
        <v>1590</v>
      </c>
      <c r="E1243" s="9" t="s">
        <v>1589</v>
      </c>
      <c r="F1243" s="9" t="s">
        <v>1589</v>
      </c>
      <c r="G1243" s="9" t="s">
        <v>1592</v>
      </c>
      <c r="H1243" s="9" t="s">
        <v>1463</v>
      </c>
      <c r="I1243" s="9" t="s">
        <v>2744</v>
      </c>
      <c r="J1243" s="9" t="s">
        <v>1612</v>
      </c>
      <c r="K1243" s="9">
        <v>1</v>
      </c>
      <c r="L1243" s="9">
        <v>24</v>
      </c>
      <c r="M1243" s="9">
        <v>2007</v>
      </c>
      <c r="O1243" s="9" t="str">
        <f t="shared" si="61"/>
        <v>NO</v>
      </c>
      <c r="P1243" s="9" t="str">
        <f t="shared" si="62"/>
        <v>NO</v>
      </c>
      <c r="Q1243" s="9" t="str">
        <f t="shared" si="63"/>
        <v>Conditioned</v>
      </c>
    </row>
    <row r="1244" spans="1:17">
      <c r="A1244" s="9">
        <v>20632</v>
      </c>
      <c r="B1244" s="9">
        <v>2</v>
      </c>
      <c r="C1244" s="9" t="s">
        <v>1589</v>
      </c>
      <c r="D1244" s="9" t="s">
        <v>1590</v>
      </c>
      <c r="E1244" s="9" t="s">
        <v>1591</v>
      </c>
      <c r="F1244" s="9" t="s">
        <v>1589</v>
      </c>
      <c r="G1244" s="9" t="s">
        <v>1592</v>
      </c>
      <c r="H1244" s="9" t="s">
        <v>169</v>
      </c>
      <c r="I1244" s="9" t="s">
        <v>2745</v>
      </c>
      <c r="J1244" s="9" t="s">
        <v>1605</v>
      </c>
      <c r="K1244" s="9">
        <v>1</v>
      </c>
      <c r="L1244" s="9">
        <v>20</v>
      </c>
      <c r="M1244" s="9">
        <v>2005</v>
      </c>
      <c r="O1244" s="9" t="str">
        <f t="shared" si="61"/>
        <v>NO</v>
      </c>
      <c r="P1244" s="9" t="str">
        <f t="shared" si="62"/>
        <v>YES</v>
      </c>
      <c r="Q1244" s="9" t="str">
        <f t="shared" si="63"/>
        <v>Conditioned</v>
      </c>
    </row>
    <row r="1245" spans="1:17">
      <c r="A1245" s="9">
        <v>20632</v>
      </c>
      <c r="B1245" s="9">
        <v>3</v>
      </c>
      <c r="C1245" s="9" t="s">
        <v>1589</v>
      </c>
      <c r="D1245" s="9" t="s">
        <v>1590</v>
      </c>
      <c r="E1245" s="9" t="s">
        <v>1613</v>
      </c>
      <c r="F1245" s="9" t="s">
        <v>1603</v>
      </c>
      <c r="G1245" s="9" t="s">
        <v>1592</v>
      </c>
      <c r="H1245" s="9" t="s">
        <v>172</v>
      </c>
      <c r="I1245" s="9" t="s">
        <v>2746</v>
      </c>
      <c r="J1245" s="9" t="s">
        <v>1601</v>
      </c>
      <c r="K1245" s="9">
        <v>1</v>
      </c>
      <c r="L1245" s="9">
        <v>24</v>
      </c>
      <c r="M1245" s="9">
        <v>1992</v>
      </c>
      <c r="O1245" s="9" t="str">
        <f t="shared" si="61"/>
        <v>NO</v>
      </c>
      <c r="P1245" s="9" t="str">
        <f t="shared" si="62"/>
        <v>NO</v>
      </c>
      <c r="Q1245" s="9" t="str">
        <f t="shared" si="63"/>
        <v>Conditioned</v>
      </c>
    </row>
    <row r="1246" spans="1:17">
      <c r="A1246" s="9">
        <v>20635</v>
      </c>
      <c r="B1246" s="9">
        <v>1</v>
      </c>
      <c r="C1246" s="9" t="s">
        <v>1589</v>
      </c>
      <c r="D1246" s="9" t="s">
        <v>1590</v>
      </c>
      <c r="E1246" s="9" t="s">
        <v>1602</v>
      </c>
      <c r="F1246" s="9" t="s">
        <v>1603</v>
      </c>
      <c r="G1246" s="9" t="s">
        <v>1592</v>
      </c>
      <c r="H1246" s="9" t="s">
        <v>173</v>
      </c>
      <c r="I1246" s="9" t="s">
        <v>2747</v>
      </c>
      <c r="J1246" s="9" t="s">
        <v>1601</v>
      </c>
      <c r="K1246" s="9">
        <v>1</v>
      </c>
      <c r="L1246" s="9">
        <v>30</v>
      </c>
      <c r="M1246" s="9">
        <v>2007</v>
      </c>
      <c r="O1246" s="9" t="str">
        <f t="shared" si="61"/>
        <v>NO</v>
      </c>
      <c r="P1246" s="9" t="str">
        <f t="shared" si="62"/>
        <v>NO</v>
      </c>
      <c r="Q1246" s="9" t="str">
        <f t="shared" si="63"/>
        <v>Conditioned</v>
      </c>
    </row>
    <row r="1247" spans="1:17">
      <c r="A1247" s="9">
        <v>20635</v>
      </c>
      <c r="B1247" s="9">
        <v>2</v>
      </c>
      <c r="C1247" s="9" t="s">
        <v>1589</v>
      </c>
      <c r="D1247" s="9" t="s">
        <v>1590</v>
      </c>
      <c r="E1247" s="9" t="s">
        <v>1591</v>
      </c>
      <c r="F1247" s="9" t="s">
        <v>1589</v>
      </c>
      <c r="G1247" s="9" t="s">
        <v>1592</v>
      </c>
      <c r="H1247" s="9" t="s">
        <v>170</v>
      </c>
      <c r="I1247" s="9" t="s">
        <v>2748</v>
      </c>
      <c r="J1247" s="9" t="s">
        <v>1605</v>
      </c>
      <c r="K1247" s="9">
        <v>1</v>
      </c>
      <c r="L1247" s="9">
        <v>21</v>
      </c>
      <c r="M1247" s="9">
        <v>2002</v>
      </c>
      <c r="O1247" s="9" t="str">
        <f t="shared" si="61"/>
        <v>NO</v>
      </c>
      <c r="P1247" s="9" t="str">
        <f t="shared" si="62"/>
        <v>YES</v>
      </c>
      <c r="Q1247" s="9" t="str">
        <f t="shared" si="63"/>
        <v>Conditioned</v>
      </c>
    </row>
    <row r="1248" spans="1:17">
      <c r="A1248" s="9">
        <v>20646</v>
      </c>
      <c r="B1248" s="9">
        <v>1</v>
      </c>
      <c r="C1248" s="9" t="s">
        <v>1589</v>
      </c>
      <c r="D1248" s="9" t="s">
        <v>1590</v>
      </c>
      <c r="E1248" s="9" t="s">
        <v>1602</v>
      </c>
      <c r="F1248" s="9" t="s">
        <v>1603</v>
      </c>
      <c r="G1248" s="9" t="s">
        <v>1592</v>
      </c>
      <c r="H1248" s="9" t="s">
        <v>170</v>
      </c>
      <c r="I1248" s="9" t="s">
        <v>2749</v>
      </c>
      <c r="J1248" s="9" t="s">
        <v>1601</v>
      </c>
      <c r="K1248" s="9">
        <v>1</v>
      </c>
      <c r="L1248" s="9">
        <v>26</v>
      </c>
      <c r="M1248" s="9">
        <v>2001</v>
      </c>
      <c r="O1248" s="9" t="str">
        <f t="shared" si="61"/>
        <v>NO</v>
      </c>
      <c r="P1248" s="9" t="str">
        <f t="shared" si="62"/>
        <v>NO</v>
      </c>
      <c r="Q1248" s="9" t="str">
        <f t="shared" si="63"/>
        <v>Conditioned</v>
      </c>
    </row>
    <row r="1249" spans="1:17">
      <c r="A1249" s="9">
        <v>20650</v>
      </c>
      <c r="B1249" s="9">
        <v>1</v>
      </c>
      <c r="C1249" s="9" t="s">
        <v>1589</v>
      </c>
      <c r="D1249" s="9" t="s">
        <v>1590</v>
      </c>
      <c r="E1249" s="9" t="s">
        <v>1591</v>
      </c>
      <c r="F1249" s="9" t="s">
        <v>1589</v>
      </c>
      <c r="G1249" s="9" t="s">
        <v>1592</v>
      </c>
      <c r="H1249" s="9" t="s">
        <v>170</v>
      </c>
      <c r="I1249" s="9" t="s">
        <v>2750</v>
      </c>
      <c r="J1249" s="9" t="s">
        <v>1597</v>
      </c>
      <c r="K1249" s="9">
        <v>1</v>
      </c>
      <c r="L1249" s="9">
        <v>18</v>
      </c>
      <c r="M1249" s="9">
        <v>2003</v>
      </c>
      <c r="O1249" s="9" t="str">
        <f t="shared" si="61"/>
        <v>NO</v>
      </c>
      <c r="P1249" s="9" t="str">
        <f t="shared" si="62"/>
        <v>NO</v>
      </c>
      <c r="Q1249" s="9" t="str">
        <f t="shared" si="63"/>
        <v>Conditioned</v>
      </c>
    </row>
    <row r="1250" spans="1:17">
      <c r="A1250" s="9">
        <v>20671</v>
      </c>
      <c r="B1250" s="9">
        <v>1</v>
      </c>
      <c r="C1250" s="9" t="s">
        <v>1589</v>
      </c>
      <c r="D1250" s="9" t="s">
        <v>1590</v>
      </c>
      <c r="E1250" s="9" t="s">
        <v>1591</v>
      </c>
      <c r="F1250" s="9" t="s">
        <v>1589</v>
      </c>
      <c r="G1250" s="9" t="s">
        <v>1592</v>
      </c>
      <c r="H1250" s="9" t="s">
        <v>169</v>
      </c>
      <c r="I1250" s="9" t="s">
        <v>2751</v>
      </c>
      <c r="J1250" s="9" t="s">
        <v>1597</v>
      </c>
      <c r="K1250" s="9">
        <v>1</v>
      </c>
      <c r="L1250" s="9">
        <v>22</v>
      </c>
      <c r="M1250" s="9">
        <v>2006</v>
      </c>
      <c r="O1250" s="9" t="str">
        <f t="shared" si="61"/>
        <v>NO</v>
      </c>
      <c r="P1250" s="9" t="str">
        <f t="shared" si="62"/>
        <v>NO</v>
      </c>
      <c r="Q1250" s="9" t="str">
        <f t="shared" si="63"/>
        <v>Conditioned</v>
      </c>
    </row>
    <row r="1251" spans="1:17">
      <c r="A1251" s="9">
        <v>20685</v>
      </c>
      <c r="B1251" s="9">
        <v>1</v>
      </c>
      <c r="C1251" s="9" t="s">
        <v>1589</v>
      </c>
      <c r="D1251" s="9" t="s">
        <v>1603</v>
      </c>
      <c r="E1251" s="9" t="s">
        <v>1602</v>
      </c>
      <c r="F1251" s="9" t="s">
        <v>1603</v>
      </c>
      <c r="G1251" s="9" t="s">
        <v>1592</v>
      </c>
      <c r="H1251" s="9" t="s">
        <v>169</v>
      </c>
      <c r="I1251" s="9" t="s">
        <v>2752</v>
      </c>
      <c r="J1251" s="9" t="s">
        <v>1601</v>
      </c>
      <c r="K1251" s="9">
        <v>1</v>
      </c>
      <c r="L1251" s="9">
        <v>26</v>
      </c>
      <c r="M1251" s="9">
        <v>2007</v>
      </c>
      <c r="O1251" s="9" t="str">
        <f t="shared" si="61"/>
        <v>NO</v>
      </c>
      <c r="P1251" s="9" t="str">
        <f t="shared" si="62"/>
        <v>NO</v>
      </c>
      <c r="Q1251" s="9" t="str">
        <f t="shared" si="63"/>
        <v>Conditioned</v>
      </c>
    </row>
    <row r="1252" spans="1:17">
      <c r="A1252" s="9">
        <v>20685</v>
      </c>
      <c r="B1252" s="9">
        <v>2</v>
      </c>
      <c r="C1252" s="9" t="s">
        <v>1589</v>
      </c>
      <c r="D1252" s="9" t="s">
        <v>1590</v>
      </c>
      <c r="E1252" s="9" t="s">
        <v>1602</v>
      </c>
      <c r="F1252" s="9" t="s">
        <v>1603</v>
      </c>
      <c r="G1252" s="9" t="s">
        <v>1592</v>
      </c>
      <c r="H1252" s="9" t="s">
        <v>1017</v>
      </c>
      <c r="I1252" s="9" t="s">
        <v>2753</v>
      </c>
      <c r="J1252" s="9" t="s">
        <v>1608</v>
      </c>
      <c r="K1252" s="9">
        <v>1</v>
      </c>
      <c r="L1252" s="9">
        <v>26</v>
      </c>
      <c r="M1252" s="9">
        <v>2010</v>
      </c>
      <c r="O1252" s="9" t="str">
        <f t="shared" si="61"/>
        <v>NO</v>
      </c>
      <c r="P1252" s="9" t="str">
        <f t="shared" si="62"/>
        <v>NO</v>
      </c>
      <c r="Q1252" s="9" t="str">
        <f t="shared" si="63"/>
        <v>Conditioned</v>
      </c>
    </row>
    <row r="1253" spans="1:17">
      <c r="A1253" s="9">
        <v>20685</v>
      </c>
      <c r="B1253" s="9">
        <v>3</v>
      </c>
      <c r="C1253" s="9" t="s">
        <v>1589</v>
      </c>
      <c r="D1253" s="9" t="s">
        <v>1590</v>
      </c>
      <c r="E1253" s="9" t="s">
        <v>1591</v>
      </c>
      <c r="F1253" s="9" t="s">
        <v>1589</v>
      </c>
      <c r="G1253" s="9" t="s">
        <v>1606</v>
      </c>
      <c r="H1253" s="9" t="s">
        <v>177</v>
      </c>
      <c r="I1253" s="9" t="s">
        <v>2754</v>
      </c>
      <c r="J1253" s="9" t="s">
        <v>1605</v>
      </c>
      <c r="K1253" s="9">
        <v>1</v>
      </c>
      <c r="L1253" s="9">
        <v>20</v>
      </c>
      <c r="M1253" s="9">
        <v>1991</v>
      </c>
      <c r="O1253" s="9" t="str">
        <f t="shared" si="61"/>
        <v>NO</v>
      </c>
      <c r="P1253" s="9" t="str">
        <f t="shared" si="62"/>
        <v>YES</v>
      </c>
      <c r="Q1253" s="9" t="str">
        <f t="shared" si="63"/>
        <v>Unconditioned</v>
      </c>
    </row>
    <row r="1254" spans="1:17">
      <c r="A1254" s="9">
        <v>20688</v>
      </c>
      <c r="B1254" s="9">
        <v>1</v>
      </c>
      <c r="C1254" s="9" t="s">
        <v>1589</v>
      </c>
      <c r="D1254" s="9" t="s">
        <v>1590</v>
      </c>
      <c r="E1254" s="9" t="s">
        <v>1613</v>
      </c>
      <c r="F1254" s="9" t="s">
        <v>1603</v>
      </c>
      <c r="G1254" s="9" t="s">
        <v>1592</v>
      </c>
      <c r="H1254" s="9" t="s">
        <v>170</v>
      </c>
      <c r="I1254" s="9" t="s">
        <v>2755</v>
      </c>
      <c r="J1254" s="9" t="s">
        <v>1608</v>
      </c>
      <c r="K1254" s="9">
        <v>1</v>
      </c>
      <c r="L1254" s="9">
        <v>21</v>
      </c>
      <c r="M1254" s="9">
        <v>2001</v>
      </c>
      <c r="O1254" s="9" t="str">
        <f t="shared" si="61"/>
        <v>NO</v>
      </c>
      <c r="P1254" s="9" t="str">
        <f t="shared" si="62"/>
        <v>NO</v>
      </c>
      <c r="Q1254" s="9" t="str">
        <f t="shared" si="63"/>
        <v>Conditioned</v>
      </c>
    </row>
    <row r="1255" spans="1:17">
      <c r="A1255" s="9">
        <v>20702</v>
      </c>
      <c r="B1255" s="9">
        <v>1</v>
      </c>
      <c r="C1255" s="9" t="s">
        <v>1589</v>
      </c>
      <c r="D1255" s="9" t="s">
        <v>1590</v>
      </c>
      <c r="E1255" s="9" t="s">
        <v>1591</v>
      </c>
      <c r="F1255" s="9" t="s">
        <v>1589</v>
      </c>
      <c r="G1255" s="9" t="s">
        <v>1592</v>
      </c>
      <c r="H1255" s="9" t="s">
        <v>1678</v>
      </c>
      <c r="I1255" s="9" t="s">
        <v>2756</v>
      </c>
      <c r="J1255" s="9" t="s">
        <v>1597</v>
      </c>
      <c r="K1255" s="9">
        <v>1</v>
      </c>
      <c r="L1255" s="9">
        <v>18</v>
      </c>
      <c r="M1255" s="9">
        <v>1989</v>
      </c>
      <c r="O1255" s="9" t="str">
        <f t="shared" si="61"/>
        <v>NO</v>
      </c>
      <c r="P1255" s="9" t="str">
        <f t="shared" si="62"/>
        <v>NO</v>
      </c>
      <c r="Q1255" s="9" t="str">
        <f t="shared" si="63"/>
        <v>Conditioned</v>
      </c>
    </row>
    <row r="1256" spans="1:17">
      <c r="A1256" s="9">
        <v>20702</v>
      </c>
      <c r="B1256" s="9">
        <v>2</v>
      </c>
      <c r="C1256" s="9" t="s">
        <v>2757</v>
      </c>
      <c r="D1256" s="9" t="s">
        <v>1590</v>
      </c>
      <c r="E1256" s="9" t="s">
        <v>1591</v>
      </c>
      <c r="F1256" s="9" t="s">
        <v>1589</v>
      </c>
      <c r="G1256" s="9" t="s">
        <v>1592</v>
      </c>
      <c r="H1256" s="9" t="s">
        <v>1900</v>
      </c>
      <c r="I1256" s="9" t="s">
        <v>1589</v>
      </c>
      <c r="J1256" s="9" t="s">
        <v>1587</v>
      </c>
      <c r="K1256" s="9">
        <v>1</v>
      </c>
      <c r="L1256" s="9">
        <v>14</v>
      </c>
      <c r="O1256" s="9" t="str">
        <f t="shared" si="61"/>
        <v>NO</v>
      </c>
      <c r="P1256" s="9" t="str">
        <f t="shared" si="62"/>
        <v>YES</v>
      </c>
      <c r="Q1256" s="9" t="str">
        <f t="shared" si="63"/>
        <v>Conditioned</v>
      </c>
    </row>
    <row r="1257" spans="1:17">
      <c r="A1257" s="9">
        <v>20707</v>
      </c>
      <c r="B1257" s="9">
        <v>1</v>
      </c>
      <c r="C1257" s="9" t="s">
        <v>1589</v>
      </c>
      <c r="D1257" s="9" t="s">
        <v>1590</v>
      </c>
      <c r="E1257" s="9" t="s">
        <v>1602</v>
      </c>
      <c r="F1257" s="9" t="s">
        <v>1590</v>
      </c>
      <c r="G1257" s="9" t="s">
        <v>1592</v>
      </c>
      <c r="H1257" s="9" t="s">
        <v>170</v>
      </c>
      <c r="I1257" s="9" t="s">
        <v>1589</v>
      </c>
      <c r="J1257" s="9" t="s">
        <v>1601</v>
      </c>
      <c r="K1257" s="9">
        <v>1</v>
      </c>
      <c r="L1257" s="9">
        <v>26</v>
      </c>
      <c r="M1257" s="9">
        <v>1990</v>
      </c>
      <c r="O1257" s="9" t="str">
        <f t="shared" si="61"/>
        <v>NO</v>
      </c>
      <c r="P1257" s="9" t="str">
        <f t="shared" si="62"/>
        <v>NO</v>
      </c>
      <c r="Q1257" s="9" t="str">
        <f t="shared" si="63"/>
        <v>Conditioned</v>
      </c>
    </row>
    <row r="1258" spans="1:17">
      <c r="A1258" s="9">
        <v>20707</v>
      </c>
      <c r="B1258" s="9">
        <v>2</v>
      </c>
      <c r="C1258" s="9" t="s">
        <v>1589</v>
      </c>
      <c r="D1258" s="9" t="s">
        <v>1603</v>
      </c>
      <c r="E1258" s="9" t="s">
        <v>1591</v>
      </c>
      <c r="F1258" s="9" t="s">
        <v>1589</v>
      </c>
      <c r="G1258" s="9" t="s">
        <v>1592</v>
      </c>
      <c r="H1258" s="9" t="s">
        <v>169</v>
      </c>
      <c r="I1258" s="9" t="s">
        <v>1589</v>
      </c>
      <c r="J1258" s="9" t="s">
        <v>1587</v>
      </c>
      <c r="K1258" s="9">
        <v>0.75</v>
      </c>
      <c r="L1258" s="9">
        <v>25</v>
      </c>
      <c r="M1258" s="9">
        <v>2010</v>
      </c>
      <c r="O1258" s="9" t="str">
        <f t="shared" si="61"/>
        <v>NO</v>
      </c>
      <c r="P1258" s="9" t="str">
        <f t="shared" si="62"/>
        <v>YES</v>
      </c>
      <c r="Q1258" s="9" t="str">
        <f t="shared" si="63"/>
        <v>Conditioned</v>
      </c>
    </row>
    <row r="1259" spans="1:17">
      <c r="A1259" s="9">
        <v>20712</v>
      </c>
      <c r="B1259" s="9">
        <v>1</v>
      </c>
      <c r="C1259" s="9" t="s">
        <v>1589</v>
      </c>
      <c r="D1259" s="9" t="s">
        <v>1590</v>
      </c>
      <c r="E1259" s="9" t="s">
        <v>1591</v>
      </c>
      <c r="F1259" s="9" t="s">
        <v>1589</v>
      </c>
      <c r="G1259" s="9" t="s">
        <v>1592</v>
      </c>
      <c r="H1259" s="9" t="s">
        <v>173</v>
      </c>
      <c r="I1259" s="9" t="s">
        <v>2758</v>
      </c>
      <c r="J1259" s="9" t="s">
        <v>1608</v>
      </c>
      <c r="K1259" s="9">
        <v>1</v>
      </c>
      <c r="L1259" s="9">
        <v>29</v>
      </c>
      <c r="M1259" s="9">
        <v>1996</v>
      </c>
      <c r="O1259" s="9" t="str">
        <f t="shared" si="61"/>
        <v>NO</v>
      </c>
      <c r="P1259" s="9" t="str">
        <f t="shared" si="62"/>
        <v>NO</v>
      </c>
      <c r="Q1259" s="9" t="str">
        <f t="shared" si="63"/>
        <v>Conditioned</v>
      </c>
    </row>
    <row r="1260" spans="1:17">
      <c r="A1260" s="9">
        <v>20712</v>
      </c>
      <c r="B1260" s="9">
        <v>2</v>
      </c>
      <c r="C1260" s="9" t="s">
        <v>1589</v>
      </c>
      <c r="D1260" s="9" t="s">
        <v>1590</v>
      </c>
      <c r="E1260" s="9" t="s">
        <v>1591</v>
      </c>
      <c r="F1260" s="9" t="s">
        <v>1589</v>
      </c>
      <c r="G1260" s="9" t="s">
        <v>1606</v>
      </c>
      <c r="H1260" s="9" t="s">
        <v>170</v>
      </c>
      <c r="I1260" s="9" t="s">
        <v>2759</v>
      </c>
      <c r="J1260" s="9" t="s">
        <v>1605</v>
      </c>
      <c r="K1260" s="9">
        <v>1</v>
      </c>
      <c r="L1260" s="9">
        <v>14</v>
      </c>
      <c r="M1260" s="9">
        <v>1991</v>
      </c>
      <c r="O1260" s="9" t="str">
        <f t="shared" si="61"/>
        <v>NO</v>
      </c>
      <c r="P1260" s="9" t="str">
        <f t="shared" si="62"/>
        <v>YES</v>
      </c>
      <c r="Q1260" s="9" t="str">
        <f t="shared" si="63"/>
        <v>Unconditioned</v>
      </c>
    </row>
    <row r="1261" spans="1:17">
      <c r="A1261" s="9">
        <v>20712</v>
      </c>
      <c r="B1261" s="9">
        <v>3</v>
      </c>
      <c r="C1261" s="9" t="s">
        <v>1589</v>
      </c>
      <c r="D1261" s="9" t="s">
        <v>1590</v>
      </c>
      <c r="E1261" s="9" t="s">
        <v>1591</v>
      </c>
      <c r="F1261" s="9" t="s">
        <v>1589</v>
      </c>
      <c r="G1261" s="9" t="s">
        <v>1606</v>
      </c>
      <c r="H1261" s="9" t="s">
        <v>170</v>
      </c>
      <c r="I1261" s="9" t="s">
        <v>1589</v>
      </c>
      <c r="J1261" s="9" t="s">
        <v>1605</v>
      </c>
      <c r="K1261" s="9">
        <v>1</v>
      </c>
      <c r="L1261" s="9">
        <v>24</v>
      </c>
      <c r="M1261" s="9">
        <v>1991</v>
      </c>
      <c r="O1261" s="9" t="str">
        <f t="shared" si="61"/>
        <v>NO</v>
      </c>
      <c r="P1261" s="9" t="str">
        <f t="shared" si="62"/>
        <v>YES</v>
      </c>
      <c r="Q1261" s="9" t="str">
        <f t="shared" si="63"/>
        <v>Unconditioned</v>
      </c>
    </row>
    <row r="1262" spans="1:17">
      <c r="A1262" s="9">
        <v>20716</v>
      </c>
      <c r="B1262" s="9">
        <v>1</v>
      </c>
      <c r="C1262" s="9" t="s">
        <v>1589</v>
      </c>
      <c r="D1262" s="9" t="s">
        <v>1590</v>
      </c>
      <c r="E1262" s="9" t="s">
        <v>1613</v>
      </c>
      <c r="F1262" s="9" t="s">
        <v>1603</v>
      </c>
      <c r="G1262" s="9" t="s">
        <v>1592</v>
      </c>
      <c r="H1262" s="9" t="s">
        <v>177</v>
      </c>
      <c r="I1262" s="9" t="s">
        <v>2760</v>
      </c>
      <c r="J1262" s="9" t="s">
        <v>1601</v>
      </c>
      <c r="K1262" s="9">
        <v>1</v>
      </c>
      <c r="L1262" s="9">
        <v>23</v>
      </c>
      <c r="M1262" s="9">
        <v>1981</v>
      </c>
      <c r="O1262" s="9" t="str">
        <f t="shared" si="61"/>
        <v>NO</v>
      </c>
      <c r="P1262" s="9" t="str">
        <f t="shared" si="62"/>
        <v>NO</v>
      </c>
      <c r="Q1262" s="9" t="str">
        <f t="shared" si="63"/>
        <v>Conditioned</v>
      </c>
    </row>
    <row r="1263" spans="1:17">
      <c r="A1263" s="9">
        <v>20716</v>
      </c>
      <c r="B1263" s="9">
        <v>2</v>
      </c>
      <c r="C1263" s="9" t="s">
        <v>1589</v>
      </c>
      <c r="D1263" s="9" t="s">
        <v>1590</v>
      </c>
      <c r="E1263" s="9" t="s">
        <v>1591</v>
      </c>
      <c r="F1263" s="9" t="s">
        <v>1589</v>
      </c>
      <c r="G1263" s="9" t="s">
        <v>1606</v>
      </c>
      <c r="H1263" s="9" t="s">
        <v>1552</v>
      </c>
      <c r="I1263" s="9" t="s">
        <v>2761</v>
      </c>
      <c r="J1263" s="9" t="s">
        <v>1587</v>
      </c>
      <c r="K1263" s="9">
        <v>1</v>
      </c>
      <c r="L1263" s="9">
        <v>18</v>
      </c>
      <c r="M1263" s="9">
        <v>1970</v>
      </c>
      <c r="O1263" s="9" t="str">
        <f t="shared" si="61"/>
        <v>NO</v>
      </c>
      <c r="P1263" s="9" t="str">
        <f t="shared" si="62"/>
        <v>YES</v>
      </c>
      <c r="Q1263" s="9" t="str">
        <f t="shared" si="63"/>
        <v>Unconditioned</v>
      </c>
    </row>
    <row r="1264" spans="1:17">
      <c r="A1264" s="9">
        <v>20746</v>
      </c>
      <c r="B1264" s="9">
        <v>1</v>
      </c>
      <c r="C1264" s="9" t="s">
        <v>1589</v>
      </c>
      <c r="D1264" s="9" t="s">
        <v>1590</v>
      </c>
      <c r="E1264" s="9" t="s">
        <v>1613</v>
      </c>
      <c r="F1264" s="9" t="s">
        <v>1603</v>
      </c>
      <c r="G1264" s="9" t="s">
        <v>1592</v>
      </c>
      <c r="H1264" s="9" t="s">
        <v>170</v>
      </c>
      <c r="I1264" s="9" t="s">
        <v>2762</v>
      </c>
      <c r="J1264" s="9" t="s">
        <v>1608</v>
      </c>
      <c r="K1264" s="9">
        <v>1</v>
      </c>
      <c r="L1264" s="9">
        <v>21</v>
      </c>
      <c r="M1264" s="9">
        <v>2010</v>
      </c>
      <c r="O1264" s="9" t="str">
        <f t="shared" si="61"/>
        <v>NO</v>
      </c>
      <c r="P1264" s="9" t="str">
        <f t="shared" si="62"/>
        <v>NO</v>
      </c>
      <c r="Q1264" s="9" t="str">
        <f t="shared" si="63"/>
        <v>Conditioned</v>
      </c>
    </row>
    <row r="1265" spans="1:17">
      <c r="A1265" s="9">
        <v>20748</v>
      </c>
      <c r="B1265" s="9">
        <v>1</v>
      </c>
      <c r="C1265" s="9" t="s">
        <v>1589</v>
      </c>
      <c r="D1265" s="9" t="s">
        <v>1590</v>
      </c>
      <c r="E1265" s="9" t="s">
        <v>1591</v>
      </c>
      <c r="F1265" s="9" t="s">
        <v>1589</v>
      </c>
      <c r="G1265" s="9" t="s">
        <v>1592</v>
      </c>
      <c r="H1265" s="9" t="s">
        <v>173</v>
      </c>
      <c r="I1265" s="9" t="s">
        <v>2763</v>
      </c>
      <c r="J1265" s="9" t="s">
        <v>1610</v>
      </c>
      <c r="K1265" s="9">
        <v>1</v>
      </c>
      <c r="L1265" s="9">
        <v>25</v>
      </c>
      <c r="M1265" s="9">
        <v>2006</v>
      </c>
      <c r="O1265" s="9" t="str">
        <f t="shared" si="61"/>
        <v>NO</v>
      </c>
      <c r="P1265" s="9" t="str">
        <f t="shared" si="62"/>
        <v>NO</v>
      </c>
      <c r="Q1265" s="9" t="str">
        <f t="shared" si="63"/>
        <v>Conditioned</v>
      </c>
    </row>
    <row r="1266" spans="1:17">
      <c r="A1266" s="9">
        <v>20753</v>
      </c>
      <c r="B1266" s="9">
        <v>1</v>
      </c>
      <c r="C1266" s="9" t="s">
        <v>1589</v>
      </c>
      <c r="D1266" s="9" t="s">
        <v>1590</v>
      </c>
      <c r="E1266" s="9" t="s">
        <v>1602</v>
      </c>
      <c r="F1266" s="9" t="s">
        <v>1603</v>
      </c>
      <c r="G1266" s="9" t="s">
        <v>1592</v>
      </c>
      <c r="H1266" s="9" t="s">
        <v>169</v>
      </c>
      <c r="I1266" s="9" t="s">
        <v>2764</v>
      </c>
      <c r="J1266" s="9" t="s">
        <v>1601</v>
      </c>
      <c r="K1266" s="9">
        <v>1</v>
      </c>
      <c r="L1266" s="9">
        <v>25</v>
      </c>
      <c r="M1266" s="9">
        <v>2006</v>
      </c>
      <c r="O1266" s="9" t="str">
        <f t="shared" si="61"/>
        <v>NO</v>
      </c>
      <c r="P1266" s="9" t="str">
        <f t="shared" si="62"/>
        <v>NO</v>
      </c>
      <c r="Q1266" s="9" t="str">
        <f t="shared" si="63"/>
        <v>Conditioned</v>
      </c>
    </row>
    <row r="1267" spans="1:17">
      <c r="A1267" s="9">
        <v>20758</v>
      </c>
      <c r="B1267" s="9">
        <v>1</v>
      </c>
      <c r="C1267" s="9" t="s">
        <v>1589</v>
      </c>
      <c r="D1267" s="9" t="s">
        <v>1590</v>
      </c>
      <c r="E1267" s="9" t="s">
        <v>1602</v>
      </c>
      <c r="F1267" s="9" t="s">
        <v>1603</v>
      </c>
      <c r="G1267" s="9" t="s">
        <v>1592</v>
      </c>
      <c r="H1267" s="9" t="s">
        <v>170</v>
      </c>
      <c r="I1267" s="9" t="s">
        <v>2765</v>
      </c>
      <c r="J1267" s="9" t="s">
        <v>1601</v>
      </c>
      <c r="K1267" s="9">
        <v>1</v>
      </c>
      <c r="L1267" s="9">
        <v>23</v>
      </c>
      <c r="O1267" s="9" t="str">
        <f t="shared" si="61"/>
        <v>NO</v>
      </c>
      <c r="P1267" s="9" t="str">
        <f t="shared" si="62"/>
        <v>NO</v>
      </c>
      <c r="Q1267" s="9" t="str">
        <f t="shared" si="63"/>
        <v>Conditioned</v>
      </c>
    </row>
    <row r="1268" spans="1:17">
      <c r="A1268" s="9">
        <v>20770</v>
      </c>
      <c r="B1268" s="9">
        <v>1</v>
      </c>
      <c r="C1268" s="9" t="s">
        <v>1589</v>
      </c>
      <c r="D1268" s="9" t="s">
        <v>1590</v>
      </c>
      <c r="E1268" s="9" t="s">
        <v>1602</v>
      </c>
      <c r="F1268" s="9" t="s">
        <v>1603</v>
      </c>
      <c r="G1268" s="9" t="s">
        <v>1592</v>
      </c>
      <c r="H1268" s="9" t="s">
        <v>170</v>
      </c>
      <c r="I1268" s="9" t="s">
        <v>2766</v>
      </c>
      <c r="J1268" s="9" t="s">
        <v>1601</v>
      </c>
      <c r="K1268" s="9">
        <v>0.25</v>
      </c>
      <c r="L1268" s="9">
        <v>24</v>
      </c>
      <c r="M1268" s="9">
        <v>2005</v>
      </c>
      <c r="O1268" s="9" t="str">
        <f t="shared" si="61"/>
        <v>NO</v>
      </c>
      <c r="P1268" s="9" t="str">
        <f t="shared" si="62"/>
        <v>NO</v>
      </c>
      <c r="Q1268" s="9" t="str">
        <f t="shared" si="63"/>
        <v>Conditioned</v>
      </c>
    </row>
    <row r="1269" spans="1:17">
      <c r="A1269" s="9">
        <v>20775</v>
      </c>
      <c r="B1269" s="9">
        <v>1</v>
      </c>
      <c r="C1269" s="9" t="s">
        <v>1589</v>
      </c>
      <c r="D1269" s="9" t="s">
        <v>1590</v>
      </c>
      <c r="E1269" s="9" t="s">
        <v>1591</v>
      </c>
      <c r="F1269" s="9" t="s">
        <v>1589</v>
      </c>
      <c r="G1269" s="9" t="s">
        <v>1592</v>
      </c>
      <c r="H1269" s="9" t="s">
        <v>174</v>
      </c>
      <c r="I1269" s="9" t="s">
        <v>2767</v>
      </c>
      <c r="J1269" s="9" t="s">
        <v>1608</v>
      </c>
      <c r="K1269" s="9">
        <v>1</v>
      </c>
      <c r="L1269" s="9">
        <v>21</v>
      </c>
      <c r="M1269" s="9">
        <v>2009</v>
      </c>
      <c r="O1269" s="9" t="str">
        <f t="shared" si="61"/>
        <v>NO</v>
      </c>
      <c r="P1269" s="9" t="str">
        <f t="shared" si="62"/>
        <v>NO</v>
      </c>
      <c r="Q1269" s="9" t="str">
        <f t="shared" si="63"/>
        <v>Conditioned</v>
      </c>
    </row>
    <row r="1270" spans="1:17">
      <c r="A1270" s="9">
        <v>20775</v>
      </c>
      <c r="B1270" s="9">
        <v>2</v>
      </c>
      <c r="C1270" s="9" t="s">
        <v>1589</v>
      </c>
      <c r="D1270" s="9" t="s">
        <v>1590</v>
      </c>
      <c r="E1270" s="9" t="s">
        <v>1591</v>
      </c>
      <c r="F1270" s="9" t="s">
        <v>1589</v>
      </c>
      <c r="G1270" s="9" t="s">
        <v>1592</v>
      </c>
      <c r="H1270" s="9" t="s">
        <v>170</v>
      </c>
      <c r="I1270" s="9" t="s">
        <v>2768</v>
      </c>
      <c r="J1270" s="9" t="s">
        <v>1587</v>
      </c>
      <c r="K1270" s="9">
        <v>1</v>
      </c>
      <c r="L1270" s="9">
        <v>23</v>
      </c>
      <c r="M1270" s="9">
        <v>1988</v>
      </c>
      <c r="O1270" s="9" t="str">
        <f t="shared" si="61"/>
        <v>NO</v>
      </c>
      <c r="P1270" s="9" t="str">
        <f t="shared" si="62"/>
        <v>YES</v>
      </c>
      <c r="Q1270" s="9" t="str">
        <f t="shared" si="63"/>
        <v>Conditioned</v>
      </c>
    </row>
    <row r="1271" spans="1:17">
      <c r="A1271" s="9">
        <v>20777</v>
      </c>
      <c r="B1271" s="9">
        <v>1</v>
      </c>
      <c r="C1271" s="9" t="s">
        <v>1589</v>
      </c>
      <c r="D1271" s="9" t="s">
        <v>1590</v>
      </c>
      <c r="E1271" s="9" t="s">
        <v>1602</v>
      </c>
      <c r="F1271" s="9" t="s">
        <v>1603</v>
      </c>
      <c r="G1271" s="9" t="s">
        <v>1592</v>
      </c>
      <c r="H1271" s="9" t="s">
        <v>1599</v>
      </c>
      <c r="I1271" s="9" t="s">
        <v>2769</v>
      </c>
      <c r="J1271" s="9" t="s">
        <v>1601</v>
      </c>
      <c r="K1271" s="9">
        <v>1</v>
      </c>
      <c r="L1271" s="9">
        <v>22</v>
      </c>
      <c r="M1271" s="9">
        <v>1994</v>
      </c>
      <c r="O1271" s="9" t="str">
        <f t="shared" si="61"/>
        <v>NO</v>
      </c>
      <c r="P1271" s="9" t="str">
        <f t="shared" si="62"/>
        <v>NO</v>
      </c>
      <c r="Q1271" s="9" t="str">
        <f t="shared" si="63"/>
        <v>Conditioned</v>
      </c>
    </row>
    <row r="1272" spans="1:17">
      <c r="A1272" s="9">
        <v>20777</v>
      </c>
      <c r="B1272" s="9">
        <v>2</v>
      </c>
      <c r="C1272" s="9" t="s">
        <v>1589</v>
      </c>
      <c r="D1272" s="9" t="s">
        <v>1590</v>
      </c>
      <c r="E1272" s="9" t="s">
        <v>1591</v>
      </c>
      <c r="F1272" s="9" t="s">
        <v>1589</v>
      </c>
      <c r="G1272" s="9" t="s">
        <v>1592</v>
      </c>
      <c r="H1272" s="9" t="s">
        <v>1638</v>
      </c>
      <c r="I1272" s="9" t="s">
        <v>1589</v>
      </c>
      <c r="J1272" s="9" t="s">
        <v>1605</v>
      </c>
      <c r="K1272" s="9">
        <v>1</v>
      </c>
      <c r="L1272" s="9">
        <v>25</v>
      </c>
      <c r="M1272" s="9">
        <v>1968</v>
      </c>
      <c r="O1272" s="9" t="str">
        <f t="shared" si="61"/>
        <v>NO</v>
      </c>
      <c r="P1272" s="9" t="str">
        <f t="shared" si="62"/>
        <v>YES</v>
      </c>
      <c r="Q1272" s="9" t="str">
        <f t="shared" si="63"/>
        <v>Conditioned</v>
      </c>
    </row>
    <row r="1273" spans="1:17">
      <c r="A1273" s="9">
        <v>20777</v>
      </c>
      <c r="B1273" s="9">
        <v>3</v>
      </c>
      <c r="C1273" s="9" t="s">
        <v>1589</v>
      </c>
      <c r="D1273" s="9" t="s">
        <v>1590</v>
      </c>
      <c r="E1273" s="9" t="s">
        <v>1591</v>
      </c>
      <c r="F1273" s="9" t="s">
        <v>1589</v>
      </c>
      <c r="G1273" s="9" t="s">
        <v>1592</v>
      </c>
      <c r="H1273" s="9" t="s">
        <v>1552</v>
      </c>
      <c r="I1273" s="9" t="s">
        <v>2770</v>
      </c>
      <c r="J1273" s="9" t="s">
        <v>1605</v>
      </c>
      <c r="K1273" s="9">
        <v>1</v>
      </c>
      <c r="L1273" s="9">
        <v>25</v>
      </c>
      <c r="M1273" s="9">
        <v>1998</v>
      </c>
      <c r="O1273" s="9" t="str">
        <f t="shared" si="61"/>
        <v>NO</v>
      </c>
      <c r="P1273" s="9" t="str">
        <f t="shared" si="62"/>
        <v>YES</v>
      </c>
      <c r="Q1273" s="9" t="str">
        <f t="shared" si="63"/>
        <v>Conditioned</v>
      </c>
    </row>
    <row r="1274" spans="1:17">
      <c r="A1274" s="9">
        <v>20778</v>
      </c>
      <c r="B1274" s="9">
        <v>1</v>
      </c>
      <c r="C1274" s="9" t="s">
        <v>1589</v>
      </c>
      <c r="D1274" s="9" t="s">
        <v>1590</v>
      </c>
      <c r="E1274" s="9" t="s">
        <v>1591</v>
      </c>
      <c r="F1274" s="9" t="s">
        <v>1589</v>
      </c>
      <c r="G1274" s="9" t="s">
        <v>1592</v>
      </c>
      <c r="H1274" s="9" t="s">
        <v>1589</v>
      </c>
      <c r="I1274" s="9" t="s">
        <v>2771</v>
      </c>
      <c r="J1274" s="9" t="s">
        <v>1597</v>
      </c>
      <c r="K1274" s="9">
        <v>1</v>
      </c>
      <c r="L1274" s="9">
        <v>18</v>
      </c>
      <c r="M1274" s="9">
        <v>1994</v>
      </c>
      <c r="O1274" s="9" t="str">
        <f t="shared" si="61"/>
        <v>NO</v>
      </c>
      <c r="P1274" s="9" t="str">
        <f t="shared" si="62"/>
        <v>NO</v>
      </c>
      <c r="Q1274" s="9" t="str">
        <f t="shared" si="63"/>
        <v>Conditioned</v>
      </c>
    </row>
    <row r="1275" spans="1:17">
      <c r="A1275" s="9">
        <v>20778</v>
      </c>
      <c r="B1275" s="9">
        <v>2</v>
      </c>
      <c r="C1275" s="9" t="s">
        <v>1589</v>
      </c>
      <c r="D1275" s="9" t="s">
        <v>1590</v>
      </c>
      <c r="E1275" s="9" t="s">
        <v>1591</v>
      </c>
      <c r="F1275" s="9" t="s">
        <v>1589</v>
      </c>
      <c r="G1275" s="9" t="s">
        <v>1606</v>
      </c>
      <c r="H1275" s="9" t="s">
        <v>2235</v>
      </c>
      <c r="I1275" s="9" t="s">
        <v>2772</v>
      </c>
      <c r="J1275" s="9" t="s">
        <v>1587</v>
      </c>
      <c r="K1275" s="9">
        <v>1</v>
      </c>
      <c r="L1275" s="9">
        <v>19</v>
      </c>
      <c r="M1275" s="9">
        <v>1996</v>
      </c>
      <c r="O1275" s="9" t="str">
        <f t="shared" si="61"/>
        <v>NO</v>
      </c>
      <c r="P1275" s="9" t="str">
        <f t="shared" si="62"/>
        <v>YES</v>
      </c>
      <c r="Q1275" s="9" t="str">
        <f t="shared" si="63"/>
        <v>Unconditioned</v>
      </c>
    </row>
    <row r="1276" spans="1:17">
      <c r="A1276" s="9">
        <v>20778</v>
      </c>
      <c r="B1276" s="9">
        <v>3</v>
      </c>
      <c r="C1276" s="9" t="s">
        <v>1589</v>
      </c>
      <c r="D1276" s="9" t="s">
        <v>1603</v>
      </c>
      <c r="E1276" s="9" t="s">
        <v>1591</v>
      </c>
      <c r="F1276" s="9" t="s">
        <v>1589</v>
      </c>
      <c r="G1276" s="9" t="s">
        <v>1592</v>
      </c>
      <c r="H1276" s="9" t="s">
        <v>169</v>
      </c>
      <c r="I1276" s="9" t="s">
        <v>2773</v>
      </c>
      <c r="J1276" s="9" t="s">
        <v>1597</v>
      </c>
      <c r="K1276" s="9">
        <v>1</v>
      </c>
      <c r="L1276" s="9">
        <v>18</v>
      </c>
      <c r="M1276" s="9">
        <v>2009</v>
      </c>
      <c r="O1276" s="9" t="str">
        <f t="shared" si="61"/>
        <v>NO</v>
      </c>
      <c r="P1276" s="9" t="str">
        <f t="shared" si="62"/>
        <v>NO</v>
      </c>
      <c r="Q1276" s="9" t="str">
        <f t="shared" si="63"/>
        <v>Conditioned</v>
      </c>
    </row>
    <row r="1277" spans="1:17">
      <c r="A1277" s="9">
        <v>20779</v>
      </c>
      <c r="B1277" s="9">
        <v>1</v>
      </c>
      <c r="C1277" s="9" t="s">
        <v>1589</v>
      </c>
      <c r="D1277" s="9" t="s">
        <v>1590</v>
      </c>
      <c r="E1277" s="9" t="s">
        <v>1613</v>
      </c>
      <c r="F1277" s="9" t="s">
        <v>1603</v>
      </c>
      <c r="G1277" s="9" t="s">
        <v>1592</v>
      </c>
      <c r="H1277" s="9" t="s">
        <v>170</v>
      </c>
      <c r="I1277" s="9" t="s">
        <v>2774</v>
      </c>
      <c r="J1277" s="9" t="s">
        <v>1597</v>
      </c>
      <c r="K1277" s="9">
        <v>1</v>
      </c>
      <c r="L1277" s="9">
        <v>19</v>
      </c>
      <c r="M1277" s="9">
        <v>2001</v>
      </c>
      <c r="O1277" s="9" t="str">
        <f t="shared" si="61"/>
        <v>NO</v>
      </c>
      <c r="P1277" s="9" t="str">
        <f t="shared" si="62"/>
        <v>NO</v>
      </c>
      <c r="Q1277" s="9" t="str">
        <f t="shared" si="63"/>
        <v>Conditioned</v>
      </c>
    </row>
    <row r="1278" spans="1:17">
      <c r="A1278" s="9">
        <v>20783</v>
      </c>
      <c r="B1278" s="9">
        <v>1</v>
      </c>
      <c r="C1278" s="9" t="s">
        <v>1589</v>
      </c>
      <c r="D1278" s="9" t="s">
        <v>1590</v>
      </c>
      <c r="E1278" s="9" t="s">
        <v>1591</v>
      </c>
      <c r="F1278" s="9" t="s">
        <v>1589</v>
      </c>
      <c r="G1278" s="9" t="s">
        <v>1592</v>
      </c>
      <c r="H1278" s="9" t="s">
        <v>177</v>
      </c>
      <c r="I1278" s="9" t="s">
        <v>2775</v>
      </c>
      <c r="J1278" s="9" t="s">
        <v>1601</v>
      </c>
      <c r="K1278" s="9">
        <v>1</v>
      </c>
      <c r="L1278" s="9">
        <v>19</v>
      </c>
      <c r="M1278" s="9">
        <v>1995</v>
      </c>
      <c r="O1278" s="9" t="str">
        <f t="shared" si="61"/>
        <v>NO</v>
      </c>
      <c r="P1278" s="9" t="str">
        <f t="shared" si="62"/>
        <v>NO</v>
      </c>
      <c r="Q1278" s="9" t="str">
        <f t="shared" si="63"/>
        <v>Conditioned</v>
      </c>
    </row>
    <row r="1279" spans="1:17">
      <c r="A1279" s="9">
        <v>20792</v>
      </c>
      <c r="B1279" s="9">
        <v>1</v>
      </c>
      <c r="C1279" s="9" t="s">
        <v>1589</v>
      </c>
      <c r="D1279" s="9" t="s">
        <v>1590</v>
      </c>
      <c r="E1279" s="9" t="s">
        <v>1602</v>
      </c>
      <c r="F1279" s="9" t="s">
        <v>1603</v>
      </c>
      <c r="G1279" s="9" t="s">
        <v>1592</v>
      </c>
      <c r="H1279" s="9" t="s">
        <v>172</v>
      </c>
      <c r="I1279" s="9" t="s">
        <v>2776</v>
      </c>
      <c r="J1279" s="9" t="s">
        <v>1601</v>
      </c>
      <c r="K1279" s="9">
        <v>1</v>
      </c>
      <c r="L1279" s="9">
        <v>22</v>
      </c>
      <c r="M1279" s="9">
        <v>1997</v>
      </c>
      <c r="O1279" s="9" t="str">
        <f t="shared" si="61"/>
        <v>NO</v>
      </c>
      <c r="P1279" s="9" t="str">
        <f t="shared" si="62"/>
        <v>NO</v>
      </c>
      <c r="Q1279" s="9" t="str">
        <f t="shared" si="63"/>
        <v>Conditioned</v>
      </c>
    </row>
    <row r="1280" spans="1:17">
      <c r="A1280" s="9">
        <v>20807</v>
      </c>
      <c r="B1280" s="9">
        <v>1</v>
      </c>
      <c r="C1280" s="9" t="s">
        <v>1589</v>
      </c>
      <c r="D1280" s="9" t="s">
        <v>1590</v>
      </c>
      <c r="E1280" s="9" t="s">
        <v>1591</v>
      </c>
      <c r="F1280" s="9" t="s">
        <v>1589</v>
      </c>
      <c r="G1280" s="9" t="s">
        <v>1592</v>
      </c>
      <c r="H1280" s="9" t="s">
        <v>174</v>
      </c>
      <c r="I1280" s="9" t="s">
        <v>2777</v>
      </c>
      <c r="J1280" s="9" t="s">
        <v>1608</v>
      </c>
      <c r="K1280" s="9">
        <v>1</v>
      </c>
      <c r="L1280" s="9">
        <v>19</v>
      </c>
      <c r="M1280" s="9">
        <v>2003</v>
      </c>
      <c r="O1280" s="9" t="str">
        <f t="shared" si="61"/>
        <v>NO</v>
      </c>
      <c r="P1280" s="9" t="str">
        <f t="shared" si="62"/>
        <v>NO</v>
      </c>
      <c r="Q1280" s="9" t="str">
        <f t="shared" si="63"/>
        <v>Conditioned</v>
      </c>
    </row>
    <row r="1281" spans="1:17">
      <c r="A1281" s="9">
        <v>20807</v>
      </c>
      <c r="B1281" s="9">
        <v>2</v>
      </c>
      <c r="C1281" s="9" t="s">
        <v>1589</v>
      </c>
      <c r="D1281" s="9" t="s">
        <v>1590</v>
      </c>
      <c r="E1281" s="9" t="s">
        <v>1591</v>
      </c>
      <c r="F1281" s="9" t="s">
        <v>1589</v>
      </c>
      <c r="G1281" s="9" t="s">
        <v>1592</v>
      </c>
      <c r="H1281" s="9" t="s">
        <v>1017</v>
      </c>
      <c r="I1281" s="9" t="s">
        <v>2778</v>
      </c>
      <c r="J1281" s="9" t="s">
        <v>1608</v>
      </c>
      <c r="K1281" s="9">
        <v>1</v>
      </c>
      <c r="L1281" s="9">
        <v>20</v>
      </c>
      <c r="M1281" s="9">
        <v>2007</v>
      </c>
      <c r="O1281" s="9" t="str">
        <f t="shared" si="61"/>
        <v>NO</v>
      </c>
      <c r="P1281" s="9" t="str">
        <f t="shared" si="62"/>
        <v>NO</v>
      </c>
      <c r="Q1281" s="9" t="str">
        <f t="shared" si="63"/>
        <v>Conditioned</v>
      </c>
    </row>
    <row r="1282" spans="1:17">
      <c r="A1282" s="9">
        <v>20808</v>
      </c>
      <c r="B1282" s="9">
        <v>1</v>
      </c>
      <c r="C1282" s="9" t="s">
        <v>1589</v>
      </c>
      <c r="D1282" s="9" t="s">
        <v>1590</v>
      </c>
      <c r="E1282" s="9" t="s">
        <v>1613</v>
      </c>
      <c r="F1282" s="9" t="s">
        <v>1603</v>
      </c>
      <c r="G1282" s="9" t="s">
        <v>1592</v>
      </c>
      <c r="H1282" s="9" t="s">
        <v>173</v>
      </c>
      <c r="I1282" s="9" t="s">
        <v>2779</v>
      </c>
      <c r="J1282" s="9" t="s">
        <v>1608</v>
      </c>
      <c r="K1282" s="9">
        <v>1</v>
      </c>
      <c r="L1282" s="9">
        <v>23</v>
      </c>
      <c r="M1282" s="9">
        <v>2006</v>
      </c>
      <c r="O1282" s="9" t="str">
        <f t="shared" si="61"/>
        <v>NO</v>
      </c>
      <c r="P1282" s="9" t="str">
        <f t="shared" si="62"/>
        <v>NO</v>
      </c>
      <c r="Q1282" s="9" t="str">
        <f t="shared" si="63"/>
        <v>Conditioned</v>
      </c>
    </row>
    <row r="1283" spans="1:17">
      <c r="A1283" s="9">
        <v>20808</v>
      </c>
      <c r="B1283" s="9">
        <v>2</v>
      </c>
      <c r="C1283" s="9" t="s">
        <v>1589</v>
      </c>
      <c r="D1283" s="9" t="s">
        <v>1590</v>
      </c>
      <c r="E1283" s="9" t="s">
        <v>1591</v>
      </c>
      <c r="F1283" s="9" t="s">
        <v>1589</v>
      </c>
      <c r="G1283" s="9" t="s">
        <v>1606</v>
      </c>
      <c r="H1283" s="9" t="s">
        <v>1624</v>
      </c>
      <c r="I1283" s="9" t="s">
        <v>1589</v>
      </c>
      <c r="J1283" s="9" t="s">
        <v>1587</v>
      </c>
      <c r="K1283" s="9">
        <v>1</v>
      </c>
      <c r="L1283" s="9">
        <v>30</v>
      </c>
      <c r="M1283" s="9">
        <v>1979</v>
      </c>
      <c r="O1283" s="9" t="str">
        <f t="shared" si="61"/>
        <v>NO</v>
      </c>
      <c r="P1283" s="9" t="str">
        <f t="shared" si="62"/>
        <v>YES</v>
      </c>
      <c r="Q1283" s="9" t="str">
        <f t="shared" si="63"/>
        <v>Unconditioned</v>
      </c>
    </row>
    <row r="1284" spans="1:17">
      <c r="A1284" s="9">
        <v>20808</v>
      </c>
      <c r="B1284" s="9">
        <v>3</v>
      </c>
      <c r="C1284" s="9" t="s">
        <v>1589</v>
      </c>
      <c r="D1284" s="9" t="s">
        <v>1590</v>
      </c>
      <c r="E1284" s="9" t="s">
        <v>1613</v>
      </c>
      <c r="F1284" s="9" t="s">
        <v>1590</v>
      </c>
      <c r="G1284" s="9" t="s">
        <v>1606</v>
      </c>
      <c r="H1284" s="9" t="s">
        <v>177</v>
      </c>
      <c r="I1284" s="9" t="s">
        <v>2780</v>
      </c>
      <c r="J1284" s="9" t="s">
        <v>1597</v>
      </c>
      <c r="K1284" s="9">
        <v>1</v>
      </c>
      <c r="L1284" s="9">
        <v>23</v>
      </c>
      <c r="M1284" s="9">
        <v>2005</v>
      </c>
      <c r="O1284" s="9" t="str">
        <f t="shared" si="61"/>
        <v>NO</v>
      </c>
      <c r="P1284" s="9" t="str">
        <f t="shared" si="62"/>
        <v>NO</v>
      </c>
      <c r="Q1284" s="9" t="str">
        <f t="shared" si="63"/>
        <v>Unconditioned</v>
      </c>
    </row>
    <row r="1285" spans="1:17">
      <c r="A1285" s="9">
        <v>20808</v>
      </c>
      <c r="B1285" s="9">
        <v>4</v>
      </c>
      <c r="C1285" s="9" t="s">
        <v>1589</v>
      </c>
      <c r="D1285" s="9" t="s">
        <v>1590</v>
      </c>
      <c r="E1285" s="9" t="s">
        <v>1591</v>
      </c>
      <c r="F1285" s="9" t="s">
        <v>1589</v>
      </c>
      <c r="G1285" s="9" t="s">
        <v>1606</v>
      </c>
      <c r="H1285" s="9" t="s">
        <v>1754</v>
      </c>
      <c r="I1285" s="9" t="s">
        <v>1589</v>
      </c>
      <c r="J1285" s="9" t="s">
        <v>1587</v>
      </c>
      <c r="K1285" s="9">
        <v>1</v>
      </c>
      <c r="L1285" s="9">
        <v>13</v>
      </c>
      <c r="M1285" s="9">
        <v>2000</v>
      </c>
      <c r="O1285" s="9" t="str">
        <f t="shared" si="61"/>
        <v>NO</v>
      </c>
      <c r="P1285" s="9" t="str">
        <f t="shared" si="62"/>
        <v>YES</v>
      </c>
      <c r="Q1285" s="9" t="str">
        <f t="shared" si="63"/>
        <v>Unconditioned</v>
      </c>
    </row>
    <row r="1286" spans="1:17">
      <c r="A1286" s="9">
        <v>20809</v>
      </c>
      <c r="B1286" s="9">
        <v>1</v>
      </c>
      <c r="C1286" s="9" t="s">
        <v>1589</v>
      </c>
      <c r="D1286" s="9" t="s">
        <v>1590</v>
      </c>
      <c r="E1286" s="9" t="s">
        <v>1602</v>
      </c>
      <c r="F1286" s="9" t="s">
        <v>1590</v>
      </c>
      <c r="G1286" s="9" t="s">
        <v>1592</v>
      </c>
      <c r="H1286" s="9" t="s">
        <v>1589</v>
      </c>
      <c r="I1286" s="9" t="s">
        <v>2781</v>
      </c>
      <c r="J1286" s="9" t="s">
        <v>1601</v>
      </c>
      <c r="K1286" s="9">
        <v>1</v>
      </c>
      <c r="L1286" s="9">
        <v>21</v>
      </c>
      <c r="M1286" s="9">
        <v>2005</v>
      </c>
      <c r="O1286" s="9" t="str">
        <f t="shared" si="61"/>
        <v>NO</v>
      </c>
      <c r="P1286" s="9" t="str">
        <f t="shared" si="62"/>
        <v>NO</v>
      </c>
      <c r="Q1286" s="9" t="str">
        <f t="shared" si="63"/>
        <v>Conditioned</v>
      </c>
    </row>
    <row r="1287" spans="1:17">
      <c r="A1287" s="9">
        <v>20809</v>
      </c>
      <c r="B1287" s="9">
        <v>2</v>
      </c>
      <c r="C1287" s="9" t="s">
        <v>1589</v>
      </c>
      <c r="D1287" s="9" t="s">
        <v>1590</v>
      </c>
      <c r="E1287" s="9" t="s">
        <v>1591</v>
      </c>
      <c r="F1287" s="9" t="s">
        <v>1589</v>
      </c>
      <c r="G1287" s="9" t="s">
        <v>1606</v>
      </c>
      <c r="H1287" s="9" t="s">
        <v>172</v>
      </c>
      <c r="I1287" s="9" t="s">
        <v>2782</v>
      </c>
      <c r="J1287" s="9" t="s">
        <v>1605</v>
      </c>
      <c r="K1287" s="9">
        <v>1</v>
      </c>
      <c r="L1287" s="9">
        <v>12</v>
      </c>
      <c r="M1287" s="9">
        <v>1971</v>
      </c>
      <c r="O1287" s="9" t="str">
        <f t="shared" si="61"/>
        <v>NO</v>
      </c>
      <c r="P1287" s="9" t="str">
        <f t="shared" si="62"/>
        <v>YES</v>
      </c>
      <c r="Q1287" s="9" t="str">
        <f t="shared" si="63"/>
        <v>Unconditioned</v>
      </c>
    </row>
    <row r="1288" spans="1:17">
      <c r="A1288" s="9">
        <v>20814</v>
      </c>
      <c r="B1288" s="9">
        <v>1</v>
      </c>
      <c r="C1288" s="9" t="s">
        <v>1589</v>
      </c>
      <c r="D1288" s="9" t="s">
        <v>1590</v>
      </c>
      <c r="E1288" s="9" t="s">
        <v>1591</v>
      </c>
      <c r="F1288" s="9" t="s">
        <v>1589</v>
      </c>
      <c r="G1288" s="9" t="s">
        <v>1606</v>
      </c>
      <c r="H1288" s="9" t="s">
        <v>169</v>
      </c>
      <c r="I1288" s="9" t="s">
        <v>2783</v>
      </c>
      <c r="J1288" s="9" t="s">
        <v>1597</v>
      </c>
      <c r="K1288" s="9">
        <v>0.25</v>
      </c>
      <c r="L1288" s="9">
        <v>22</v>
      </c>
      <c r="M1288" s="9">
        <v>2000</v>
      </c>
      <c r="O1288" s="9" t="str">
        <f t="shared" si="61"/>
        <v>NO</v>
      </c>
      <c r="P1288" s="9" t="str">
        <f t="shared" si="62"/>
        <v>NO</v>
      </c>
      <c r="Q1288" s="9" t="str">
        <f t="shared" si="63"/>
        <v>Unconditioned</v>
      </c>
    </row>
    <row r="1289" spans="1:17">
      <c r="A1289" s="9">
        <v>20814</v>
      </c>
      <c r="B1289" s="9">
        <v>2</v>
      </c>
      <c r="C1289" s="9" t="s">
        <v>1589</v>
      </c>
      <c r="D1289" s="9" t="s">
        <v>1590</v>
      </c>
      <c r="E1289" s="9" t="s">
        <v>1591</v>
      </c>
      <c r="F1289" s="9" t="s">
        <v>1589</v>
      </c>
      <c r="G1289" s="9" t="s">
        <v>1606</v>
      </c>
      <c r="H1289" s="9" t="s">
        <v>170</v>
      </c>
      <c r="I1289" s="9" t="s">
        <v>2784</v>
      </c>
      <c r="J1289" s="9" t="s">
        <v>1605</v>
      </c>
      <c r="K1289" s="9">
        <v>0.5</v>
      </c>
      <c r="L1289" s="9">
        <v>20</v>
      </c>
      <c r="M1289" s="9">
        <v>2003</v>
      </c>
      <c r="O1289" s="9" t="str">
        <f t="shared" si="61"/>
        <v>NO</v>
      </c>
      <c r="P1289" s="9" t="str">
        <f t="shared" si="62"/>
        <v>YES</v>
      </c>
      <c r="Q1289" s="9" t="str">
        <f t="shared" si="63"/>
        <v>Unconditioned</v>
      </c>
    </row>
    <row r="1290" spans="1:17">
      <c r="A1290" s="9">
        <v>20814</v>
      </c>
      <c r="B1290" s="9">
        <v>3</v>
      </c>
      <c r="C1290" s="9" t="s">
        <v>1589</v>
      </c>
      <c r="D1290" s="9" t="s">
        <v>1590</v>
      </c>
      <c r="E1290" s="9" t="s">
        <v>1602</v>
      </c>
      <c r="F1290" s="9" t="s">
        <v>1603</v>
      </c>
      <c r="G1290" s="9" t="s">
        <v>1592</v>
      </c>
      <c r="H1290" s="9" t="s">
        <v>173</v>
      </c>
      <c r="I1290" s="9" t="s">
        <v>2785</v>
      </c>
      <c r="J1290" s="9" t="s">
        <v>1597</v>
      </c>
      <c r="K1290" s="9">
        <v>1</v>
      </c>
      <c r="L1290" s="9">
        <v>22</v>
      </c>
      <c r="M1290" s="9">
        <v>1995</v>
      </c>
      <c r="O1290" s="9" t="str">
        <f t="shared" si="61"/>
        <v>NO</v>
      </c>
      <c r="P1290" s="9" t="str">
        <f t="shared" si="62"/>
        <v>NO</v>
      </c>
      <c r="Q1290" s="9" t="str">
        <f t="shared" si="63"/>
        <v>Conditioned</v>
      </c>
    </row>
    <row r="1291" spans="1:17">
      <c r="A1291" s="9">
        <v>20817</v>
      </c>
      <c r="B1291" s="9">
        <v>1</v>
      </c>
      <c r="C1291" s="9" t="s">
        <v>1589</v>
      </c>
      <c r="D1291" s="9" t="s">
        <v>1590</v>
      </c>
      <c r="E1291" s="9" t="s">
        <v>1602</v>
      </c>
      <c r="F1291" s="9" t="s">
        <v>1603</v>
      </c>
      <c r="G1291" s="9" t="s">
        <v>1592</v>
      </c>
      <c r="H1291" s="9" t="s">
        <v>170</v>
      </c>
      <c r="I1291" s="9" t="s">
        <v>2786</v>
      </c>
      <c r="J1291" s="9" t="s">
        <v>1601</v>
      </c>
      <c r="K1291" s="9">
        <v>1</v>
      </c>
      <c r="L1291" s="9">
        <v>25</v>
      </c>
      <c r="M1291" s="9">
        <v>2001</v>
      </c>
      <c r="O1291" s="9" t="str">
        <f t="shared" si="61"/>
        <v>NO</v>
      </c>
      <c r="P1291" s="9" t="str">
        <f t="shared" si="62"/>
        <v>NO</v>
      </c>
      <c r="Q1291" s="9" t="str">
        <f t="shared" si="63"/>
        <v>Conditioned</v>
      </c>
    </row>
    <row r="1292" spans="1:17">
      <c r="A1292" s="9">
        <v>20819</v>
      </c>
      <c r="B1292" s="9">
        <v>1</v>
      </c>
      <c r="C1292" s="9" t="s">
        <v>1589</v>
      </c>
      <c r="D1292" s="9" t="s">
        <v>1590</v>
      </c>
      <c r="E1292" s="9" t="s">
        <v>1602</v>
      </c>
      <c r="F1292" s="9" t="s">
        <v>1603</v>
      </c>
      <c r="G1292" s="9" t="s">
        <v>1592</v>
      </c>
      <c r="H1292" s="9" t="s">
        <v>170</v>
      </c>
      <c r="I1292" s="9" t="s">
        <v>2787</v>
      </c>
      <c r="J1292" s="9" t="s">
        <v>1601</v>
      </c>
      <c r="K1292" s="9">
        <v>1</v>
      </c>
      <c r="L1292" s="9">
        <v>25</v>
      </c>
      <c r="M1292" s="9">
        <v>2006</v>
      </c>
      <c r="O1292" s="9" t="str">
        <f t="shared" si="61"/>
        <v>NO</v>
      </c>
      <c r="P1292" s="9" t="str">
        <f t="shared" si="62"/>
        <v>NO</v>
      </c>
      <c r="Q1292" s="9" t="str">
        <f t="shared" si="63"/>
        <v>Conditioned</v>
      </c>
    </row>
    <row r="1293" spans="1:17">
      <c r="A1293" s="9">
        <v>20819</v>
      </c>
      <c r="B1293" s="9">
        <v>2</v>
      </c>
      <c r="C1293" s="9" t="s">
        <v>1589</v>
      </c>
      <c r="D1293" s="9" t="s">
        <v>1590</v>
      </c>
      <c r="E1293" s="9" t="s">
        <v>1591</v>
      </c>
      <c r="F1293" s="9" t="s">
        <v>1589</v>
      </c>
      <c r="G1293" s="9" t="s">
        <v>1606</v>
      </c>
      <c r="H1293" s="9" t="s">
        <v>1589</v>
      </c>
      <c r="I1293" s="9" t="s">
        <v>1589</v>
      </c>
      <c r="J1293" s="9" t="s">
        <v>1587</v>
      </c>
      <c r="K1293" s="9">
        <v>1</v>
      </c>
      <c r="L1293" s="9">
        <v>24</v>
      </c>
      <c r="O1293" s="9" t="str">
        <f t="shared" si="61"/>
        <v>NO</v>
      </c>
      <c r="P1293" s="9" t="str">
        <f t="shared" si="62"/>
        <v>YES</v>
      </c>
      <c r="Q1293" s="9" t="str">
        <f t="shared" si="63"/>
        <v>Unconditioned</v>
      </c>
    </row>
    <row r="1294" spans="1:17">
      <c r="A1294" s="9">
        <v>20825</v>
      </c>
      <c r="B1294" s="9">
        <v>1</v>
      </c>
      <c r="C1294" s="9" t="s">
        <v>1589</v>
      </c>
      <c r="D1294" s="9" t="s">
        <v>1590</v>
      </c>
      <c r="E1294" s="9" t="s">
        <v>1613</v>
      </c>
      <c r="F1294" s="9" t="s">
        <v>1603</v>
      </c>
      <c r="G1294" s="9" t="s">
        <v>1592</v>
      </c>
      <c r="H1294" s="9" t="s">
        <v>177</v>
      </c>
      <c r="I1294" s="9" t="s">
        <v>2788</v>
      </c>
      <c r="J1294" s="9" t="s">
        <v>1608</v>
      </c>
      <c r="K1294" s="9">
        <v>1</v>
      </c>
      <c r="L1294" s="9">
        <v>22</v>
      </c>
      <c r="M1294" s="9">
        <v>1996</v>
      </c>
      <c r="O1294" s="9" t="str">
        <f t="shared" si="61"/>
        <v>NO</v>
      </c>
      <c r="P1294" s="9" t="str">
        <f t="shared" si="62"/>
        <v>NO</v>
      </c>
      <c r="Q1294" s="9" t="str">
        <f t="shared" si="63"/>
        <v>Conditioned</v>
      </c>
    </row>
    <row r="1295" spans="1:17">
      <c r="A1295" s="9">
        <v>20839</v>
      </c>
      <c r="B1295" s="9">
        <v>1</v>
      </c>
      <c r="C1295" s="9" t="s">
        <v>1589</v>
      </c>
      <c r="D1295" s="9" t="s">
        <v>1590</v>
      </c>
      <c r="E1295" s="9" t="s">
        <v>1613</v>
      </c>
      <c r="F1295" s="9" t="s">
        <v>1603</v>
      </c>
      <c r="G1295" s="9" t="s">
        <v>1592</v>
      </c>
      <c r="H1295" s="9" t="s">
        <v>176</v>
      </c>
      <c r="I1295" s="9" t="s">
        <v>2789</v>
      </c>
      <c r="J1295" s="9" t="s">
        <v>1610</v>
      </c>
      <c r="K1295" s="9">
        <v>1</v>
      </c>
      <c r="L1295" s="9">
        <v>26</v>
      </c>
      <c r="M1295" s="9">
        <v>2011</v>
      </c>
      <c r="O1295" s="9" t="str">
        <f t="shared" si="61"/>
        <v>NO</v>
      </c>
      <c r="P1295" s="9" t="str">
        <f t="shared" si="62"/>
        <v>NO</v>
      </c>
      <c r="Q1295" s="9" t="str">
        <f t="shared" si="63"/>
        <v>Conditioned</v>
      </c>
    </row>
    <row r="1296" spans="1:17">
      <c r="A1296" s="9">
        <v>20839</v>
      </c>
      <c r="B1296" s="9">
        <v>2</v>
      </c>
      <c r="C1296" s="9" t="s">
        <v>1589</v>
      </c>
      <c r="D1296" s="9" t="s">
        <v>1603</v>
      </c>
      <c r="E1296" s="9" t="s">
        <v>1591</v>
      </c>
      <c r="F1296" s="9" t="s">
        <v>1589</v>
      </c>
      <c r="G1296" s="9" t="s">
        <v>1592</v>
      </c>
      <c r="H1296" s="9" t="s">
        <v>178</v>
      </c>
      <c r="I1296" s="9" t="s">
        <v>2790</v>
      </c>
      <c r="J1296" s="9" t="s">
        <v>1605</v>
      </c>
      <c r="K1296" s="9">
        <v>1</v>
      </c>
      <c r="L1296" s="9">
        <v>21</v>
      </c>
      <c r="M1296" s="9">
        <v>2001</v>
      </c>
      <c r="O1296" s="9" t="str">
        <f t="shared" si="61"/>
        <v>NO</v>
      </c>
      <c r="P1296" s="9" t="str">
        <f t="shared" si="62"/>
        <v>YES</v>
      </c>
      <c r="Q1296" s="9" t="str">
        <f t="shared" si="63"/>
        <v>Conditioned</v>
      </c>
    </row>
    <row r="1297" spans="1:17">
      <c r="A1297" s="9">
        <v>20853</v>
      </c>
      <c r="B1297" s="9">
        <v>1</v>
      </c>
      <c r="C1297" s="9" t="s">
        <v>1589</v>
      </c>
      <c r="D1297" s="9" t="s">
        <v>1590</v>
      </c>
      <c r="E1297" s="9" t="s">
        <v>1591</v>
      </c>
      <c r="F1297" s="9" t="s">
        <v>1589</v>
      </c>
      <c r="G1297" s="9" t="s">
        <v>1592</v>
      </c>
      <c r="H1297" s="9" t="s">
        <v>177</v>
      </c>
      <c r="I1297" s="9" t="s">
        <v>2791</v>
      </c>
      <c r="J1297" s="9" t="s">
        <v>1597</v>
      </c>
      <c r="K1297" s="9">
        <v>1</v>
      </c>
      <c r="L1297" s="9">
        <v>22</v>
      </c>
      <c r="M1297" s="9">
        <v>2003</v>
      </c>
      <c r="O1297" s="9" t="str">
        <f t="shared" si="61"/>
        <v>NO</v>
      </c>
      <c r="P1297" s="9" t="str">
        <f t="shared" si="62"/>
        <v>NO</v>
      </c>
      <c r="Q1297" s="9" t="str">
        <f t="shared" si="63"/>
        <v>Conditioned</v>
      </c>
    </row>
    <row r="1298" spans="1:17">
      <c r="A1298" s="9">
        <v>20853</v>
      </c>
      <c r="B1298" s="9">
        <v>2</v>
      </c>
      <c r="C1298" s="9" t="s">
        <v>1589</v>
      </c>
      <c r="D1298" s="9" t="s">
        <v>1590</v>
      </c>
      <c r="E1298" s="9" t="s">
        <v>1591</v>
      </c>
      <c r="F1298" s="9" t="s">
        <v>1589</v>
      </c>
      <c r="G1298" s="9" t="s">
        <v>1592</v>
      </c>
      <c r="H1298" s="9" t="s">
        <v>170</v>
      </c>
      <c r="I1298" s="9" t="s">
        <v>2792</v>
      </c>
      <c r="J1298" s="9" t="s">
        <v>1605</v>
      </c>
      <c r="K1298" s="9">
        <v>1</v>
      </c>
      <c r="L1298" s="9">
        <v>22</v>
      </c>
      <c r="M1298" s="9">
        <v>2003</v>
      </c>
      <c r="O1298" s="9" t="str">
        <f t="shared" si="61"/>
        <v>NO</v>
      </c>
      <c r="P1298" s="9" t="str">
        <f t="shared" si="62"/>
        <v>YES</v>
      </c>
      <c r="Q1298" s="9" t="str">
        <f t="shared" si="63"/>
        <v>Conditioned</v>
      </c>
    </row>
    <row r="1299" spans="1:17">
      <c r="A1299" s="9">
        <v>20859</v>
      </c>
      <c r="B1299" s="9">
        <v>1</v>
      </c>
      <c r="C1299" s="9" t="s">
        <v>1589</v>
      </c>
      <c r="D1299" s="9" t="s">
        <v>1590</v>
      </c>
      <c r="E1299" s="9" t="s">
        <v>1602</v>
      </c>
      <c r="F1299" s="9" t="s">
        <v>1603</v>
      </c>
      <c r="G1299" s="9" t="s">
        <v>1592</v>
      </c>
      <c r="H1299" s="9" t="s">
        <v>1638</v>
      </c>
      <c r="I1299" s="9" t="s">
        <v>2793</v>
      </c>
      <c r="J1299" s="9" t="s">
        <v>1601</v>
      </c>
      <c r="K1299" s="9">
        <v>1</v>
      </c>
      <c r="L1299" s="9">
        <v>22</v>
      </c>
      <c r="M1299" s="9">
        <v>2009</v>
      </c>
      <c r="O1299" s="9" t="str">
        <f t="shared" si="61"/>
        <v>NO</v>
      </c>
      <c r="P1299" s="9" t="str">
        <f t="shared" si="62"/>
        <v>NO</v>
      </c>
      <c r="Q1299" s="9" t="str">
        <f t="shared" si="63"/>
        <v>Conditioned</v>
      </c>
    </row>
    <row r="1300" spans="1:17">
      <c r="A1300" s="9">
        <v>20861</v>
      </c>
      <c r="B1300" s="9">
        <v>1</v>
      </c>
      <c r="C1300" s="9" t="s">
        <v>1589</v>
      </c>
      <c r="D1300" s="9" t="s">
        <v>1590</v>
      </c>
      <c r="E1300" s="9" t="s">
        <v>1591</v>
      </c>
      <c r="F1300" s="9" t="s">
        <v>1589</v>
      </c>
      <c r="G1300" s="9" t="s">
        <v>1592</v>
      </c>
      <c r="H1300" s="9" t="s">
        <v>1624</v>
      </c>
      <c r="I1300" s="9" t="s">
        <v>2794</v>
      </c>
      <c r="J1300" s="9" t="s">
        <v>1597</v>
      </c>
      <c r="K1300" s="9">
        <v>1</v>
      </c>
      <c r="L1300" s="9">
        <v>26</v>
      </c>
      <c r="O1300" s="9" t="str">
        <f t="shared" si="61"/>
        <v>NO</v>
      </c>
      <c r="P1300" s="9" t="str">
        <f t="shared" si="62"/>
        <v>NO</v>
      </c>
      <c r="Q1300" s="9" t="str">
        <f t="shared" si="63"/>
        <v>Conditioned</v>
      </c>
    </row>
    <row r="1301" spans="1:17">
      <c r="A1301" s="9">
        <v>20863</v>
      </c>
      <c r="B1301" s="9">
        <v>1</v>
      </c>
      <c r="C1301" s="9" t="s">
        <v>1589</v>
      </c>
      <c r="D1301" s="9" t="s">
        <v>1590</v>
      </c>
      <c r="E1301" s="9" t="s">
        <v>1591</v>
      </c>
      <c r="F1301" s="9" t="s">
        <v>1589</v>
      </c>
      <c r="G1301" s="9" t="s">
        <v>1592</v>
      </c>
      <c r="H1301" s="9" t="s">
        <v>177</v>
      </c>
      <c r="I1301" s="9" t="s">
        <v>2795</v>
      </c>
      <c r="J1301" s="9" t="s">
        <v>1605</v>
      </c>
      <c r="K1301" s="9">
        <v>1</v>
      </c>
      <c r="L1301" s="9">
        <v>20</v>
      </c>
      <c r="M1301" s="9">
        <v>1999</v>
      </c>
      <c r="O1301" s="9" t="str">
        <f t="shared" si="61"/>
        <v>NO</v>
      </c>
      <c r="P1301" s="9" t="str">
        <f t="shared" si="62"/>
        <v>YES</v>
      </c>
      <c r="Q1301" s="9" t="str">
        <f t="shared" si="63"/>
        <v>Conditioned</v>
      </c>
    </row>
    <row r="1302" spans="1:17">
      <c r="A1302" s="9">
        <v>20863</v>
      </c>
      <c r="B1302" s="9">
        <v>2</v>
      </c>
      <c r="C1302" s="9" t="s">
        <v>1589</v>
      </c>
      <c r="D1302" s="9" t="s">
        <v>1590</v>
      </c>
      <c r="E1302" s="9" t="s">
        <v>1602</v>
      </c>
      <c r="F1302" s="9" t="s">
        <v>1603</v>
      </c>
      <c r="G1302" s="9" t="s">
        <v>1592</v>
      </c>
      <c r="H1302" s="9" t="s">
        <v>177</v>
      </c>
      <c r="I1302" s="9" t="s">
        <v>2796</v>
      </c>
      <c r="J1302" s="9" t="s">
        <v>1601</v>
      </c>
      <c r="K1302" s="9">
        <v>1</v>
      </c>
      <c r="L1302" s="9">
        <v>20</v>
      </c>
      <c r="M1302" s="9">
        <v>2000</v>
      </c>
      <c r="O1302" s="9" t="str">
        <f t="shared" si="61"/>
        <v>NO</v>
      </c>
      <c r="P1302" s="9" t="str">
        <f t="shared" si="62"/>
        <v>NO</v>
      </c>
      <c r="Q1302" s="9" t="str">
        <f t="shared" si="63"/>
        <v>Conditioned</v>
      </c>
    </row>
    <row r="1303" spans="1:17">
      <c r="A1303" s="9">
        <v>20863</v>
      </c>
      <c r="B1303" s="9">
        <v>3</v>
      </c>
      <c r="C1303" s="9" t="s">
        <v>1589</v>
      </c>
      <c r="D1303" s="9" t="s">
        <v>1590</v>
      </c>
      <c r="E1303" s="9" t="s">
        <v>1589</v>
      </c>
      <c r="F1303" s="9" t="s">
        <v>1589</v>
      </c>
      <c r="G1303" s="9" t="s">
        <v>1592</v>
      </c>
      <c r="H1303" s="9" t="s">
        <v>1624</v>
      </c>
      <c r="I1303" s="9" t="s">
        <v>1589</v>
      </c>
      <c r="J1303" s="9" t="s">
        <v>1612</v>
      </c>
      <c r="K1303" s="9">
        <v>1</v>
      </c>
      <c r="L1303" s="9">
        <v>10</v>
      </c>
      <c r="O1303" s="9" t="str">
        <f t="shared" ref="O1303:O1366" si="64">IF(L1303&lt;7.75,"YES","NO")</f>
        <v>NO</v>
      </c>
      <c r="P1303" s="9" t="str">
        <f t="shared" ref="P1303:P1366" si="65">VLOOKUP(J1303,$Z$21:$AA$27,2,FALSE)</f>
        <v>NO</v>
      </c>
      <c r="Q1303" s="9" t="str">
        <f t="shared" ref="Q1303:Q1366" si="66">G1303</f>
        <v>Conditioned</v>
      </c>
    </row>
    <row r="1304" spans="1:17">
      <c r="A1304" s="9">
        <v>20878</v>
      </c>
      <c r="B1304" s="9">
        <v>1</v>
      </c>
      <c r="C1304" s="9" t="s">
        <v>1589</v>
      </c>
      <c r="D1304" s="9" t="s">
        <v>1590</v>
      </c>
      <c r="E1304" s="9" t="s">
        <v>1602</v>
      </c>
      <c r="F1304" s="9" t="s">
        <v>1603</v>
      </c>
      <c r="G1304" s="9" t="s">
        <v>1592</v>
      </c>
      <c r="H1304" s="9" t="s">
        <v>177</v>
      </c>
      <c r="I1304" s="9" t="s">
        <v>2797</v>
      </c>
      <c r="J1304" s="9" t="s">
        <v>1601</v>
      </c>
      <c r="K1304" s="9">
        <v>1</v>
      </c>
      <c r="L1304" s="9">
        <v>22</v>
      </c>
      <c r="M1304" s="9">
        <v>1993</v>
      </c>
      <c r="O1304" s="9" t="str">
        <f t="shared" si="64"/>
        <v>NO</v>
      </c>
      <c r="P1304" s="9" t="str">
        <f t="shared" si="65"/>
        <v>NO</v>
      </c>
      <c r="Q1304" s="9" t="str">
        <f t="shared" si="66"/>
        <v>Conditioned</v>
      </c>
    </row>
    <row r="1305" spans="1:17">
      <c r="A1305" s="9">
        <v>20878</v>
      </c>
      <c r="B1305" s="9">
        <v>2</v>
      </c>
      <c r="C1305" s="9" t="s">
        <v>1589</v>
      </c>
      <c r="D1305" s="9" t="s">
        <v>1590</v>
      </c>
      <c r="E1305" s="9" t="s">
        <v>1591</v>
      </c>
      <c r="F1305" s="9" t="s">
        <v>1589</v>
      </c>
      <c r="G1305" s="9" t="s">
        <v>1606</v>
      </c>
      <c r="H1305" s="9" t="s">
        <v>2235</v>
      </c>
      <c r="I1305" s="9" t="s">
        <v>2798</v>
      </c>
      <c r="J1305" s="9" t="s">
        <v>1605</v>
      </c>
      <c r="K1305" s="9">
        <v>1</v>
      </c>
      <c r="L1305" s="9">
        <v>20</v>
      </c>
      <c r="M1305" s="9">
        <v>2003</v>
      </c>
      <c r="O1305" s="9" t="str">
        <f t="shared" si="64"/>
        <v>NO</v>
      </c>
      <c r="P1305" s="9" t="str">
        <f t="shared" si="65"/>
        <v>YES</v>
      </c>
      <c r="Q1305" s="9" t="str">
        <f t="shared" si="66"/>
        <v>Unconditioned</v>
      </c>
    </row>
    <row r="1306" spans="1:17">
      <c r="A1306" s="9">
        <v>20878</v>
      </c>
      <c r="B1306" s="9">
        <v>3</v>
      </c>
      <c r="C1306" s="9" t="s">
        <v>1589</v>
      </c>
      <c r="D1306" s="9" t="s">
        <v>1590</v>
      </c>
      <c r="E1306" s="9" t="s">
        <v>1591</v>
      </c>
      <c r="F1306" s="9" t="s">
        <v>1589</v>
      </c>
      <c r="G1306" s="9" t="s">
        <v>1606</v>
      </c>
      <c r="H1306" s="9" t="s">
        <v>1766</v>
      </c>
      <c r="I1306" s="9" t="s">
        <v>2799</v>
      </c>
      <c r="J1306" s="9" t="s">
        <v>1612</v>
      </c>
      <c r="K1306" s="9">
        <v>1</v>
      </c>
      <c r="L1306" s="9">
        <v>20</v>
      </c>
      <c r="M1306" s="9">
        <v>2000</v>
      </c>
      <c r="O1306" s="9" t="str">
        <f t="shared" si="64"/>
        <v>NO</v>
      </c>
      <c r="P1306" s="9" t="str">
        <f t="shared" si="65"/>
        <v>NO</v>
      </c>
      <c r="Q1306" s="9" t="str">
        <f t="shared" si="66"/>
        <v>Unconditioned</v>
      </c>
    </row>
    <row r="1307" spans="1:17">
      <c r="A1307" s="9">
        <v>20894</v>
      </c>
      <c r="B1307" s="9">
        <v>1</v>
      </c>
      <c r="C1307" s="9" t="s">
        <v>1589</v>
      </c>
      <c r="D1307" s="9" t="s">
        <v>1590</v>
      </c>
      <c r="E1307" s="9" t="s">
        <v>1591</v>
      </c>
      <c r="F1307" s="9" t="s">
        <v>1589</v>
      </c>
      <c r="G1307" s="9" t="s">
        <v>1592</v>
      </c>
      <c r="H1307" s="9" t="s">
        <v>170</v>
      </c>
      <c r="I1307" s="9" t="s">
        <v>2800</v>
      </c>
      <c r="J1307" s="9" t="s">
        <v>1597</v>
      </c>
      <c r="K1307" s="9">
        <v>1</v>
      </c>
      <c r="L1307" s="9">
        <v>21</v>
      </c>
      <c r="M1307" s="9">
        <v>1989</v>
      </c>
      <c r="O1307" s="9" t="str">
        <f t="shared" si="64"/>
        <v>NO</v>
      </c>
      <c r="P1307" s="9" t="str">
        <f t="shared" si="65"/>
        <v>NO</v>
      </c>
      <c r="Q1307" s="9" t="str">
        <f t="shared" si="66"/>
        <v>Conditioned</v>
      </c>
    </row>
    <row r="1308" spans="1:17">
      <c r="A1308" s="9">
        <v>20895</v>
      </c>
      <c r="B1308" s="9">
        <v>1</v>
      </c>
      <c r="C1308" s="9" t="s">
        <v>1589</v>
      </c>
      <c r="D1308" s="9" t="s">
        <v>1590</v>
      </c>
      <c r="E1308" s="9" t="s">
        <v>1602</v>
      </c>
      <c r="F1308" s="9" t="s">
        <v>1603</v>
      </c>
      <c r="G1308" s="9" t="s">
        <v>1592</v>
      </c>
      <c r="H1308" s="9" t="s">
        <v>177</v>
      </c>
      <c r="I1308" s="9" t="s">
        <v>2801</v>
      </c>
      <c r="J1308" s="9" t="s">
        <v>1601</v>
      </c>
      <c r="K1308" s="9">
        <v>1</v>
      </c>
      <c r="L1308" s="9">
        <v>20</v>
      </c>
      <c r="M1308" s="9">
        <v>2007</v>
      </c>
      <c r="O1308" s="9" t="str">
        <f t="shared" si="64"/>
        <v>NO</v>
      </c>
      <c r="P1308" s="9" t="str">
        <f t="shared" si="65"/>
        <v>NO</v>
      </c>
      <c r="Q1308" s="9" t="str">
        <f t="shared" si="66"/>
        <v>Conditioned</v>
      </c>
    </row>
    <row r="1309" spans="1:17">
      <c r="A1309" s="9">
        <v>20902</v>
      </c>
      <c r="B1309" s="9">
        <v>1</v>
      </c>
      <c r="C1309" s="9" t="s">
        <v>1589</v>
      </c>
      <c r="D1309" s="9" t="s">
        <v>1590</v>
      </c>
      <c r="E1309" s="9" t="s">
        <v>1613</v>
      </c>
      <c r="F1309" s="9" t="s">
        <v>1590</v>
      </c>
      <c r="G1309" s="9" t="s">
        <v>1592</v>
      </c>
      <c r="H1309" s="9" t="s">
        <v>1017</v>
      </c>
      <c r="I1309" s="9" t="s">
        <v>2802</v>
      </c>
      <c r="J1309" s="9" t="s">
        <v>1608</v>
      </c>
      <c r="K1309" s="9">
        <v>1</v>
      </c>
      <c r="L1309" s="9">
        <v>26</v>
      </c>
      <c r="M1309" s="9">
        <v>2007</v>
      </c>
      <c r="O1309" s="9" t="str">
        <f t="shared" si="64"/>
        <v>NO</v>
      </c>
      <c r="P1309" s="9" t="str">
        <f t="shared" si="65"/>
        <v>NO</v>
      </c>
      <c r="Q1309" s="9" t="str">
        <f t="shared" si="66"/>
        <v>Conditioned</v>
      </c>
    </row>
    <row r="1310" spans="1:17">
      <c r="A1310" s="9">
        <v>20905</v>
      </c>
      <c r="B1310" s="9">
        <v>1</v>
      </c>
      <c r="C1310" s="9" t="s">
        <v>1589</v>
      </c>
      <c r="D1310" s="9" t="s">
        <v>1590</v>
      </c>
      <c r="E1310" s="9" t="s">
        <v>1591</v>
      </c>
      <c r="F1310" s="9" t="s">
        <v>1589</v>
      </c>
      <c r="G1310" s="9" t="s">
        <v>1592</v>
      </c>
      <c r="H1310" s="9" t="s">
        <v>170</v>
      </c>
      <c r="I1310" s="9" t="s">
        <v>2803</v>
      </c>
      <c r="J1310" s="9" t="s">
        <v>1608</v>
      </c>
      <c r="K1310" s="9">
        <v>1</v>
      </c>
      <c r="L1310" s="9">
        <v>22</v>
      </c>
      <c r="M1310" s="9">
        <v>2005</v>
      </c>
      <c r="O1310" s="9" t="str">
        <f t="shared" si="64"/>
        <v>NO</v>
      </c>
      <c r="P1310" s="9" t="str">
        <f t="shared" si="65"/>
        <v>NO</v>
      </c>
      <c r="Q1310" s="9" t="str">
        <f t="shared" si="66"/>
        <v>Conditioned</v>
      </c>
    </row>
    <row r="1311" spans="1:17">
      <c r="A1311" s="9">
        <v>20905</v>
      </c>
      <c r="B1311" s="9">
        <v>2</v>
      </c>
      <c r="C1311" s="9" t="s">
        <v>1589</v>
      </c>
      <c r="D1311" s="9" t="s">
        <v>1590</v>
      </c>
      <c r="E1311" s="9" t="s">
        <v>1591</v>
      </c>
      <c r="F1311" s="9" t="s">
        <v>1589</v>
      </c>
      <c r="G1311" s="9" t="s">
        <v>1592</v>
      </c>
      <c r="H1311" s="9" t="s">
        <v>174</v>
      </c>
      <c r="I1311" s="9" t="s">
        <v>2804</v>
      </c>
      <c r="J1311" s="9" t="s">
        <v>1605</v>
      </c>
      <c r="K1311" s="9">
        <v>1</v>
      </c>
      <c r="L1311" s="9">
        <v>20</v>
      </c>
      <c r="M1311" s="9">
        <v>1988</v>
      </c>
      <c r="O1311" s="9" t="str">
        <f t="shared" si="64"/>
        <v>NO</v>
      </c>
      <c r="P1311" s="9" t="str">
        <f t="shared" si="65"/>
        <v>YES</v>
      </c>
      <c r="Q1311" s="9" t="str">
        <f t="shared" si="66"/>
        <v>Conditioned</v>
      </c>
    </row>
    <row r="1312" spans="1:17">
      <c r="A1312" s="9">
        <v>20920</v>
      </c>
      <c r="B1312" s="9">
        <v>1</v>
      </c>
      <c r="C1312" s="9" t="s">
        <v>1589</v>
      </c>
      <c r="D1312" s="9" t="s">
        <v>1603</v>
      </c>
      <c r="E1312" s="9" t="s">
        <v>1602</v>
      </c>
      <c r="F1312" s="9" t="s">
        <v>1603</v>
      </c>
      <c r="G1312" s="9" t="s">
        <v>1592</v>
      </c>
      <c r="H1312" s="9" t="s">
        <v>177</v>
      </c>
      <c r="I1312" s="9" t="s">
        <v>2805</v>
      </c>
      <c r="J1312" s="9" t="s">
        <v>1601</v>
      </c>
      <c r="K1312" s="9">
        <v>1</v>
      </c>
      <c r="L1312" s="9">
        <v>28</v>
      </c>
      <c r="M1312" s="9">
        <v>2009</v>
      </c>
      <c r="O1312" s="9" t="str">
        <f t="shared" si="64"/>
        <v>NO</v>
      </c>
      <c r="P1312" s="9" t="str">
        <f t="shared" si="65"/>
        <v>NO</v>
      </c>
      <c r="Q1312" s="9" t="str">
        <f t="shared" si="66"/>
        <v>Conditioned</v>
      </c>
    </row>
    <row r="1313" spans="1:17">
      <c r="A1313" s="9">
        <v>20930</v>
      </c>
      <c r="B1313" s="9">
        <v>1</v>
      </c>
      <c r="C1313" s="9" t="s">
        <v>1589</v>
      </c>
      <c r="D1313" s="9" t="s">
        <v>1590</v>
      </c>
      <c r="E1313" s="9" t="s">
        <v>1602</v>
      </c>
      <c r="F1313" s="9" t="s">
        <v>1603</v>
      </c>
      <c r="G1313" s="9" t="s">
        <v>1592</v>
      </c>
      <c r="H1313" s="9" t="s">
        <v>1017</v>
      </c>
      <c r="I1313" s="9" t="s">
        <v>2806</v>
      </c>
      <c r="J1313" s="9" t="s">
        <v>1608</v>
      </c>
      <c r="K1313" s="9">
        <v>1</v>
      </c>
      <c r="L1313" s="9">
        <v>26</v>
      </c>
      <c r="M1313" s="9">
        <v>2008</v>
      </c>
      <c r="O1313" s="9" t="str">
        <f t="shared" si="64"/>
        <v>NO</v>
      </c>
      <c r="P1313" s="9" t="str">
        <f t="shared" si="65"/>
        <v>NO</v>
      </c>
      <c r="Q1313" s="9" t="str">
        <f t="shared" si="66"/>
        <v>Conditioned</v>
      </c>
    </row>
    <row r="1314" spans="1:17">
      <c r="A1314" s="9">
        <v>20930</v>
      </c>
      <c r="B1314" s="9">
        <v>2</v>
      </c>
      <c r="C1314" s="9" t="s">
        <v>1589</v>
      </c>
      <c r="D1314" s="9" t="s">
        <v>1590</v>
      </c>
      <c r="E1314" s="9" t="s">
        <v>1591</v>
      </c>
      <c r="F1314" s="9" t="s">
        <v>1589</v>
      </c>
      <c r="G1314" s="9" t="s">
        <v>1592</v>
      </c>
      <c r="H1314" s="9" t="s">
        <v>170</v>
      </c>
      <c r="I1314" s="9" t="s">
        <v>2807</v>
      </c>
      <c r="J1314" s="9" t="s">
        <v>1597</v>
      </c>
      <c r="K1314" s="9">
        <v>1</v>
      </c>
      <c r="L1314" s="9">
        <v>17</v>
      </c>
      <c r="M1314" s="9">
        <v>1994</v>
      </c>
      <c r="O1314" s="9" t="str">
        <f t="shared" si="64"/>
        <v>NO</v>
      </c>
      <c r="P1314" s="9" t="str">
        <f t="shared" si="65"/>
        <v>NO</v>
      </c>
      <c r="Q1314" s="9" t="str">
        <f t="shared" si="66"/>
        <v>Conditioned</v>
      </c>
    </row>
    <row r="1315" spans="1:17">
      <c r="A1315" s="9">
        <v>20930</v>
      </c>
      <c r="B1315" s="9">
        <v>3</v>
      </c>
      <c r="C1315" s="9" t="s">
        <v>1589</v>
      </c>
      <c r="D1315" s="9" t="s">
        <v>1590</v>
      </c>
      <c r="E1315" s="9" t="s">
        <v>1591</v>
      </c>
      <c r="F1315" s="9" t="s">
        <v>1589</v>
      </c>
      <c r="G1315" s="9" t="s">
        <v>1592</v>
      </c>
      <c r="H1315" s="9" t="s">
        <v>1900</v>
      </c>
      <c r="I1315" s="9" t="s">
        <v>2808</v>
      </c>
      <c r="J1315" s="9" t="s">
        <v>1587</v>
      </c>
      <c r="K1315" s="9">
        <v>1</v>
      </c>
      <c r="L1315" s="9">
        <v>19</v>
      </c>
      <c r="M1315" s="9">
        <v>1985</v>
      </c>
      <c r="O1315" s="9" t="str">
        <f t="shared" si="64"/>
        <v>NO</v>
      </c>
      <c r="P1315" s="9" t="str">
        <f t="shared" si="65"/>
        <v>YES</v>
      </c>
      <c r="Q1315" s="9" t="str">
        <f t="shared" si="66"/>
        <v>Conditioned</v>
      </c>
    </row>
    <row r="1316" spans="1:17">
      <c r="A1316" s="9">
        <v>20936</v>
      </c>
      <c r="B1316" s="9">
        <v>1</v>
      </c>
      <c r="C1316" s="9" t="s">
        <v>1589</v>
      </c>
      <c r="D1316" s="9" t="s">
        <v>1590</v>
      </c>
      <c r="E1316" s="9" t="s">
        <v>1602</v>
      </c>
      <c r="F1316" s="9" t="s">
        <v>1603</v>
      </c>
      <c r="G1316" s="9" t="s">
        <v>1592</v>
      </c>
      <c r="H1316" s="9" t="s">
        <v>177</v>
      </c>
      <c r="I1316" s="9" t="s">
        <v>2809</v>
      </c>
      <c r="J1316" s="9" t="s">
        <v>1601</v>
      </c>
      <c r="K1316" s="9">
        <v>1</v>
      </c>
      <c r="L1316" s="9">
        <v>25</v>
      </c>
      <c r="M1316" s="9">
        <v>2007</v>
      </c>
      <c r="O1316" s="9" t="str">
        <f t="shared" si="64"/>
        <v>NO</v>
      </c>
      <c r="P1316" s="9" t="str">
        <f t="shared" si="65"/>
        <v>NO</v>
      </c>
      <c r="Q1316" s="9" t="str">
        <f t="shared" si="66"/>
        <v>Conditioned</v>
      </c>
    </row>
    <row r="1317" spans="1:17">
      <c r="A1317" s="9">
        <v>20941</v>
      </c>
      <c r="B1317" s="9">
        <v>1</v>
      </c>
      <c r="C1317" s="9" t="s">
        <v>1589</v>
      </c>
      <c r="D1317" s="9" t="s">
        <v>1590</v>
      </c>
      <c r="E1317" s="9" t="s">
        <v>1591</v>
      </c>
      <c r="F1317" s="9" t="s">
        <v>1589</v>
      </c>
      <c r="G1317" s="9" t="s">
        <v>1592</v>
      </c>
      <c r="H1317" s="9" t="s">
        <v>174</v>
      </c>
      <c r="I1317" s="9" t="s">
        <v>2810</v>
      </c>
      <c r="J1317" s="9" t="s">
        <v>1597</v>
      </c>
      <c r="K1317" s="9">
        <v>1</v>
      </c>
      <c r="L1317" s="9">
        <v>18</v>
      </c>
      <c r="M1317" s="9">
        <v>1998</v>
      </c>
      <c r="O1317" s="9" t="str">
        <f t="shared" si="64"/>
        <v>NO</v>
      </c>
      <c r="P1317" s="9" t="str">
        <f t="shared" si="65"/>
        <v>NO</v>
      </c>
      <c r="Q1317" s="9" t="str">
        <f t="shared" si="66"/>
        <v>Conditioned</v>
      </c>
    </row>
    <row r="1318" spans="1:17">
      <c r="A1318" s="9">
        <v>20941</v>
      </c>
      <c r="B1318" s="9">
        <v>2</v>
      </c>
      <c r="C1318" s="9" t="s">
        <v>2811</v>
      </c>
      <c r="D1318" s="9" t="s">
        <v>1603</v>
      </c>
      <c r="E1318" s="9" t="s">
        <v>1602</v>
      </c>
      <c r="F1318" s="9" t="s">
        <v>1603</v>
      </c>
      <c r="G1318" s="9" t="s">
        <v>1592</v>
      </c>
      <c r="H1318" s="9" t="s">
        <v>1017</v>
      </c>
      <c r="I1318" s="9" t="s">
        <v>2812</v>
      </c>
      <c r="J1318" s="9" t="s">
        <v>1601</v>
      </c>
      <c r="L1318" s="9">
        <v>27</v>
      </c>
      <c r="M1318" s="9">
        <v>2011</v>
      </c>
      <c r="O1318" s="9" t="str">
        <f t="shared" si="64"/>
        <v>NO</v>
      </c>
      <c r="P1318" s="9" t="str">
        <f t="shared" si="65"/>
        <v>NO</v>
      </c>
      <c r="Q1318" s="9" t="str">
        <f t="shared" si="66"/>
        <v>Conditioned</v>
      </c>
    </row>
    <row r="1319" spans="1:17">
      <c r="A1319" s="9">
        <v>20941</v>
      </c>
      <c r="B1319" s="9">
        <v>3</v>
      </c>
      <c r="C1319" s="9" t="s">
        <v>2813</v>
      </c>
      <c r="D1319" s="9" t="s">
        <v>1590</v>
      </c>
      <c r="E1319" s="9" t="s">
        <v>1591</v>
      </c>
      <c r="F1319" s="9" t="s">
        <v>1589</v>
      </c>
      <c r="G1319" s="9" t="s">
        <v>1606</v>
      </c>
      <c r="H1319" s="9" t="s">
        <v>1589</v>
      </c>
      <c r="I1319" s="9" t="s">
        <v>1589</v>
      </c>
      <c r="J1319" s="9" t="s">
        <v>1605</v>
      </c>
      <c r="K1319" s="9">
        <v>1</v>
      </c>
      <c r="L1319" s="9">
        <v>24</v>
      </c>
      <c r="O1319" s="9" t="str">
        <f t="shared" si="64"/>
        <v>NO</v>
      </c>
      <c r="P1319" s="9" t="str">
        <f t="shared" si="65"/>
        <v>YES</v>
      </c>
      <c r="Q1319" s="9" t="str">
        <f t="shared" si="66"/>
        <v>Unconditioned</v>
      </c>
    </row>
    <row r="1320" spans="1:17">
      <c r="A1320" s="9">
        <v>20946</v>
      </c>
      <c r="B1320" s="9">
        <v>1</v>
      </c>
      <c r="C1320" s="9" t="s">
        <v>1589</v>
      </c>
      <c r="D1320" s="9" t="s">
        <v>1590</v>
      </c>
      <c r="E1320" s="9" t="s">
        <v>1602</v>
      </c>
      <c r="F1320" s="9" t="s">
        <v>1603</v>
      </c>
      <c r="G1320" s="9" t="s">
        <v>1592</v>
      </c>
      <c r="H1320" s="9" t="s">
        <v>170</v>
      </c>
      <c r="I1320" s="9" t="s">
        <v>2814</v>
      </c>
      <c r="J1320" s="9" t="s">
        <v>1601</v>
      </c>
      <c r="K1320" s="9">
        <v>1</v>
      </c>
      <c r="L1320" s="9">
        <v>27</v>
      </c>
      <c r="M1320" s="9">
        <v>1999</v>
      </c>
      <c r="O1320" s="9" t="str">
        <f t="shared" si="64"/>
        <v>NO</v>
      </c>
      <c r="P1320" s="9" t="str">
        <f t="shared" si="65"/>
        <v>NO</v>
      </c>
      <c r="Q1320" s="9" t="str">
        <f t="shared" si="66"/>
        <v>Conditioned</v>
      </c>
    </row>
    <row r="1321" spans="1:17">
      <c r="A1321" s="9">
        <v>20946</v>
      </c>
      <c r="B1321" s="9">
        <v>2</v>
      </c>
      <c r="C1321" s="9" t="s">
        <v>1589</v>
      </c>
      <c r="D1321" s="9" t="s">
        <v>1590</v>
      </c>
      <c r="E1321" s="9" t="s">
        <v>1591</v>
      </c>
      <c r="F1321" s="9" t="s">
        <v>1589</v>
      </c>
      <c r="G1321" s="9" t="s">
        <v>1592</v>
      </c>
      <c r="H1321" s="9" t="s">
        <v>170</v>
      </c>
      <c r="I1321" s="9" t="s">
        <v>2815</v>
      </c>
      <c r="J1321" s="9" t="s">
        <v>1605</v>
      </c>
      <c r="K1321" s="9">
        <v>1</v>
      </c>
      <c r="L1321" s="9">
        <v>16</v>
      </c>
      <c r="M1321" s="9">
        <v>1988</v>
      </c>
      <c r="O1321" s="9" t="str">
        <f t="shared" si="64"/>
        <v>NO</v>
      </c>
      <c r="P1321" s="9" t="str">
        <f t="shared" si="65"/>
        <v>YES</v>
      </c>
      <c r="Q1321" s="9" t="str">
        <f t="shared" si="66"/>
        <v>Conditioned</v>
      </c>
    </row>
    <row r="1322" spans="1:17">
      <c r="A1322" s="9">
        <v>20958</v>
      </c>
      <c r="B1322" s="9">
        <v>1</v>
      </c>
      <c r="C1322" s="9" t="s">
        <v>1589</v>
      </c>
      <c r="D1322" s="9" t="s">
        <v>1590</v>
      </c>
      <c r="E1322" s="9" t="s">
        <v>1602</v>
      </c>
      <c r="F1322" s="9" t="s">
        <v>1603</v>
      </c>
      <c r="G1322" s="9" t="s">
        <v>1592</v>
      </c>
      <c r="H1322" s="9" t="s">
        <v>170</v>
      </c>
      <c r="I1322" s="9" t="s">
        <v>2816</v>
      </c>
      <c r="J1322" s="9" t="s">
        <v>1601</v>
      </c>
      <c r="K1322" s="9">
        <v>1</v>
      </c>
      <c r="L1322" s="9">
        <v>21</v>
      </c>
      <c r="M1322" s="9">
        <v>2003</v>
      </c>
      <c r="O1322" s="9" t="str">
        <f t="shared" si="64"/>
        <v>NO</v>
      </c>
      <c r="P1322" s="9" t="str">
        <f t="shared" si="65"/>
        <v>NO</v>
      </c>
      <c r="Q1322" s="9" t="str">
        <f t="shared" si="66"/>
        <v>Conditioned</v>
      </c>
    </row>
    <row r="1323" spans="1:17">
      <c r="A1323" s="9">
        <v>20958</v>
      </c>
      <c r="B1323" s="9">
        <v>2</v>
      </c>
      <c r="C1323" s="9" t="s">
        <v>1589</v>
      </c>
      <c r="D1323" s="9" t="s">
        <v>1590</v>
      </c>
      <c r="E1323" s="9" t="s">
        <v>1591</v>
      </c>
      <c r="F1323" s="9" t="s">
        <v>1589</v>
      </c>
      <c r="G1323" s="9" t="s">
        <v>1606</v>
      </c>
      <c r="H1323" s="9" t="s">
        <v>181</v>
      </c>
      <c r="I1323" s="9" t="s">
        <v>2817</v>
      </c>
      <c r="J1323" s="9" t="s">
        <v>1589</v>
      </c>
      <c r="K1323" s="9">
        <v>1</v>
      </c>
      <c r="L1323" s="9">
        <v>2</v>
      </c>
      <c r="M1323" s="9">
        <v>2005</v>
      </c>
      <c r="O1323" s="9" t="str">
        <f t="shared" si="64"/>
        <v>YES</v>
      </c>
      <c r="P1323" s="9" t="e">
        <f t="shared" si="65"/>
        <v>#N/A</v>
      </c>
      <c r="Q1323" s="9" t="str">
        <f t="shared" si="66"/>
        <v>Unconditioned</v>
      </c>
    </row>
    <row r="1324" spans="1:17">
      <c r="A1324" s="9">
        <v>20965</v>
      </c>
      <c r="B1324" s="9">
        <v>1</v>
      </c>
      <c r="C1324" s="9" t="s">
        <v>1589</v>
      </c>
      <c r="D1324" s="9" t="s">
        <v>1590</v>
      </c>
      <c r="E1324" s="9" t="s">
        <v>1613</v>
      </c>
      <c r="F1324" s="9" t="s">
        <v>1603</v>
      </c>
      <c r="G1324" s="9" t="s">
        <v>1592</v>
      </c>
      <c r="H1324" s="9" t="s">
        <v>169</v>
      </c>
      <c r="I1324" s="9" t="s">
        <v>2818</v>
      </c>
      <c r="J1324" s="9" t="s">
        <v>1597</v>
      </c>
      <c r="K1324" s="9">
        <v>1</v>
      </c>
      <c r="L1324" s="9">
        <v>18</v>
      </c>
      <c r="M1324" s="9">
        <v>2004</v>
      </c>
      <c r="O1324" s="9" t="str">
        <f t="shared" si="64"/>
        <v>NO</v>
      </c>
      <c r="P1324" s="9" t="str">
        <f t="shared" si="65"/>
        <v>NO</v>
      </c>
      <c r="Q1324" s="9" t="str">
        <f t="shared" si="66"/>
        <v>Conditioned</v>
      </c>
    </row>
    <row r="1325" spans="1:17">
      <c r="A1325" s="9">
        <v>20965</v>
      </c>
      <c r="B1325" s="9">
        <v>2</v>
      </c>
      <c r="C1325" s="9" t="s">
        <v>1589</v>
      </c>
      <c r="D1325" s="9" t="s">
        <v>1590</v>
      </c>
      <c r="E1325" s="9" t="s">
        <v>1591</v>
      </c>
      <c r="F1325" s="9" t="s">
        <v>1589</v>
      </c>
      <c r="G1325" s="9" t="s">
        <v>1606</v>
      </c>
      <c r="H1325" s="9" t="s">
        <v>1678</v>
      </c>
      <c r="I1325" s="9" t="s">
        <v>2819</v>
      </c>
      <c r="J1325" s="9" t="s">
        <v>1605</v>
      </c>
      <c r="K1325" s="9">
        <v>0.25</v>
      </c>
      <c r="L1325" s="9">
        <v>20</v>
      </c>
      <c r="M1325" s="9">
        <v>1962</v>
      </c>
      <c r="O1325" s="9" t="str">
        <f t="shared" si="64"/>
        <v>NO</v>
      </c>
      <c r="P1325" s="9" t="str">
        <f t="shared" si="65"/>
        <v>YES</v>
      </c>
      <c r="Q1325" s="9" t="str">
        <f t="shared" si="66"/>
        <v>Unconditioned</v>
      </c>
    </row>
    <row r="1326" spans="1:17">
      <c r="A1326" s="9">
        <v>20965</v>
      </c>
      <c r="B1326" s="9">
        <v>3</v>
      </c>
      <c r="C1326" s="9" t="s">
        <v>1589</v>
      </c>
      <c r="D1326" s="9" t="s">
        <v>1590</v>
      </c>
      <c r="E1326" s="9" t="s">
        <v>1591</v>
      </c>
      <c r="F1326" s="9" t="s">
        <v>1589</v>
      </c>
      <c r="G1326" s="9" t="s">
        <v>1606</v>
      </c>
      <c r="H1326" s="9" t="s">
        <v>1624</v>
      </c>
      <c r="I1326" s="9" t="s">
        <v>2820</v>
      </c>
      <c r="J1326" s="9" t="s">
        <v>1605</v>
      </c>
      <c r="K1326" s="9">
        <v>1</v>
      </c>
      <c r="L1326" s="9">
        <v>18</v>
      </c>
      <c r="M1326" s="9">
        <v>1971</v>
      </c>
      <c r="O1326" s="9" t="str">
        <f t="shared" si="64"/>
        <v>NO</v>
      </c>
      <c r="P1326" s="9" t="str">
        <f t="shared" si="65"/>
        <v>YES</v>
      </c>
      <c r="Q1326" s="9" t="str">
        <f t="shared" si="66"/>
        <v>Unconditioned</v>
      </c>
    </row>
    <row r="1327" spans="1:17">
      <c r="A1327" s="9">
        <v>20965</v>
      </c>
      <c r="B1327" s="9">
        <v>4</v>
      </c>
      <c r="C1327" s="9" t="s">
        <v>1589</v>
      </c>
      <c r="D1327" s="9" t="s">
        <v>1590</v>
      </c>
      <c r="E1327" s="9" t="s">
        <v>1591</v>
      </c>
      <c r="F1327" s="9" t="s">
        <v>1589</v>
      </c>
      <c r="G1327" s="9" t="s">
        <v>1606</v>
      </c>
      <c r="H1327" s="9" t="s">
        <v>177</v>
      </c>
      <c r="I1327" s="9" t="s">
        <v>2821</v>
      </c>
      <c r="J1327" s="9" t="s">
        <v>1587</v>
      </c>
      <c r="K1327" s="9">
        <v>1</v>
      </c>
      <c r="L1327" s="9">
        <v>16</v>
      </c>
      <c r="O1327" s="9" t="str">
        <f t="shared" si="64"/>
        <v>NO</v>
      </c>
      <c r="P1327" s="9" t="str">
        <f t="shared" si="65"/>
        <v>YES</v>
      </c>
      <c r="Q1327" s="9" t="str">
        <f t="shared" si="66"/>
        <v>Unconditioned</v>
      </c>
    </row>
    <row r="1328" spans="1:17">
      <c r="A1328" s="9">
        <v>20968</v>
      </c>
      <c r="B1328" s="9">
        <v>1</v>
      </c>
      <c r="C1328" s="9" t="s">
        <v>1589</v>
      </c>
      <c r="D1328" s="9" t="s">
        <v>1590</v>
      </c>
      <c r="E1328" s="9" t="s">
        <v>1591</v>
      </c>
      <c r="F1328" s="9" t="s">
        <v>1589</v>
      </c>
      <c r="G1328" s="9" t="s">
        <v>1592</v>
      </c>
      <c r="H1328" s="9" t="s">
        <v>177</v>
      </c>
      <c r="I1328" s="9" t="s">
        <v>2822</v>
      </c>
      <c r="J1328" s="9" t="s">
        <v>1597</v>
      </c>
      <c r="K1328" s="9">
        <v>1</v>
      </c>
      <c r="L1328" s="9">
        <v>20</v>
      </c>
      <c r="M1328" s="9">
        <v>1995</v>
      </c>
      <c r="O1328" s="9" t="str">
        <f t="shared" si="64"/>
        <v>NO</v>
      </c>
      <c r="P1328" s="9" t="str">
        <f t="shared" si="65"/>
        <v>NO</v>
      </c>
      <c r="Q1328" s="9" t="str">
        <f t="shared" si="66"/>
        <v>Conditioned</v>
      </c>
    </row>
    <row r="1329" spans="1:17">
      <c r="A1329" s="9">
        <v>20970</v>
      </c>
      <c r="B1329" s="9">
        <v>1</v>
      </c>
      <c r="C1329" s="9" t="s">
        <v>1589</v>
      </c>
      <c r="D1329" s="9" t="s">
        <v>1603</v>
      </c>
      <c r="E1329" s="9" t="s">
        <v>1602</v>
      </c>
      <c r="F1329" s="9" t="s">
        <v>1603</v>
      </c>
      <c r="G1329" s="9" t="s">
        <v>1592</v>
      </c>
      <c r="H1329" s="9" t="s">
        <v>172</v>
      </c>
      <c r="I1329" s="9" t="s">
        <v>2823</v>
      </c>
      <c r="J1329" s="9" t="s">
        <v>1601</v>
      </c>
      <c r="K1329" s="9">
        <v>1</v>
      </c>
      <c r="L1329" s="9">
        <v>25</v>
      </c>
      <c r="M1329" s="9">
        <v>2006</v>
      </c>
      <c r="O1329" s="9" t="str">
        <f t="shared" si="64"/>
        <v>NO</v>
      </c>
      <c r="P1329" s="9" t="str">
        <f t="shared" si="65"/>
        <v>NO</v>
      </c>
      <c r="Q1329" s="9" t="str">
        <f t="shared" si="66"/>
        <v>Conditioned</v>
      </c>
    </row>
    <row r="1330" spans="1:17">
      <c r="A1330" s="9">
        <v>20974</v>
      </c>
      <c r="B1330" s="9">
        <v>1</v>
      </c>
      <c r="C1330" s="9" t="s">
        <v>1589</v>
      </c>
      <c r="D1330" s="9" t="s">
        <v>1590</v>
      </c>
      <c r="E1330" s="9" t="s">
        <v>1591</v>
      </c>
      <c r="F1330" s="9" t="s">
        <v>1589</v>
      </c>
      <c r="G1330" s="9" t="s">
        <v>1592</v>
      </c>
      <c r="H1330" s="9" t="s">
        <v>1589</v>
      </c>
      <c r="I1330" s="9" t="s">
        <v>2824</v>
      </c>
      <c r="J1330" s="9" t="s">
        <v>1597</v>
      </c>
      <c r="L1330" s="9">
        <v>19</v>
      </c>
      <c r="M1330" s="9">
        <v>1999</v>
      </c>
      <c r="O1330" s="9" t="str">
        <f t="shared" si="64"/>
        <v>NO</v>
      </c>
      <c r="P1330" s="9" t="str">
        <f t="shared" si="65"/>
        <v>NO</v>
      </c>
      <c r="Q1330" s="9" t="str">
        <f t="shared" si="66"/>
        <v>Conditioned</v>
      </c>
    </row>
    <row r="1331" spans="1:17">
      <c r="A1331" s="9">
        <v>20974</v>
      </c>
      <c r="B1331" s="9">
        <v>2</v>
      </c>
      <c r="C1331" s="9" t="s">
        <v>1589</v>
      </c>
      <c r="D1331" s="9" t="s">
        <v>1590</v>
      </c>
      <c r="E1331" s="9" t="s">
        <v>1591</v>
      </c>
      <c r="F1331" s="9" t="s">
        <v>1589</v>
      </c>
      <c r="G1331" s="9" t="s">
        <v>1592</v>
      </c>
      <c r="H1331" s="9" t="s">
        <v>1589</v>
      </c>
      <c r="I1331" s="9" t="s">
        <v>1589</v>
      </c>
      <c r="J1331" s="9" t="s">
        <v>1587</v>
      </c>
      <c r="K1331" s="9">
        <v>1</v>
      </c>
      <c r="L1331" s="9">
        <v>8</v>
      </c>
      <c r="M1331" s="9">
        <v>2007</v>
      </c>
      <c r="O1331" s="9" t="str">
        <f t="shared" si="64"/>
        <v>NO</v>
      </c>
      <c r="P1331" s="9" t="str">
        <f t="shared" si="65"/>
        <v>YES</v>
      </c>
      <c r="Q1331" s="9" t="str">
        <f t="shared" si="66"/>
        <v>Conditioned</v>
      </c>
    </row>
    <row r="1332" spans="1:17">
      <c r="A1332" s="9">
        <v>20974</v>
      </c>
      <c r="B1332" s="9">
        <v>3</v>
      </c>
      <c r="C1332" s="9" t="s">
        <v>1589</v>
      </c>
      <c r="D1332" s="9" t="s">
        <v>1590</v>
      </c>
      <c r="E1332" s="9" t="s">
        <v>1591</v>
      </c>
      <c r="F1332" s="9" t="s">
        <v>1589</v>
      </c>
      <c r="G1332" s="9" t="s">
        <v>1606</v>
      </c>
      <c r="H1332" s="9" t="s">
        <v>174</v>
      </c>
      <c r="I1332" s="9" t="s">
        <v>2825</v>
      </c>
      <c r="J1332" s="9" t="s">
        <v>1601</v>
      </c>
      <c r="K1332" s="9">
        <v>1</v>
      </c>
      <c r="L1332" s="9">
        <v>28</v>
      </c>
      <c r="M1332" s="9">
        <v>2010</v>
      </c>
      <c r="O1332" s="9" t="str">
        <f t="shared" si="64"/>
        <v>NO</v>
      </c>
      <c r="P1332" s="9" t="str">
        <f t="shared" si="65"/>
        <v>NO</v>
      </c>
      <c r="Q1332" s="9" t="str">
        <f t="shared" si="66"/>
        <v>Unconditioned</v>
      </c>
    </row>
    <row r="1333" spans="1:17">
      <c r="A1333" s="9">
        <v>20976</v>
      </c>
      <c r="B1333" s="9">
        <v>1</v>
      </c>
      <c r="C1333" s="9" t="s">
        <v>1589</v>
      </c>
      <c r="D1333" s="9" t="s">
        <v>1590</v>
      </c>
      <c r="E1333" s="9" t="s">
        <v>1602</v>
      </c>
      <c r="F1333" s="9" t="s">
        <v>1590</v>
      </c>
      <c r="G1333" s="9" t="s">
        <v>1592</v>
      </c>
      <c r="H1333" s="9" t="s">
        <v>177</v>
      </c>
      <c r="I1333" s="9" t="s">
        <v>2826</v>
      </c>
      <c r="J1333" s="9" t="s">
        <v>1601</v>
      </c>
      <c r="K1333" s="9">
        <v>1</v>
      </c>
      <c r="L1333" s="9">
        <v>29</v>
      </c>
      <c r="M1333" s="9">
        <v>2003</v>
      </c>
      <c r="O1333" s="9" t="str">
        <f t="shared" si="64"/>
        <v>NO</v>
      </c>
      <c r="P1333" s="9" t="str">
        <f t="shared" si="65"/>
        <v>NO</v>
      </c>
      <c r="Q1333" s="9" t="str">
        <f t="shared" si="66"/>
        <v>Conditioned</v>
      </c>
    </row>
    <row r="1334" spans="1:17">
      <c r="A1334" s="9">
        <v>20976</v>
      </c>
      <c r="B1334" s="9">
        <v>2</v>
      </c>
      <c r="C1334" s="9" t="s">
        <v>1589</v>
      </c>
      <c r="D1334" s="9" t="s">
        <v>1590</v>
      </c>
      <c r="E1334" s="9" t="s">
        <v>1591</v>
      </c>
      <c r="F1334" s="9" t="s">
        <v>1589</v>
      </c>
      <c r="G1334" s="9" t="s">
        <v>1606</v>
      </c>
      <c r="H1334" s="9" t="s">
        <v>169</v>
      </c>
      <c r="I1334" s="9" t="s">
        <v>2827</v>
      </c>
      <c r="J1334" s="9" t="s">
        <v>1587</v>
      </c>
      <c r="K1334" s="9">
        <v>1</v>
      </c>
      <c r="L1334" s="9">
        <v>8</v>
      </c>
      <c r="M1334" s="9">
        <v>1998</v>
      </c>
      <c r="O1334" s="9" t="str">
        <f t="shared" si="64"/>
        <v>NO</v>
      </c>
      <c r="P1334" s="9" t="str">
        <f t="shared" si="65"/>
        <v>YES</v>
      </c>
      <c r="Q1334" s="9" t="str">
        <f t="shared" si="66"/>
        <v>Unconditioned</v>
      </c>
    </row>
    <row r="1335" spans="1:17">
      <c r="A1335" s="9">
        <v>20995</v>
      </c>
      <c r="B1335" s="9">
        <v>1</v>
      </c>
      <c r="C1335" s="9" t="s">
        <v>1589</v>
      </c>
      <c r="D1335" s="9" t="s">
        <v>1590</v>
      </c>
      <c r="E1335" s="9" t="s">
        <v>1591</v>
      </c>
      <c r="F1335" s="9" t="s">
        <v>1589</v>
      </c>
      <c r="G1335" s="9" t="s">
        <v>1592</v>
      </c>
      <c r="H1335" s="9" t="s">
        <v>1589</v>
      </c>
      <c r="I1335" s="9" t="s">
        <v>2828</v>
      </c>
      <c r="J1335" s="9" t="s">
        <v>1597</v>
      </c>
      <c r="K1335" s="9">
        <v>0.75</v>
      </c>
      <c r="L1335" s="9">
        <v>13</v>
      </c>
      <c r="M1335" s="9">
        <v>2006</v>
      </c>
      <c r="O1335" s="9" t="str">
        <f t="shared" si="64"/>
        <v>NO</v>
      </c>
      <c r="P1335" s="9" t="str">
        <f t="shared" si="65"/>
        <v>NO</v>
      </c>
      <c r="Q1335" s="9" t="str">
        <f t="shared" si="66"/>
        <v>Conditioned</v>
      </c>
    </row>
    <row r="1336" spans="1:17">
      <c r="A1336" s="9">
        <v>20998</v>
      </c>
      <c r="B1336" s="9">
        <v>1</v>
      </c>
      <c r="C1336" s="9" t="s">
        <v>1589</v>
      </c>
      <c r="D1336" s="9" t="s">
        <v>1603</v>
      </c>
      <c r="E1336" s="9" t="s">
        <v>1602</v>
      </c>
      <c r="F1336" s="9" t="s">
        <v>1603</v>
      </c>
      <c r="G1336" s="9" t="s">
        <v>1592</v>
      </c>
      <c r="H1336" s="9" t="s">
        <v>176</v>
      </c>
      <c r="I1336" s="9" t="s">
        <v>2829</v>
      </c>
      <c r="J1336" s="9" t="s">
        <v>1610</v>
      </c>
      <c r="K1336" s="9">
        <v>1</v>
      </c>
      <c r="L1336" s="9">
        <v>26</v>
      </c>
      <c r="M1336" s="9">
        <v>2009</v>
      </c>
      <c r="O1336" s="9" t="str">
        <f t="shared" si="64"/>
        <v>NO</v>
      </c>
      <c r="P1336" s="9" t="str">
        <f t="shared" si="65"/>
        <v>NO</v>
      </c>
      <c r="Q1336" s="9" t="str">
        <f t="shared" si="66"/>
        <v>Conditioned</v>
      </c>
    </row>
    <row r="1337" spans="1:17">
      <c r="A1337" s="9">
        <v>20998</v>
      </c>
      <c r="B1337" s="9">
        <v>2</v>
      </c>
      <c r="C1337" s="9" t="s">
        <v>1589</v>
      </c>
      <c r="D1337" s="9" t="s">
        <v>1590</v>
      </c>
      <c r="E1337" s="9" t="s">
        <v>1591</v>
      </c>
      <c r="F1337" s="9" t="s">
        <v>1589</v>
      </c>
      <c r="G1337" s="9" t="s">
        <v>1606</v>
      </c>
      <c r="H1337" s="9" t="s">
        <v>2235</v>
      </c>
      <c r="I1337" s="9" t="s">
        <v>2830</v>
      </c>
      <c r="J1337" s="9" t="s">
        <v>1605</v>
      </c>
      <c r="K1337" s="9">
        <v>1</v>
      </c>
      <c r="L1337" s="9">
        <v>20</v>
      </c>
      <c r="M1337" s="9">
        <v>1995</v>
      </c>
      <c r="O1337" s="9" t="str">
        <f t="shared" si="64"/>
        <v>NO</v>
      </c>
      <c r="P1337" s="9" t="str">
        <f t="shared" si="65"/>
        <v>YES</v>
      </c>
      <c r="Q1337" s="9" t="str">
        <f t="shared" si="66"/>
        <v>Unconditioned</v>
      </c>
    </row>
    <row r="1338" spans="1:17">
      <c r="A1338" s="9">
        <v>20998</v>
      </c>
      <c r="B1338" s="9">
        <v>3</v>
      </c>
      <c r="C1338" s="9" t="s">
        <v>1589</v>
      </c>
      <c r="D1338" s="9" t="s">
        <v>1590</v>
      </c>
      <c r="E1338" s="9" t="s">
        <v>1591</v>
      </c>
      <c r="F1338" s="9" t="s">
        <v>1589</v>
      </c>
      <c r="G1338" s="9" t="s">
        <v>1606</v>
      </c>
      <c r="H1338" s="9" t="s">
        <v>1599</v>
      </c>
      <c r="I1338" s="9" t="s">
        <v>2831</v>
      </c>
      <c r="J1338" s="9" t="s">
        <v>1597</v>
      </c>
      <c r="K1338" s="9">
        <v>1</v>
      </c>
      <c r="L1338" s="9">
        <v>25</v>
      </c>
      <c r="M1338" s="9">
        <v>1995</v>
      </c>
      <c r="O1338" s="9" t="str">
        <f t="shared" si="64"/>
        <v>NO</v>
      </c>
      <c r="P1338" s="9" t="str">
        <f t="shared" si="65"/>
        <v>NO</v>
      </c>
      <c r="Q1338" s="9" t="str">
        <f t="shared" si="66"/>
        <v>Unconditioned</v>
      </c>
    </row>
    <row r="1339" spans="1:17">
      <c r="A1339" s="9">
        <v>21002</v>
      </c>
      <c r="B1339" s="9">
        <v>1</v>
      </c>
      <c r="C1339" s="9" t="s">
        <v>1589</v>
      </c>
      <c r="D1339" s="9" t="s">
        <v>1590</v>
      </c>
      <c r="E1339" s="9" t="s">
        <v>1591</v>
      </c>
      <c r="F1339" s="9" t="s">
        <v>1589</v>
      </c>
      <c r="G1339" s="9" t="s">
        <v>1592</v>
      </c>
      <c r="H1339" s="9" t="s">
        <v>174</v>
      </c>
      <c r="I1339" s="9" t="s">
        <v>2832</v>
      </c>
      <c r="J1339" s="9" t="s">
        <v>1608</v>
      </c>
      <c r="K1339" s="9">
        <v>1</v>
      </c>
      <c r="L1339" s="9">
        <v>26</v>
      </c>
      <c r="M1339" s="9">
        <v>1990</v>
      </c>
      <c r="O1339" s="9" t="str">
        <f t="shared" si="64"/>
        <v>NO</v>
      </c>
      <c r="P1339" s="9" t="str">
        <f t="shared" si="65"/>
        <v>NO</v>
      </c>
      <c r="Q1339" s="9" t="str">
        <f t="shared" si="66"/>
        <v>Conditioned</v>
      </c>
    </row>
    <row r="1340" spans="1:17">
      <c r="A1340" s="9">
        <v>21002</v>
      </c>
      <c r="B1340" s="9">
        <v>2</v>
      </c>
      <c r="C1340" s="9" t="s">
        <v>1589</v>
      </c>
      <c r="D1340" s="9" t="s">
        <v>1590</v>
      </c>
      <c r="E1340" s="9" t="s">
        <v>1591</v>
      </c>
      <c r="F1340" s="9" t="s">
        <v>1589</v>
      </c>
      <c r="G1340" s="9" t="s">
        <v>1592</v>
      </c>
      <c r="H1340" s="9" t="s">
        <v>174</v>
      </c>
      <c r="I1340" s="9" t="s">
        <v>1589</v>
      </c>
      <c r="J1340" s="9" t="s">
        <v>1605</v>
      </c>
      <c r="K1340" s="9">
        <v>1</v>
      </c>
      <c r="L1340" s="9">
        <v>29</v>
      </c>
      <c r="M1340" s="9">
        <v>1960</v>
      </c>
      <c r="O1340" s="9" t="str">
        <f t="shared" si="64"/>
        <v>NO</v>
      </c>
      <c r="P1340" s="9" t="str">
        <f t="shared" si="65"/>
        <v>YES</v>
      </c>
      <c r="Q1340" s="9" t="str">
        <f t="shared" si="66"/>
        <v>Conditioned</v>
      </c>
    </row>
    <row r="1341" spans="1:17">
      <c r="A1341" s="9">
        <v>21003</v>
      </c>
      <c r="B1341" s="9">
        <v>1</v>
      </c>
      <c r="C1341" s="9" t="s">
        <v>1589</v>
      </c>
      <c r="D1341" s="9" t="s">
        <v>1590</v>
      </c>
      <c r="E1341" s="9" t="s">
        <v>1613</v>
      </c>
      <c r="F1341" s="9" t="s">
        <v>1603</v>
      </c>
      <c r="G1341" s="9" t="s">
        <v>1592</v>
      </c>
      <c r="H1341" s="9" t="s">
        <v>177</v>
      </c>
      <c r="I1341" s="9" t="s">
        <v>2833</v>
      </c>
      <c r="J1341" s="9" t="s">
        <v>1597</v>
      </c>
      <c r="K1341" s="9">
        <v>1</v>
      </c>
      <c r="L1341" s="9">
        <v>22</v>
      </c>
      <c r="M1341" s="9">
        <v>1995</v>
      </c>
      <c r="O1341" s="9" t="str">
        <f t="shared" si="64"/>
        <v>NO</v>
      </c>
      <c r="P1341" s="9" t="str">
        <f t="shared" si="65"/>
        <v>NO</v>
      </c>
      <c r="Q1341" s="9" t="str">
        <f t="shared" si="66"/>
        <v>Conditioned</v>
      </c>
    </row>
    <row r="1342" spans="1:17">
      <c r="A1342" s="9">
        <v>21003</v>
      </c>
      <c r="B1342" s="9">
        <v>2</v>
      </c>
      <c r="C1342" s="9" t="s">
        <v>1589</v>
      </c>
      <c r="D1342" s="9" t="s">
        <v>1590</v>
      </c>
      <c r="E1342" s="9" t="s">
        <v>1591</v>
      </c>
      <c r="F1342" s="9" t="s">
        <v>1589</v>
      </c>
      <c r="G1342" s="9" t="s">
        <v>1606</v>
      </c>
      <c r="H1342" s="9" t="s">
        <v>1552</v>
      </c>
      <c r="I1342" s="9" t="s">
        <v>2834</v>
      </c>
      <c r="J1342" s="9" t="s">
        <v>1605</v>
      </c>
      <c r="K1342" s="9">
        <v>1</v>
      </c>
      <c r="L1342" s="9">
        <v>15</v>
      </c>
      <c r="M1342" s="9">
        <v>1997</v>
      </c>
      <c r="O1342" s="9" t="str">
        <f t="shared" si="64"/>
        <v>NO</v>
      </c>
      <c r="P1342" s="9" t="str">
        <f t="shared" si="65"/>
        <v>YES</v>
      </c>
      <c r="Q1342" s="9" t="str">
        <f t="shared" si="66"/>
        <v>Unconditioned</v>
      </c>
    </row>
    <row r="1343" spans="1:17">
      <c r="A1343" s="9">
        <v>21006</v>
      </c>
      <c r="B1343" s="9">
        <v>1</v>
      </c>
      <c r="C1343" s="9" t="s">
        <v>1589</v>
      </c>
      <c r="D1343" s="9" t="s">
        <v>1590</v>
      </c>
      <c r="E1343" s="9" t="s">
        <v>1602</v>
      </c>
      <c r="F1343" s="9" t="s">
        <v>1603</v>
      </c>
      <c r="G1343" s="9" t="s">
        <v>1592</v>
      </c>
      <c r="H1343" s="9" t="s">
        <v>170</v>
      </c>
      <c r="I1343" s="9" t="s">
        <v>2835</v>
      </c>
      <c r="J1343" s="9" t="s">
        <v>1601</v>
      </c>
      <c r="K1343" s="9">
        <v>1</v>
      </c>
      <c r="L1343" s="9">
        <v>22</v>
      </c>
      <c r="M1343" s="9">
        <v>2001</v>
      </c>
      <c r="O1343" s="9" t="str">
        <f t="shared" si="64"/>
        <v>NO</v>
      </c>
      <c r="P1343" s="9" t="str">
        <f t="shared" si="65"/>
        <v>NO</v>
      </c>
      <c r="Q1343" s="9" t="str">
        <f t="shared" si="66"/>
        <v>Conditioned</v>
      </c>
    </row>
    <row r="1344" spans="1:17">
      <c r="A1344" s="9">
        <v>21006</v>
      </c>
      <c r="B1344" s="9">
        <v>2</v>
      </c>
      <c r="C1344" s="9" t="s">
        <v>1589</v>
      </c>
      <c r="D1344" s="9" t="s">
        <v>1590</v>
      </c>
      <c r="E1344" s="9" t="s">
        <v>1602</v>
      </c>
      <c r="F1344" s="9" t="s">
        <v>1590</v>
      </c>
      <c r="G1344" s="9" t="s">
        <v>1606</v>
      </c>
      <c r="H1344" s="9" t="s">
        <v>170</v>
      </c>
      <c r="I1344" s="9" t="s">
        <v>1589</v>
      </c>
      <c r="J1344" s="9" t="s">
        <v>1601</v>
      </c>
      <c r="K1344" s="9">
        <v>1</v>
      </c>
      <c r="L1344" s="9">
        <v>21</v>
      </c>
      <c r="M1344" s="9">
        <v>1980</v>
      </c>
      <c r="O1344" s="9" t="str">
        <f t="shared" si="64"/>
        <v>NO</v>
      </c>
      <c r="P1344" s="9" t="str">
        <f t="shared" si="65"/>
        <v>NO</v>
      </c>
      <c r="Q1344" s="9" t="str">
        <f t="shared" si="66"/>
        <v>Unconditioned</v>
      </c>
    </row>
    <row r="1345" spans="1:17">
      <c r="A1345" s="9">
        <v>21012</v>
      </c>
      <c r="B1345" s="9">
        <v>1</v>
      </c>
      <c r="C1345" s="9" t="s">
        <v>1589</v>
      </c>
      <c r="D1345" s="9" t="s">
        <v>1590</v>
      </c>
      <c r="E1345" s="9" t="s">
        <v>1613</v>
      </c>
      <c r="F1345" s="9" t="s">
        <v>1603</v>
      </c>
      <c r="G1345" s="9" t="s">
        <v>1592</v>
      </c>
      <c r="H1345" s="9" t="s">
        <v>1017</v>
      </c>
      <c r="I1345" s="9" t="s">
        <v>2836</v>
      </c>
      <c r="J1345" s="9" t="s">
        <v>1608</v>
      </c>
      <c r="K1345" s="9">
        <v>1</v>
      </c>
      <c r="L1345" s="9">
        <v>28</v>
      </c>
      <c r="M1345" s="9">
        <v>2005</v>
      </c>
      <c r="O1345" s="9" t="str">
        <f t="shared" si="64"/>
        <v>NO</v>
      </c>
      <c r="P1345" s="9" t="str">
        <f t="shared" si="65"/>
        <v>NO</v>
      </c>
      <c r="Q1345" s="9" t="str">
        <f t="shared" si="66"/>
        <v>Conditioned</v>
      </c>
    </row>
    <row r="1346" spans="1:17">
      <c r="A1346" s="9">
        <v>21012</v>
      </c>
      <c r="B1346" s="9">
        <v>2</v>
      </c>
      <c r="C1346" s="9" t="s">
        <v>1589</v>
      </c>
      <c r="D1346" s="9" t="s">
        <v>1590</v>
      </c>
      <c r="E1346" s="9" t="s">
        <v>1613</v>
      </c>
      <c r="F1346" s="9" t="s">
        <v>1603</v>
      </c>
      <c r="G1346" s="9" t="s">
        <v>1592</v>
      </c>
      <c r="H1346" s="9" t="s">
        <v>1638</v>
      </c>
      <c r="I1346" s="9" t="s">
        <v>2837</v>
      </c>
      <c r="J1346" s="9" t="s">
        <v>1612</v>
      </c>
      <c r="K1346" s="9">
        <v>1</v>
      </c>
      <c r="L1346" s="9">
        <v>5</v>
      </c>
      <c r="M1346" s="9">
        <v>2006</v>
      </c>
      <c r="O1346" s="9" t="str">
        <f t="shared" si="64"/>
        <v>YES</v>
      </c>
      <c r="P1346" s="9" t="str">
        <f t="shared" si="65"/>
        <v>NO</v>
      </c>
      <c r="Q1346" s="9" t="str">
        <f t="shared" si="66"/>
        <v>Conditioned</v>
      </c>
    </row>
    <row r="1347" spans="1:17">
      <c r="A1347" s="9">
        <v>21012</v>
      </c>
      <c r="B1347" s="9">
        <v>3</v>
      </c>
      <c r="C1347" s="9" t="s">
        <v>1589</v>
      </c>
      <c r="D1347" s="9" t="s">
        <v>1590</v>
      </c>
      <c r="E1347" s="9" t="s">
        <v>1591</v>
      </c>
      <c r="F1347" s="9" t="s">
        <v>1589</v>
      </c>
      <c r="G1347" s="9" t="s">
        <v>1592</v>
      </c>
      <c r="H1347" s="9" t="s">
        <v>1589</v>
      </c>
      <c r="I1347" s="9" t="s">
        <v>1589</v>
      </c>
      <c r="J1347" s="9" t="s">
        <v>1587</v>
      </c>
      <c r="K1347" s="9">
        <v>1</v>
      </c>
      <c r="L1347" s="9">
        <v>6</v>
      </c>
      <c r="O1347" s="9" t="str">
        <f t="shared" si="64"/>
        <v>YES</v>
      </c>
      <c r="P1347" s="9" t="str">
        <f t="shared" si="65"/>
        <v>YES</v>
      </c>
      <c r="Q1347" s="9" t="str">
        <f t="shared" si="66"/>
        <v>Conditioned</v>
      </c>
    </row>
    <row r="1348" spans="1:17">
      <c r="A1348" s="9">
        <v>21016</v>
      </c>
      <c r="B1348" s="9">
        <v>1</v>
      </c>
      <c r="C1348" s="9" t="s">
        <v>1589</v>
      </c>
      <c r="D1348" s="9" t="s">
        <v>1590</v>
      </c>
      <c r="E1348" s="9" t="s">
        <v>1591</v>
      </c>
      <c r="F1348" s="9" t="s">
        <v>1589</v>
      </c>
      <c r="G1348" s="9" t="s">
        <v>1592</v>
      </c>
      <c r="H1348" s="9" t="s">
        <v>169</v>
      </c>
      <c r="I1348" s="9" t="s">
        <v>2838</v>
      </c>
      <c r="J1348" s="9" t="s">
        <v>1597</v>
      </c>
      <c r="K1348" s="9">
        <v>1</v>
      </c>
      <c r="L1348" s="9">
        <v>20</v>
      </c>
      <c r="M1348" s="9">
        <v>2003</v>
      </c>
      <c r="O1348" s="9" t="str">
        <f t="shared" si="64"/>
        <v>NO</v>
      </c>
      <c r="P1348" s="9" t="str">
        <f t="shared" si="65"/>
        <v>NO</v>
      </c>
      <c r="Q1348" s="9" t="str">
        <f t="shared" si="66"/>
        <v>Conditioned</v>
      </c>
    </row>
    <row r="1349" spans="1:17">
      <c r="A1349" s="9">
        <v>21016</v>
      </c>
      <c r="B1349" s="9">
        <v>2</v>
      </c>
      <c r="C1349" s="9" t="s">
        <v>1589</v>
      </c>
      <c r="D1349" s="9" t="s">
        <v>1590</v>
      </c>
      <c r="E1349" s="9" t="s">
        <v>1591</v>
      </c>
      <c r="F1349" s="9" t="s">
        <v>1589</v>
      </c>
      <c r="G1349" s="9" t="s">
        <v>1606</v>
      </c>
      <c r="H1349" s="9" t="s">
        <v>170</v>
      </c>
      <c r="I1349" s="9" t="s">
        <v>2839</v>
      </c>
      <c r="J1349" s="9" t="s">
        <v>1605</v>
      </c>
      <c r="K1349" s="9">
        <v>1</v>
      </c>
      <c r="L1349" s="9">
        <v>19</v>
      </c>
      <c r="M1349" s="9">
        <v>2000</v>
      </c>
      <c r="O1349" s="9" t="str">
        <f t="shared" si="64"/>
        <v>NO</v>
      </c>
      <c r="P1349" s="9" t="str">
        <f t="shared" si="65"/>
        <v>YES</v>
      </c>
      <c r="Q1349" s="9" t="str">
        <f t="shared" si="66"/>
        <v>Unconditioned</v>
      </c>
    </row>
    <row r="1350" spans="1:17">
      <c r="A1350" s="9">
        <v>21018</v>
      </c>
      <c r="B1350" s="9">
        <v>1</v>
      </c>
      <c r="C1350" s="9" t="s">
        <v>1589</v>
      </c>
      <c r="D1350" s="9" t="s">
        <v>1590</v>
      </c>
      <c r="E1350" s="9" t="s">
        <v>1591</v>
      </c>
      <c r="F1350" s="9" t="s">
        <v>1589</v>
      </c>
      <c r="G1350" s="9" t="s">
        <v>1592</v>
      </c>
      <c r="H1350" s="9" t="s">
        <v>177</v>
      </c>
      <c r="I1350" s="9" t="s">
        <v>2840</v>
      </c>
      <c r="J1350" s="9" t="s">
        <v>1608</v>
      </c>
      <c r="K1350" s="9">
        <v>1</v>
      </c>
      <c r="L1350" s="9">
        <v>28</v>
      </c>
      <c r="M1350" s="9">
        <v>2009</v>
      </c>
      <c r="O1350" s="9" t="str">
        <f t="shared" si="64"/>
        <v>NO</v>
      </c>
      <c r="P1350" s="9" t="str">
        <f t="shared" si="65"/>
        <v>NO</v>
      </c>
      <c r="Q1350" s="9" t="str">
        <f t="shared" si="66"/>
        <v>Conditioned</v>
      </c>
    </row>
    <row r="1351" spans="1:17">
      <c r="A1351" s="9">
        <v>21018</v>
      </c>
      <c r="B1351" s="9">
        <v>2</v>
      </c>
      <c r="C1351" s="9" t="s">
        <v>1589</v>
      </c>
      <c r="D1351" s="9" t="s">
        <v>1590</v>
      </c>
      <c r="E1351" s="9" t="s">
        <v>1591</v>
      </c>
      <c r="F1351" s="9" t="s">
        <v>1589</v>
      </c>
      <c r="G1351" s="9" t="s">
        <v>1606</v>
      </c>
      <c r="H1351" s="9" t="s">
        <v>1638</v>
      </c>
      <c r="I1351" s="9" t="s">
        <v>2841</v>
      </c>
      <c r="J1351" s="9" t="s">
        <v>1605</v>
      </c>
      <c r="K1351" s="9">
        <v>1</v>
      </c>
      <c r="L1351" s="9">
        <v>24</v>
      </c>
      <c r="M1351" s="9">
        <v>1989</v>
      </c>
      <c r="O1351" s="9" t="str">
        <f t="shared" si="64"/>
        <v>NO</v>
      </c>
      <c r="P1351" s="9" t="str">
        <f t="shared" si="65"/>
        <v>YES</v>
      </c>
      <c r="Q1351" s="9" t="str">
        <f t="shared" si="66"/>
        <v>Unconditioned</v>
      </c>
    </row>
    <row r="1352" spans="1:17">
      <c r="A1352" s="9">
        <v>21021</v>
      </c>
      <c r="B1352" s="9">
        <v>1</v>
      </c>
      <c r="C1352" s="9" t="s">
        <v>1589</v>
      </c>
      <c r="D1352" s="9" t="s">
        <v>1590</v>
      </c>
      <c r="E1352" s="9" t="s">
        <v>1613</v>
      </c>
      <c r="F1352" s="9" t="s">
        <v>1603</v>
      </c>
      <c r="G1352" s="9" t="s">
        <v>1592</v>
      </c>
      <c r="H1352" s="9" t="s">
        <v>170</v>
      </c>
      <c r="I1352" s="9" t="s">
        <v>2842</v>
      </c>
      <c r="J1352" s="9" t="s">
        <v>1597</v>
      </c>
      <c r="K1352" s="9">
        <v>1</v>
      </c>
      <c r="L1352" s="9">
        <v>18</v>
      </c>
      <c r="M1352" s="9">
        <v>2006</v>
      </c>
      <c r="O1352" s="9" t="str">
        <f t="shared" si="64"/>
        <v>NO</v>
      </c>
      <c r="P1352" s="9" t="str">
        <f t="shared" si="65"/>
        <v>NO</v>
      </c>
      <c r="Q1352" s="9" t="str">
        <f t="shared" si="66"/>
        <v>Conditioned</v>
      </c>
    </row>
    <row r="1353" spans="1:17">
      <c r="A1353" s="9">
        <v>21021</v>
      </c>
      <c r="B1353" s="9">
        <v>2</v>
      </c>
      <c r="C1353" s="9" t="s">
        <v>1589</v>
      </c>
      <c r="D1353" s="9" t="s">
        <v>1590</v>
      </c>
      <c r="E1353" s="9" t="s">
        <v>1591</v>
      </c>
      <c r="F1353" s="9" t="s">
        <v>1589</v>
      </c>
      <c r="G1353" s="9" t="s">
        <v>1592</v>
      </c>
      <c r="H1353" s="9" t="s">
        <v>177</v>
      </c>
      <c r="I1353" s="9" t="s">
        <v>1589</v>
      </c>
      <c r="J1353" s="9" t="s">
        <v>1605</v>
      </c>
      <c r="K1353" s="9">
        <v>1</v>
      </c>
      <c r="L1353" s="9">
        <v>20</v>
      </c>
      <c r="M1353" s="9">
        <v>1990</v>
      </c>
      <c r="O1353" s="9" t="str">
        <f t="shared" si="64"/>
        <v>NO</v>
      </c>
      <c r="P1353" s="9" t="str">
        <f t="shared" si="65"/>
        <v>YES</v>
      </c>
      <c r="Q1353" s="9" t="str">
        <f t="shared" si="66"/>
        <v>Conditioned</v>
      </c>
    </row>
    <row r="1354" spans="1:17">
      <c r="A1354" s="9">
        <v>21026</v>
      </c>
      <c r="B1354" s="9">
        <v>1</v>
      </c>
      <c r="C1354" s="9" t="s">
        <v>1589</v>
      </c>
      <c r="D1354" s="9" t="s">
        <v>1590</v>
      </c>
      <c r="E1354" s="9" t="s">
        <v>1591</v>
      </c>
      <c r="F1354" s="9" t="s">
        <v>1589</v>
      </c>
      <c r="G1354" s="9" t="s">
        <v>1592</v>
      </c>
      <c r="H1354" s="9" t="s">
        <v>173</v>
      </c>
      <c r="I1354" s="9" t="s">
        <v>2843</v>
      </c>
      <c r="J1354" s="9" t="s">
        <v>1597</v>
      </c>
      <c r="K1354" s="9">
        <v>1</v>
      </c>
      <c r="L1354" s="9">
        <v>20</v>
      </c>
      <c r="M1354" s="9">
        <v>1995</v>
      </c>
      <c r="O1354" s="9" t="str">
        <f t="shared" si="64"/>
        <v>NO</v>
      </c>
      <c r="P1354" s="9" t="str">
        <f t="shared" si="65"/>
        <v>NO</v>
      </c>
      <c r="Q1354" s="9" t="str">
        <f t="shared" si="66"/>
        <v>Conditioned</v>
      </c>
    </row>
    <row r="1355" spans="1:17">
      <c r="A1355" s="9">
        <v>21038</v>
      </c>
      <c r="B1355" s="9">
        <v>1</v>
      </c>
      <c r="C1355" s="9" t="s">
        <v>1589</v>
      </c>
      <c r="D1355" s="9" t="s">
        <v>1590</v>
      </c>
      <c r="E1355" s="9" t="s">
        <v>1591</v>
      </c>
      <c r="F1355" s="9" t="s">
        <v>1589</v>
      </c>
      <c r="G1355" s="9" t="s">
        <v>1592</v>
      </c>
      <c r="H1355" s="9" t="s">
        <v>170</v>
      </c>
      <c r="I1355" s="9" t="s">
        <v>2844</v>
      </c>
      <c r="J1355" s="9" t="s">
        <v>1597</v>
      </c>
      <c r="K1355" s="9">
        <v>1</v>
      </c>
      <c r="L1355" s="9">
        <v>18</v>
      </c>
      <c r="M1355" s="9">
        <v>1975</v>
      </c>
      <c r="O1355" s="9" t="str">
        <f t="shared" si="64"/>
        <v>NO</v>
      </c>
      <c r="P1355" s="9" t="str">
        <f t="shared" si="65"/>
        <v>NO</v>
      </c>
      <c r="Q1355" s="9" t="str">
        <f t="shared" si="66"/>
        <v>Conditioned</v>
      </c>
    </row>
    <row r="1356" spans="1:17">
      <c r="A1356" s="9">
        <v>21038</v>
      </c>
      <c r="B1356" s="9">
        <v>2</v>
      </c>
      <c r="C1356" s="9" t="s">
        <v>1589</v>
      </c>
      <c r="D1356" s="9" t="s">
        <v>1590</v>
      </c>
      <c r="E1356" s="9" t="s">
        <v>1591</v>
      </c>
      <c r="F1356" s="9" t="s">
        <v>1589</v>
      </c>
      <c r="G1356" s="9" t="s">
        <v>1592</v>
      </c>
      <c r="H1356" s="9" t="s">
        <v>169</v>
      </c>
      <c r="I1356" s="9" t="s">
        <v>2845</v>
      </c>
      <c r="J1356" s="9" t="s">
        <v>1587</v>
      </c>
      <c r="K1356" s="9">
        <v>1</v>
      </c>
      <c r="L1356" s="9">
        <v>20</v>
      </c>
      <c r="M1356" s="9">
        <v>2001</v>
      </c>
      <c r="O1356" s="9" t="str">
        <f t="shared" si="64"/>
        <v>NO</v>
      </c>
      <c r="P1356" s="9" t="str">
        <f t="shared" si="65"/>
        <v>YES</v>
      </c>
      <c r="Q1356" s="9" t="str">
        <f t="shared" si="66"/>
        <v>Conditioned</v>
      </c>
    </row>
    <row r="1357" spans="1:17">
      <c r="A1357" s="9">
        <v>21045</v>
      </c>
      <c r="B1357" s="9">
        <v>1</v>
      </c>
      <c r="C1357" s="9" t="s">
        <v>1589</v>
      </c>
      <c r="D1357" s="9" t="s">
        <v>1590</v>
      </c>
      <c r="E1357" s="9" t="s">
        <v>1591</v>
      </c>
      <c r="F1357" s="9" t="s">
        <v>1589</v>
      </c>
      <c r="G1357" s="9" t="s">
        <v>1592</v>
      </c>
      <c r="H1357" s="9" t="s">
        <v>1589</v>
      </c>
      <c r="I1357" s="9" t="s">
        <v>1589</v>
      </c>
      <c r="J1357" s="9" t="s">
        <v>1597</v>
      </c>
      <c r="K1357" s="9">
        <v>1</v>
      </c>
      <c r="L1357" s="9">
        <v>19</v>
      </c>
      <c r="M1357" s="9">
        <v>2001</v>
      </c>
      <c r="O1357" s="9" t="str">
        <f t="shared" si="64"/>
        <v>NO</v>
      </c>
      <c r="P1357" s="9" t="str">
        <f t="shared" si="65"/>
        <v>NO</v>
      </c>
      <c r="Q1357" s="9" t="str">
        <f t="shared" si="66"/>
        <v>Conditioned</v>
      </c>
    </row>
    <row r="1358" spans="1:17">
      <c r="A1358" s="9">
        <v>21049</v>
      </c>
      <c r="B1358" s="9">
        <v>1</v>
      </c>
      <c r="C1358" s="9" t="s">
        <v>1589</v>
      </c>
      <c r="D1358" s="9" t="s">
        <v>1590</v>
      </c>
      <c r="E1358" s="9" t="s">
        <v>1591</v>
      </c>
      <c r="F1358" s="9" t="s">
        <v>1589</v>
      </c>
      <c r="G1358" s="9" t="s">
        <v>1592</v>
      </c>
      <c r="H1358" s="9" t="s">
        <v>169</v>
      </c>
      <c r="I1358" s="9" t="s">
        <v>2846</v>
      </c>
      <c r="J1358" s="9" t="s">
        <v>1597</v>
      </c>
      <c r="K1358" s="9">
        <v>1</v>
      </c>
      <c r="L1358" s="9">
        <v>26</v>
      </c>
      <c r="M1358" s="9">
        <v>2003</v>
      </c>
      <c r="O1358" s="9" t="str">
        <f t="shared" si="64"/>
        <v>NO</v>
      </c>
      <c r="P1358" s="9" t="str">
        <f t="shared" si="65"/>
        <v>NO</v>
      </c>
      <c r="Q1358" s="9" t="str">
        <f t="shared" si="66"/>
        <v>Conditioned</v>
      </c>
    </row>
    <row r="1359" spans="1:17">
      <c r="A1359" s="9">
        <v>21070</v>
      </c>
      <c r="B1359" s="9">
        <v>1</v>
      </c>
      <c r="C1359" s="9" t="s">
        <v>1589</v>
      </c>
      <c r="D1359" s="9" t="s">
        <v>1590</v>
      </c>
      <c r="E1359" s="9" t="s">
        <v>1591</v>
      </c>
      <c r="F1359" s="9" t="s">
        <v>1589</v>
      </c>
      <c r="G1359" s="9" t="s">
        <v>1606</v>
      </c>
      <c r="H1359" s="9" t="s">
        <v>1638</v>
      </c>
      <c r="I1359" s="9" t="s">
        <v>2847</v>
      </c>
      <c r="J1359" s="9" t="s">
        <v>1597</v>
      </c>
      <c r="K1359" s="9">
        <v>1</v>
      </c>
      <c r="L1359" s="9">
        <v>22</v>
      </c>
      <c r="M1359" s="9">
        <v>2003</v>
      </c>
      <c r="O1359" s="9" t="str">
        <f t="shared" si="64"/>
        <v>NO</v>
      </c>
      <c r="P1359" s="9" t="str">
        <f t="shared" si="65"/>
        <v>NO</v>
      </c>
      <c r="Q1359" s="9" t="str">
        <f t="shared" si="66"/>
        <v>Unconditioned</v>
      </c>
    </row>
    <row r="1360" spans="1:17">
      <c r="A1360" s="9">
        <v>21070</v>
      </c>
      <c r="B1360" s="9">
        <v>2</v>
      </c>
      <c r="C1360" s="9" t="s">
        <v>1589</v>
      </c>
      <c r="D1360" s="9" t="s">
        <v>1590</v>
      </c>
      <c r="E1360" s="9" t="s">
        <v>1602</v>
      </c>
      <c r="F1360" s="9" t="s">
        <v>1603</v>
      </c>
      <c r="G1360" s="9" t="s">
        <v>1592</v>
      </c>
      <c r="H1360" s="9" t="s">
        <v>177</v>
      </c>
      <c r="I1360" s="9" t="s">
        <v>2848</v>
      </c>
      <c r="J1360" s="9" t="s">
        <v>1601</v>
      </c>
      <c r="K1360" s="9">
        <v>1</v>
      </c>
      <c r="L1360" s="9">
        <v>22</v>
      </c>
      <c r="M1360" s="9">
        <v>2004</v>
      </c>
      <c r="O1360" s="9" t="str">
        <f t="shared" si="64"/>
        <v>NO</v>
      </c>
      <c r="P1360" s="9" t="str">
        <f t="shared" si="65"/>
        <v>NO</v>
      </c>
      <c r="Q1360" s="9" t="str">
        <f t="shared" si="66"/>
        <v>Conditioned</v>
      </c>
    </row>
    <row r="1361" spans="1:17">
      <c r="A1361" s="9">
        <v>21085</v>
      </c>
      <c r="B1361" s="9">
        <v>1</v>
      </c>
      <c r="C1361" s="9" t="s">
        <v>1589</v>
      </c>
      <c r="D1361" s="9" t="s">
        <v>1590</v>
      </c>
      <c r="E1361" s="9" t="s">
        <v>1591</v>
      </c>
      <c r="F1361" s="9" t="s">
        <v>1589</v>
      </c>
      <c r="G1361" s="9" t="s">
        <v>1592</v>
      </c>
      <c r="H1361" s="9" t="s">
        <v>177</v>
      </c>
      <c r="I1361" s="9" t="s">
        <v>2849</v>
      </c>
      <c r="J1361" s="9" t="s">
        <v>1605</v>
      </c>
      <c r="K1361" s="9">
        <v>1</v>
      </c>
      <c r="L1361" s="9">
        <v>20</v>
      </c>
      <c r="M1361" s="9">
        <v>1996</v>
      </c>
      <c r="O1361" s="9" t="str">
        <f t="shared" si="64"/>
        <v>NO</v>
      </c>
      <c r="P1361" s="9" t="str">
        <f t="shared" si="65"/>
        <v>YES</v>
      </c>
      <c r="Q1361" s="9" t="str">
        <f t="shared" si="66"/>
        <v>Conditioned</v>
      </c>
    </row>
    <row r="1362" spans="1:17">
      <c r="A1362" s="9">
        <v>21085</v>
      </c>
      <c r="B1362" s="9">
        <v>2</v>
      </c>
      <c r="C1362" s="9" t="s">
        <v>1589</v>
      </c>
      <c r="D1362" s="9" t="s">
        <v>1590</v>
      </c>
      <c r="E1362" s="9" t="s">
        <v>1591</v>
      </c>
      <c r="F1362" s="9" t="s">
        <v>1589</v>
      </c>
      <c r="G1362" s="9" t="s">
        <v>1592</v>
      </c>
      <c r="H1362" s="9" t="s">
        <v>177</v>
      </c>
      <c r="I1362" s="9" t="s">
        <v>2850</v>
      </c>
      <c r="J1362" s="9" t="s">
        <v>1597</v>
      </c>
      <c r="K1362" s="9">
        <v>1</v>
      </c>
      <c r="L1362" s="9">
        <v>20</v>
      </c>
      <c r="M1362" s="9">
        <v>1995</v>
      </c>
      <c r="O1362" s="9" t="str">
        <f t="shared" si="64"/>
        <v>NO</v>
      </c>
      <c r="P1362" s="9" t="str">
        <f t="shared" si="65"/>
        <v>NO</v>
      </c>
      <c r="Q1362" s="9" t="str">
        <f t="shared" si="66"/>
        <v>Conditioned</v>
      </c>
    </row>
    <row r="1363" spans="1:17">
      <c r="A1363" s="9">
        <v>21089</v>
      </c>
      <c r="B1363" s="9">
        <v>1</v>
      </c>
      <c r="C1363" s="9" t="s">
        <v>1589</v>
      </c>
      <c r="D1363" s="9" t="s">
        <v>1590</v>
      </c>
      <c r="E1363" s="9" t="s">
        <v>1602</v>
      </c>
      <c r="F1363" s="9" t="s">
        <v>1590</v>
      </c>
      <c r="G1363" s="9" t="s">
        <v>1592</v>
      </c>
      <c r="H1363" s="9" t="s">
        <v>177</v>
      </c>
      <c r="I1363" s="9" t="s">
        <v>2851</v>
      </c>
      <c r="J1363" s="9" t="s">
        <v>1597</v>
      </c>
      <c r="K1363" s="9">
        <v>1</v>
      </c>
      <c r="L1363" s="9">
        <v>19</v>
      </c>
      <c r="M1363" s="9">
        <v>2009</v>
      </c>
      <c r="O1363" s="9" t="str">
        <f t="shared" si="64"/>
        <v>NO</v>
      </c>
      <c r="P1363" s="9" t="str">
        <f t="shared" si="65"/>
        <v>NO</v>
      </c>
      <c r="Q1363" s="9" t="str">
        <f t="shared" si="66"/>
        <v>Conditioned</v>
      </c>
    </row>
    <row r="1364" spans="1:17">
      <c r="A1364" s="9">
        <v>21089</v>
      </c>
      <c r="B1364" s="9">
        <v>2</v>
      </c>
      <c r="C1364" s="9" t="s">
        <v>1589</v>
      </c>
      <c r="D1364" s="9" t="s">
        <v>1590</v>
      </c>
      <c r="E1364" s="9" t="s">
        <v>1591</v>
      </c>
      <c r="F1364" s="9" t="s">
        <v>1589</v>
      </c>
      <c r="G1364" s="9" t="s">
        <v>1606</v>
      </c>
      <c r="H1364" s="9" t="s">
        <v>177</v>
      </c>
      <c r="I1364" s="9" t="s">
        <v>2852</v>
      </c>
      <c r="J1364" s="9" t="s">
        <v>1605</v>
      </c>
      <c r="K1364" s="9">
        <v>1</v>
      </c>
      <c r="L1364" s="9">
        <v>12</v>
      </c>
      <c r="M1364" s="9">
        <v>1986</v>
      </c>
      <c r="O1364" s="9" t="str">
        <f t="shared" si="64"/>
        <v>NO</v>
      </c>
      <c r="P1364" s="9" t="str">
        <f t="shared" si="65"/>
        <v>YES</v>
      </c>
      <c r="Q1364" s="9" t="str">
        <f t="shared" si="66"/>
        <v>Unconditioned</v>
      </c>
    </row>
    <row r="1365" spans="1:17">
      <c r="A1365" s="9">
        <v>21091</v>
      </c>
      <c r="B1365" s="9">
        <v>1</v>
      </c>
      <c r="C1365" s="9" t="s">
        <v>1589</v>
      </c>
      <c r="D1365" s="9" t="s">
        <v>1590</v>
      </c>
      <c r="E1365" s="9" t="s">
        <v>1613</v>
      </c>
      <c r="F1365" s="9" t="s">
        <v>1603</v>
      </c>
      <c r="G1365" s="9" t="s">
        <v>1592</v>
      </c>
      <c r="H1365" s="9" t="s">
        <v>174</v>
      </c>
      <c r="I1365" s="9" t="s">
        <v>2853</v>
      </c>
      <c r="J1365" s="9" t="s">
        <v>1608</v>
      </c>
      <c r="K1365" s="9">
        <v>1</v>
      </c>
      <c r="L1365" s="9">
        <v>22</v>
      </c>
      <c r="M1365" s="9">
        <v>2007</v>
      </c>
      <c r="O1365" s="9" t="str">
        <f t="shared" si="64"/>
        <v>NO</v>
      </c>
      <c r="P1365" s="9" t="str">
        <f t="shared" si="65"/>
        <v>NO</v>
      </c>
      <c r="Q1365" s="9" t="str">
        <f t="shared" si="66"/>
        <v>Conditioned</v>
      </c>
    </row>
    <row r="1366" spans="1:17">
      <c r="A1366" s="9">
        <v>21091</v>
      </c>
      <c r="B1366" s="9">
        <v>2</v>
      </c>
      <c r="C1366" s="9" t="s">
        <v>1589</v>
      </c>
      <c r="D1366" s="9" t="s">
        <v>1603</v>
      </c>
      <c r="E1366" s="9" t="s">
        <v>1591</v>
      </c>
      <c r="F1366" s="9" t="s">
        <v>1589</v>
      </c>
      <c r="G1366" s="9" t="s">
        <v>1606</v>
      </c>
      <c r="H1366" s="9" t="s">
        <v>174</v>
      </c>
      <c r="I1366" s="9" t="s">
        <v>2854</v>
      </c>
      <c r="J1366" s="9" t="s">
        <v>1605</v>
      </c>
      <c r="K1366" s="9">
        <v>1</v>
      </c>
      <c r="L1366" s="9">
        <v>18</v>
      </c>
      <c r="M1366" s="9">
        <v>2011</v>
      </c>
      <c r="O1366" s="9" t="str">
        <f t="shared" si="64"/>
        <v>NO</v>
      </c>
      <c r="P1366" s="9" t="str">
        <f t="shared" si="65"/>
        <v>YES</v>
      </c>
      <c r="Q1366" s="9" t="str">
        <f t="shared" si="66"/>
        <v>Unconditioned</v>
      </c>
    </row>
    <row r="1367" spans="1:17">
      <c r="A1367" s="9">
        <v>21103</v>
      </c>
      <c r="B1367" s="9">
        <v>1</v>
      </c>
      <c r="C1367" s="9" t="s">
        <v>1589</v>
      </c>
      <c r="D1367" s="9" t="s">
        <v>1603</v>
      </c>
      <c r="E1367" s="9" t="s">
        <v>1591</v>
      </c>
      <c r="F1367" s="9" t="s">
        <v>1589</v>
      </c>
      <c r="G1367" s="9" t="s">
        <v>1592</v>
      </c>
      <c r="H1367" s="9" t="s">
        <v>1589</v>
      </c>
      <c r="I1367" s="9" t="s">
        <v>2855</v>
      </c>
      <c r="J1367" s="9" t="s">
        <v>1605</v>
      </c>
      <c r="K1367" s="9">
        <v>1</v>
      </c>
      <c r="L1367" s="9">
        <v>13</v>
      </c>
      <c r="O1367" s="9" t="str">
        <f t="shared" ref="O1367:O1430" si="67">IF(L1367&lt;7.75,"YES","NO")</f>
        <v>NO</v>
      </c>
      <c r="P1367" s="9" t="str">
        <f t="shared" ref="P1367:P1430" si="68">VLOOKUP(J1367,$Z$21:$AA$27,2,FALSE)</f>
        <v>YES</v>
      </c>
      <c r="Q1367" s="9" t="str">
        <f t="shared" ref="Q1367:Q1430" si="69">G1367</f>
        <v>Conditioned</v>
      </c>
    </row>
    <row r="1368" spans="1:17">
      <c r="A1368" s="9">
        <v>21103</v>
      </c>
      <c r="B1368" s="9">
        <v>2</v>
      </c>
      <c r="C1368" s="9" t="s">
        <v>1589</v>
      </c>
      <c r="D1368" s="9" t="s">
        <v>1590</v>
      </c>
      <c r="E1368" s="9" t="s">
        <v>1591</v>
      </c>
      <c r="F1368" s="9" t="s">
        <v>1589</v>
      </c>
      <c r="G1368" s="9" t="s">
        <v>1592</v>
      </c>
      <c r="H1368" s="9" t="s">
        <v>177</v>
      </c>
      <c r="I1368" s="9" t="s">
        <v>2856</v>
      </c>
      <c r="J1368" s="9" t="s">
        <v>1597</v>
      </c>
      <c r="K1368" s="9">
        <v>1</v>
      </c>
      <c r="L1368" s="9">
        <v>14</v>
      </c>
      <c r="M1368" s="9">
        <v>2005</v>
      </c>
      <c r="O1368" s="9" t="str">
        <f t="shared" si="67"/>
        <v>NO</v>
      </c>
      <c r="P1368" s="9" t="str">
        <f t="shared" si="68"/>
        <v>NO</v>
      </c>
      <c r="Q1368" s="9" t="str">
        <f t="shared" si="69"/>
        <v>Conditioned</v>
      </c>
    </row>
    <row r="1369" spans="1:17">
      <c r="A1369" s="9">
        <v>21107</v>
      </c>
      <c r="B1369" s="9">
        <v>1</v>
      </c>
      <c r="C1369" s="9" t="s">
        <v>1589</v>
      </c>
      <c r="D1369" s="9" t="s">
        <v>1590</v>
      </c>
      <c r="E1369" s="9" t="s">
        <v>1591</v>
      </c>
      <c r="F1369" s="9" t="s">
        <v>1589</v>
      </c>
      <c r="G1369" s="9" t="s">
        <v>1592</v>
      </c>
      <c r="H1369" s="9" t="s">
        <v>1638</v>
      </c>
      <c r="I1369" s="9" t="s">
        <v>2857</v>
      </c>
      <c r="J1369" s="9" t="s">
        <v>1597</v>
      </c>
      <c r="K1369" s="9">
        <v>1</v>
      </c>
      <c r="L1369" s="9">
        <v>19</v>
      </c>
      <c r="M1369" s="9">
        <v>1974</v>
      </c>
      <c r="O1369" s="9" t="str">
        <f t="shared" si="67"/>
        <v>NO</v>
      </c>
      <c r="P1369" s="9" t="str">
        <f t="shared" si="68"/>
        <v>NO</v>
      </c>
      <c r="Q1369" s="9" t="str">
        <f t="shared" si="69"/>
        <v>Conditioned</v>
      </c>
    </row>
    <row r="1370" spans="1:17">
      <c r="A1370" s="9">
        <v>21107</v>
      </c>
      <c r="B1370" s="9">
        <v>2</v>
      </c>
      <c r="C1370" s="9" t="s">
        <v>1589</v>
      </c>
      <c r="D1370" s="9" t="s">
        <v>1590</v>
      </c>
      <c r="E1370" s="9" t="s">
        <v>1591</v>
      </c>
      <c r="F1370" s="9" t="s">
        <v>1589</v>
      </c>
      <c r="G1370" s="9" t="s">
        <v>1592</v>
      </c>
      <c r="H1370" s="9" t="s">
        <v>1638</v>
      </c>
      <c r="I1370" s="9" t="s">
        <v>2858</v>
      </c>
      <c r="J1370" s="9" t="s">
        <v>1587</v>
      </c>
      <c r="K1370" s="9">
        <v>1</v>
      </c>
      <c r="L1370" s="9">
        <v>19</v>
      </c>
      <c r="M1370" s="9">
        <v>1974</v>
      </c>
      <c r="O1370" s="9" t="str">
        <f t="shared" si="67"/>
        <v>NO</v>
      </c>
      <c r="P1370" s="9" t="str">
        <f t="shared" si="68"/>
        <v>YES</v>
      </c>
      <c r="Q1370" s="9" t="str">
        <f t="shared" si="69"/>
        <v>Conditioned</v>
      </c>
    </row>
    <row r="1371" spans="1:17">
      <c r="A1371" s="9">
        <v>21109</v>
      </c>
      <c r="B1371" s="9">
        <v>1</v>
      </c>
      <c r="C1371" s="9" t="s">
        <v>1589</v>
      </c>
      <c r="D1371" s="9" t="s">
        <v>1590</v>
      </c>
      <c r="E1371" s="9" t="s">
        <v>1591</v>
      </c>
      <c r="F1371" s="9" t="s">
        <v>1589</v>
      </c>
      <c r="G1371" s="9" t="s">
        <v>1592</v>
      </c>
      <c r="H1371" s="9" t="s">
        <v>172</v>
      </c>
      <c r="I1371" s="9" t="s">
        <v>2859</v>
      </c>
      <c r="J1371" s="9" t="s">
        <v>1597</v>
      </c>
      <c r="K1371" s="9">
        <v>1</v>
      </c>
      <c r="L1371" s="9">
        <v>22</v>
      </c>
      <c r="M1371" s="9">
        <v>1994</v>
      </c>
      <c r="O1371" s="9" t="str">
        <f t="shared" si="67"/>
        <v>NO</v>
      </c>
      <c r="P1371" s="9" t="str">
        <f t="shared" si="68"/>
        <v>NO</v>
      </c>
      <c r="Q1371" s="9" t="str">
        <f t="shared" si="69"/>
        <v>Conditioned</v>
      </c>
    </row>
    <row r="1372" spans="1:17">
      <c r="A1372" s="9">
        <v>21109</v>
      </c>
      <c r="B1372" s="9">
        <v>2</v>
      </c>
      <c r="C1372" s="9" t="s">
        <v>1589</v>
      </c>
      <c r="D1372" s="9" t="s">
        <v>1590</v>
      </c>
      <c r="E1372" s="9" t="s">
        <v>1591</v>
      </c>
      <c r="F1372" s="9" t="s">
        <v>1589</v>
      </c>
      <c r="G1372" s="9" t="s">
        <v>1592</v>
      </c>
      <c r="H1372" s="9" t="s">
        <v>170</v>
      </c>
      <c r="I1372" s="9" t="s">
        <v>2860</v>
      </c>
      <c r="J1372" s="9" t="s">
        <v>1605</v>
      </c>
      <c r="K1372" s="9">
        <v>1</v>
      </c>
      <c r="L1372" s="9">
        <v>14</v>
      </c>
      <c r="M1372" s="9">
        <v>2005</v>
      </c>
      <c r="O1372" s="9" t="str">
        <f t="shared" si="67"/>
        <v>NO</v>
      </c>
      <c r="P1372" s="9" t="str">
        <f t="shared" si="68"/>
        <v>YES</v>
      </c>
      <c r="Q1372" s="9" t="str">
        <f t="shared" si="69"/>
        <v>Conditioned</v>
      </c>
    </row>
    <row r="1373" spans="1:17">
      <c r="A1373" s="9">
        <v>21112</v>
      </c>
      <c r="B1373" s="9">
        <v>1</v>
      </c>
      <c r="C1373" s="9" t="s">
        <v>1589</v>
      </c>
      <c r="D1373" s="9" t="s">
        <v>1590</v>
      </c>
      <c r="E1373" s="9" t="s">
        <v>1591</v>
      </c>
      <c r="F1373" s="9" t="s">
        <v>1589</v>
      </c>
      <c r="G1373" s="9" t="s">
        <v>1592</v>
      </c>
      <c r="H1373" s="9" t="s">
        <v>174</v>
      </c>
      <c r="I1373" s="9" t="s">
        <v>2861</v>
      </c>
      <c r="J1373" s="9" t="s">
        <v>1597</v>
      </c>
      <c r="K1373" s="9">
        <v>1</v>
      </c>
      <c r="L1373" s="9">
        <v>22</v>
      </c>
      <c r="M1373" s="9">
        <v>2008</v>
      </c>
      <c r="O1373" s="9" t="str">
        <f t="shared" si="67"/>
        <v>NO</v>
      </c>
      <c r="P1373" s="9" t="str">
        <f t="shared" si="68"/>
        <v>NO</v>
      </c>
      <c r="Q1373" s="9" t="str">
        <f t="shared" si="69"/>
        <v>Conditioned</v>
      </c>
    </row>
    <row r="1374" spans="1:17">
      <c r="A1374" s="9">
        <v>21112</v>
      </c>
      <c r="B1374" s="9">
        <v>2</v>
      </c>
      <c r="C1374" s="9" t="s">
        <v>1589</v>
      </c>
      <c r="D1374" s="9" t="s">
        <v>1590</v>
      </c>
      <c r="E1374" s="9" t="s">
        <v>1591</v>
      </c>
      <c r="F1374" s="9" t="s">
        <v>1589</v>
      </c>
      <c r="G1374" s="9" t="s">
        <v>1606</v>
      </c>
      <c r="H1374" s="9" t="s">
        <v>1638</v>
      </c>
      <c r="I1374" s="9" t="s">
        <v>2862</v>
      </c>
      <c r="J1374" s="9" t="s">
        <v>1597</v>
      </c>
      <c r="K1374" s="9">
        <v>1</v>
      </c>
      <c r="L1374" s="9">
        <v>17</v>
      </c>
      <c r="M1374" s="9">
        <v>1984</v>
      </c>
      <c r="O1374" s="9" t="str">
        <f t="shared" si="67"/>
        <v>NO</v>
      </c>
      <c r="P1374" s="9" t="str">
        <f t="shared" si="68"/>
        <v>NO</v>
      </c>
      <c r="Q1374" s="9" t="str">
        <f t="shared" si="69"/>
        <v>Unconditioned</v>
      </c>
    </row>
    <row r="1375" spans="1:17">
      <c r="A1375" s="9">
        <v>21122</v>
      </c>
      <c r="B1375" s="9">
        <v>1</v>
      </c>
      <c r="C1375" s="9" t="s">
        <v>1589</v>
      </c>
      <c r="D1375" s="9" t="s">
        <v>1590</v>
      </c>
      <c r="E1375" s="9" t="s">
        <v>1591</v>
      </c>
      <c r="F1375" s="9" t="s">
        <v>1589</v>
      </c>
      <c r="G1375" s="9" t="s">
        <v>1592</v>
      </c>
      <c r="H1375" s="9" t="s">
        <v>1624</v>
      </c>
      <c r="I1375" s="9" t="s">
        <v>2863</v>
      </c>
      <c r="J1375" s="9" t="s">
        <v>1608</v>
      </c>
      <c r="K1375" s="9">
        <v>1</v>
      </c>
      <c r="L1375" s="9">
        <v>22</v>
      </c>
      <c r="M1375" s="9">
        <v>2005</v>
      </c>
      <c r="O1375" s="9" t="str">
        <f t="shared" si="67"/>
        <v>NO</v>
      </c>
      <c r="P1375" s="9" t="str">
        <f t="shared" si="68"/>
        <v>NO</v>
      </c>
      <c r="Q1375" s="9" t="str">
        <f t="shared" si="69"/>
        <v>Conditioned</v>
      </c>
    </row>
    <row r="1376" spans="1:17">
      <c r="A1376" s="9">
        <v>21122</v>
      </c>
      <c r="B1376" s="9">
        <v>2</v>
      </c>
      <c r="C1376" s="9" t="s">
        <v>2864</v>
      </c>
      <c r="D1376" s="9" t="s">
        <v>1590</v>
      </c>
      <c r="E1376" s="9" t="s">
        <v>1591</v>
      </c>
      <c r="F1376" s="9" t="s">
        <v>1589</v>
      </c>
      <c r="G1376" s="9" t="s">
        <v>1606</v>
      </c>
      <c r="H1376" s="9" t="s">
        <v>172</v>
      </c>
      <c r="I1376" s="9" t="s">
        <v>2865</v>
      </c>
      <c r="J1376" s="9" t="s">
        <v>1587</v>
      </c>
      <c r="K1376" s="9">
        <v>1</v>
      </c>
      <c r="L1376" s="9">
        <v>15</v>
      </c>
      <c r="O1376" s="9" t="str">
        <f t="shared" si="67"/>
        <v>NO</v>
      </c>
      <c r="P1376" s="9" t="str">
        <f t="shared" si="68"/>
        <v>YES</v>
      </c>
      <c r="Q1376" s="9" t="str">
        <f t="shared" si="69"/>
        <v>Unconditioned</v>
      </c>
    </row>
    <row r="1377" spans="1:17">
      <c r="A1377" s="9">
        <v>21122</v>
      </c>
      <c r="B1377" s="9">
        <v>3</v>
      </c>
      <c r="C1377" s="9" t="s">
        <v>1589</v>
      </c>
      <c r="D1377" s="9" t="s">
        <v>1590</v>
      </c>
      <c r="E1377" s="9" t="s">
        <v>1591</v>
      </c>
      <c r="F1377" s="9" t="s">
        <v>1589</v>
      </c>
      <c r="G1377" s="9" t="s">
        <v>1606</v>
      </c>
      <c r="H1377" s="9" t="s">
        <v>1638</v>
      </c>
      <c r="I1377" s="9" t="s">
        <v>2866</v>
      </c>
      <c r="J1377" s="9" t="s">
        <v>1605</v>
      </c>
      <c r="K1377" s="9">
        <v>1</v>
      </c>
      <c r="L1377" s="9">
        <v>20</v>
      </c>
      <c r="M1377" s="9">
        <v>1990</v>
      </c>
      <c r="O1377" s="9" t="str">
        <f t="shared" si="67"/>
        <v>NO</v>
      </c>
      <c r="P1377" s="9" t="str">
        <f t="shared" si="68"/>
        <v>YES</v>
      </c>
      <c r="Q1377" s="9" t="str">
        <f t="shared" si="69"/>
        <v>Unconditioned</v>
      </c>
    </row>
    <row r="1378" spans="1:17">
      <c r="A1378" s="9">
        <v>21122</v>
      </c>
      <c r="B1378" s="9">
        <v>4</v>
      </c>
      <c r="C1378" s="9" t="s">
        <v>2867</v>
      </c>
      <c r="D1378" s="9" t="s">
        <v>1590</v>
      </c>
      <c r="E1378" s="9" t="s">
        <v>1589</v>
      </c>
      <c r="F1378" s="9" t="s">
        <v>1589</v>
      </c>
      <c r="G1378" s="9" t="s">
        <v>1606</v>
      </c>
      <c r="H1378" s="9" t="s">
        <v>181</v>
      </c>
      <c r="I1378" s="9" t="s">
        <v>1589</v>
      </c>
      <c r="J1378" s="9" t="s">
        <v>1612</v>
      </c>
      <c r="K1378" s="9">
        <v>1</v>
      </c>
      <c r="L1378" s="9">
        <v>10</v>
      </c>
      <c r="O1378" s="9" t="str">
        <f t="shared" si="67"/>
        <v>NO</v>
      </c>
      <c r="P1378" s="9" t="str">
        <f t="shared" si="68"/>
        <v>NO</v>
      </c>
      <c r="Q1378" s="9" t="str">
        <f t="shared" si="69"/>
        <v>Unconditioned</v>
      </c>
    </row>
    <row r="1379" spans="1:17">
      <c r="A1379" s="9">
        <v>21132</v>
      </c>
      <c r="B1379" s="9">
        <v>1</v>
      </c>
      <c r="C1379" s="9" t="s">
        <v>1589</v>
      </c>
      <c r="D1379" s="9" t="s">
        <v>1590</v>
      </c>
      <c r="E1379" s="9" t="s">
        <v>1613</v>
      </c>
      <c r="F1379" s="9" t="s">
        <v>1603</v>
      </c>
      <c r="G1379" s="9" t="s">
        <v>1592</v>
      </c>
      <c r="H1379" s="9" t="s">
        <v>170</v>
      </c>
      <c r="I1379" s="9" t="s">
        <v>2868</v>
      </c>
      <c r="J1379" s="9" t="s">
        <v>1608</v>
      </c>
      <c r="K1379" s="9">
        <v>1</v>
      </c>
      <c r="L1379" s="9">
        <v>24</v>
      </c>
      <c r="M1379" s="9">
        <v>2001</v>
      </c>
      <c r="O1379" s="9" t="str">
        <f t="shared" si="67"/>
        <v>NO</v>
      </c>
      <c r="P1379" s="9" t="str">
        <f t="shared" si="68"/>
        <v>NO</v>
      </c>
      <c r="Q1379" s="9" t="str">
        <f t="shared" si="69"/>
        <v>Conditioned</v>
      </c>
    </row>
    <row r="1380" spans="1:17">
      <c r="A1380" s="9">
        <v>21132</v>
      </c>
      <c r="B1380" s="9">
        <v>2</v>
      </c>
      <c r="C1380" s="9" t="s">
        <v>2869</v>
      </c>
      <c r="D1380" s="9" t="s">
        <v>1590</v>
      </c>
      <c r="E1380" s="9" t="s">
        <v>1591</v>
      </c>
      <c r="F1380" s="9" t="s">
        <v>1589</v>
      </c>
      <c r="G1380" s="9" t="s">
        <v>1606</v>
      </c>
      <c r="H1380" s="9" t="s">
        <v>1624</v>
      </c>
      <c r="I1380" s="9" t="s">
        <v>1589</v>
      </c>
      <c r="J1380" s="9" t="s">
        <v>1587</v>
      </c>
      <c r="K1380" s="9">
        <v>1</v>
      </c>
      <c r="L1380" s="9">
        <v>10</v>
      </c>
      <c r="O1380" s="9" t="str">
        <f t="shared" si="67"/>
        <v>NO</v>
      </c>
      <c r="P1380" s="9" t="str">
        <f t="shared" si="68"/>
        <v>YES</v>
      </c>
      <c r="Q1380" s="9" t="str">
        <f t="shared" si="69"/>
        <v>Unconditioned</v>
      </c>
    </row>
    <row r="1381" spans="1:17">
      <c r="A1381" s="9">
        <v>21137</v>
      </c>
      <c r="B1381" s="9">
        <v>1</v>
      </c>
      <c r="C1381" s="9" t="s">
        <v>1589</v>
      </c>
      <c r="D1381" s="9" t="s">
        <v>1590</v>
      </c>
      <c r="E1381" s="9" t="s">
        <v>1591</v>
      </c>
      <c r="F1381" s="9" t="s">
        <v>1589</v>
      </c>
      <c r="G1381" s="9" t="s">
        <v>1592</v>
      </c>
      <c r="H1381" s="9" t="s">
        <v>169</v>
      </c>
      <c r="I1381" s="9" t="s">
        <v>2870</v>
      </c>
      <c r="J1381" s="9" t="s">
        <v>1597</v>
      </c>
      <c r="K1381" s="9">
        <v>1</v>
      </c>
      <c r="L1381" s="9">
        <v>17</v>
      </c>
      <c r="M1381" s="9">
        <v>1985</v>
      </c>
      <c r="O1381" s="9" t="str">
        <f t="shared" si="67"/>
        <v>NO</v>
      </c>
      <c r="P1381" s="9" t="str">
        <f t="shared" si="68"/>
        <v>NO</v>
      </c>
      <c r="Q1381" s="9" t="str">
        <f t="shared" si="69"/>
        <v>Conditioned</v>
      </c>
    </row>
    <row r="1382" spans="1:17">
      <c r="A1382" s="9">
        <v>21137</v>
      </c>
      <c r="B1382" s="9">
        <v>2</v>
      </c>
      <c r="C1382" s="9" t="s">
        <v>1589</v>
      </c>
      <c r="D1382" s="9" t="s">
        <v>1590</v>
      </c>
      <c r="E1382" s="9" t="s">
        <v>1591</v>
      </c>
      <c r="F1382" s="9" t="s">
        <v>1589</v>
      </c>
      <c r="G1382" s="9" t="s">
        <v>1606</v>
      </c>
      <c r="H1382" s="9" t="s">
        <v>173</v>
      </c>
      <c r="I1382" s="9" t="s">
        <v>2871</v>
      </c>
      <c r="J1382" s="9" t="s">
        <v>1605</v>
      </c>
      <c r="K1382" s="9">
        <v>1</v>
      </c>
      <c r="L1382" s="9">
        <v>21</v>
      </c>
      <c r="M1382" s="9">
        <v>2004</v>
      </c>
      <c r="O1382" s="9" t="str">
        <f t="shared" si="67"/>
        <v>NO</v>
      </c>
      <c r="P1382" s="9" t="str">
        <f t="shared" si="68"/>
        <v>YES</v>
      </c>
      <c r="Q1382" s="9" t="str">
        <f t="shared" si="69"/>
        <v>Unconditioned</v>
      </c>
    </row>
    <row r="1383" spans="1:17">
      <c r="A1383" s="9">
        <v>21143</v>
      </c>
      <c r="B1383" s="9">
        <v>1</v>
      </c>
      <c r="C1383" s="9" t="s">
        <v>1589</v>
      </c>
      <c r="D1383" s="9" t="s">
        <v>1590</v>
      </c>
      <c r="E1383" s="9" t="s">
        <v>1589</v>
      </c>
      <c r="F1383" s="9" t="s">
        <v>1589</v>
      </c>
      <c r="G1383" s="9" t="s">
        <v>1592</v>
      </c>
      <c r="H1383" s="9" t="s">
        <v>169</v>
      </c>
      <c r="I1383" s="9" t="s">
        <v>2872</v>
      </c>
      <c r="J1383" s="9" t="s">
        <v>1612</v>
      </c>
      <c r="K1383" s="9">
        <v>1</v>
      </c>
      <c r="L1383" s="9">
        <v>20</v>
      </c>
      <c r="M1383" s="9">
        <v>2009</v>
      </c>
      <c r="O1383" s="9" t="str">
        <f t="shared" si="67"/>
        <v>NO</v>
      </c>
      <c r="P1383" s="9" t="str">
        <f t="shared" si="68"/>
        <v>NO</v>
      </c>
      <c r="Q1383" s="9" t="str">
        <f t="shared" si="69"/>
        <v>Conditioned</v>
      </c>
    </row>
    <row r="1384" spans="1:17">
      <c r="A1384" s="9">
        <v>21143</v>
      </c>
      <c r="B1384" s="9">
        <v>2</v>
      </c>
      <c r="C1384" s="9" t="s">
        <v>1589</v>
      </c>
      <c r="D1384" s="9" t="s">
        <v>1603</v>
      </c>
      <c r="E1384" s="9" t="s">
        <v>1591</v>
      </c>
      <c r="F1384" s="9" t="s">
        <v>1589</v>
      </c>
      <c r="G1384" s="9" t="s">
        <v>1606</v>
      </c>
      <c r="H1384" s="9" t="s">
        <v>169</v>
      </c>
      <c r="I1384" s="9" t="s">
        <v>2873</v>
      </c>
      <c r="J1384" s="9" t="s">
        <v>1605</v>
      </c>
      <c r="K1384" s="9">
        <v>1</v>
      </c>
      <c r="L1384" s="9">
        <v>20</v>
      </c>
      <c r="M1384" s="9">
        <v>2010</v>
      </c>
      <c r="O1384" s="9" t="str">
        <f t="shared" si="67"/>
        <v>NO</v>
      </c>
      <c r="P1384" s="9" t="str">
        <f t="shared" si="68"/>
        <v>YES</v>
      </c>
      <c r="Q1384" s="9" t="str">
        <f t="shared" si="69"/>
        <v>Unconditioned</v>
      </c>
    </row>
    <row r="1385" spans="1:17">
      <c r="A1385" s="9">
        <v>21155</v>
      </c>
      <c r="B1385" s="9">
        <v>1</v>
      </c>
      <c r="C1385" s="9" t="s">
        <v>1589</v>
      </c>
      <c r="D1385" s="9" t="s">
        <v>1590</v>
      </c>
      <c r="E1385" s="9" t="s">
        <v>1602</v>
      </c>
      <c r="F1385" s="9" t="s">
        <v>1590</v>
      </c>
      <c r="G1385" s="9" t="s">
        <v>1592</v>
      </c>
      <c r="H1385" s="9" t="s">
        <v>177</v>
      </c>
      <c r="I1385" s="9" t="s">
        <v>2874</v>
      </c>
      <c r="J1385" s="9" t="s">
        <v>1601</v>
      </c>
      <c r="K1385" s="9">
        <v>1</v>
      </c>
      <c r="L1385" s="9">
        <v>22</v>
      </c>
      <c r="M1385" s="9">
        <v>2003</v>
      </c>
      <c r="O1385" s="9" t="str">
        <f t="shared" si="67"/>
        <v>NO</v>
      </c>
      <c r="P1385" s="9" t="str">
        <f t="shared" si="68"/>
        <v>NO</v>
      </c>
      <c r="Q1385" s="9" t="str">
        <f t="shared" si="69"/>
        <v>Conditioned</v>
      </c>
    </row>
    <row r="1386" spans="1:17">
      <c r="A1386" s="9">
        <v>21155</v>
      </c>
      <c r="B1386" s="9">
        <v>2</v>
      </c>
      <c r="C1386" s="9" t="s">
        <v>1589</v>
      </c>
      <c r="D1386" s="9" t="s">
        <v>1590</v>
      </c>
      <c r="E1386" s="9" t="s">
        <v>1591</v>
      </c>
      <c r="F1386" s="9" t="s">
        <v>1589</v>
      </c>
      <c r="G1386" s="9" t="s">
        <v>1606</v>
      </c>
      <c r="H1386" s="9" t="s">
        <v>177</v>
      </c>
      <c r="I1386" s="9" t="s">
        <v>1589</v>
      </c>
      <c r="J1386" s="9" t="s">
        <v>1605</v>
      </c>
      <c r="K1386" s="9">
        <v>0.75</v>
      </c>
      <c r="L1386" s="9">
        <v>15</v>
      </c>
      <c r="M1386" s="9">
        <v>1974</v>
      </c>
      <c r="O1386" s="9" t="str">
        <f t="shared" si="67"/>
        <v>NO</v>
      </c>
      <c r="P1386" s="9" t="str">
        <f t="shared" si="68"/>
        <v>YES</v>
      </c>
      <c r="Q1386" s="9" t="str">
        <f t="shared" si="69"/>
        <v>Unconditioned</v>
      </c>
    </row>
    <row r="1387" spans="1:17">
      <c r="A1387" s="9">
        <v>21155</v>
      </c>
      <c r="B1387" s="9">
        <v>3</v>
      </c>
      <c r="C1387" s="9" t="s">
        <v>1589</v>
      </c>
      <c r="D1387" s="9" t="s">
        <v>1590</v>
      </c>
      <c r="E1387" s="9" t="s">
        <v>1591</v>
      </c>
      <c r="F1387" s="9" t="s">
        <v>1589</v>
      </c>
      <c r="G1387" s="9" t="s">
        <v>1606</v>
      </c>
      <c r="H1387" s="9" t="s">
        <v>177</v>
      </c>
      <c r="I1387" s="9" t="s">
        <v>1589</v>
      </c>
      <c r="J1387" s="9" t="s">
        <v>1587</v>
      </c>
      <c r="K1387" s="9">
        <v>1</v>
      </c>
      <c r="L1387" s="9">
        <v>15</v>
      </c>
      <c r="O1387" s="9" t="str">
        <f t="shared" si="67"/>
        <v>NO</v>
      </c>
      <c r="P1387" s="9" t="str">
        <f t="shared" si="68"/>
        <v>YES</v>
      </c>
      <c r="Q1387" s="9" t="str">
        <f t="shared" si="69"/>
        <v>Unconditioned</v>
      </c>
    </row>
    <row r="1388" spans="1:17">
      <c r="A1388" s="9">
        <v>21155</v>
      </c>
      <c r="B1388" s="9">
        <v>4</v>
      </c>
      <c r="C1388" s="9" t="s">
        <v>1589</v>
      </c>
      <c r="D1388" s="9" t="s">
        <v>1590</v>
      </c>
      <c r="E1388" s="9" t="s">
        <v>1591</v>
      </c>
      <c r="F1388" s="9" t="s">
        <v>1589</v>
      </c>
      <c r="G1388" s="9" t="s">
        <v>1592</v>
      </c>
      <c r="H1388" s="9" t="s">
        <v>177</v>
      </c>
      <c r="I1388" s="9" t="s">
        <v>1589</v>
      </c>
      <c r="J1388" s="9" t="s">
        <v>1587</v>
      </c>
      <c r="K1388" s="9">
        <v>1</v>
      </c>
      <c r="L1388" s="9">
        <v>18</v>
      </c>
      <c r="O1388" s="9" t="str">
        <f t="shared" si="67"/>
        <v>NO</v>
      </c>
      <c r="P1388" s="9" t="str">
        <f t="shared" si="68"/>
        <v>YES</v>
      </c>
      <c r="Q1388" s="9" t="str">
        <f t="shared" si="69"/>
        <v>Conditioned</v>
      </c>
    </row>
    <row r="1389" spans="1:17">
      <c r="A1389" s="9">
        <v>21155</v>
      </c>
      <c r="B1389" s="9">
        <v>5</v>
      </c>
      <c r="C1389" s="9" t="s">
        <v>1589</v>
      </c>
      <c r="D1389" s="9" t="s">
        <v>1590</v>
      </c>
      <c r="E1389" s="9" t="s">
        <v>1591</v>
      </c>
      <c r="F1389" s="9" t="s">
        <v>1589</v>
      </c>
      <c r="G1389" s="9" t="s">
        <v>1592</v>
      </c>
      <c r="H1389" s="9" t="s">
        <v>169</v>
      </c>
      <c r="I1389" s="9" t="s">
        <v>2875</v>
      </c>
      <c r="J1389" s="9" t="s">
        <v>1587</v>
      </c>
      <c r="K1389" s="9">
        <v>0.75</v>
      </c>
      <c r="L1389" s="9">
        <v>12</v>
      </c>
      <c r="M1389" s="9">
        <v>1999</v>
      </c>
      <c r="O1389" s="9" t="str">
        <f t="shared" si="67"/>
        <v>NO</v>
      </c>
      <c r="P1389" s="9" t="str">
        <f t="shared" si="68"/>
        <v>YES</v>
      </c>
      <c r="Q1389" s="9" t="str">
        <f t="shared" si="69"/>
        <v>Conditioned</v>
      </c>
    </row>
    <row r="1390" spans="1:17">
      <c r="A1390" s="9">
        <v>21160</v>
      </c>
      <c r="B1390" s="9">
        <v>1</v>
      </c>
      <c r="C1390" s="9" t="s">
        <v>1589</v>
      </c>
      <c r="D1390" s="9" t="s">
        <v>1590</v>
      </c>
      <c r="E1390" s="9" t="s">
        <v>1591</v>
      </c>
      <c r="F1390" s="9" t="s">
        <v>1589</v>
      </c>
      <c r="G1390" s="9" t="s">
        <v>1592</v>
      </c>
      <c r="H1390" s="9" t="s">
        <v>169</v>
      </c>
      <c r="I1390" s="9" t="s">
        <v>2503</v>
      </c>
      <c r="J1390" s="9" t="s">
        <v>1587</v>
      </c>
      <c r="K1390" s="9">
        <v>1</v>
      </c>
      <c r="L1390" s="9">
        <v>14</v>
      </c>
      <c r="M1390" s="9">
        <v>1999</v>
      </c>
      <c r="O1390" s="9" t="str">
        <f t="shared" si="67"/>
        <v>NO</v>
      </c>
      <c r="P1390" s="9" t="str">
        <f t="shared" si="68"/>
        <v>YES</v>
      </c>
      <c r="Q1390" s="9" t="str">
        <f t="shared" si="69"/>
        <v>Conditioned</v>
      </c>
    </row>
    <row r="1391" spans="1:17">
      <c r="A1391" s="9">
        <v>21160</v>
      </c>
      <c r="B1391" s="9">
        <v>2</v>
      </c>
      <c r="C1391" s="9" t="s">
        <v>1589</v>
      </c>
      <c r="D1391" s="9" t="s">
        <v>1590</v>
      </c>
      <c r="E1391" s="9" t="s">
        <v>1591</v>
      </c>
      <c r="F1391" s="9" t="s">
        <v>1589</v>
      </c>
      <c r="G1391" s="9" t="s">
        <v>1592</v>
      </c>
      <c r="H1391" s="9" t="s">
        <v>1552</v>
      </c>
      <c r="I1391" s="9" t="s">
        <v>2876</v>
      </c>
      <c r="J1391" s="9" t="s">
        <v>1597</v>
      </c>
      <c r="K1391" s="9">
        <v>0.75</v>
      </c>
      <c r="L1391" s="9">
        <v>14</v>
      </c>
      <c r="M1391" s="9">
        <v>1973</v>
      </c>
      <c r="O1391" s="9" t="str">
        <f t="shared" si="67"/>
        <v>NO</v>
      </c>
      <c r="P1391" s="9" t="str">
        <f t="shared" si="68"/>
        <v>NO</v>
      </c>
      <c r="Q1391" s="9" t="str">
        <f t="shared" si="69"/>
        <v>Conditioned</v>
      </c>
    </row>
    <row r="1392" spans="1:17">
      <c r="A1392" s="9">
        <v>21160</v>
      </c>
      <c r="B1392" s="9">
        <v>3</v>
      </c>
      <c r="C1392" s="9" t="s">
        <v>1589</v>
      </c>
      <c r="D1392" s="9" t="s">
        <v>1590</v>
      </c>
      <c r="E1392" s="9" t="s">
        <v>1591</v>
      </c>
      <c r="F1392" s="9" t="s">
        <v>1589</v>
      </c>
      <c r="G1392" s="9" t="s">
        <v>1606</v>
      </c>
      <c r="H1392" s="9" t="s">
        <v>2121</v>
      </c>
      <c r="I1392" s="9" t="s">
        <v>2877</v>
      </c>
      <c r="J1392" s="9" t="s">
        <v>1597</v>
      </c>
      <c r="K1392" s="9">
        <v>1</v>
      </c>
      <c r="L1392" s="9">
        <v>12</v>
      </c>
      <c r="M1392" s="9">
        <v>1950</v>
      </c>
      <c r="O1392" s="9" t="str">
        <f t="shared" si="67"/>
        <v>NO</v>
      </c>
      <c r="P1392" s="9" t="str">
        <f t="shared" si="68"/>
        <v>NO</v>
      </c>
      <c r="Q1392" s="9" t="str">
        <f t="shared" si="69"/>
        <v>Unconditioned</v>
      </c>
    </row>
    <row r="1393" spans="1:17">
      <c r="A1393" s="9">
        <v>21176</v>
      </c>
      <c r="B1393" s="9">
        <v>1</v>
      </c>
      <c r="C1393" s="9" t="s">
        <v>1589</v>
      </c>
      <c r="D1393" s="9" t="s">
        <v>1590</v>
      </c>
      <c r="E1393" s="9" t="s">
        <v>1602</v>
      </c>
      <c r="F1393" s="9" t="s">
        <v>1603</v>
      </c>
      <c r="G1393" s="9" t="s">
        <v>1592</v>
      </c>
      <c r="H1393" s="9" t="s">
        <v>169</v>
      </c>
      <c r="I1393" s="9" t="s">
        <v>2878</v>
      </c>
      <c r="J1393" s="9" t="s">
        <v>1601</v>
      </c>
      <c r="K1393" s="9">
        <v>1</v>
      </c>
      <c r="L1393" s="9">
        <v>26</v>
      </c>
      <c r="M1393" s="9">
        <v>2004</v>
      </c>
      <c r="O1393" s="9" t="str">
        <f t="shared" si="67"/>
        <v>NO</v>
      </c>
      <c r="P1393" s="9" t="str">
        <f t="shared" si="68"/>
        <v>NO</v>
      </c>
      <c r="Q1393" s="9" t="str">
        <f t="shared" si="69"/>
        <v>Conditioned</v>
      </c>
    </row>
    <row r="1394" spans="1:17">
      <c r="A1394" s="9">
        <v>21176</v>
      </c>
      <c r="B1394" s="9">
        <v>2</v>
      </c>
      <c r="C1394" s="9" t="s">
        <v>1589</v>
      </c>
      <c r="D1394" s="9" t="s">
        <v>1590</v>
      </c>
      <c r="E1394" s="9" t="s">
        <v>1591</v>
      </c>
      <c r="F1394" s="9" t="s">
        <v>1589</v>
      </c>
      <c r="G1394" s="9" t="s">
        <v>1592</v>
      </c>
      <c r="H1394" s="9" t="s">
        <v>1638</v>
      </c>
      <c r="I1394" s="9" t="s">
        <v>2879</v>
      </c>
      <c r="J1394" s="9" t="s">
        <v>1587</v>
      </c>
      <c r="K1394" s="9">
        <v>1</v>
      </c>
      <c r="L1394" s="9">
        <v>15</v>
      </c>
      <c r="M1394" s="9">
        <v>1994</v>
      </c>
      <c r="O1394" s="9" t="str">
        <f t="shared" si="67"/>
        <v>NO</v>
      </c>
      <c r="P1394" s="9" t="str">
        <f t="shared" si="68"/>
        <v>YES</v>
      </c>
      <c r="Q1394" s="9" t="str">
        <f t="shared" si="69"/>
        <v>Conditioned</v>
      </c>
    </row>
    <row r="1395" spans="1:17">
      <c r="A1395" s="9">
        <v>21180</v>
      </c>
      <c r="B1395" s="9">
        <v>1</v>
      </c>
      <c r="C1395" s="9" t="s">
        <v>1589</v>
      </c>
      <c r="D1395" s="9" t="s">
        <v>1590</v>
      </c>
      <c r="E1395" s="9" t="s">
        <v>1602</v>
      </c>
      <c r="F1395" s="9" t="s">
        <v>1603</v>
      </c>
      <c r="G1395" s="9" t="s">
        <v>1592</v>
      </c>
      <c r="H1395" s="9" t="s">
        <v>1638</v>
      </c>
      <c r="I1395" s="9" t="s">
        <v>2880</v>
      </c>
      <c r="J1395" s="9" t="s">
        <v>1601</v>
      </c>
      <c r="K1395" s="9">
        <v>1</v>
      </c>
      <c r="L1395" s="9">
        <v>30</v>
      </c>
      <c r="M1395" s="9">
        <v>2009</v>
      </c>
      <c r="O1395" s="9" t="str">
        <f t="shared" si="67"/>
        <v>NO</v>
      </c>
      <c r="P1395" s="9" t="str">
        <f t="shared" si="68"/>
        <v>NO</v>
      </c>
      <c r="Q1395" s="9" t="str">
        <f t="shared" si="69"/>
        <v>Conditioned</v>
      </c>
    </row>
    <row r="1396" spans="1:17">
      <c r="A1396" s="9">
        <v>21188</v>
      </c>
      <c r="B1396" s="9">
        <v>1</v>
      </c>
      <c r="C1396" s="9" t="s">
        <v>1589</v>
      </c>
      <c r="D1396" s="9" t="s">
        <v>1590</v>
      </c>
      <c r="E1396" s="9" t="s">
        <v>1602</v>
      </c>
      <c r="F1396" s="9" t="s">
        <v>1603</v>
      </c>
      <c r="G1396" s="9" t="s">
        <v>1592</v>
      </c>
      <c r="H1396" s="9" t="s">
        <v>177</v>
      </c>
      <c r="I1396" s="9" t="s">
        <v>2881</v>
      </c>
      <c r="J1396" s="9" t="s">
        <v>1601</v>
      </c>
      <c r="K1396" s="9">
        <v>1</v>
      </c>
      <c r="L1396" s="9">
        <v>22</v>
      </c>
      <c r="M1396" s="9">
        <v>1995</v>
      </c>
      <c r="O1396" s="9" t="str">
        <f t="shared" si="67"/>
        <v>NO</v>
      </c>
      <c r="P1396" s="9" t="str">
        <f t="shared" si="68"/>
        <v>NO</v>
      </c>
      <c r="Q1396" s="9" t="str">
        <f t="shared" si="69"/>
        <v>Conditioned</v>
      </c>
    </row>
    <row r="1397" spans="1:17">
      <c r="A1397" s="9">
        <v>21188</v>
      </c>
      <c r="B1397" s="9">
        <v>2</v>
      </c>
      <c r="C1397" s="9" t="s">
        <v>1589</v>
      </c>
      <c r="D1397" s="9" t="s">
        <v>1590</v>
      </c>
      <c r="E1397" s="9" t="s">
        <v>1591</v>
      </c>
      <c r="F1397" s="9" t="s">
        <v>1589</v>
      </c>
      <c r="G1397" s="9" t="s">
        <v>1592</v>
      </c>
      <c r="H1397" s="9" t="s">
        <v>177</v>
      </c>
      <c r="I1397" s="9" t="s">
        <v>2882</v>
      </c>
      <c r="J1397" s="9" t="s">
        <v>1605</v>
      </c>
      <c r="L1397" s="9">
        <v>20</v>
      </c>
      <c r="M1397" s="9">
        <v>1994</v>
      </c>
      <c r="O1397" s="9" t="str">
        <f t="shared" si="67"/>
        <v>NO</v>
      </c>
      <c r="P1397" s="9" t="str">
        <f t="shared" si="68"/>
        <v>YES</v>
      </c>
      <c r="Q1397" s="9" t="str">
        <f t="shared" si="69"/>
        <v>Conditioned</v>
      </c>
    </row>
    <row r="1398" spans="1:17">
      <c r="A1398" s="9">
        <v>21188</v>
      </c>
      <c r="B1398" s="9">
        <v>3</v>
      </c>
      <c r="C1398" s="9" t="s">
        <v>1589</v>
      </c>
      <c r="D1398" s="9" t="s">
        <v>1590</v>
      </c>
      <c r="E1398" s="9" t="s">
        <v>1589</v>
      </c>
      <c r="F1398" s="9" t="s">
        <v>1589</v>
      </c>
      <c r="G1398" s="9" t="s">
        <v>1592</v>
      </c>
      <c r="H1398" s="9" t="s">
        <v>170</v>
      </c>
      <c r="I1398" s="9" t="s">
        <v>2883</v>
      </c>
      <c r="J1398" s="9" t="s">
        <v>1612</v>
      </c>
      <c r="K1398" s="9">
        <v>1</v>
      </c>
      <c r="L1398" s="9">
        <v>10</v>
      </c>
      <c r="M1398" s="9">
        <v>2003</v>
      </c>
      <c r="O1398" s="9" t="str">
        <f t="shared" si="67"/>
        <v>NO</v>
      </c>
      <c r="P1398" s="9" t="str">
        <f t="shared" si="68"/>
        <v>NO</v>
      </c>
      <c r="Q1398" s="9" t="str">
        <f t="shared" si="69"/>
        <v>Conditioned</v>
      </c>
    </row>
    <row r="1399" spans="1:17">
      <c r="A1399" s="9">
        <v>21201</v>
      </c>
      <c r="B1399" s="9">
        <v>1</v>
      </c>
      <c r="C1399" s="9" t="s">
        <v>1589</v>
      </c>
      <c r="D1399" s="9" t="s">
        <v>1603</v>
      </c>
      <c r="E1399" s="9" t="s">
        <v>1613</v>
      </c>
      <c r="F1399" s="9" t="s">
        <v>1603</v>
      </c>
      <c r="G1399" s="9" t="s">
        <v>1592</v>
      </c>
      <c r="H1399" s="9" t="s">
        <v>170</v>
      </c>
      <c r="I1399" s="9" t="s">
        <v>2884</v>
      </c>
      <c r="J1399" s="9" t="s">
        <v>1608</v>
      </c>
      <c r="K1399" s="9">
        <v>1</v>
      </c>
      <c r="L1399" s="9">
        <v>22</v>
      </c>
      <c r="M1399" s="9">
        <v>2004</v>
      </c>
      <c r="O1399" s="9" t="str">
        <f t="shared" si="67"/>
        <v>NO</v>
      </c>
      <c r="P1399" s="9" t="str">
        <f t="shared" si="68"/>
        <v>NO</v>
      </c>
      <c r="Q1399" s="9" t="str">
        <f t="shared" si="69"/>
        <v>Conditioned</v>
      </c>
    </row>
    <row r="1400" spans="1:17">
      <c r="A1400" s="9">
        <v>21203</v>
      </c>
      <c r="B1400" s="9">
        <v>1</v>
      </c>
      <c r="C1400" s="9" t="s">
        <v>1589</v>
      </c>
      <c r="D1400" s="9" t="s">
        <v>1590</v>
      </c>
      <c r="E1400" s="9" t="s">
        <v>1591</v>
      </c>
      <c r="F1400" s="9" t="s">
        <v>1589</v>
      </c>
      <c r="G1400" s="9" t="s">
        <v>1606</v>
      </c>
      <c r="H1400" s="9" t="s">
        <v>1638</v>
      </c>
      <c r="I1400" s="9" t="s">
        <v>2885</v>
      </c>
      <c r="J1400" s="9" t="s">
        <v>1587</v>
      </c>
      <c r="K1400" s="9">
        <v>1</v>
      </c>
      <c r="L1400" s="9">
        <v>5</v>
      </c>
      <c r="M1400" s="9">
        <v>2010</v>
      </c>
      <c r="O1400" s="9" t="str">
        <f t="shared" si="67"/>
        <v>YES</v>
      </c>
      <c r="P1400" s="9" t="str">
        <f t="shared" si="68"/>
        <v>YES</v>
      </c>
      <c r="Q1400" s="9" t="str">
        <f t="shared" si="69"/>
        <v>Unconditioned</v>
      </c>
    </row>
    <row r="1401" spans="1:17">
      <c r="A1401" s="9">
        <v>21203</v>
      </c>
      <c r="B1401" s="9">
        <v>2</v>
      </c>
      <c r="C1401" s="9" t="s">
        <v>2886</v>
      </c>
      <c r="D1401" s="9" t="s">
        <v>1590</v>
      </c>
      <c r="E1401" s="9" t="s">
        <v>1589</v>
      </c>
      <c r="F1401" s="9" t="s">
        <v>1589</v>
      </c>
      <c r="G1401" s="9" t="s">
        <v>1592</v>
      </c>
      <c r="H1401" s="9" t="s">
        <v>170</v>
      </c>
      <c r="I1401" s="9" t="s">
        <v>2887</v>
      </c>
      <c r="J1401" s="9" t="s">
        <v>1597</v>
      </c>
      <c r="K1401" s="9">
        <v>1</v>
      </c>
      <c r="L1401" s="9">
        <v>22</v>
      </c>
      <c r="M1401" s="9">
        <v>2004</v>
      </c>
      <c r="O1401" s="9" t="str">
        <f t="shared" si="67"/>
        <v>NO</v>
      </c>
      <c r="P1401" s="9" t="str">
        <f t="shared" si="68"/>
        <v>NO</v>
      </c>
      <c r="Q1401" s="9" t="str">
        <f t="shared" si="69"/>
        <v>Conditioned</v>
      </c>
    </row>
    <row r="1402" spans="1:17">
      <c r="A1402" s="9">
        <v>21214</v>
      </c>
      <c r="B1402" s="9">
        <v>1</v>
      </c>
      <c r="C1402" s="9" t="s">
        <v>1589</v>
      </c>
      <c r="D1402" s="9" t="s">
        <v>1590</v>
      </c>
      <c r="E1402" s="9" t="s">
        <v>1613</v>
      </c>
      <c r="F1402" s="9" t="s">
        <v>1603</v>
      </c>
      <c r="G1402" s="9" t="s">
        <v>1592</v>
      </c>
      <c r="H1402" s="9" t="s">
        <v>174</v>
      </c>
      <c r="I1402" s="9" t="s">
        <v>2888</v>
      </c>
      <c r="J1402" s="9" t="s">
        <v>1601</v>
      </c>
      <c r="K1402" s="9">
        <v>1</v>
      </c>
      <c r="L1402" s="9">
        <v>25</v>
      </c>
      <c r="M1402" s="9">
        <v>2000</v>
      </c>
      <c r="O1402" s="9" t="str">
        <f t="shared" si="67"/>
        <v>NO</v>
      </c>
      <c r="P1402" s="9" t="str">
        <f t="shared" si="68"/>
        <v>NO</v>
      </c>
      <c r="Q1402" s="9" t="str">
        <f t="shared" si="69"/>
        <v>Conditioned</v>
      </c>
    </row>
    <row r="1403" spans="1:17">
      <c r="A1403" s="9">
        <v>21214</v>
      </c>
      <c r="B1403" s="9">
        <v>2</v>
      </c>
      <c r="C1403" s="9" t="s">
        <v>1589</v>
      </c>
      <c r="D1403" s="9" t="s">
        <v>1590</v>
      </c>
      <c r="E1403" s="9" t="s">
        <v>1591</v>
      </c>
      <c r="F1403" s="9" t="s">
        <v>1589</v>
      </c>
      <c r="G1403" s="9" t="s">
        <v>1606</v>
      </c>
      <c r="H1403" s="9" t="s">
        <v>170</v>
      </c>
      <c r="I1403" s="9" t="s">
        <v>2889</v>
      </c>
      <c r="J1403" s="9" t="s">
        <v>1597</v>
      </c>
      <c r="K1403" s="9">
        <v>1</v>
      </c>
      <c r="L1403" s="9">
        <v>19</v>
      </c>
      <c r="M1403" s="9">
        <v>1985</v>
      </c>
      <c r="O1403" s="9" t="str">
        <f t="shared" si="67"/>
        <v>NO</v>
      </c>
      <c r="P1403" s="9" t="str">
        <f t="shared" si="68"/>
        <v>NO</v>
      </c>
      <c r="Q1403" s="9" t="str">
        <f t="shared" si="69"/>
        <v>Unconditioned</v>
      </c>
    </row>
    <row r="1404" spans="1:17">
      <c r="A1404" s="9">
        <v>21214</v>
      </c>
      <c r="B1404" s="9">
        <v>3</v>
      </c>
      <c r="C1404" s="9" t="s">
        <v>1589</v>
      </c>
      <c r="D1404" s="9" t="s">
        <v>1590</v>
      </c>
      <c r="E1404" s="9" t="s">
        <v>1591</v>
      </c>
      <c r="F1404" s="9" t="s">
        <v>1589</v>
      </c>
      <c r="G1404" s="9" t="s">
        <v>1606</v>
      </c>
      <c r="H1404" s="9" t="s">
        <v>170</v>
      </c>
      <c r="I1404" s="9" t="s">
        <v>2577</v>
      </c>
      <c r="J1404" s="9" t="s">
        <v>1605</v>
      </c>
      <c r="K1404" s="9">
        <v>1</v>
      </c>
      <c r="L1404" s="9">
        <v>15</v>
      </c>
      <c r="M1404" s="9">
        <v>1992</v>
      </c>
      <c r="O1404" s="9" t="str">
        <f t="shared" si="67"/>
        <v>NO</v>
      </c>
      <c r="P1404" s="9" t="str">
        <f t="shared" si="68"/>
        <v>YES</v>
      </c>
      <c r="Q1404" s="9" t="str">
        <f t="shared" si="69"/>
        <v>Unconditioned</v>
      </c>
    </row>
    <row r="1405" spans="1:17">
      <c r="A1405" s="9">
        <v>21218</v>
      </c>
      <c r="B1405" s="9">
        <v>1</v>
      </c>
      <c r="C1405" s="9" t="s">
        <v>1589</v>
      </c>
      <c r="D1405" s="9" t="s">
        <v>1590</v>
      </c>
      <c r="E1405" s="9" t="s">
        <v>1591</v>
      </c>
      <c r="F1405" s="9" t="s">
        <v>1589</v>
      </c>
      <c r="G1405" s="9" t="s">
        <v>1592</v>
      </c>
      <c r="H1405" s="9" t="s">
        <v>1463</v>
      </c>
      <c r="I1405" s="9" t="s">
        <v>2890</v>
      </c>
      <c r="J1405" s="9" t="s">
        <v>1608</v>
      </c>
      <c r="K1405" s="9">
        <v>1</v>
      </c>
      <c r="L1405" s="9">
        <v>20</v>
      </c>
      <c r="M1405" s="9">
        <v>1999</v>
      </c>
      <c r="O1405" s="9" t="str">
        <f t="shared" si="67"/>
        <v>NO</v>
      </c>
      <c r="P1405" s="9" t="str">
        <f t="shared" si="68"/>
        <v>NO</v>
      </c>
      <c r="Q1405" s="9" t="str">
        <f t="shared" si="69"/>
        <v>Conditioned</v>
      </c>
    </row>
    <row r="1406" spans="1:17">
      <c r="A1406" s="9">
        <v>21218</v>
      </c>
      <c r="B1406" s="9">
        <v>2</v>
      </c>
      <c r="C1406" s="9" t="s">
        <v>1589</v>
      </c>
      <c r="D1406" s="9" t="s">
        <v>1590</v>
      </c>
      <c r="E1406" s="9" t="s">
        <v>1591</v>
      </c>
      <c r="F1406" s="9" t="s">
        <v>1589</v>
      </c>
      <c r="G1406" s="9" t="s">
        <v>1592</v>
      </c>
      <c r="H1406" s="9" t="s">
        <v>169</v>
      </c>
      <c r="I1406" s="9" t="s">
        <v>2891</v>
      </c>
      <c r="J1406" s="9" t="s">
        <v>1597</v>
      </c>
      <c r="K1406" s="9">
        <v>1</v>
      </c>
      <c r="L1406" s="9">
        <v>18</v>
      </c>
      <c r="M1406" s="9">
        <v>1999</v>
      </c>
      <c r="O1406" s="9" t="str">
        <f t="shared" si="67"/>
        <v>NO</v>
      </c>
      <c r="P1406" s="9" t="str">
        <f t="shared" si="68"/>
        <v>NO</v>
      </c>
      <c r="Q1406" s="9" t="str">
        <f t="shared" si="69"/>
        <v>Conditioned</v>
      </c>
    </row>
    <row r="1407" spans="1:17">
      <c r="A1407" s="9">
        <v>21219</v>
      </c>
      <c r="B1407" s="9">
        <v>1</v>
      </c>
      <c r="C1407" s="9" t="s">
        <v>1589</v>
      </c>
      <c r="D1407" s="9" t="s">
        <v>1590</v>
      </c>
      <c r="E1407" s="9" t="s">
        <v>1591</v>
      </c>
      <c r="F1407" s="9" t="s">
        <v>1589</v>
      </c>
      <c r="G1407" s="9" t="s">
        <v>1606</v>
      </c>
      <c r="H1407" s="9" t="s">
        <v>170</v>
      </c>
      <c r="I1407" s="9" t="s">
        <v>2892</v>
      </c>
      <c r="J1407" s="9" t="s">
        <v>1587</v>
      </c>
      <c r="K1407" s="9">
        <v>1</v>
      </c>
      <c r="L1407" s="9">
        <v>8</v>
      </c>
      <c r="M1407" s="9">
        <v>2007</v>
      </c>
      <c r="O1407" s="9" t="str">
        <f t="shared" si="67"/>
        <v>NO</v>
      </c>
      <c r="P1407" s="9" t="str">
        <f t="shared" si="68"/>
        <v>YES</v>
      </c>
      <c r="Q1407" s="9" t="str">
        <f t="shared" si="69"/>
        <v>Unconditioned</v>
      </c>
    </row>
    <row r="1408" spans="1:17">
      <c r="A1408" s="9">
        <v>21219</v>
      </c>
      <c r="B1408" s="9">
        <v>2</v>
      </c>
      <c r="C1408" s="9" t="s">
        <v>1589</v>
      </c>
      <c r="D1408" s="9" t="s">
        <v>1590</v>
      </c>
      <c r="E1408" s="9" t="s">
        <v>1613</v>
      </c>
      <c r="F1408" s="9" t="s">
        <v>1603</v>
      </c>
      <c r="G1408" s="9" t="s">
        <v>1592</v>
      </c>
      <c r="H1408" s="9" t="s">
        <v>170</v>
      </c>
      <c r="I1408" s="9" t="s">
        <v>2893</v>
      </c>
      <c r="J1408" s="9" t="s">
        <v>1597</v>
      </c>
      <c r="K1408" s="9">
        <v>1</v>
      </c>
      <c r="L1408" s="9">
        <v>22</v>
      </c>
      <c r="M1408" s="9">
        <v>2004</v>
      </c>
      <c r="O1408" s="9" t="str">
        <f t="shared" si="67"/>
        <v>NO</v>
      </c>
      <c r="P1408" s="9" t="str">
        <f t="shared" si="68"/>
        <v>NO</v>
      </c>
      <c r="Q1408" s="9" t="str">
        <f t="shared" si="69"/>
        <v>Conditioned</v>
      </c>
    </row>
    <row r="1409" spans="1:17">
      <c r="A1409" s="9">
        <v>21225</v>
      </c>
      <c r="B1409" s="9">
        <v>1</v>
      </c>
      <c r="C1409" s="9" t="s">
        <v>1589</v>
      </c>
      <c r="D1409" s="9" t="s">
        <v>1590</v>
      </c>
      <c r="E1409" s="9" t="s">
        <v>1591</v>
      </c>
      <c r="F1409" s="9" t="s">
        <v>1589</v>
      </c>
      <c r="G1409" s="9" t="s">
        <v>1592</v>
      </c>
      <c r="H1409" s="9" t="s">
        <v>174</v>
      </c>
      <c r="I1409" s="9" t="s">
        <v>2894</v>
      </c>
      <c r="J1409" s="9" t="s">
        <v>1608</v>
      </c>
      <c r="K1409" s="9">
        <v>0.25</v>
      </c>
      <c r="L1409" s="9">
        <v>21</v>
      </c>
      <c r="M1409" s="9">
        <v>2002</v>
      </c>
      <c r="O1409" s="9" t="str">
        <f t="shared" si="67"/>
        <v>NO</v>
      </c>
      <c r="P1409" s="9" t="str">
        <f t="shared" si="68"/>
        <v>NO</v>
      </c>
      <c r="Q1409" s="9" t="str">
        <f t="shared" si="69"/>
        <v>Conditioned</v>
      </c>
    </row>
    <row r="1410" spans="1:17">
      <c r="A1410" s="9">
        <v>21228</v>
      </c>
      <c r="B1410" s="9">
        <v>1</v>
      </c>
      <c r="C1410" s="9" t="s">
        <v>1589</v>
      </c>
      <c r="D1410" s="9" t="s">
        <v>1590</v>
      </c>
      <c r="E1410" s="9" t="s">
        <v>1602</v>
      </c>
      <c r="F1410" s="9" t="s">
        <v>1590</v>
      </c>
      <c r="G1410" s="9" t="s">
        <v>1592</v>
      </c>
      <c r="H1410" s="9" t="s">
        <v>1638</v>
      </c>
      <c r="I1410" s="9" t="s">
        <v>2895</v>
      </c>
      <c r="J1410" s="9" t="s">
        <v>1601</v>
      </c>
      <c r="K1410" s="9">
        <v>1</v>
      </c>
      <c r="L1410" s="9">
        <v>20</v>
      </c>
      <c r="M1410" s="9">
        <v>1991</v>
      </c>
      <c r="O1410" s="9" t="str">
        <f t="shared" si="67"/>
        <v>NO</v>
      </c>
      <c r="P1410" s="9" t="str">
        <f t="shared" si="68"/>
        <v>NO</v>
      </c>
      <c r="Q1410" s="9" t="str">
        <f t="shared" si="69"/>
        <v>Conditioned</v>
      </c>
    </row>
    <row r="1411" spans="1:17">
      <c r="A1411" s="9">
        <v>21231</v>
      </c>
      <c r="B1411" s="9">
        <v>1</v>
      </c>
      <c r="C1411" s="9" t="s">
        <v>1589</v>
      </c>
      <c r="D1411" s="9" t="s">
        <v>1590</v>
      </c>
      <c r="E1411" s="9" t="s">
        <v>1591</v>
      </c>
      <c r="F1411" s="9" t="s">
        <v>1589</v>
      </c>
      <c r="G1411" s="9" t="s">
        <v>1592</v>
      </c>
      <c r="H1411" s="9" t="s">
        <v>1638</v>
      </c>
      <c r="I1411" s="9" t="s">
        <v>2896</v>
      </c>
      <c r="J1411" s="9" t="s">
        <v>1597</v>
      </c>
      <c r="K1411" s="9">
        <v>1</v>
      </c>
      <c r="L1411" s="9">
        <v>20</v>
      </c>
      <c r="M1411" s="9">
        <v>1996</v>
      </c>
      <c r="O1411" s="9" t="str">
        <f t="shared" si="67"/>
        <v>NO</v>
      </c>
      <c r="P1411" s="9" t="str">
        <f t="shared" si="68"/>
        <v>NO</v>
      </c>
      <c r="Q1411" s="9" t="str">
        <f t="shared" si="69"/>
        <v>Conditioned</v>
      </c>
    </row>
    <row r="1412" spans="1:17">
      <c r="A1412" s="9">
        <v>21231</v>
      </c>
      <c r="B1412" s="9">
        <v>2</v>
      </c>
      <c r="C1412" s="9" t="s">
        <v>1589</v>
      </c>
      <c r="D1412" s="9" t="s">
        <v>1590</v>
      </c>
      <c r="E1412" s="9" t="s">
        <v>1591</v>
      </c>
      <c r="F1412" s="9" t="s">
        <v>1589</v>
      </c>
      <c r="G1412" s="9" t="s">
        <v>1592</v>
      </c>
      <c r="H1412" s="9" t="s">
        <v>1638</v>
      </c>
      <c r="I1412" s="9" t="s">
        <v>2897</v>
      </c>
      <c r="J1412" s="9" t="s">
        <v>1605</v>
      </c>
      <c r="K1412" s="9">
        <v>1</v>
      </c>
      <c r="L1412" s="9">
        <v>20</v>
      </c>
      <c r="M1412" s="9">
        <v>2008</v>
      </c>
      <c r="O1412" s="9" t="str">
        <f t="shared" si="67"/>
        <v>NO</v>
      </c>
      <c r="P1412" s="9" t="str">
        <f t="shared" si="68"/>
        <v>YES</v>
      </c>
      <c r="Q1412" s="9" t="str">
        <f t="shared" si="69"/>
        <v>Conditioned</v>
      </c>
    </row>
    <row r="1413" spans="1:17">
      <c r="A1413" s="9">
        <v>21231</v>
      </c>
      <c r="B1413" s="9">
        <v>3</v>
      </c>
      <c r="C1413" s="9" t="s">
        <v>1589</v>
      </c>
      <c r="D1413" s="9" t="s">
        <v>1590</v>
      </c>
      <c r="E1413" s="9" t="s">
        <v>1591</v>
      </c>
      <c r="F1413" s="9" t="s">
        <v>1589</v>
      </c>
      <c r="G1413" s="9" t="s">
        <v>1606</v>
      </c>
      <c r="H1413" s="9" t="s">
        <v>1638</v>
      </c>
      <c r="I1413" s="9" t="s">
        <v>1589</v>
      </c>
      <c r="J1413" s="9" t="s">
        <v>1587</v>
      </c>
      <c r="K1413" s="9">
        <v>1</v>
      </c>
      <c r="L1413" s="9">
        <v>22</v>
      </c>
      <c r="M1413" s="9">
        <v>1990</v>
      </c>
      <c r="O1413" s="9" t="str">
        <f t="shared" si="67"/>
        <v>NO</v>
      </c>
      <c r="P1413" s="9" t="str">
        <f t="shared" si="68"/>
        <v>YES</v>
      </c>
      <c r="Q1413" s="9" t="str">
        <f t="shared" si="69"/>
        <v>Unconditioned</v>
      </c>
    </row>
    <row r="1414" spans="1:17">
      <c r="A1414" s="9">
        <v>21231</v>
      </c>
      <c r="B1414" s="9">
        <v>4</v>
      </c>
      <c r="C1414" s="9" t="s">
        <v>1589</v>
      </c>
      <c r="D1414" s="9" t="s">
        <v>1590</v>
      </c>
      <c r="E1414" s="9" t="s">
        <v>1591</v>
      </c>
      <c r="F1414" s="9" t="s">
        <v>1589</v>
      </c>
      <c r="G1414" s="9" t="s">
        <v>1606</v>
      </c>
      <c r="H1414" s="9" t="s">
        <v>1589</v>
      </c>
      <c r="I1414" s="9" t="s">
        <v>1589</v>
      </c>
      <c r="J1414" s="9" t="s">
        <v>1605</v>
      </c>
      <c r="K1414" s="9">
        <v>1</v>
      </c>
      <c r="L1414" s="9">
        <v>20</v>
      </c>
      <c r="M1414" s="9">
        <v>1990</v>
      </c>
      <c r="O1414" s="9" t="str">
        <f t="shared" si="67"/>
        <v>NO</v>
      </c>
      <c r="P1414" s="9" t="str">
        <f t="shared" si="68"/>
        <v>YES</v>
      </c>
      <c r="Q1414" s="9" t="str">
        <f t="shared" si="69"/>
        <v>Unconditioned</v>
      </c>
    </row>
    <row r="1415" spans="1:17">
      <c r="A1415" s="9">
        <v>21233</v>
      </c>
      <c r="B1415" s="9">
        <v>1</v>
      </c>
      <c r="C1415" s="9" t="s">
        <v>1589</v>
      </c>
      <c r="D1415" s="9" t="s">
        <v>1590</v>
      </c>
      <c r="E1415" s="9" t="s">
        <v>1602</v>
      </c>
      <c r="F1415" s="9" t="s">
        <v>1603</v>
      </c>
      <c r="G1415" s="9" t="s">
        <v>1592</v>
      </c>
      <c r="H1415" s="9" t="s">
        <v>1638</v>
      </c>
      <c r="I1415" s="9" t="s">
        <v>1589</v>
      </c>
      <c r="J1415" s="9" t="s">
        <v>1601</v>
      </c>
      <c r="K1415" s="9">
        <v>1</v>
      </c>
      <c r="L1415" s="9">
        <v>25</v>
      </c>
      <c r="O1415" s="9" t="str">
        <f t="shared" si="67"/>
        <v>NO</v>
      </c>
      <c r="P1415" s="9" t="str">
        <f t="shared" si="68"/>
        <v>NO</v>
      </c>
      <c r="Q1415" s="9" t="str">
        <f t="shared" si="69"/>
        <v>Conditioned</v>
      </c>
    </row>
    <row r="1416" spans="1:17">
      <c r="A1416" s="9">
        <v>21238</v>
      </c>
      <c r="B1416" s="9">
        <v>1</v>
      </c>
      <c r="C1416" s="9" t="s">
        <v>1589</v>
      </c>
      <c r="D1416" s="9" t="s">
        <v>1590</v>
      </c>
      <c r="E1416" s="9" t="s">
        <v>1591</v>
      </c>
      <c r="F1416" s="9" t="s">
        <v>1589</v>
      </c>
      <c r="G1416" s="9" t="s">
        <v>1592</v>
      </c>
      <c r="H1416" s="9" t="s">
        <v>173</v>
      </c>
      <c r="I1416" s="9" t="s">
        <v>2898</v>
      </c>
      <c r="J1416" s="9" t="s">
        <v>1597</v>
      </c>
      <c r="K1416" s="9">
        <v>1</v>
      </c>
      <c r="L1416" s="9">
        <v>21</v>
      </c>
      <c r="M1416" s="9">
        <v>1993</v>
      </c>
      <c r="O1416" s="9" t="str">
        <f t="shared" si="67"/>
        <v>NO</v>
      </c>
      <c r="P1416" s="9" t="str">
        <f t="shared" si="68"/>
        <v>NO</v>
      </c>
      <c r="Q1416" s="9" t="str">
        <f t="shared" si="69"/>
        <v>Conditioned</v>
      </c>
    </row>
    <row r="1417" spans="1:17">
      <c r="A1417" s="9">
        <v>21238</v>
      </c>
      <c r="B1417" s="9">
        <v>2</v>
      </c>
      <c r="C1417" s="9" t="s">
        <v>1589</v>
      </c>
      <c r="D1417" s="9" t="s">
        <v>1590</v>
      </c>
      <c r="E1417" s="9" t="s">
        <v>1591</v>
      </c>
      <c r="F1417" s="9" t="s">
        <v>1589</v>
      </c>
      <c r="G1417" s="9" t="s">
        <v>1592</v>
      </c>
      <c r="H1417" s="9" t="s">
        <v>1624</v>
      </c>
      <c r="I1417" s="9" t="s">
        <v>2899</v>
      </c>
      <c r="J1417" s="9" t="s">
        <v>1605</v>
      </c>
      <c r="K1417" s="9">
        <v>1</v>
      </c>
      <c r="L1417" s="9">
        <v>27</v>
      </c>
      <c r="M1417" s="9">
        <v>1997</v>
      </c>
      <c r="O1417" s="9" t="str">
        <f t="shared" si="67"/>
        <v>NO</v>
      </c>
      <c r="P1417" s="9" t="str">
        <f t="shared" si="68"/>
        <v>YES</v>
      </c>
      <c r="Q1417" s="9" t="str">
        <f t="shared" si="69"/>
        <v>Conditioned</v>
      </c>
    </row>
    <row r="1418" spans="1:17">
      <c r="A1418" s="9">
        <v>21242</v>
      </c>
      <c r="B1418" s="9">
        <v>1</v>
      </c>
      <c r="C1418" s="9" t="s">
        <v>1589</v>
      </c>
      <c r="D1418" s="9" t="s">
        <v>1590</v>
      </c>
      <c r="E1418" s="9" t="s">
        <v>1613</v>
      </c>
      <c r="F1418" s="9" t="s">
        <v>1603</v>
      </c>
      <c r="G1418" s="9" t="s">
        <v>1592</v>
      </c>
      <c r="H1418" s="9" t="s">
        <v>172</v>
      </c>
      <c r="I1418" s="9" t="s">
        <v>1589</v>
      </c>
      <c r="J1418" s="9" t="s">
        <v>1597</v>
      </c>
      <c r="K1418" s="9">
        <v>1</v>
      </c>
      <c r="L1418" s="9">
        <v>20</v>
      </c>
      <c r="O1418" s="9" t="str">
        <f t="shared" si="67"/>
        <v>NO</v>
      </c>
      <c r="P1418" s="9" t="str">
        <f t="shared" si="68"/>
        <v>NO</v>
      </c>
      <c r="Q1418" s="9" t="str">
        <f t="shared" si="69"/>
        <v>Conditioned</v>
      </c>
    </row>
    <row r="1419" spans="1:17">
      <c r="A1419" s="9">
        <v>21242</v>
      </c>
      <c r="B1419" s="9">
        <v>2</v>
      </c>
      <c r="C1419" s="9" t="s">
        <v>1589</v>
      </c>
      <c r="D1419" s="9" t="s">
        <v>1603</v>
      </c>
      <c r="E1419" s="9" t="s">
        <v>1602</v>
      </c>
      <c r="F1419" s="9" t="s">
        <v>1603</v>
      </c>
      <c r="G1419" s="9" t="s">
        <v>1592</v>
      </c>
      <c r="H1419" s="9" t="s">
        <v>1624</v>
      </c>
      <c r="I1419" s="9" t="s">
        <v>2900</v>
      </c>
      <c r="J1419" s="9" t="s">
        <v>1601</v>
      </c>
      <c r="K1419" s="9">
        <v>1</v>
      </c>
      <c r="L1419" s="9">
        <v>26</v>
      </c>
      <c r="M1419" s="9">
        <v>2009</v>
      </c>
      <c r="O1419" s="9" t="str">
        <f t="shared" si="67"/>
        <v>NO</v>
      </c>
      <c r="P1419" s="9" t="str">
        <f t="shared" si="68"/>
        <v>NO</v>
      </c>
      <c r="Q1419" s="9" t="str">
        <f t="shared" si="69"/>
        <v>Conditioned</v>
      </c>
    </row>
    <row r="1420" spans="1:17">
      <c r="A1420" s="9">
        <v>21242</v>
      </c>
      <c r="B1420" s="9">
        <v>3</v>
      </c>
      <c r="C1420" s="9" t="s">
        <v>1589</v>
      </c>
      <c r="D1420" s="9" t="s">
        <v>1590</v>
      </c>
      <c r="E1420" s="9" t="s">
        <v>1591</v>
      </c>
      <c r="F1420" s="9" t="s">
        <v>1589</v>
      </c>
      <c r="G1420" s="9" t="s">
        <v>1606</v>
      </c>
      <c r="H1420" s="9" t="s">
        <v>170</v>
      </c>
      <c r="I1420" s="9" t="s">
        <v>2901</v>
      </c>
      <c r="J1420" s="9" t="s">
        <v>1605</v>
      </c>
      <c r="K1420" s="9">
        <v>1</v>
      </c>
      <c r="L1420" s="9">
        <v>18</v>
      </c>
      <c r="M1420" s="9">
        <v>2004</v>
      </c>
      <c r="O1420" s="9" t="str">
        <f t="shared" si="67"/>
        <v>NO</v>
      </c>
      <c r="P1420" s="9" t="str">
        <f t="shared" si="68"/>
        <v>YES</v>
      </c>
      <c r="Q1420" s="9" t="str">
        <f t="shared" si="69"/>
        <v>Unconditioned</v>
      </c>
    </row>
    <row r="1421" spans="1:17">
      <c r="A1421" s="9">
        <v>21252</v>
      </c>
      <c r="B1421" s="9">
        <v>1</v>
      </c>
      <c r="C1421" s="9" t="s">
        <v>1589</v>
      </c>
      <c r="D1421" s="9" t="s">
        <v>1590</v>
      </c>
      <c r="E1421" s="9" t="s">
        <v>1613</v>
      </c>
      <c r="F1421" s="9" t="s">
        <v>1603</v>
      </c>
      <c r="G1421" s="9" t="s">
        <v>1592</v>
      </c>
      <c r="H1421" s="9" t="s">
        <v>1599</v>
      </c>
      <c r="I1421" s="9" t="s">
        <v>2902</v>
      </c>
      <c r="J1421" s="9" t="s">
        <v>1601</v>
      </c>
      <c r="K1421" s="9">
        <v>1</v>
      </c>
      <c r="L1421" s="9">
        <v>22</v>
      </c>
      <c r="M1421" s="9">
        <v>2002</v>
      </c>
      <c r="O1421" s="9" t="str">
        <f t="shared" si="67"/>
        <v>NO</v>
      </c>
      <c r="P1421" s="9" t="str">
        <f t="shared" si="68"/>
        <v>NO</v>
      </c>
      <c r="Q1421" s="9" t="str">
        <f t="shared" si="69"/>
        <v>Conditioned</v>
      </c>
    </row>
    <row r="1422" spans="1:17">
      <c r="A1422" s="9">
        <v>21252</v>
      </c>
      <c r="B1422" s="9">
        <v>2</v>
      </c>
      <c r="C1422" s="9" t="s">
        <v>1589</v>
      </c>
      <c r="D1422" s="9" t="s">
        <v>1590</v>
      </c>
      <c r="E1422" s="9" t="s">
        <v>1591</v>
      </c>
      <c r="F1422" s="9" t="s">
        <v>1589</v>
      </c>
      <c r="G1422" s="9" t="s">
        <v>1592</v>
      </c>
      <c r="H1422" s="9" t="s">
        <v>169</v>
      </c>
      <c r="I1422" s="9" t="s">
        <v>2903</v>
      </c>
      <c r="J1422" s="9" t="s">
        <v>1605</v>
      </c>
      <c r="K1422" s="9">
        <v>1</v>
      </c>
      <c r="L1422" s="9">
        <v>22</v>
      </c>
      <c r="M1422" s="9">
        <v>2003</v>
      </c>
      <c r="O1422" s="9" t="str">
        <f t="shared" si="67"/>
        <v>NO</v>
      </c>
      <c r="P1422" s="9" t="str">
        <f t="shared" si="68"/>
        <v>YES</v>
      </c>
      <c r="Q1422" s="9" t="str">
        <f t="shared" si="69"/>
        <v>Conditioned</v>
      </c>
    </row>
    <row r="1423" spans="1:17">
      <c r="A1423" s="9">
        <v>21258</v>
      </c>
      <c r="B1423" s="9">
        <v>1</v>
      </c>
      <c r="C1423" s="9" t="s">
        <v>1589</v>
      </c>
      <c r="D1423" s="9" t="s">
        <v>1590</v>
      </c>
      <c r="E1423" s="9" t="s">
        <v>1591</v>
      </c>
      <c r="F1423" s="9" t="s">
        <v>1589</v>
      </c>
      <c r="G1423" s="9" t="s">
        <v>1606</v>
      </c>
      <c r="H1423" s="9" t="s">
        <v>169</v>
      </c>
      <c r="I1423" s="9" t="s">
        <v>2904</v>
      </c>
      <c r="J1423" s="9" t="s">
        <v>1605</v>
      </c>
      <c r="K1423" s="9">
        <v>1</v>
      </c>
      <c r="L1423" s="9">
        <v>24</v>
      </c>
      <c r="M1423" s="9">
        <v>2002</v>
      </c>
      <c r="O1423" s="9" t="str">
        <f t="shared" si="67"/>
        <v>NO</v>
      </c>
      <c r="P1423" s="9" t="str">
        <f t="shared" si="68"/>
        <v>YES</v>
      </c>
      <c r="Q1423" s="9" t="str">
        <f t="shared" si="69"/>
        <v>Unconditioned</v>
      </c>
    </row>
    <row r="1424" spans="1:17">
      <c r="A1424" s="9">
        <v>21258</v>
      </c>
      <c r="B1424" s="9">
        <v>2</v>
      </c>
      <c r="C1424" s="9" t="s">
        <v>1589</v>
      </c>
      <c r="D1424" s="9" t="s">
        <v>1590</v>
      </c>
      <c r="E1424" s="9" t="s">
        <v>1591</v>
      </c>
      <c r="F1424" s="9" t="s">
        <v>1589</v>
      </c>
      <c r="G1424" s="9" t="s">
        <v>1592</v>
      </c>
      <c r="H1424" s="9" t="s">
        <v>174</v>
      </c>
      <c r="I1424" s="9" t="s">
        <v>1589</v>
      </c>
      <c r="J1424" s="9" t="s">
        <v>1608</v>
      </c>
      <c r="K1424" s="9">
        <v>1</v>
      </c>
      <c r="L1424" s="9">
        <v>22</v>
      </c>
      <c r="O1424" s="9" t="str">
        <f t="shared" si="67"/>
        <v>NO</v>
      </c>
      <c r="P1424" s="9" t="str">
        <f t="shared" si="68"/>
        <v>NO</v>
      </c>
      <c r="Q1424" s="9" t="str">
        <f t="shared" si="69"/>
        <v>Conditioned</v>
      </c>
    </row>
    <row r="1425" spans="1:17">
      <c r="A1425" s="9">
        <v>21259</v>
      </c>
      <c r="B1425" s="9">
        <v>1</v>
      </c>
      <c r="C1425" s="9" t="s">
        <v>1589</v>
      </c>
      <c r="D1425" s="9" t="s">
        <v>1590</v>
      </c>
      <c r="E1425" s="9" t="s">
        <v>1591</v>
      </c>
      <c r="F1425" s="9" t="s">
        <v>1589</v>
      </c>
      <c r="G1425" s="9" t="s">
        <v>1592</v>
      </c>
      <c r="H1425" s="9" t="s">
        <v>173</v>
      </c>
      <c r="I1425" s="9" t="s">
        <v>2905</v>
      </c>
      <c r="J1425" s="9" t="s">
        <v>1597</v>
      </c>
      <c r="K1425" s="9">
        <v>1</v>
      </c>
      <c r="L1425" s="9">
        <v>20</v>
      </c>
      <c r="M1425" s="9">
        <v>1998</v>
      </c>
      <c r="O1425" s="9" t="str">
        <f t="shared" si="67"/>
        <v>NO</v>
      </c>
      <c r="P1425" s="9" t="str">
        <f t="shared" si="68"/>
        <v>NO</v>
      </c>
      <c r="Q1425" s="9" t="str">
        <f t="shared" si="69"/>
        <v>Conditioned</v>
      </c>
    </row>
    <row r="1426" spans="1:17">
      <c r="A1426" s="9">
        <v>21259</v>
      </c>
      <c r="B1426" s="9">
        <v>2</v>
      </c>
      <c r="C1426" s="9" t="s">
        <v>1589</v>
      </c>
      <c r="D1426" s="9" t="s">
        <v>1590</v>
      </c>
      <c r="E1426" s="9" t="s">
        <v>1591</v>
      </c>
      <c r="F1426" s="9" t="s">
        <v>1589</v>
      </c>
      <c r="G1426" s="9" t="s">
        <v>1606</v>
      </c>
      <c r="H1426" s="9" t="s">
        <v>170</v>
      </c>
      <c r="I1426" s="9" t="s">
        <v>2906</v>
      </c>
      <c r="J1426" s="9" t="s">
        <v>1612</v>
      </c>
      <c r="K1426" s="9">
        <v>1</v>
      </c>
      <c r="L1426" s="9">
        <v>19</v>
      </c>
      <c r="M1426" s="9">
        <v>2010</v>
      </c>
      <c r="O1426" s="9" t="str">
        <f t="shared" si="67"/>
        <v>NO</v>
      </c>
      <c r="P1426" s="9" t="str">
        <f t="shared" si="68"/>
        <v>NO</v>
      </c>
      <c r="Q1426" s="9" t="str">
        <f t="shared" si="69"/>
        <v>Unconditioned</v>
      </c>
    </row>
    <row r="1427" spans="1:17">
      <c r="A1427" s="9">
        <v>21259</v>
      </c>
      <c r="B1427" s="9">
        <v>3</v>
      </c>
      <c r="C1427" s="9" t="s">
        <v>1589</v>
      </c>
      <c r="D1427" s="9" t="s">
        <v>1603</v>
      </c>
      <c r="E1427" s="9" t="s">
        <v>1591</v>
      </c>
      <c r="F1427" s="9" t="s">
        <v>1589</v>
      </c>
      <c r="G1427" s="9" t="s">
        <v>1606</v>
      </c>
      <c r="H1427" s="9" t="s">
        <v>170</v>
      </c>
      <c r="I1427" s="9" t="s">
        <v>2907</v>
      </c>
      <c r="J1427" s="9" t="s">
        <v>1605</v>
      </c>
      <c r="K1427" s="9">
        <v>1</v>
      </c>
      <c r="L1427" s="9">
        <v>21</v>
      </c>
      <c r="M1427" s="9">
        <v>2009</v>
      </c>
      <c r="O1427" s="9" t="str">
        <f t="shared" si="67"/>
        <v>NO</v>
      </c>
      <c r="P1427" s="9" t="str">
        <f t="shared" si="68"/>
        <v>YES</v>
      </c>
      <c r="Q1427" s="9" t="str">
        <f t="shared" si="69"/>
        <v>Unconditioned</v>
      </c>
    </row>
    <row r="1428" spans="1:17">
      <c r="A1428" s="9">
        <v>21263</v>
      </c>
      <c r="B1428" s="9">
        <v>1</v>
      </c>
      <c r="C1428" s="9" t="s">
        <v>1589</v>
      </c>
      <c r="D1428" s="9" t="s">
        <v>1603</v>
      </c>
      <c r="E1428" s="9" t="s">
        <v>1602</v>
      </c>
      <c r="F1428" s="9" t="s">
        <v>1603</v>
      </c>
      <c r="G1428" s="9" t="s">
        <v>1592</v>
      </c>
      <c r="H1428" s="9" t="s">
        <v>177</v>
      </c>
      <c r="I1428" s="9" t="s">
        <v>2908</v>
      </c>
      <c r="J1428" s="9" t="s">
        <v>1601</v>
      </c>
      <c r="K1428" s="9">
        <v>1</v>
      </c>
      <c r="L1428" s="9">
        <v>24</v>
      </c>
      <c r="M1428" s="9">
        <v>2008</v>
      </c>
      <c r="O1428" s="9" t="str">
        <f t="shared" si="67"/>
        <v>NO</v>
      </c>
      <c r="P1428" s="9" t="str">
        <f t="shared" si="68"/>
        <v>NO</v>
      </c>
      <c r="Q1428" s="9" t="str">
        <f t="shared" si="69"/>
        <v>Conditioned</v>
      </c>
    </row>
    <row r="1429" spans="1:17">
      <c r="A1429" s="9">
        <v>21263</v>
      </c>
      <c r="B1429" s="9">
        <v>2</v>
      </c>
      <c r="C1429" s="9" t="s">
        <v>1589</v>
      </c>
      <c r="D1429" s="9" t="s">
        <v>1590</v>
      </c>
      <c r="E1429" s="9" t="s">
        <v>1591</v>
      </c>
      <c r="F1429" s="9" t="s">
        <v>1589</v>
      </c>
      <c r="G1429" s="9" t="s">
        <v>1606</v>
      </c>
      <c r="H1429" s="9" t="s">
        <v>177</v>
      </c>
      <c r="I1429" s="9" t="s">
        <v>2909</v>
      </c>
      <c r="J1429" s="9" t="s">
        <v>1597</v>
      </c>
      <c r="K1429" s="9">
        <v>1</v>
      </c>
      <c r="L1429" s="9">
        <v>22</v>
      </c>
      <c r="M1429" s="9">
        <v>1988</v>
      </c>
      <c r="O1429" s="9" t="str">
        <f t="shared" si="67"/>
        <v>NO</v>
      </c>
      <c r="P1429" s="9" t="str">
        <f t="shared" si="68"/>
        <v>NO</v>
      </c>
      <c r="Q1429" s="9" t="str">
        <f t="shared" si="69"/>
        <v>Unconditioned</v>
      </c>
    </row>
    <row r="1430" spans="1:17">
      <c r="A1430" s="9">
        <v>21264</v>
      </c>
      <c r="B1430" s="9">
        <v>1</v>
      </c>
      <c r="C1430" s="9" t="s">
        <v>1589</v>
      </c>
      <c r="D1430" s="9" t="s">
        <v>1590</v>
      </c>
      <c r="E1430" s="9" t="s">
        <v>1602</v>
      </c>
      <c r="F1430" s="9" t="s">
        <v>1603</v>
      </c>
      <c r="G1430" s="9" t="s">
        <v>1592</v>
      </c>
      <c r="H1430" s="9" t="s">
        <v>173</v>
      </c>
      <c r="I1430" s="9" t="s">
        <v>2910</v>
      </c>
      <c r="J1430" s="9" t="s">
        <v>1610</v>
      </c>
      <c r="K1430" s="9">
        <v>1</v>
      </c>
      <c r="L1430" s="9">
        <v>25</v>
      </c>
      <c r="M1430" s="9">
        <v>1994</v>
      </c>
      <c r="O1430" s="9" t="str">
        <f t="shared" si="67"/>
        <v>NO</v>
      </c>
      <c r="P1430" s="9" t="str">
        <f t="shared" si="68"/>
        <v>NO</v>
      </c>
      <c r="Q1430" s="9" t="str">
        <f t="shared" si="69"/>
        <v>Conditioned</v>
      </c>
    </row>
    <row r="1431" spans="1:17">
      <c r="A1431" s="9">
        <v>21277</v>
      </c>
      <c r="B1431" s="9">
        <v>1</v>
      </c>
      <c r="C1431" s="9" t="s">
        <v>1589</v>
      </c>
      <c r="D1431" s="9" t="s">
        <v>1590</v>
      </c>
      <c r="E1431" s="9" t="s">
        <v>1591</v>
      </c>
      <c r="F1431" s="9" t="s">
        <v>1589</v>
      </c>
      <c r="G1431" s="9" t="s">
        <v>1592</v>
      </c>
      <c r="H1431" s="9" t="s">
        <v>177</v>
      </c>
      <c r="I1431" s="9" t="s">
        <v>2791</v>
      </c>
      <c r="J1431" s="9" t="s">
        <v>1597</v>
      </c>
      <c r="K1431" s="9">
        <v>1</v>
      </c>
      <c r="L1431" s="9">
        <v>20</v>
      </c>
      <c r="M1431" s="9">
        <v>2002</v>
      </c>
      <c r="O1431" s="9" t="str">
        <f t="shared" ref="O1431:O1494" si="70">IF(L1431&lt;7.75,"YES","NO")</f>
        <v>NO</v>
      </c>
      <c r="P1431" s="9" t="str">
        <f t="shared" ref="P1431:P1494" si="71">VLOOKUP(J1431,$Z$21:$AA$27,2,FALSE)</f>
        <v>NO</v>
      </c>
      <c r="Q1431" s="9" t="str">
        <f t="shared" ref="Q1431:Q1494" si="72">G1431</f>
        <v>Conditioned</v>
      </c>
    </row>
    <row r="1432" spans="1:17">
      <c r="A1432" s="9">
        <v>21277</v>
      </c>
      <c r="B1432" s="9">
        <v>2</v>
      </c>
      <c r="C1432" s="9" t="s">
        <v>1589</v>
      </c>
      <c r="D1432" s="9" t="s">
        <v>1590</v>
      </c>
      <c r="E1432" s="9" t="s">
        <v>1591</v>
      </c>
      <c r="F1432" s="9" t="s">
        <v>1589</v>
      </c>
      <c r="G1432" s="9" t="s">
        <v>1592</v>
      </c>
      <c r="H1432" s="9" t="s">
        <v>170</v>
      </c>
      <c r="I1432" s="9" t="s">
        <v>2911</v>
      </c>
      <c r="J1432" s="9" t="s">
        <v>1587</v>
      </c>
      <c r="K1432" s="9">
        <v>1</v>
      </c>
      <c r="L1432" s="9">
        <v>14</v>
      </c>
      <c r="M1432" s="9">
        <v>1998</v>
      </c>
      <c r="O1432" s="9" t="str">
        <f t="shared" si="70"/>
        <v>NO</v>
      </c>
      <c r="P1432" s="9" t="str">
        <f t="shared" si="71"/>
        <v>YES</v>
      </c>
      <c r="Q1432" s="9" t="str">
        <f t="shared" si="72"/>
        <v>Conditioned</v>
      </c>
    </row>
    <row r="1433" spans="1:17">
      <c r="A1433" s="9">
        <v>21291</v>
      </c>
      <c r="B1433" s="9">
        <v>1</v>
      </c>
      <c r="C1433" s="9" t="s">
        <v>1589</v>
      </c>
      <c r="D1433" s="9" t="s">
        <v>1590</v>
      </c>
      <c r="E1433" s="9" t="s">
        <v>1613</v>
      </c>
      <c r="F1433" s="9" t="s">
        <v>1603</v>
      </c>
      <c r="G1433" s="9" t="s">
        <v>1592</v>
      </c>
      <c r="H1433" s="9" t="s">
        <v>170</v>
      </c>
      <c r="I1433" s="9" t="s">
        <v>2912</v>
      </c>
      <c r="J1433" s="9" t="s">
        <v>1597</v>
      </c>
      <c r="K1433" s="9">
        <v>1</v>
      </c>
      <c r="L1433" s="9">
        <v>20</v>
      </c>
      <c r="M1433" s="9">
        <v>2002</v>
      </c>
      <c r="O1433" s="9" t="str">
        <f t="shared" si="70"/>
        <v>NO</v>
      </c>
      <c r="P1433" s="9" t="str">
        <f t="shared" si="71"/>
        <v>NO</v>
      </c>
      <c r="Q1433" s="9" t="str">
        <f t="shared" si="72"/>
        <v>Conditioned</v>
      </c>
    </row>
    <row r="1434" spans="1:17">
      <c r="A1434" s="9">
        <v>21291</v>
      </c>
      <c r="B1434" s="9">
        <v>2</v>
      </c>
      <c r="C1434" s="9" t="s">
        <v>1589</v>
      </c>
      <c r="D1434" s="9" t="s">
        <v>1590</v>
      </c>
      <c r="E1434" s="9" t="s">
        <v>1591</v>
      </c>
      <c r="F1434" s="9" t="s">
        <v>1589</v>
      </c>
      <c r="G1434" s="9" t="s">
        <v>1606</v>
      </c>
      <c r="H1434" s="9" t="s">
        <v>170</v>
      </c>
      <c r="I1434" s="9" t="s">
        <v>2913</v>
      </c>
      <c r="J1434" s="9" t="s">
        <v>1605</v>
      </c>
      <c r="K1434" s="9">
        <v>1</v>
      </c>
      <c r="L1434" s="9">
        <v>15</v>
      </c>
      <c r="M1434" s="9">
        <v>1994</v>
      </c>
      <c r="O1434" s="9" t="str">
        <f t="shared" si="70"/>
        <v>NO</v>
      </c>
      <c r="P1434" s="9" t="str">
        <f t="shared" si="71"/>
        <v>YES</v>
      </c>
      <c r="Q1434" s="9" t="str">
        <f t="shared" si="72"/>
        <v>Unconditioned</v>
      </c>
    </row>
    <row r="1435" spans="1:17">
      <c r="A1435" s="9">
        <v>21293</v>
      </c>
      <c r="B1435" s="9">
        <v>1</v>
      </c>
      <c r="C1435" s="9" t="s">
        <v>1589</v>
      </c>
      <c r="D1435" s="9" t="s">
        <v>1590</v>
      </c>
      <c r="E1435" s="9" t="s">
        <v>1591</v>
      </c>
      <c r="F1435" s="9" t="s">
        <v>1589</v>
      </c>
      <c r="G1435" s="9" t="s">
        <v>1592</v>
      </c>
      <c r="H1435" s="9" t="s">
        <v>1624</v>
      </c>
      <c r="I1435" s="9" t="s">
        <v>2914</v>
      </c>
      <c r="J1435" s="9" t="s">
        <v>1597</v>
      </c>
      <c r="K1435" s="9">
        <v>1</v>
      </c>
      <c r="L1435" s="9">
        <v>20</v>
      </c>
      <c r="M1435" s="9">
        <v>2003</v>
      </c>
      <c r="O1435" s="9" t="str">
        <f t="shared" si="70"/>
        <v>NO</v>
      </c>
      <c r="P1435" s="9" t="str">
        <f t="shared" si="71"/>
        <v>NO</v>
      </c>
      <c r="Q1435" s="9" t="str">
        <f t="shared" si="72"/>
        <v>Conditioned</v>
      </c>
    </row>
    <row r="1436" spans="1:17">
      <c r="A1436" s="9">
        <v>21293</v>
      </c>
      <c r="B1436" s="9">
        <v>2</v>
      </c>
      <c r="C1436" s="9" t="s">
        <v>1589</v>
      </c>
      <c r="D1436" s="9" t="s">
        <v>1590</v>
      </c>
      <c r="E1436" s="9" t="s">
        <v>1591</v>
      </c>
      <c r="F1436" s="9" t="s">
        <v>1589</v>
      </c>
      <c r="G1436" s="9" t="s">
        <v>1592</v>
      </c>
      <c r="H1436" s="9" t="s">
        <v>1624</v>
      </c>
      <c r="I1436" s="9" t="s">
        <v>2915</v>
      </c>
      <c r="J1436" s="9" t="s">
        <v>1605</v>
      </c>
      <c r="K1436" s="9">
        <v>1</v>
      </c>
      <c r="L1436" s="9">
        <v>12</v>
      </c>
      <c r="O1436" s="9" t="str">
        <f t="shared" si="70"/>
        <v>NO</v>
      </c>
      <c r="P1436" s="9" t="str">
        <f t="shared" si="71"/>
        <v>YES</v>
      </c>
      <c r="Q1436" s="9" t="str">
        <f t="shared" si="72"/>
        <v>Conditioned</v>
      </c>
    </row>
    <row r="1437" spans="1:17">
      <c r="A1437" s="9">
        <v>21294</v>
      </c>
      <c r="B1437" s="9">
        <v>1</v>
      </c>
      <c r="C1437" s="9" t="s">
        <v>1589</v>
      </c>
      <c r="D1437" s="9" t="s">
        <v>1590</v>
      </c>
      <c r="E1437" s="9" t="s">
        <v>1591</v>
      </c>
      <c r="F1437" s="9" t="s">
        <v>1589</v>
      </c>
      <c r="G1437" s="9" t="s">
        <v>1592</v>
      </c>
      <c r="H1437" s="9" t="s">
        <v>1638</v>
      </c>
      <c r="I1437" s="9" t="s">
        <v>2916</v>
      </c>
      <c r="J1437" s="9" t="s">
        <v>1597</v>
      </c>
      <c r="K1437" s="9">
        <v>1</v>
      </c>
      <c r="L1437" s="9">
        <v>20</v>
      </c>
      <c r="M1437" s="9">
        <v>1995</v>
      </c>
      <c r="O1437" s="9" t="str">
        <f t="shared" si="70"/>
        <v>NO</v>
      </c>
      <c r="P1437" s="9" t="str">
        <f t="shared" si="71"/>
        <v>NO</v>
      </c>
      <c r="Q1437" s="9" t="str">
        <f t="shared" si="72"/>
        <v>Conditioned</v>
      </c>
    </row>
    <row r="1438" spans="1:17">
      <c r="A1438" s="9">
        <v>21294</v>
      </c>
      <c r="B1438" s="9">
        <v>2</v>
      </c>
      <c r="C1438" s="9" t="s">
        <v>1589</v>
      </c>
      <c r="D1438" s="9" t="s">
        <v>1590</v>
      </c>
      <c r="E1438" s="9" t="s">
        <v>1591</v>
      </c>
      <c r="F1438" s="9" t="s">
        <v>1589</v>
      </c>
      <c r="G1438" s="9" t="s">
        <v>1606</v>
      </c>
      <c r="H1438" s="9" t="s">
        <v>1463</v>
      </c>
      <c r="I1438" s="9" t="s">
        <v>2917</v>
      </c>
      <c r="J1438" s="9" t="s">
        <v>1587</v>
      </c>
      <c r="K1438" s="9">
        <v>1</v>
      </c>
      <c r="L1438" s="9">
        <v>16</v>
      </c>
      <c r="M1438" s="9">
        <v>1992</v>
      </c>
      <c r="O1438" s="9" t="str">
        <f t="shared" si="70"/>
        <v>NO</v>
      </c>
      <c r="P1438" s="9" t="str">
        <f t="shared" si="71"/>
        <v>YES</v>
      </c>
      <c r="Q1438" s="9" t="str">
        <f t="shared" si="72"/>
        <v>Unconditioned</v>
      </c>
    </row>
    <row r="1439" spans="1:17">
      <c r="A1439" s="9">
        <v>21294</v>
      </c>
      <c r="B1439" s="9">
        <v>3</v>
      </c>
      <c r="C1439" s="9" t="s">
        <v>1589</v>
      </c>
      <c r="D1439" s="9" t="s">
        <v>1590</v>
      </c>
      <c r="E1439" s="9" t="s">
        <v>1591</v>
      </c>
      <c r="F1439" s="9" t="s">
        <v>1589</v>
      </c>
      <c r="G1439" s="9" t="s">
        <v>1606</v>
      </c>
      <c r="H1439" s="9" t="s">
        <v>1624</v>
      </c>
      <c r="I1439" s="9" t="s">
        <v>2918</v>
      </c>
      <c r="J1439" s="9" t="s">
        <v>1597</v>
      </c>
      <c r="K1439" s="9">
        <v>0.25</v>
      </c>
      <c r="L1439" s="9">
        <v>10</v>
      </c>
      <c r="M1439" s="9">
        <v>1995</v>
      </c>
      <c r="O1439" s="9" t="str">
        <f t="shared" si="70"/>
        <v>NO</v>
      </c>
      <c r="P1439" s="9" t="str">
        <f t="shared" si="71"/>
        <v>NO</v>
      </c>
      <c r="Q1439" s="9" t="str">
        <f t="shared" si="72"/>
        <v>Unconditioned</v>
      </c>
    </row>
    <row r="1440" spans="1:17">
      <c r="A1440" s="9">
        <v>21295</v>
      </c>
      <c r="B1440" s="9">
        <v>1</v>
      </c>
      <c r="C1440" s="9" t="s">
        <v>1589</v>
      </c>
      <c r="D1440" s="9" t="s">
        <v>1590</v>
      </c>
      <c r="E1440" s="9" t="s">
        <v>1591</v>
      </c>
      <c r="F1440" s="9" t="s">
        <v>1589</v>
      </c>
      <c r="G1440" s="9" t="s">
        <v>1592</v>
      </c>
      <c r="H1440" s="9" t="s">
        <v>178</v>
      </c>
      <c r="I1440" s="9" t="s">
        <v>2919</v>
      </c>
      <c r="J1440" s="9" t="s">
        <v>1597</v>
      </c>
      <c r="K1440" s="9">
        <v>1</v>
      </c>
      <c r="L1440" s="9">
        <v>20</v>
      </c>
      <c r="M1440" s="9">
        <v>2008</v>
      </c>
      <c r="O1440" s="9" t="str">
        <f t="shared" si="70"/>
        <v>NO</v>
      </c>
      <c r="P1440" s="9" t="str">
        <f t="shared" si="71"/>
        <v>NO</v>
      </c>
      <c r="Q1440" s="9" t="str">
        <f t="shared" si="72"/>
        <v>Conditioned</v>
      </c>
    </row>
    <row r="1441" spans="1:17">
      <c r="A1441" s="9">
        <v>21295</v>
      </c>
      <c r="B1441" s="9">
        <v>2</v>
      </c>
      <c r="C1441" s="9" t="s">
        <v>1589</v>
      </c>
      <c r="D1441" s="9" t="s">
        <v>1590</v>
      </c>
      <c r="E1441" s="9" t="s">
        <v>1591</v>
      </c>
      <c r="F1441" s="9" t="s">
        <v>1589</v>
      </c>
      <c r="G1441" s="9" t="s">
        <v>1592</v>
      </c>
      <c r="H1441" s="9" t="s">
        <v>170</v>
      </c>
      <c r="I1441" s="9" t="s">
        <v>2920</v>
      </c>
      <c r="J1441" s="9" t="s">
        <v>1605</v>
      </c>
      <c r="K1441" s="9">
        <v>1</v>
      </c>
      <c r="L1441" s="9">
        <v>18</v>
      </c>
      <c r="M1441" s="9">
        <v>1985</v>
      </c>
      <c r="O1441" s="9" t="str">
        <f t="shared" si="70"/>
        <v>NO</v>
      </c>
      <c r="P1441" s="9" t="str">
        <f t="shared" si="71"/>
        <v>YES</v>
      </c>
      <c r="Q1441" s="9" t="str">
        <f t="shared" si="72"/>
        <v>Conditioned</v>
      </c>
    </row>
    <row r="1442" spans="1:17">
      <c r="A1442" s="9">
        <v>21295</v>
      </c>
      <c r="B1442" s="9">
        <v>3</v>
      </c>
      <c r="C1442" s="9" t="s">
        <v>1589</v>
      </c>
      <c r="D1442" s="9" t="s">
        <v>1590</v>
      </c>
      <c r="E1442" s="9" t="s">
        <v>1591</v>
      </c>
      <c r="F1442" s="9" t="s">
        <v>1589</v>
      </c>
      <c r="G1442" s="9" t="s">
        <v>1606</v>
      </c>
      <c r="H1442" s="9" t="s">
        <v>177</v>
      </c>
      <c r="I1442" s="9" t="s">
        <v>2921</v>
      </c>
      <c r="J1442" s="9" t="s">
        <v>1597</v>
      </c>
      <c r="K1442" s="9">
        <v>0.25</v>
      </c>
      <c r="L1442" s="9">
        <v>10</v>
      </c>
      <c r="M1442" s="9">
        <v>1995</v>
      </c>
      <c r="O1442" s="9" t="str">
        <f t="shared" si="70"/>
        <v>NO</v>
      </c>
      <c r="P1442" s="9" t="str">
        <f t="shared" si="71"/>
        <v>NO</v>
      </c>
      <c r="Q1442" s="9" t="str">
        <f t="shared" si="72"/>
        <v>Unconditioned</v>
      </c>
    </row>
    <row r="1443" spans="1:17">
      <c r="A1443" s="9">
        <v>21295</v>
      </c>
      <c r="B1443" s="9">
        <v>4</v>
      </c>
      <c r="C1443" s="9" t="s">
        <v>1589</v>
      </c>
      <c r="D1443" s="9" t="s">
        <v>1590</v>
      </c>
      <c r="E1443" s="9" t="s">
        <v>1591</v>
      </c>
      <c r="F1443" s="9" t="s">
        <v>1589</v>
      </c>
      <c r="G1443" s="9" t="s">
        <v>1606</v>
      </c>
      <c r="H1443" s="9" t="s">
        <v>1589</v>
      </c>
      <c r="I1443" s="9" t="s">
        <v>2922</v>
      </c>
      <c r="J1443" s="9" t="s">
        <v>1597</v>
      </c>
      <c r="L1443" s="9">
        <v>14</v>
      </c>
      <c r="O1443" s="9" t="str">
        <f t="shared" si="70"/>
        <v>NO</v>
      </c>
      <c r="P1443" s="9" t="str">
        <f t="shared" si="71"/>
        <v>NO</v>
      </c>
      <c r="Q1443" s="9" t="str">
        <f t="shared" si="72"/>
        <v>Unconditioned</v>
      </c>
    </row>
    <row r="1444" spans="1:17">
      <c r="A1444" s="9">
        <v>21295</v>
      </c>
      <c r="B1444" s="9">
        <v>5</v>
      </c>
      <c r="C1444" s="9" t="s">
        <v>1589</v>
      </c>
      <c r="D1444" s="9" t="s">
        <v>1590</v>
      </c>
      <c r="E1444" s="9" t="s">
        <v>1591</v>
      </c>
      <c r="F1444" s="9" t="s">
        <v>1589</v>
      </c>
      <c r="G1444" s="9" t="s">
        <v>1606</v>
      </c>
      <c r="H1444" s="9" t="s">
        <v>1754</v>
      </c>
      <c r="I1444" s="9" t="s">
        <v>2923</v>
      </c>
      <c r="J1444" s="9" t="s">
        <v>1597</v>
      </c>
      <c r="K1444" s="9">
        <v>1</v>
      </c>
      <c r="L1444" s="9">
        <v>20</v>
      </c>
      <c r="M1444" s="9">
        <v>2002</v>
      </c>
      <c r="O1444" s="9" t="str">
        <f t="shared" si="70"/>
        <v>NO</v>
      </c>
      <c r="P1444" s="9" t="str">
        <f t="shared" si="71"/>
        <v>NO</v>
      </c>
      <c r="Q1444" s="9" t="str">
        <f t="shared" si="72"/>
        <v>Unconditioned</v>
      </c>
    </row>
    <row r="1445" spans="1:17">
      <c r="A1445" s="9">
        <v>21296</v>
      </c>
      <c r="B1445" s="9">
        <v>1</v>
      </c>
      <c r="C1445" s="9" t="s">
        <v>1589</v>
      </c>
      <c r="D1445" s="9" t="s">
        <v>1590</v>
      </c>
      <c r="E1445" s="9" t="s">
        <v>1613</v>
      </c>
      <c r="F1445" s="9" t="s">
        <v>1590</v>
      </c>
      <c r="G1445" s="9" t="s">
        <v>1592</v>
      </c>
      <c r="H1445" s="9" t="s">
        <v>177</v>
      </c>
      <c r="I1445" s="9" t="s">
        <v>2924</v>
      </c>
      <c r="J1445" s="9" t="s">
        <v>1597</v>
      </c>
      <c r="K1445" s="9">
        <v>1</v>
      </c>
      <c r="L1445" s="9">
        <v>20</v>
      </c>
      <c r="M1445" s="9">
        <v>1973</v>
      </c>
      <c r="O1445" s="9" t="str">
        <f t="shared" si="70"/>
        <v>NO</v>
      </c>
      <c r="P1445" s="9" t="str">
        <f t="shared" si="71"/>
        <v>NO</v>
      </c>
      <c r="Q1445" s="9" t="str">
        <f t="shared" si="72"/>
        <v>Conditioned</v>
      </c>
    </row>
    <row r="1446" spans="1:17">
      <c r="A1446" s="9">
        <v>21298</v>
      </c>
      <c r="B1446" s="9">
        <v>1</v>
      </c>
      <c r="C1446" s="9" t="s">
        <v>1589</v>
      </c>
      <c r="D1446" s="9" t="s">
        <v>1590</v>
      </c>
      <c r="E1446" s="9" t="s">
        <v>1591</v>
      </c>
      <c r="F1446" s="9" t="s">
        <v>1589</v>
      </c>
      <c r="G1446" s="9" t="s">
        <v>1592</v>
      </c>
      <c r="H1446" s="9" t="s">
        <v>174</v>
      </c>
      <c r="I1446" s="9" t="s">
        <v>2270</v>
      </c>
      <c r="J1446" s="9" t="s">
        <v>1608</v>
      </c>
      <c r="K1446" s="9">
        <v>1</v>
      </c>
      <c r="L1446" s="9">
        <v>21</v>
      </c>
      <c r="M1446" s="9">
        <v>2001</v>
      </c>
      <c r="O1446" s="9" t="str">
        <f t="shared" si="70"/>
        <v>NO</v>
      </c>
      <c r="P1446" s="9" t="str">
        <f t="shared" si="71"/>
        <v>NO</v>
      </c>
      <c r="Q1446" s="9" t="str">
        <f t="shared" si="72"/>
        <v>Conditioned</v>
      </c>
    </row>
    <row r="1447" spans="1:17">
      <c r="A1447" s="9">
        <v>21298</v>
      </c>
      <c r="B1447" s="9">
        <v>2</v>
      </c>
      <c r="C1447" s="9" t="s">
        <v>1589</v>
      </c>
      <c r="D1447" s="9" t="s">
        <v>1590</v>
      </c>
      <c r="E1447" s="9" t="s">
        <v>1591</v>
      </c>
      <c r="F1447" s="9" t="s">
        <v>1589</v>
      </c>
      <c r="G1447" s="9" t="s">
        <v>1592</v>
      </c>
      <c r="H1447" s="9" t="s">
        <v>1624</v>
      </c>
      <c r="I1447" s="9" t="s">
        <v>2925</v>
      </c>
      <c r="J1447" s="9" t="s">
        <v>1597</v>
      </c>
      <c r="K1447" s="9">
        <v>1</v>
      </c>
      <c r="L1447" s="9">
        <v>15</v>
      </c>
      <c r="M1447" s="9">
        <v>2009</v>
      </c>
      <c r="O1447" s="9" t="str">
        <f t="shared" si="70"/>
        <v>NO</v>
      </c>
      <c r="P1447" s="9" t="str">
        <f t="shared" si="71"/>
        <v>NO</v>
      </c>
      <c r="Q1447" s="9" t="str">
        <f t="shared" si="72"/>
        <v>Conditioned</v>
      </c>
    </row>
    <row r="1448" spans="1:17">
      <c r="A1448" s="9">
        <v>21305</v>
      </c>
      <c r="B1448" s="9">
        <v>1</v>
      </c>
      <c r="C1448" s="9" t="s">
        <v>1589</v>
      </c>
      <c r="D1448" s="9" t="s">
        <v>1590</v>
      </c>
      <c r="E1448" s="9" t="s">
        <v>1591</v>
      </c>
      <c r="F1448" s="9" t="s">
        <v>1589</v>
      </c>
      <c r="G1448" s="9" t="s">
        <v>1592</v>
      </c>
      <c r="H1448" s="9" t="s">
        <v>1638</v>
      </c>
      <c r="I1448" s="9" t="s">
        <v>2926</v>
      </c>
      <c r="J1448" s="9" t="s">
        <v>1597</v>
      </c>
      <c r="K1448" s="9">
        <v>1</v>
      </c>
      <c r="L1448" s="9">
        <v>17</v>
      </c>
      <c r="M1448" s="9">
        <v>1978</v>
      </c>
      <c r="O1448" s="9" t="str">
        <f t="shared" si="70"/>
        <v>NO</v>
      </c>
      <c r="P1448" s="9" t="str">
        <f t="shared" si="71"/>
        <v>NO</v>
      </c>
      <c r="Q1448" s="9" t="str">
        <f t="shared" si="72"/>
        <v>Conditioned</v>
      </c>
    </row>
    <row r="1449" spans="1:17">
      <c r="A1449" s="9">
        <v>21316</v>
      </c>
      <c r="B1449" s="9">
        <v>1</v>
      </c>
      <c r="C1449" s="9" t="s">
        <v>1589</v>
      </c>
      <c r="D1449" s="9" t="s">
        <v>1590</v>
      </c>
      <c r="E1449" s="9" t="s">
        <v>1602</v>
      </c>
      <c r="F1449" s="9" t="s">
        <v>1603</v>
      </c>
      <c r="G1449" s="9" t="s">
        <v>1592</v>
      </c>
      <c r="H1449" s="9" t="s">
        <v>170</v>
      </c>
      <c r="I1449" s="9" t="s">
        <v>2927</v>
      </c>
      <c r="J1449" s="9" t="s">
        <v>1601</v>
      </c>
      <c r="K1449" s="9">
        <v>1</v>
      </c>
      <c r="L1449" s="9">
        <v>15</v>
      </c>
      <c r="M1449" s="9">
        <v>2002</v>
      </c>
      <c r="O1449" s="9" t="str">
        <f t="shared" si="70"/>
        <v>NO</v>
      </c>
      <c r="P1449" s="9" t="str">
        <f t="shared" si="71"/>
        <v>NO</v>
      </c>
      <c r="Q1449" s="9" t="str">
        <f t="shared" si="72"/>
        <v>Conditioned</v>
      </c>
    </row>
    <row r="1450" spans="1:17">
      <c r="A1450" s="9">
        <v>21319</v>
      </c>
      <c r="B1450" s="9">
        <v>1</v>
      </c>
      <c r="C1450" s="9" t="s">
        <v>1589</v>
      </c>
      <c r="D1450" s="9" t="s">
        <v>1590</v>
      </c>
      <c r="E1450" s="9" t="s">
        <v>1613</v>
      </c>
      <c r="F1450" s="9" t="s">
        <v>1603</v>
      </c>
      <c r="G1450" s="9" t="s">
        <v>1592</v>
      </c>
      <c r="H1450" s="9" t="s">
        <v>177</v>
      </c>
      <c r="I1450" s="9" t="s">
        <v>2928</v>
      </c>
      <c r="J1450" s="9" t="s">
        <v>1597</v>
      </c>
      <c r="K1450" s="9">
        <v>1</v>
      </c>
      <c r="L1450" s="9">
        <v>21</v>
      </c>
      <c r="M1450" s="9">
        <v>2009</v>
      </c>
      <c r="O1450" s="9" t="str">
        <f t="shared" si="70"/>
        <v>NO</v>
      </c>
      <c r="P1450" s="9" t="str">
        <f t="shared" si="71"/>
        <v>NO</v>
      </c>
      <c r="Q1450" s="9" t="str">
        <f t="shared" si="72"/>
        <v>Conditioned</v>
      </c>
    </row>
    <row r="1451" spans="1:17">
      <c r="A1451" s="9">
        <v>21320</v>
      </c>
      <c r="B1451" s="9">
        <v>1</v>
      </c>
      <c r="C1451" s="9" t="s">
        <v>1589</v>
      </c>
      <c r="D1451" s="9" t="s">
        <v>1590</v>
      </c>
      <c r="E1451" s="9" t="s">
        <v>1591</v>
      </c>
      <c r="F1451" s="9" t="s">
        <v>1589</v>
      </c>
      <c r="G1451" s="9" t="s">
        <v>1592</v>
      </c>
      <c r="H1451" s="9" t="s">
        <v>170</v>
      </c>
      <c r="I1451" s="9" t="s">
        <v>2929</v>
      </c>
      <c r="J1451" s="9" t="s">
        <v>1597</v>
      </c>
      <c r="K1451" s="9">
        <v>1</v>
      </c>
      <c r="L1451" s="9">
        <v>24</v>
      </c>
      <c r="M1451" s="9">
        <v>2000</v>
      </c>
      <c r="O1451" s="9" t="str">
        <f t="shared" si="70"/>
        <v>NO</v>
      </c>
      <c r="P1451" s="9" t="str">
        <f t="shared" si="71"/>
        <v>NO</v>
      </c>
      <c r="Q1451" s="9" t="str">
        <f t="shared" si="72"/>
        <v>Conditioned</v>
      </c>
    </row>
    <row r="1452" spans="1:17">
      <c r="A1452" s="9">
        <v>21320</v>
      </c>
      <c r="B1452" s="9">
        <v>2</v>
      </c>
      <c r="C1452" s="9" t="s">
        <v>1589</v>
      </c>
      <c r="D1452" s="9" t="s">
        <v>1590</v>
      </c>
      <c r="E1452" s="9" t="s">
        <v>1591</v>
      </c>
      <c r="F1452" s="9" t="s">
        <v>1589</v>
      </c>
      <c r="G1452" s="9" t="s">
        <v>1606</v>
      </c>
      <c r="H1452" s="9" t="s">
        <v>169</v>
      </c>
      <c r="I1452" s="9" t="s">
        <v>2930</v>
      </c>
      <c r="J1452" s="9" t="s">
        <v>1605</v>
      </c>
      <c r="K1452" s="9">
        <v>1</v>
      </c>
      <c r="L1452" s="9">
        <v>17</v>
      </c>
      <c r="M1452" s="9">
        <v>2003</v>
      </c>
      <c r="O1452" s="9" t="str">
        <f t="shared" si="70"/>
        <v>NO</v>
      </c>
      <c r="P1452" s="9" t="str">
        <f t="shared" si="71"/>
        <v>YES</v>
      </c>
      <c r="Q1452" s="9" t="str">
        <f t="shared" si="72"/>
        <v>Unconditioned</v>
      </c>
    </row>
    <row r="1453" spans="1:17">
      <c r="A1453" s="9">
        <v>21320</v>
      </c>
      <c r="B1453" s="9">
        <v>3</v>
      </c>
      <c r="C1453" s="9" t="s">
        <v>1589</v>
      </c>
      <c r="D1453" s="9" t="s">
        <v>1590</v>
      </c>
      <c r="E1453" s="9" t="s">
        <v>1613</v>
      </c>
      <c r="F1453" s="9" t="s">
        <v>1590</v>
      </c>
      <c r="G1453" s="9" t="s">
        <v>1606</v>
      </c>
      <c r="H1453" s="9" t="s">
        <v>1638</v>
      </c>
      <c r="I1453" s="9" t="s">
        <v>2931</v>
      </c>
      <c r="J1453" s="9" t="s">
        <v>1597</v>
      </c>
      <c r="K1453" s="9">
        <v>1</v>
      </c>
      <c r="L1453" s="9">
        <v>21</v>
      </c>
      <c r="M1453" s="9">
        <v>1995</v>
      </c>
      <c r="O1453" s="9" t="str">
        <f t="shared" si="70"/>
        <v>NO</v>
      </c>
      <c r="P1453" s="9" t="str">
        <f t="shared" si="71"/>
        <v>NO</v>
      </c>
      <c r="Q1453" s="9" t="str">
        <f t="shared" si="72"/>
        <v>Unconditioned</v>
      </c>
    </row>
    <row r="1454" spans="1:17">
      <c r="A1454" s="9">
        <v>21326</v>
      </c>
      <c r="B1454" s="9">
        <v>1</v>
      </c>
      <c r="C1454" s="9" t="s">
        <v>1589</v>
      </c>
      <c r="D1454" s="9" t="s">
        <v>1603</v>
      </c>
      <c r="E1454" s="9" t="s">
        <v>1602</v>
      </c>
      <c r="F1454" s="9" t="s">
        <v>1603</v>
      </c>
      <c r="G1454" s="9" t="s">
        <v>1592</v>
      </c>
      <c r="H1454" s="9" t="s">
        <v>1599</v>
      </c>
      <c r="I1454" s="9" t="s">
        <v>2932</v>
      </c>
      <c r="J1454" s="9" t="s">
        <v>1601</v>
      </c>
      <c r="K1454" s="9">
        <v>0.25</v>
      </c>
      <c r="L1454" s="9">
        <v>22</v>
      </c>
      <c r="M1454" s="9">
        <v>2007</v>
      </c>
      <c r="O1454" s="9" t="str">
        <f t="shared" si="70"/>
        <v>NO</v>
      </c>
      <c r="P1454" s="9" t="str">
        <f t="shared" si="71"/>
        <v>NO</v>
      </c>
      <c r="Q1454" s="9" t="str">
        <f t="shared" si="72"/>
        <v>Conditioned</v>
      </c>
    </row>
    <row r="1455" spans="1:17">
      <c r="A1455" s="9">
        <v>21326</v>
      </c>
      <c r="B1455" s="9">
        <v>2</v>
      </c>
      <c r="C1455" s="9" t="s">
        <v>1589</v>
      </c>
      <c r="D1455" s="9" t="s">
        <v>1590</v>
      </c>
      <c r="E1455" s="9" t="s">
        <v>1591</v>
      </c>
      <c r="F1455" s="9" t="s">
        <v>1589</v>
      </c>
      <c r="G1455" s="9" t="s">
        <v>1606</v>
      </c>
      <c r="H1455" s="9" t="s">
        <v>174</v>
      </c>
      <c r="I1455" s="9" t="s">
        <v>2933</v>
      </c>
      <c r="J1455" s="9" t="s">
        <v>1597</v>
      </c>
      <c r="K1455" s="9">
        <v>1</v>
      </c>
      <c r="L1455" s="9">
        <v>20</v>
      </c>
      <c r="M1455" s="9">
        <v>1989</v>
      </c>
      <c r="O1455" s="9" t="str">
        <f t="shared" si="70"/>
        <v>NO</v>
      </c>
      <c r="P1455" s="9" t="str">
        <f t="shared" si="71"/>
        <v>NO</v>
      </c>
      <c r="Q1455" s="9" t="str">
        <f t="shared" si="72"/>
        <v>Unconditioned</v>
      </c>
    </row>
    <row r="1456" spans="1:17">
      <c r="A1456" s="9">
        <v>21334</v>
      </c>
      <c r="B1456" s="9">
        <v>1</v>
      </c>
      <c r="C1456" s="9" t="s">
        <v>1589</v>
      </c>
      <c r="D1456" s="9" t="s">
        <v>1590</v>
      </c>
      <c r="E1456" s="9" t="s">
        <v>1591</v>
      </c>
      <c r="F1456" s="9" t="s">
        <v>1589</v>
      </c>
      <c r="G1456" s="9" t="s">
        <v>1592</v>
      </c>
      <c r="H1456" s="9" t="s">
        <v>1552</v>
      </c>
      <c r="I1456" s="9" t="s">
        <v>2934</v>
      </c>
      <c r="J1456" s="9" t="s">
        <v>1597</v>
      </c>
      <c r="K1456" s="9">
        <v>1</v>
      </c>
      <c r="L1456" s="9">
        <v>15</v>
      </c>
      <c r="M1456" s="9">
        <v>1990</v>
      </c>
      <c r="O1456" s="9" t="str">
        <f t="shared" si="70"/>
        <v>NO</v>
      </c>
      <c r="P1456" s="9" t="str">
        <f t="shared" si="71"/>
        <v>NO</v>
      </c>
      <c r="Q1456" s="9" t="str">
        <f t="shared" si="72"/>
        <v>Conditioned</v>
      </c>
    </row>
    <row r="1457" spans="1:17">
      <c r="A1457" s="9">
        <v>21343</v>
      </c>
      <c r="B1457" s="9">
        <v>1</v>
      </c>
      <c r="C1457" s="9" t="s">
        <v>1589</v>
      </c>
      <c r="D1457" s="9" t="s">
        <v>1590</v>
      </c>
      <c r="E1457" s="9" t="s">
        <v>1613</v>
      </c>
      <c r="F1457" s="9" t="s">
        <v>1603</v>
      </c>
      <c r="G1457" s="9" t="s">
        <v>1592</v>
      </c>
      <c r="H1457" s="9" t="s">
        <v>170</v>
      </c>
      <c r="I1457" s="9" t="s">
        <v>2935</v>
      </c>
      <c r="J1457" s="9" t="s">
        <v>1597</v>
      </c>
      <c r="K1457" s="9">
        <v>1</v>
      </c>
      <c r="L1457" s="9">
        <v>20</v>
      </c>
      <c r="M1457" s="9">
        <v>1999</v>
      </c>
      <c r="O1457" s="9" t="str">
        <f t="shared" si="70"/>
        <v>NO</v>
      </c>
      <c r="P1457" s="9" t="str">
        <f t="shared" si="71"/>
        <v>NO</v>
      </c>
      <c r="Q1457" s="9" t="str">
        <f t="shared" si="72"/>
        <v>Conditioned</v>
      </c>
    </row>
    <row r="1458" spans="1:17">
      <c r="A1458" s="9">
        <v>21343</v>
      </c>
      <c r="B1458" s="9">
        <v>2</v>
      </c>
      <c r="C1458" s="9" t="s">
        <v>1589</v>
      </c>
      <c r="D1458" s="9" t="s">
        <v>1590</v>
      </c>
      <c r="E1458" s="9" t="s">
        <v>1591</v>
      </c>
      <c r="F1458" s="9" t="s">
        <v>1589</v>
      </c>
      <c r="G1458" s="9" t="s">
        <v>1606</v>
      </c>
      <c r="H1458" s="9" t="s">
        <v>173</v>
      </c>
      <c r="I1458" s="9" t="s">
        <v>1589</v>
      </c>
      <c r="J1458" s="9" t="s">
        <v>1605</v>
      </c>
      <c r="K1458" s="9">
        <v>1</v>
      </c>
      <c r="L1458" s="9">
        <v>20</v>
      </c>
      <c r="M1458" s="9">
        <v>2005</v>
      </c>
      <c r="O1458" s="9" t="str">
        <f t="shared" si="70"/>
        <v>NO</v>
      </c>
      <c r="P1458" s="9" t="str">
        <f t="shared" si="71"/>
        <v>YES</v>
      </c>
      <c r="Q1458" s="9" t="str">
        <f t="shared" si="72"/>
        <v>Unconditioned</v>
      </c>
    </row>
    <row r="1459" spans="1:17">
      <c r="A1459" s="9">
        <v>21343</v>
      </c>
      <c r="B1459" s="9">
        <v>3</v>
      </c>
      <c r="C1459" s="9" t="s">
        <v>1589</v>
      </c>
      <c r="D1459" s="9" t="s">
        <v>1590</v>
      </c>
      <c r="E1459" s="9" t="s">
        <v>1591</v>
      </c>
      <c r="F1459" s="9" t="s">
        <v>1589</v>
      </c>
      <c r="G1459" s="9" t="s">
        <v>1592</v>
      </c>
      <c r="H1459" s="9" t="s">
        <v>520</v>
      </c>
      <c r="I1459" s="9" t="s">
        <v>2936</v>
      </c>
      <c r="J1459" s="9" t="s">
        <v>1597</v>
      </c>
      <c r="K1459" s="9">
        <v>1</v>
      </c>
      <c r="L1459" s="9">
        <v>5</v>
      </c>
      <c r="M1459" s="9">
        <v>2000</v>
      </c>
      <c r="O1459" s="9" t="str">
        <f t="shared" si="70"/>
        <v>YES</v>
      </c>
      <c r="P1459" s="9" t="str">
        <f t="shared" si="71"/>
        <v>NO</v>
      </c>
      <c r="Q1459" s="9" t="str">
        <f t="shared" si="72"/>
        <v>Conditioned</v>
      </c>
    </row>
    <row r="1460" spans="1:17">
      <c r="A1460" s="9">
        <v>21345</v>
      </c>
      <c r="B1460" s="9">
        <v>1</v>
      </c>
      <c r="C1460" s="9" t="s">
        <v>1589</v>
      </c>
      <c r="D1460" s="9" t="s">
        <v>1590</v>
      </c>
      <c r="E1460" s="9" t="s">
        <v>1591</v>
      </c>
      <c r="F1460" s="9" t="s">
        <v>1589</v>
      </c>
      <c r="G1460" s="9" t="s">
        <v>1592</v>
      </c>
      <c r="H1460" s="9" t="s">
        <v>1638</v>
      </c>
      <c r="I1460" s="9" t="s">
        <v>2937</v>
      </c>
      <c r="J1460" s="9" t="s">
        <v>1597</v>
      </c>
      <c r="K1460" s="9">
        <v>1</v>
      </c>
      <c r="L1460" s="9">
        <v>18</v>
      </c>
      <c r="M1460" s="9">
        <v>1994</v>
      </c>
      <c r="O1460" s="9" t="str">
        <f t="shared" si="70"/>
        <v>NO</v>
      </c>
      <c r="P1460" s="9" t="str">
        <f t="shared" si="71"/>
        <v>NO</v>
      </c>
      <c r="Q1460" s="9" t="str">
        <f t="shared" si="72"/>
        <v>Conditioned</v>
      </c>
    </row>
    <row r="1461" spans="1:17">
      <c r="A1461" s="9">
        <v>21350</v>
      </c>
      <c r="B1461" s="9">
        <v>1</v>
      </c>
      <c r="C1461" s="9" t="s">
        <v>1589</v>
      </c>
      <c r="D1461" s="9" t="s">
        <v>1590</v>
      </c>
      <c r="E1461" s="9" t="s">
        <v>1613</v>
      </c>
      <c r="F1461" s="9" t="s">
        <v>1603</v>
      </c>
      <c r="G1461" s="9" t="s">
        <v>1592</v>
      </c>
      <c r="H1461" s="9" t="s">
        <v>174</v>
      </c>
      <c r="I1461" s="9" t="s">
        <v>2938</v>
      </c>
      <c r="J1461" s="9" t="s">
        <v>1608</v>
      </c>
      <c r="K1461" s="9">
        <v>1</v>
      </c>
      <c r="L1461" s="9">
        <v>22</v>
      </c>
      <c r="M1461" s="9">
        <v>2010</v>
      </c>
      <c r="O1461" s="9" t="str">
        <f t="shared" si="70"/>
        <v>NO</v>
      </c>
      <c r="P1461" s="9" t="str">
        <f t="shared" si="71"/>
        <v>NO</v>
      </c>
      <c r="Q1461" s="9" t="str">
        <f t="shared" si="72"/>
        <v>Conditioned</v>
      </c>
    </row>
    <row r="1462" spans="1:17">
      <c r="A1462" s="9">
        <v>21350</v>
      </c>
      <c r="B1462" s="9">
        <v>2</v>
      </c>
      <c r="C1462" s="9" t="s">
        <v>1589</v>
      </c>
      <c r="D1462" s="9" t="s">
        <v>1590</v>
      </c>
      <c r="E1462" s="9" t="s">
        <v>1591</v>
      </c>
      <c r="F1462" s="9" t="s">
        <v>1589</v>
      </c>
      <c r="G1462" s="9" t="s">
        <v>1592</v>
      </c>
      <c r="H1462" s="9" t="s">
        <v>169</v>
      </c>
      <c r="I1462" s="9" t="s">
        <v>2939</v>
      </c>
      <c r="J1462" s="9" t="s">
        <v>1605</v>
      </c>
      <c r="K1462" s="9">
        <v>1</v>
      </c>
      <c r="L1462" s="9">
        <v>22</v>
      </c>
      <c r="M1462" s="9">
        <v>2005</v>
      </c>
      <c r="O1462" s="9" t="str">
        <f t="shared" si="70"/>
        <v>NO</v>
      </c>
      <c r="P1462" s="9" t="str">
        <f t="shared" si="71"/>
        <v>YES</v>
      </c>
      <c r="Q1462" s="9" t="str">
        <f t="shared" si="72"/>
        <v>Conditioned</v>
      </c>
    </row>
    <row r="1463" spans="1:17">
      <c r="A1463" s="9">
        <v>21353</v>
      </c>
      <c r="B1463" s="9">
        <v>1</v>
      </c>
      <c r="C1463" s="9" t="s">
        <v>1589</v>
      </c>
      <c r="D1463" s="9" t="s">
        <v>1590</v>
      </c>
      <c r="E1463" s="9" t="s">
        <v>1613</v>
      </c>
      <c r="F1463" s="9" t="s">
        <v>1603</v>
      </c>
      <c r="G1463" s="9" t="s">
        <v>1592</v>
      </c>
      <c r="H1463" s="9" t="s">
        <v>178</v>
      </c>
      <c r="I1463" s="9" t="s">
        <v>2940</v>
      </c>
      <c r="J1463" s="9" t="s">
        <v>1597</v>
      </c>
      <c r="K1463" s="9">
        <v>1</v>
      </c>
      <c r="L1463" s="9">
        <v>21</v>
      </c>
      <c r="M1463" s="9">
        <v>2004</v>
      </c>
      <c r="O1463" s="9" t="str">
        <f t="shared" si="70"/>
        <v>NO</v>
      </c>
      <c r="P1463" s="9" t="str">
        <f t="shared" si="71"/>
        <v>NO</v>
      </c>
      <c r="Q1463" s="9" t="str">
        <f t="shared" si="72"/>
        <v>Conditioned</v>
      </c>
    </row>
    <row r="1464" spans="1:17">
      <c r="A1464" s="9">
        <v>21353</v>
      </c>
      <c r="B1464" s="9">
        <v>2</v>
      </c>
      <c r="C1464" s="9" t="s">
        <v>1589</v>
      </c>
      <c r="D1464" s="9" t="s">
        <v>1590</v>
      </c>
      <c r="E1464" s="9" t="s">
        <v>1591</v>
      </c>
      <c r="F1464" s="9" t="s">
        <v>1589</v>
      </c>
      <c r="G1464" s="9" t="s">
        <v>1592</v>
      </c>
      <c r="H1464" s="9" t="s">
        <v>1900</v>
      </c>
      <c r="I1464" s="9" t="s">
        <v>1589</v>
      </c>
      <c r="J1464" s="9" t="s">
        <v>1587</v>
      </c>
      <c r="K1464" s="9">
        <v>1</v>
      </c>
      <c r="L1464" s="9">
        <v>16</v>
      </c>
      <c r="O1464" s="9" t="str">
        <f t="shared" si="70"/>
        <v>NO</v>
      </c>
      <c r="P1464" s="9" t="str">
        <f t="shared" si="71"/>
        <v>YES</v>
      </c>
      <c r="Q1464" s="9" t="str">
        <f t="shared" si="72"/>
        <v>Conditioned</v>
      </c>
    </row>
    <row r="1465" spans="1:17">
      <c r="A1465" s="9">
        <v>21355</v>
      </c>
      <c r="B1465" s="9">
        <v>1</v>
      </c>
      <c r="C1465" s="9" t="s">
        <v>1589</v>
      </c>
      <c r="D1465" s="9" t="s">
        <v>1590</v>
      </c>
      <c r="E1465" s="9" t="s">
        <v>1591</v>
      </c>
      <c r="F1465" s="9" t="s">
        <v>1589</v>
      </c>
      <c r="G1465" s="9" t="s">
        <v>1592</v>
      </c>
      <c r="H1465" s="9" t="s">
        <v>1624</v>
      </c>
      <c r="I1465" s="9" t="s">
        <v>2941</v>
      </c>
      <c r="J1465" s="9" t="s">
        <v>1597</v>
      </c>
      <c r="K1465" s="9">
        <v>1</v>
      </c>
      <c r="L1465" s="9">
        <v>18</v>
      </c>
      <c r="M1465" s="9">
        <v>2009</v>
      </c>
      <c r="O1465" s="9" t="str">
        <f t="shared" si="70"/>
        <v>NO</v>
      </c>
      <c r="P1465" s="9" t="str">
        <f t="shared" si="71"/>
        <v>NO</v>
      </c>
      <c r="Q1465" s="9" t="str">
        <f t="shared" si="72"/>
        <v>Conditioned</v>
      </c>
    </row>
    <row r="1466" spans="1:17">
      <c r="A1466" s="9">
        <v>21366</v>
      </c>
      <c r="B1466" s="9">
        <v>1</v>
      </c>
      <c r="C1466" s="9" t="s">
        <v>1589</v>
      </c>
      <c r="D1466" s="9" t="s">
        <v>1590</v>
      </c>
      <c r="E1466" s="9" t="s">
        <v>1613</v>
      </c>
      <c r="F1466" s="9" t="s">
        <v>1603</v>
      </c>
      <c r="G1466" s="9" t="s">
        <v>1592</v>
      </c>
      <c r="H1466" s="9" t="s">
        <v>174</v>
      </c>
      <c r="I1466" s="9" t="s">
        <v>2942</v>
      </c>
      <c r="J1466" s="9" t="s">
        <v>1608</v>
      </c>
      <c r="K1466" s="9">
        <v>1</v>
      </c>
      <c r="L1466" s="9">
        <v>21</v>
      </c>
      <c r="M1466" s="9">
        <v>2001</v>
      </c>
      <c r="O1466" s="9" t="str">
        <f t="shared" si="70"/>
        <v>NO</v>
      </c>
      <c r="P1466" s="9" t="str">
        <f t="shared" si="71"/>
        <v>NO</v>
      </c>
      <c r="Q1466" s="9" t="str">
        <f t="shared" si="72"/>
        <v>Conditioned</v>
      </c>
    </row>
    <row r="1467" spans="1:17">
      <c r="A1467" s="9">
        <v>21366</v>
      </c>
      <c r="B1467" s="9">
        <v>2</v>
      </c>
      <c r="C1467" s="9" t="s">
        <v>1589</v>
      </c>
      <c r="D1467" s="9" t="s">
        <v>1590</v>
      </c>
      <c r="E1467" s="9" t="s">
        <v>1591</v>
      </c>
      <c r="F1467" s="9" t="s">
        <v>1589</v>
      </c>
      <c r="G1467" s="9" t="s">
        <v>1592</v>
      </c>
      <c r="H1467" s="9" t="s">
        <v>1624</v>
      </c>
      <c r="I1467" s="9" t="s">
        <v>1854</v>
      </c>
      <c r="J1467" s="9" t="s">
        <v>1605</v>
      </c>
      <c r="K1467" s="9">
        <v>1</v>
      </c>
      <c r="L1467" s="9">
        <v>12</v>
      </c>
      <c r="M1467" s="9">
        <v>2002</v>
      </c>
      <c r="O1467" s="9" t="str">
        <f t="shared" si="70"/>
        <v>NO</v>
      </c>
      <c r="P1467" s="9" t="str">
        <f t="shared" si="71"/>
        <v>YES</v>
      </c>
      <c r="Q1467" s="9" t="str">
        <f t="shared" si="72"/>
        <v>Conditioned</v>
      </c>
    </row>
    <row r="1468" spans="1:17">
      <c r="A1468" s="9">
        <v>21367</v>
      </c>
      <c r="B1468" s="9">
        <v>1</v>
      </c>
      <c r="C1468" s="9" t="s">
        <v>1589</v>
      </c>
      <c r="D1468" s="9" t="s">
        <v>1590</v>
      </c>
      <c r="E1468" s="9" t="s">
        <v>1591</v>
      </c>
      <c r="F1468" s="9" t="s">
        <v>1589</v>
      </c>
      <c r="G1468" s="9" t="s">
        <v>1592</v>
      </c>
      <c r="H1468" s="9" t="s">
        <v>1552</v>
      </c>
      <c r="I1468" s="9" t="s">
        <v>2943</v>
      </c>
      <c r="J1468" s="9" t="s">
        <v>1597</v>
      </c>
      <c r="K1468" s="9">
        <v>1</v>
      </c>
      <c r="L1468" s="9">
        <v>21</v>
      </c>
      <c r="M1468" s="9">
        <v>1993</v>
      </c>
      <c r="O1468" s="9" t="str">
        <f t="shared" si="70"/>
        <v>NO</v>
      </c>
      <c r="P1468" s="9" t="str">
        <f t="shared" si="71"/>
        <v>NO</v>
      </c>
      <c r="Q1468" s="9" t="str">
        <f t="shared" si="72"/>
        <v>Conditioned</v>
      </c>
    </row>
    <row r="1469" spans="1:17">
      <c r="A1469" s="9">
        <v>21372</v>
      </c>
      <c r="B1469" s="9">
        <v>1</v>
      </c>
      <c r="C1469" s="9" t="s">
        <v>1589</v>
      </c>
      <c r="D1469" s="9" t="s">
        <v>1590</v>
      </c>
      <c r="E1469" s="9" t="s">
        <v>1602</v>
      </c>
      <c r="F1469" s="9" t="s">
        <v>1603</v>
      </c>
      <c r="G1469" s="9" t="s">
        <v>1592</v>
      </c>
      <c r="H1469" s="9" t="s">
        <v>1599</v>
      </c>
      <c r="I1469" s="9" t="s">
        <v>2944</v>
      </c>
      <c r="J1469" s="9" t="s">
        <v>1601</v>
      </c>
      <c r="K1469" s="9">
        <v>1</v>
      </c>
      <c r="L1469" s="9">
        <v>22</v>
      </c>
      <c r="M1469" s="9">
        <v>2004</v>
      </c>
      <c r="O1469" s="9" t="str">
        <f t="shared" si="70"/>
        <v>NO</v>
      </c>
      <c r="P1469" s="9" t="str">
        <f t="shared" si="71"/>
        <v>NO</v>
      </c>
      <c r="Q1469" s="9" t="str">
        <f t="shared" si="72"/>
        <v>Conditioned</v>
      </c>
    </row>
    <row r="1470" spans="1:17">
      <c r="A1470" s="9">
        <v>21372</v>
      </c>
      <c r="B1470" s="9">
        <v>2</v>
      </c>
      <c r="C1470" s="9" t="s">
        <v>1589</v>
      </c>
      <c r="D1470" s="9" t="s">
        <v>1590</v>
      </c>
      <c r="E1470" s="9" t="s">
        <v>1613</v>
      </c>
      <c r="F1470" s="9" t="s">
        <v>1590</v>
      </c>
      <c r="G1470" s="9" t="s">
        <v>1606</v>
      </c>
      <c r="H1470" s="9" t="s">
        <v>170</v>
      </c>
      <c r="I1470" s="9" t="s">
        <v>2945</v>
      </c>
      <c r="J1470" s="9" t="s">
        <v>1601</v>
      </c>
      <c r="K1470" s="9">
        <v>1</v>
      </c>
      <c r="L1470" s="9">
        <v>20</v>
      </c>
      <c r="M1470" s="9">
        <v>1992</v>
      </c>
      <c r="O1470" s="9" t="str">
        <f t="shared" si="70"/>
        <v>NO</v>
      </c>
      <c r="P1470" s="9" t="str">
        <f t="shared" si="71"/>
        <v>NO</v>
      </c>
      <c r="Q1470" s="9" t="str">
        <f t="shared" si="72"/>
        <v>Unconditioned</v>
      </c>
    </row>
    <row r="1471" spans="1:17">
      <c r="A1471" s="9">
        <v>21372</v>
      </c>
      <c r="B1471" s="9">
        <v>3</v>
      </c>
      <c r="C1471" s="9" t="s">
        <v>1589</v>
      </c>
      <c r="D1471" s="9" t="s">
        <v>1590</v>
      </c>
      <c r="E1471" s="9" t="s">
        <v>1591</v>
      </c>
      <c r="F1471" s="9" t="s">
        <v>1589</v>
      </c>
      <c r="G1471" s="9" t="s">
        <v>1606</v>
      </c>
      <c r="H1471" s="9" t="s">
        <v>169</v>
      </c>
      <c r="I1471" s="9" t="s">
        <v>2946</v>
      </c>
      <c r="J1471" s="9" t="s">
        <v>1605</v>
      </c>
      <c r="K1471" s="9">
        <v>1</v>
      </c>
      <c r="L1471" s="9">
        <v>22</v>
      </c>
      <c r="M1471" s="9">
        <v>2006</v>
      </c>
      <c r="O1471" s="9" t="str">
        <f t="shared" si="70"/>
        <v>NO</v>
      </c>
      <c r="P1471" s="9" t="str">
        <f t="shared" si="71"/>
        <v>YES</v>
      </c>
      <c r="Q1471" s="9" t="str">
        <f t="shared" si="72"/>
        <v>Unconditioned</v>
      </c>
    </row>
    <row r="1472" spans="1:17">
      <c r="A1472" s="9">
        <v>21372</v>
      </c>
      <c r="B1472" s="9">
        <v>4</v>
      </c>
      <c r="C1472" s="9" t="s">
        <v>1589</v>
      </c>
      <c r="D1472" s="9" t="s">
        <v>1590</v>
      </c>
      <c r="E1472" s="9" t="s">
        <v>1591</v>
      </c>
      <c r="F1472" s="9" t="s">
        <v>1589</v>
      </c>
      <c r="G1472" s="9" t="s">
        <v>1606</v>
      </c>
      <c r="H1472" s="9" t="s">
        <v>1624</v>
      </c>
      <c r="I1472" s="9" t="s">
        <v>2947</v>
      </c>
      <c r="J1472" s="9" t="s">
        <v>1605</v>
      </c>
      <c r="K1472" s="9">
        <v>1</v>
      </c>
      <c r="L1472" s="9">
        <v>20</v>
      </c>
      <c r="M1472" s="9">
        <v>1974</v>
      </c>
      <c r="O1472" s="9" t="str">
        <f t="shared" si="70"/>
        <v>NO</v>
      </c>
      <c r="P1472" s="9" t="str">
        <f t="shared" si="71"/>
        <v>YES</v>
      </c>
      <c r="Q1472" s="9" t="str">
        <f t="shared" si="72"/>
        <v>Unconditioned</v>
      </c>
    </row>
    <row r="1473" spans="1:17">
      <c r="A1473" s="9">
        <v>21374</v>
      </c>
      <c r="B1473" s="9">
        <v>1</v>
      </c>
      <c r="C1473" s="9" t="s">
        <v>1589</v>
      </c>
      <c r="D1473" s="9" t="s">
        <v>1590</v>
      </c>
      <c r="E1473" s="9" t="s">
        <v>1602</v>
      </c>
      <c r="F1473" s="9" t="s">
        <v>1590</v>
      </c>
      <c r="G1473" s="9" t="s">
        <v>1592</v>
      </c>
      <c r="H1473" s="9" t="s">
        <v>170</v>
      </c>
      <c r="I1473" s="9" t="s">
        <v>2948</v>
      </c>
      <c r="J1473" s="9" t="s">
        <v>1601</v>
      </c>
      <c r="K1473" s="9">
        <v>1</v>
      </c>
      <c r="L1473" s="9">
        <v>18</v>
      </c>
      <c r="M1473" s="9">
        <v>1993</v>
      </c>
      <c r="O1473" s="9" t="str">
        <f t="shared" si="70"/>
        <v>NO</v>
      </c>
      <c r="P1473" s="9" t="str">
        <f t="shared" si="71"/>
        <v>NO</v>
      </c>
      <c r="Q1473" s="9" t="str">
        <f t="shared" si="72"/>
        <v>Conditioned</v>
      </c>
    </row>
    <row r="1474" spans="1:17">
      <c r="A1474" s="9">
        <v>21376</v>
      </c>
      <c r="B1474" s="9">
        <v>1</v>
      </c>
      <c r="C1474" s="9" t="s">
        <v>1589</v>
      </c>
      <c r="D1474" s="9" t="s">
        <v>1590</v>
      </c>
      <c r="E1474" s="9" t="s">
        <v>1591</v>
      </c>
      <c r="F1474" s="9" t="s">
        <v>1589</v>
      </c>
      <c r="G1474" s="9" t="s">
        <v>1592</v>
      </c>
      <c r="H1474" s="9" t="s">
        <v>1638</v>
      </c>
      <c r="I1474" s="9" t="s">
        <v>2949</v>
      </c>
      <c r="J1474" s="9" t="s">
        <v>1597</v>
      </c>
      <c r="K1474" s="9">
        <v>1</v>
      </c>
      <c r="L1474" s="9">
        <v>18</v>
      </c>
      <c r="M1474" s="9">
        <v>1950</v>
      </c>
      <c r="O1474" s="9" t="str">
        <f t="shared" si="70"/>
        <v>NO</v>
      </c>
      <c r="P1474" s="9" t="str">
        <f t="shared" si="71"/>
        <v>NO</v>
      </c>
      <c r="Q1474" s="9" t="str">
        <f t="shared" si="72"/>
        <v>Conditioned</v>
      </c>
    </row>
    <row r="1475" spans="1:17">
      <c r="A1475" s="9">
        <v>21376</v>
      </c>
      <c r="B1475" s="9">
        <v>2</v>
      </c>
      <c r="C1475" s="9" t="s">
        <v>1589</v>
      </c>
      <c r="D1475" s="9" t="s">
        <v>1590</v>
      </c>
      <c r="E1475" s="9" t="s">
        <v>1591</v>
      </c>
      <c r="F1475" s="9" t="s">
        <v>1589</v>
      </c>
      <c r="G1475" s="9" t="s">
        <v>1592</v>
      </c>
      <c r="H1475" s="9" t="s">
        <v>1638</v>
      </c>
      <c r="I1475" s="9" t="s">
        <v>1589</v>
      </c>
      <c r="J1475" s="9" t="s">
        <v>1605</v>
      </c>
      <c r="K1475" s="9">
        <v>1</v>
      </c>
      <c r="L1475" s="9">
        <v>18</v>
      </c>
      <c r="M1475" s="9">
        <v>1958</v>
      </c>
      <c r="O1475" s="9" t="str">
        <f t="shared" si="70"/>
        <v>NO</v>
      </c>
      <c r="P1475" s="9" t="str">
        <f t="shared" si="71"/>
        <v>YES</v>
      </c>
      <c r="Q1475" s="9" t="str">
        <f t="shared" si="72"/>
        <v>Conditioned</v>
      </c>
    </row>
    <row r="1476" spans="1:17">
      <c r="A1476" s="9">
        <v>21376</v>
      </c>
      <c r="B1476" s="9">
        <v>3</v>
      </c>
      <c r="C1476" s="9" t="s">
        <v>1589</v>
      </c>
      <c r="D1476" s="9" t="s">
        <v>1590</v>
      </c>
      <c r="E1476" s="9" t="s">
        <v>1591</v>
      </c>
      <c r="F1476" s="9" t="s">
        <v>1589</v>
      </c>
      <c r="G1476" s="9" t="s">
        <v>1606</v>
      </c>
      <c r="H1476" s="9" t="s">
        <v>1638</v>
      </c>
      <c r="I1476" s="9" t="s">
        <v>2950</v>
      </c>
      <c r="J1476" s="9" t="s">
        <v>1597</v>
      </c>
      <c r="K1476" s="9">
        <v>1</v>
      </c>
      <c r="L1476" s="9">
        <v>18</v>
      </c>
      <c r="M1476" s="9">
        <v>1950</v>
      </c>
      <c r="O1476" s="9" t="str">
        <f t="shared" si="70"/>
        <v>NO</v>
      </c>
      <c r="P1476" s="9" t="str">
        <f t="shared" si="71"/>
        <v>NO</v>
      </c>
      <c r="Q1476" s="9" t="str">
        <f t="shared" si="72"/>
        <v>Unconditioned</v>
      </c>
    </row>
    <row r="1477" spans="1:17">
      <c r="A1477" s="9">
        <v>21384</v>
      </c>
      <c r="B1477" s="9">
        <v>1</v>
      </c>
      <c r="C1477" s="9" t="s">
        <v>1589</v>
      </c>
      <c r="D1477" s="9" t="s">
        <v>1590</v>
      </c>
      <c r="E1477" s="9" t="s">
        <v>1613</v>
      </c>
      <c r="F1477" s="9" t="s">
        <v>1603</v>
      </c>
      <c r="G1477" s="9" t="s">
        <v>1592</v>
      </c>
      <c r="H1477" s="9" t="s">
        <v>177</v>
      </c>
      <c r="I1477" s="9" t="s">
        <v>2951</v>
      </c>
      <c r="J1477" s="9" t="s">
        <v>1597</v>
      </c>
      <c r="K1477" s="9">
        <v>1</v>
      </c>
      <c r="L1477" s="9">
        <v>26</v>
      </c>
      <c r="M1477" s="9">
        <v>2008</v>
      </c>
      <c r="O1477" s="9" t="str">
        <f t="shared" si="70"/>
        <v>NO</v>
      </c>
      <c r="P1477" s="9" t="str">
        <f t="shared" si="71"/>
        <v>NO</v>
      </c>
      <c r="Q1477" s="9" t="str">
        <f t="shared" si="72"/>
        <v>Conditioned</v>
      </c>
    </row>
    <row r="1478" spans="1:17">
      <c r="A1478" s="9">
        <v>21390</v>
      </c>
      <c r="B1478" s="9">
        <v>1</v>
      </c>
      <c r="C1478" s="9" t="s">
        <v>1589</v>
      </c>
      <c r="D1478" s="9" t="s">
        <v>1590</v>
      </c>
      <c r="E1478" s="9" t="s">
        <v>1602</v>
      </c>
      <c r="F1478" s="9" t="s">
        <v>1603</v>
      </c>
      <c r="G1478" s="9" t="s">
        <v>1592</v>
      </c>
      <c r="H1478" s="9" t="s">
        <v>1638</v>
      </c>
      <c r="I1478" s="9" t="s">
        <v>2952</v>
      </c>
      <c r="J1478" s="9" t="s">
        <v>1601</v>
      </c>
      <c r="K1478" s="9">
        <v>1</v>
      </c>
      <c r="L1478" s="9">
        <v>27</v>
      </c>
      <c r="M1478" s="9">
        <v>1991</v>
      </c>
      <c r="O1478" s="9" t="str">
        <f t="shared" si="70"/>
        <v>NO</v>
      </c>
      <c r="P1478" s="9" t="str">
        <f t="shared" si="71"/>
        <v>NO</v>
      </c>
      <c r="Q1478" s="9" t="str">
        <f t="shared" si="72"/>
        <v>Conditioned</v>
      </c>
    </row>
    <row r="1479" spans="1:17">
      <c r="A1479" s="9">
        <v>21391</v>
      </c>
      <c r="B1479" s="9">
        <v>1</v>
      </c>
      <c r="C1479" s="9" t="s">
        <v>1589</v>
      </c>
      <c r="D1479" s="9" t="s">
        <v>1590</v>
      </c>
      <c r="E1479" s="9" t="s">
        <v>1591</v>
      </c>
      <c r="F1479" s="9" t="s">
        <v>1589</v>
      </c>
      <c r="G1479" s="9" t="s">
        <v>1592</v>
      </c>
      <c r="H1479" s="9" t="s">
        <v>177</v>
      </c>
      <c r="I1479" s="9" t="s">
        <v>2953</v>
      </c>
      <c r="J1479" s="9" t="s">
        <v>1597</v>
      </c>
      <c r="K1479" s="9">
        <v>1</v>
      </c>
      <c r="L1479" s="9">
        <v>15</v>
      </c>
      <c r="M1479" s="9">
        <v>1989</v>
      </c>
      <c r="O1479" s="9" t="str">
        <f t="shared" si="70"/>
        <v>NO</v>
      </c>
      <c r="P1479" s="9" t="str">
        <f t="shared" si="71"/>
        <v>NO</v>
      </c>
      <c r="Q1479" s="9" t="str">
        <f t="shared" si="72"/>
        <v>Conditioned</v>
      </c>
    </row>
    <row r="1480" spans="1:17">
      <c r="A1480" s="9">
        <v>21391</v>
      </c>
      <c r="B1480" s="9">
        <v>2</v>
      </c>
      <c r="C1480" s="9" t="s">
        <v>1589</v>
      </c>
      <c r="D1480" s="9" t="s">
        <v>1590</v>
      </c>
      <c r="E1480" s="9" t="s">
        <v>1591</v>
      </c>
      <c r="F1480" s="9" t="s">
        <v>1589</v>
      </c>
      <c r="G1480" s="9" t="s">
        <v>1606</v>
      </c>
      <c r="H1480" s="9" t="s">
        <v>169</v>
      </c>
      <c r="I1480" s="9" t="s">
        <v>2954</v>
      </c>
      <c r="J1480" s="9" t="s">
        <v>1597</v>
      </c>
      <c r="K1480" s="9">
        <v>1</v>
      </c>
      <c r="L1480" s="9">
        <v>18</v>
      </c>
      <c r="M1480" s="9">
        <v>1994</v>
      </c>
      <c r="O1480" s="9" t="str">
        <f t="shared" si="70"/>
        <v>NO</v>
      </c>
      <c r="P1480" s="9" t="str">
        <f t="shared" si="71"/>
        <v>NO</v>
      </c>
      <c r="Q1480" s="9" t="str">
        <f t="shared" si="72"/>
        <v>Unconditioned</v>
      </c>
    </row>
    <row r="1481" spans="1:17">
      <c r="A1481" s="9">
        <v>21394</v>
      </c>
      <c r="B1481" s="9">
        <v>1</v>
      </c>
      <c r="C1481" s="9" t="s">
        <v>1589</v>
      </c>
      <c r="D1481" s="9" t="s">
        <v>1590</v>
      </c>
      <c r="E1481" s="9" t="s">
        <v>1602</v>
      </c>
      <c r="F1481" s="9" t="s">
        <v>1603</v>
      </c>
      <c r="G1481" s="9" t="s">
        <v>1592</v>
      </c>
      <c r="H1481" s="9" t="s">
        <v>170</v>
      </c>
      <c r="I1481" s="9" t="s">
        <v>1989</v>
      </c>
      <c r="J1481" s="9" t="s">
        <v>1601</v>
      </c>
      <c r="K1481" s="9">
        <v>1</v>
      </c>
      <c r="L1481" s="9">
        <v>22</v>
      </c>
      <c r="M1481" s="9">
        <v>2002</v>
      </c>
      <c r="O1481" s="9" t="str">
        <f t="shared" si="70"/>
        <v>NO</v>
      </c>
      <c r="P1481" s="9" t="str">
        <f t="shared" si="71"/>
        <v>NO</v>
      </c>
      <c r="Q1481" s="9" t="str">
        <f t="shared" si="72"/>
        <v>Conditioned</v>
      </c>
    </row>
    <row r="1482" spans="1:17">
      <c r="A1482" s="9">
        <v>21401</v>
      </c>
      <c r="B1482" s="9">
        <v>1</v>
      </c>
      <c r="C1482" s="9" t="s">
        <v>1589</v>
      </c>
      <c r="D1482" s="9" t="s">
        <v>1590</v>
      </c>
      <c r="E1482" s="9" t="s">
        <v>1613</v>
      </c>
      <c r="F1482" s="9" t="s">
        <v>1603</v>
      </c>
      <c r="G1482" s="9" t="s">
        <v>1592</v>
      </c>
      <c r="H1482" s="9" t="s">
        <v>174</v>
      </c>
      <c r="I1482" s="9" t="s">
        <v>2955</v>
      </c>
      <c r="J1482" s="9" t="s">
        <v>1608</v>
      </c>
      <c r="K1482" s="9">
        <v>1</v>
      </c>
      <c r="L1482" s="9">
        <v>22</v>
      </c>
      <c r="M1482" s="9">
        <v>2002</v>
      </c>
      <c r="O1482" s="9" t="str">
        <f t="shared" si="70"/>
        <v>NO</v>
      </c>
      <c r="P1482" s="9" t="str">
        <f t="shared" si="71"/>
        <v>NO</v>
      </c>
      <c r="Q1482" s="9" t="str">
        <f t="shared" si="72"/>
        <v>Conditioned</v>
      </c>
    </row>
    <row r="1483" spans="1:17">
      <c r="A1483" s="9">
        <v>21403</v>
      </c>
      <c r="B1483" s="9">
        <v>1</v>
      </c>
      <c r="C1483" s="9" t="s">
        <v>1589</v>
      </c>
      <c r="D1483" s="9" t="s">
        <v>1590</v>
      </c>
      <c r="E1483" s="9" t="s">
        <v>1602</v>
      </c>
      <c r="F1483" s="9" t="s">
        <v>1603</v>
      </c>
      <c r="G1483" s="9" t="s">
        <v>1592</v>
      </c>
      <c r="H1483" s="9" t="s">
        <v>177</v>
      </c>
      <c r="I1483" s="9" t="s">
        <v>2956</v>
      </c>
      <c r="J1483" s="9" t="s">
        <v>1601</v>
      </c>
      <c r="K1483" s="9">
        <v>1</v>
      </c>
      <c r="L1483" s="9">
        <v>26</v>
      </c>
      <c r="M1483" s="9">
        <v>2010</v>
      </c>
      <c r="O1483" s="9" t="str">
        <f t="shared" si="70"/>
        <v>NO</v>
      </c>
      <c r="P1483" s="9" t="str">
        <f t="shared" si="71"/>
        <v>NO</v>
      </c>
      <c r="Q1483" s="9" t="str">
        <f t="shared" si="72"/>
        <v>Conditioned</v>
      </c>
    </row>
    <row r="1484" spans="1:17">
      <c r="A1484" s="9">
        <v>21403</v>
      </c>
      <c r="B1484" s="9">
        <v>2</v>
      </c>
      <c r="C1484" s="9" t="s">
        <v>1589</v>
      </c>
      <c r="D1484" s="9" t="s">
        <v>1590</v>
      </c>
      <c r="E1484" s="9" t="s">
        <v>1591</v>
      </c>
      <c r="F1484" s="9" t="s">
        <v>1589</v>
      </c>
      <c r="G1484" s="9" t="s">
        <v>1606</v>
      </c>
      <c r="H1484" s="9" t="s">
        <v>169</v>
      </c>
      <c r="I1484" s="9" t="s">
        <v>2957</v>
      </c>
      <c r="J1484" s="9" t="s">
        <v>1605</v>
      </c>
      <c r="K1484" s="9">
        <v>1</v>
      </c>
      <c r="L1484" s="9">
        <v>14</v>
      </c>
      <c r="M1484" s="9">
        <v>2000</v>
      </c>
      <c r="O1484" s="9" t="str">
        <f t="shared" si="70"/>
        <v>NO</v>
      </c>
      <c r="P1484" s="9" t="str">
        <f t="shared" si="71"/>
        <v>YES</v>
      </c>
      <c r="Q1484" s="9" t="str">
        <f t="shared" si="72"/>
        <v>Unconditioned</v>
      </c>
    </row>
    <row r="1485" spans="1:17">
      <c r="A1485" s="9">
        <v>21405</v>
      </c>
      <c r="B1485" s="9">
        <v>1</v>
      </c>
      <c r="C1485" s="9" t="s">
        <v>1589</v>
      </c>
      <c r="D1485" s="9" t="s">
        <v>1603</v>
      </c>
      <c r="E1485" s="9" t="s">
        <v>1602</v>
      </c>
      <c r="F1485" s="9" t="s">
        <v>1603</v>
      </c>
      <c r="G1485" s="9" t="s">
        <v>1592</v>
      </c>
      <c r="H1485" s="9" t="s">
        <v>176</v>
      </c>
      <c r="I1485" s="9" t="s">
        <v>2958</v>
      </c>
      <c r="J1485" s="9" t="s">
        <v>1610</v>
      </c>
      <c r="K1485" s="9">
        <v>1</v>
      </c>
      <c r="L1485" s="9">
        <v>26</v>
      </c>
      <c r="M1485" s="9">
        <v>2010</v>
      </c>
      <c r="O1485" s="9" t="str">
        <f t="shared" si="70"/>
        <v>NO</v>
      </c>
      <c r="P1485" s="9" t="str">
        <f t="shared" si="71"/>
        <v>NO</v>
      </c>
      <c r="Q1485" s="9" t="str">
        <f t="shared" si="72"/>
        <v>Conditioned</v>
      </c>
    </row>
    <row r="1486" spans="1:17">
      <c r="A1486" s="9">
        <v>21405</v>
      </c>
      <c r="B1486" s="9">
        <v>2</v>
      </c>
      <c r="C1486" s="9" t="s">
        <v>1589</v>
      </c>
      <c r="D1486" s="9" t="s">
        <v>1590</v>
      </c>
      <c r="E1486" s="9" t="s">
        <v>1591</v>
      </c>
      <c r="F1486" s="9" t="s">
        <v>1589</v>
      </c>
      <c r="G1486" s="9" t="s">
        <v>1606</v>
      </c>
      <c r="H1486" s="9" t="s">
        <v>177</v>
      </c>
      <c r="I1486" s="9" t="s">
        <v>2959</v>
      </c>
      <c r="J1486" s="9" t="s">
        <v>1605</v>
      </c>
      <c r="K1486" s="9">
        <v>1</v>
      </c>
      <c r="L1486" s="9">
        <v>20</v>
      </c>
      <c r="M1486" s="9">
        <v>1980</v>
      </c>
      <c r="O1486" s="9" t="str">
        <f t="shared" si="70"/>
        <v>NO</v>
      </c>
      <c r="P1486" s="9" t="str">
        <f t="shared" si="71"/>
        <v>YES</v>
      </c>
      <c r="Q1486" s="9" t="str">
        <f t="shared" si="72"/>
        <v>Unconditioned</v>
      </c>
    </row>
    <row r="1487" spans="1:17">
      <c r="A1487" s="9">
        <v>21405</v>
      </c>
      <c r="B1487" s="9">
        <v>3</v>
      </c>
      <c r="C1487" s="9" t="s">
        <v>1589</v>
      </c>
      <c r="D1487" s="9" t="s">
        <v>1590</v>
      </c>
      <c r="E1487" s="9" t="s">
        <v>1613</v>
      </c>
      <c r="F1487" s="9" t="s">
        <v>1590</v>
      </c>
      <c r="G1487" s="9" t="s">
        <v>1606</v>
      </c>
      <c r="H1487" s="9" t="s">
        <v>177</v>
      </c>
      <c r="I1487" s="9" t="s">
        <v>2960</v>
      </c>
      <c r="J1487" s="9" t="s">
        <v>1597</v>
      </c>
      <c r="K1487" s="9">
        <v>1</v>
      </c>
      <c r="L1487" s="9">
        <v>20</v>
      </c>
      <c r="M1487" s="9">
        <v>1992</v>
      </c>
      <c r="O1487" s="9" t="str">
        <f t="shared" si="70"/>
        <v>NO</v>
      </c>
      <c r="P1487" s="9" t="str">
        <f t="shared" si="71"/>
        <v>NO</v>
      </c>
      <c r="Q1487" s="9" t="str">
        <f t="shared" si="72"/>
        <v>Unconditioned</v>
      </c>
    </row>
    <row r="1488" spans="1:17">
      <c r="A1488" s="9">
        <v>21408</v>
      </c>
      <c r="B1488" s="9">
        <v>1</v>
      </c>
      <c r="C1488" s="9" t="s">
        <v>1589</v>
      </c>
      <c r="D1488" s="9" t="s">
        <v>1590</v>
      </c>
      <c r="E1488" s="9" t="s">
        <v>1613</v>
      </c>
      <c r="F1488" s="9" t="s">
        <v>1603</v>
      </c>
      <c r="G1488" s="9" t="s">
        <v>1592</v>
      </c>
      <c r="H1488" s="9" t="s">
        <v>169</v>
      </c>
      <c r="I1488" s="9" t="s">
        <v>2961</v>
      </c>
      <c r="J1488" s="9" t="s">
        <v>1597</v>
      </c>
      <c r="K1488" s="9">
        <v>1</v>
      </c>
      <c r="L1488" s="9">
        <v>18</v>
      </c>
      <c r="M1488" s="9">
        <v>2002</v>
      </c>
      <c r="O1488" s="9" t="str">
        <f t="shared" si="70"/>
        <v>NO</v>
      </c>
      <c r="P1488" s="9" t="str">
        <f t="shared" si="71"/>
        <v>NO</v>
      </c>
      <c r="Q1488" s="9" t="str">
        <f t="shared" si="72"/>
        <v>Conditioned</v>
      </c>
    </row>
    <row r="1489" spans="1:17">
      <c r="A1489" s="9">
        <v>21408</v>
      </c>
      <c r="B1489" s="9">
        <v>2</v>
      </c>
      <c r="C1489" s="9" t="s">
        <v>2962</v>
      </c>
      <c r="D1489" s="9" t="s">
        <v>1590</v>
      </c>
      <c r="E1489" s="9" t="s">
        <v>1591</v>
      </c>
      <c r="F1489" s="9" t="s">
        <v>1589</v>
      </c>
      <c r="G1489" s="9" t="s">
        <v>1606</v>
      </c>
      <c r="H1489" s="9" t="s">
        <v>169</v>
      </c>
      <c r="I1489" s="9" t="s">
        <v>2963</v>
      </c>
      <c r="J1489" s="9" t="s">
        <v>1587</v>
      </c>
      <c r="K1489" s="9">
        <v>1</v>
      </c>
      <c r="L1489" s="9">
        <v>7</v>
      </c>
      <c r="M1489" s="9">
        <v>2002</v>
      </c>
      <c r="O1489" s="9" t="str">
        <f t="shared" si="70"/>
        <v>YES</v>
      </c>
      <c r="P1489" s="9" t="str">
        <f t="shared" si="71"/>
        <v>YES</v>
      </c>
      <c r="Q1489" s="9" t="str">
        <f t="shared" si="72"/>
        <v>Unconditioned</v>
      </c>
    </row>
    <row r="1490" spans="1:17">
      <c r="A1490" s="9">
        <v>21411</v>
      </c>
      <c r="B1490" s="9">
        <v>1</v>
      </c>
      <c r="C1490" s="9" t="s">
        <v>1589</v>
      </c>
      <c r="D1490" s="9" t="s">
        <v>1590</v>
      </c>
      <c r="E1490" s="9" t="s">
        <v>1591</v>
      </c>
      <c r="F1490" s="9" t="s">
        <v>1589</v>
      </c>
      <c r="G1490" s="9" t="s">
        <v>1592</v>
      </c>
      <c r="H1490" s="9" t="s">
        <v>177</v>
      </c>
      <c r="I1490" s="9" t="s">
        <v>2964</v>
      </c>
      <c r="J1490" s="9" t="s">
        <v>1597</v>
      </c>
      <c r="K1490" s="9">
        <v>1</v>
      </c>
      <c r="L1490" s="9">
        <v>25</v>
      </c>
      <c r="M1490" s="9">
        <v>2006</v>
      </c>
      <c r="O1490" s="9" t="str">
        <f t="shared" si="70"/>
        <v>NO</v>
      </c>
      <c r="P1490" s="9" t="str">
        <f t="shared" si="71"/>
        <v>NO</v>
      </c>
      <c r="Q1490" s="9" t="str">
        <f t="shared" si="72"/>
        <v>Conditioned</v>
      </c>
    </row>
    <row r="1491" spans="1:17">
      <c r="A1491" s="9">
        <v>21414</v>
      </c>
      <c r="B1491" s="9">
        <v>1</v>
      </c>
      <c r="C1491" s="9" t="s">
        <v>1589</v>
      </c>
      <c r="D1491" s="9" t="s">
        <v>1590</v>
      </c>
      <c r="E1491" s="9" t="s">
        <v>1602</v>
      </c>
      <c r="F1491" s="9" t="s">
        <v>1603</v>
      </c>
      <c r="G1491" s="9" t="s">
        <v>1592</v>
      </c>
      <c r="H1491" s="9" t="s">
        <v>1638</v>
      </c>
      <c r="I1491" s="9" t="s">
        <v>2965</v>
      </c>
      <c r="J1491" s="9" t="s">
        <v>1601</v>
      </c>
      <c r="K1491" s="9">
        <v>1</v>
      </c>
      <c r="L1491" s="9">
        <v>22</v>
      </c>
      <c r="M1491" s="9">
        <v>1994</v>
      </c>
      <c r="O1491" s="9" t="str">
        <f t="shared" si="70"/>
        <v>NO</v>
      </c>
      <c r="P1491" s="9" t="str">
        <f t="shared" si="71"/>
        <v>NO</v>
      </c>
      <c r="Q1491" s="9" t="str">
        <f t="shared" si="72"/>
        <v>Conditioned</v>
      </c>
    </row>
    <row r="1492" spans="1:17">
      <c r="A1492" s="9">
        <v>21417</v>
      </c>
      <c r="B1492" s="9">
        <v>1</v>
      </c>
      <c r="C1492" s="9" t="s">
        <v>1589</v>
      </c>
      <c r="D1492" s="9" t="s">
        <v>1590</v>
      </c>
      <c r="E1492" s="9" t="s">
        <v>1591</v>
      </c>
      <c r="F1492" s="9" t="s">
        <v>1589</v>
      </c>
      <c r="G1492" s="9" t="s">
        <v>1606</v>
      </c>
      <c r="H1492" s="9" t="s">
        <v>169</v>
      </c>
      <c r="I1492" s="9" t="s">
        <v>2966</v>
      </c>
      <c r="J1492" s="9" t="s">
        <v>1597</v>
      </c>
      <c r="K1492" s="9">
        <v>1</v>
      </c>
      <c r="L1492" s="9">
        <v>18</v>
      </c>
      <c r="M1492" s="9">
        <v>1993</v>
      </c>
      <c r="O1492" s="9" t="str">
        <f t="shared" si="70"/>
        <v>NO</v>
      </c>
      <c r="P1492" s="9" t="str">
        <f t="shared" si="71"/>
        <v>NO</v>
      </c>
      <c r="Q1492" s="9" t="str">
        <f t="shared" si="72"/>
        <v>Unconditioned</v>
      </c>
    </row>
    <row r="1493" spans="1:17">
      <c r="A1493" s="9">
        <v>21417</v>
      </c>
      <c r="B1493" s="9">
        <v>2</v>
      </c>
      <c r="C1493" s="9" t="s">
        <v>1589</v>
      </c>
      <c r="D1493" s="9" t="s">
        <v>1590</v>
      </c>
      <c r="E1493" s="9" t="s">
        <v>1591</v>
      </c>
      <c r="F1493" s="9" t="s">
        <v>1589</v>
      </c>
      <c r="G1493" s="9" t="s">
        <v>1592</v>
      </c>
      <c r="H1493" s="9" t="s">
        <v>170</v>
      </c>
      <c r="I1493" s="9" t="s">
        <v>1589</v>
      </c>
      <c r="J1493" s="9" t="s">
        <v>1587</v>
      </c>
      <c r="K1493" s="9">
        <v>1</v>
      </c>
      <c r="L1493" s="9">
        <v>15</v>
      </c>
      <c r="M1493" s="9">
        <v>2003</v>
      </c>
      <c r="O1493" s="9" t="str">
        <f t="shared" si="70"/>
        <v>NO</v>
      </c>
      <c r="P1493" s="9" t="str">
        <f t="shared" si="71"/>
        <v>YES</v>
      </c>
      <c r="Q1493" s="9" t="str">
        <f t="shared" si="72"/>
        <v>Conditioned</v>
      </c>
    </row>
    <row r="1494" spans="1:17">
      <c r="A1494" s="9">
        <v>21417</v>
      </c>
      <c r="B1494" s="9">
        <v>3</v>
      </c>
      <c r="C1494" s="9" t="s">
        <v>1589</v>
      </c>
      <c r="D1494" s="9" t="s">
        <v>1590</v>
      </c>
      <c r="E1494" s="9" t="s">
        <v>1591</v>
      </c>
      <c r="F1494" s="9" t="s">
        <v>1589</v>
      </c>
      <c r="G1494" s="9" t="s">
        <v>1592</v>
      </c>
      <c r="H1494" s="9" t="s">
        <v>170</v>
      </c>
      <c r="I1494" s="9" t="s">
        <v>1589</v>
      </c>
      <c r="J1494" s="9" t="s">
        <v>1587</v>
      </c>
      <c r="K1494" s="9">
        <v>1</v>
      </c>
      <c r="L1494" s="9">
        <v>25</v>
      </c>
      <c r="M1494" s="9">
        <v>2001</v>
      </c>
      <c r="O1494" s="9" t="str">
        <f t="shared" si="70"/>
        <v>NO</v>
      </c>
      <c r="P1494" s="9" t="str">
        <f t="shared" si="71"/>
        <v>YES</v>
      </c>
      <c r="Q1494" s="9" t="str">
        <f t="shared" si="72"/>
        <v>Conditioned</v>
      </c>
    </row>
    <row r="1495" spans="1:17">
      <c r="A1495" s="9">
        <v>21417</v>
      </c>
      <c r="B1495" s="9">
        <v>4</v>
      </c>
      <c r="C1495" s="9" t="s">
        <v>1589</v>
      </c>
      <c r="D1495" s="9" t="s">
        <v>1590</v>
      </c>
      <c r="E1495" s="9" t="s">
        <v>1591</v>
      </c>
      <c r="F1495" s="9" t="s">
        <v>1589</v>
      </c>
      <c r="G1495" s="9" t="s">
        <v>1592</v>
      </c>
      <c r="H1495" s="9" t="s">
        <v>1624</v>
      </c>
      <c r="I1495" s="9" t="s">
        <v>1589</v>
      </c>
      <c r="J1495" s="9" t="s">
        <v>1601</v>
      </c>
      <c r="K1495" s="9">
        <v>1</v>
      </c>
      <c r="L1495" s="9">
        <v>22</v>
      </c>
      <c r="M1495" s="9">
        <v>1994</v>
      </c>
      <c r="O1495" s="9" t="str">
        <f t="shared" ref="O1495:O1558" si="73">IF(L1495&lt;7.75,"YES","NO")</f>
        <v>NO</v>
      </c>
      <c r="P1495" s="9" t="str">
        <f t="shared" ref="P1495:P1558" si="74">VLOOKUP(J1495,$Z$21:$AA$27,2,FALSE)</f>
        <v>NO</v>
      </c>
      <c r="Q1495" s="9" t="str">
        <f t="shared" ref="Q1495:Q1558" si="75">G1495</f>
        <v>Conditioned</v>
      </c>
    </row>
    <row r="1496" spans="1:17">
      <c r="A1496" s="9">
        <v>21419</v>
      </c>
      <c r="B1496" s="9">
        <v>1</v>
      </c>
      <c r="C1496" s="9" t="s">
        <v>1589</v>
      </c>
      <c r="D1496" s="9" t="s">
        <v>1603</v>
      </c>
      <c r="E1496" s="9" t="s">
        <v>1591</v>
      </c>
      <c r="F1496" s="9" t="s">
        <v>1589</v>
      </c>
      <c r="G1496" s="9" t="s">
        <v>1592</v>
      </c>
      <c r="H1496" s="9" t="s">
        <v>177</v>
      </c>
      <c r="I1496" s="9" t="s">
        <v>2967</v>
      </c>
      <c r="J1496" s="9" t="s">
        <v>1597</v>
      </c>
      <c r="K1496" s="9">
        <v>1</v>
      </c>
      <c r="L1496" s="9">
        <v>25</v>
      </c>
      <c r="M1496" s="9">
        <v>2005</v>
      </c>
      <c r="O1496" s="9" t="str">
        <f t="shared" si="73"/>
        <v>NO</v>
      </c>
      <c r="P1496" s="9" t="str">
        <f t="shared" si="74"/>
        <v>NO</v>
      </c>
      <c r="Q1496" s="9" t="str">
        <f t="shared" si="75"/>
        <v>Conditioned</v>
      </c>
    </row>
    <row r="1497" spans="1:17">
      <c r="A1497" s="9">
        <v>21427</v>
      </c>
      <c r="B1497" s="9">
        <v>1</v>
      </c>
      <c r="C1497" s="9" t="s">
        <v>1589</v>
      </c>
      <c r="D1497" s="9" t="s">
        <v>1590</v>
      </c>
      <c r="E1497" s="9" t="s">
        <v>1613</v>
      </c>
      <c r="F1497" s="9" t="s">
        <v>1590</v>
      </c>
      <c r="G1497" s="9" t="s">
        <v>1592</v>
      </c>
      <c r="H1497" s="9" t="s">
        <v>170</v>
      </c>
      <c r="I1497" s="9" t="s">
        <v>1589</v>
      </c>
      <c r="J1497" s="9" t="s">
        <v>1601</v>
      </c>
      <c r="K1497" s="9">
        <v>1</v>
      </c>
      <c r="L1497" s="9">
        <v>25</v>
      </c>
      <c r="O1497" s="9" t="str">
        <f t="shared" si="73"/>
        <v>NO</v>
      </c>
      <c r="P1497" s="9" t="str">
        <f t="shared" si="74"/>
        <v>NO</v>
      </c>
      <c r="Q1497" s="9" t="str">
        <f t="shared" si="75"/>
        <v>Conditioned</v>
      </c>
    </row>
    <row r="1498" spans="1:17">
      <c r="A1498" s="9">
        <v>21431</v>
      </c>
      <c r="B1498" s="9">
        <v>1</v>
      </c>
      <c r="C1498" s="9" t="s">
        <v>1589</v>
      </c>
      <c r="D1498" s="9" t="s">
        <v>1590</v>
      </c>
      <c r="E1498" s="9" t="s">
        <v>1591</v>
      </c>
      <c r="F1498" s="9" t="s">
        <v>1589</v>
      </c>
      <c r="G1498" s="9" t="s">
        <v>1592</v>
      </c>
      <c r="H1498" s="9" t="s">
        <v>1900</v>
      </c>
      <c r="I1498" s="9" t="s">
        <v>1589</v>
      </c>
      <c r="J1498" s="9" t="s">
        <v>1597</v>
      </c>
      <c r="K1498" s="9">
        <v>1</v>
      </c>
      <c r="L1498" s="9">
        <v>15</v>
      </c>
      <c r="O1498" s="9" t="str">
        <f t="shared" si="73"/>
        <v>NO</v>
      </c>
      <c r="P1498" s="9" t="str">
        <f t="shared" si="74"/>
        <v>NO</v>
      </c>
      <c r="Q1498" s="9" t="str">
        <f t="shared" si="75"/>
        <v>Conditioned</v>
      </c>
    </row>
    <row r="1499" spans="1:17">
      <c r="A1499" s="9">
        <v>21431</v>
      </c>
      <c r="B1499" s="9">
        <v>2</v>
      </c>
      <c r="C1499" s="9" t="s">
        <v>1589</v>
      </c>
      <c r="D1499" s="9" t="s">
        <v>1603</v>
      </c>
      <c r="E1499" s="9" t="s">
        <v>1591</v>
      </c>
      <c r="F1499" s="9" t="s">
        <v>1589</v>
      </c>
      <c r="G1499" s="9" t="s">
        <v>1592</v>
      </c>
      <c r="H1499" s="9" t="s">
        <v>169</v>
      </c>
      <c r="I1499" s="9" t="s">
        <v>2968</v>
      </c>
      <c r="J1499" s="9" t="s">
        <v>1605</v>
      </c>
      <c r="K1499" s="9">
        <v>1</v>
      </c>
      <c r="L1499" s="9">
        <v>21</v>
      </c>
      <c r="M1499" s="9">
        <v>2008</v>
      </c>
      <c r="O1499" s="9" t="str">
        <f t="shared" si="73"/>
        <v>NO</v>
      </c>
      <c r="P1499" s="9" t="str">
        <f t="shared" si="74"/>
        <v>YES</v>
      </c>
      <c r="Q1499" s="9" t="str">
        <f t="shared" si="75"/>
        <v>Conditioned</v>
      </c>
    </row>
    <row r="1500" spans="1:17">
      <c r="A1500" s="9">
        <v>21436</v>
      </c>
      <c r="B1500" s="9">
        <v>1</v>
      </c>
      <c r="C1500" s="9" t="s">
        <v>1589</v>
      </c>
      <c r="D1500" s="9" t="s">
        <v>1590</v>
      </c>
      <c r="E1500" s="9" t="s">
        <v>1591</v>
      </c>
      <c r="F1500" s="9" t="s">
        <v>1589</v>
      </c>
      <c r="G1500" s="9" t="s">
        <v>1592</v>
      </c>
      <c r="H1500" s="9" t="s">
        <v>177</v>
      </c>
      <c r="I1500" s="9" t="s">
        <v>2969</v>
      </c>
      <c r="J1500" s="9" t="s">
        <v>1597</v>
      </c>
      <c r="K1500" s="9">
        <v>1</v>
      </c>
      <c r="L1500" s="9">
        <v>25</v>
      </c>
      <c r="M1500" s="9">
        <v>2009</v>
      </c>
      <c r="O1500" s="9" t="str">
        <f t="shared" si="73"/>
        <v>NO</v>
      </c>
      <c r="P1500" s="9" t="str">
        <f t="shared" si="74"/>
        <v>NO</v>
      </c>
      <c r="Q1500" s="9" t="str">
        <f t="shared" si="75"/>
        <v>Conditioned</v>
      </c>
    </row>
    <row r="1501" spans="1:17">
      <c r="A1501" s="9">
        <v>21436</v>
      </c>
      <c r="B1501" s="9">
        <v>2</v>
      </c>
      <c r="C1501" s="9" t="s">
        <v>1589</v>
      </c>
      <c r="D1501" s="9" t="s">
        <v>1590</v>
      </c>
      <c r="E1501" s="9" t="s">
        <v>1591</v>
      </c>
      <c r="F1501" s="9" t="s">
        <v>1589</v>
      </c>
      <c r="G1501" s="9" t="s">
        <v>1592</v>
      </c>
      <c r="H1501" s="9" t="s">
        <v>177</v>
      </c>
      <c r="I1501" s="9" t="s">
        <v>2970</v>
      </c>
      <c r="J1501" s="9" t="s">
        <v>1587</v>
      </c>
      <c r="K1501" s="9">
        <v>1</v>
      </c>
      <c r="L1501" s="9">
        <v>18</v>
      </c>
      <c r="M1501" s="9">
        <v>1988</v>
      </c>
      <c r="O1501" s="9" t="str">
        <f t="shared" si="73"/>
        <v>NO</v>
      </c>
      <c r="P1501" s="9" t="str">
        <f t="shared" si="74"/>
        <v>YES</v>
      </c>
      <c r="Q1501" s="9" t="str">
        <f t="shared" si="75"/>
        <v>Conditioned</v>
      </c>
    </row>
    <row r="1502" spans="1:17">
      <c r="A1502" s="9">
        <v>21437</v>
      </c>
      <c r="B1502" s="9">
        <v>1</v>
      </c>
      <c r="C1502" s="9" t="s">
        <v>1589</v>
      </c>
      <c r="D1502" s="9" t="s">
        <v>1590</v>
      </c>
      <c r="E1502" s="9" t="s">
        <v>1602</v>
      </c>
      <c r="F1502" s="9" t="s">
        <v>1603</v>
      </c>
      <c r="G1502" s="9" t="s">
        <v>1592</v>
      </c>
      <c r="H1502" s="9" t="s">
        <v>170</v>
      </c>
      <c r="I1502" s="9" t="s">
        <v>2971</v>
      </c>
      <c r="J1502" s="9" t="s">
        <v>1601</v>
      </c>
      <c r="K1502" s="9">
        <v>1</v>
      </c>
      <c r="L1502" s="9">
        <v>24</v>
      </c>
      <c r="M1502" s="9">
        <v>2004</v>
      </c>
      <c r="O1502" s="9" t="str">
        <f t="shared" si="73"/>
        <v>NO</v>
      </c>
      <c r="P1502" s="9" t="str">
        <f t="shared" si="74"/>
        <v>NO</v>
      </c>
      <c r="Q1502" s="9" t="str">
        <f t="shared" si="75"/>
        <v>Conditioned</v>
      </c>
    </row>
    <row r="1503" spans="1:17">
      <c r="A1503" s="9">
        <v>21437</v>
      </c>
      <c r="B1503" s="9">
        <v>2</v>
      </c>
      <c r="C1503" s="9" t="s">
        <v>1589</v>
      </c>
      <c r="D1503" s="9" t="s">
        <v>1590</v>
      </c>
      <c r="E1503" s="9" t="s">
        <v>1591</v>
      </c>
      <c r="F1503" s="9" t="s">
        <v>1589</v>
      </c>
      <c r="G1503" s="9" t="s">
        <v>1592</v>
      </c>
      <c r="H1503" s="9" t="s">
        <v>1632</v>
      </c>
      <c r="I1503" s="9" t="s">
        <v>1589</v>
      </c>
      <c r="J1503" s="9" t="s">
        <v>1612</v>
      </c>
      <c r="K1503" s="9">
        <v>1</v>
      </c>
      <c r="L1503" s="9">
        <v>8</v>
      </c>
      <c r="O1503" s="9" t="str">
        <f t="shared" si="73"/>
        <v>NO</v>
      </c>
      <c r="P1503" s="9" t="str">
        <f t="shared" si="74"/>
        <v>NO</v>
      </c>
      <c r="Q1503" s="9" t="str">
        <f t="shared" si="75"/>
        <v>Conditioned</v>
      </c>
    </row>
    <row r="1504" spans="1:17">
      <c r="A1504" s="9">
        <v>21437</v>
      </c>
      <c r="B1504" s="9">
        <v>3</v>
      </c>
      <c r="C1504" s="9" t="s">
        <v>1589</v>
      </c>
      <c r="D1504" s="9" t="s">
        <v>1590</v>
      </c>
      <c r="E1504" s="9" t="s">
        <v>1591</v>
      </c>
      <c r="F1504" s="9" t="s">
        <v>1589</v>
      </c>
      <c r="G1504" s="9" t="s">
        <v>1592</v>
      </c>
      <c r="H1504" s="9" t="s">
        <v>181</v>
      </c>
      <c r="I1504" s="9" t="s">
        <v>2972</v>
      </c>
      <c r="J1504" s="9" t="s">
        <v>1612</v>
      </c>
      <c r="K1504" s="9">
        <v>1</v>
      </c>
      <c r="L1504" s="9">
        <v>6</v>
      </c>
      <c r="O1504" s="9" t="str">
        <f t="shared" si="73"/>
        <v>YES</v>
      </c>
      <c r="P1504" s="9" t="str">
        <f t="shared" si="74"/>
        <v>NO</v>
      </c>
      <c r="Q1504" s="9" t="str">
        <f t="shared" si="75"/>
        <v>Conditioned</v>
      </c>
    </row>
    <row r="1505" spans="1:17">
      <c r="A1505" s="9">
        <v>21438</v>
      </c>
      <c r="B1505" s="9">
        <v>1</v>
      </c>
      <c r="C1505" s="9" t="s">
        <v>1589</v>
      </c>
      <c r="D1505" s="9" t="s">
        <v>1603</v>
      </c>
      <c r="E1505" s="9" t="s">
        <v>1613</v>
      </c>
      <c r="F1505" s="9" t="s">
        <v>1603</v>
      </c>
      <c r="G1505" s="9" t="s">
        <v>1592</v>
      </c>
      <c r="H1505" s="9" t="s">
        <v>170</v>
      </c>
      <c r="I1505" s="9" t="s">
        <v>2973</v>
      </c>
      <c r="J1505" s="9" t="s">
        <v>1597</v>
      </c>
      <c r="K1505" s="9">
        <v>1</v>
      </c>
      <c r="L1505" s="9">
        <v>18</v>
      </c>
      <c r="M1505" s="9">
        <v>2005</v>
      </c>
      <c r="O1505" s="9" t="str">
        <f t="shared" si="73"/>
        <v>NO</v>
      </c>
      <c r="P1505" s="9" t="str">
        <f t="shared" si="74"/>
        <v>NO</v>
      </c>
      <c r="Q1505" s="9" t="str">
        <f t="shared" si="75"/>
        <v>Conditioned</v>
      </c>
    </row>
    <row r="1506" spans="1:17">
      <c r="A1506" s="9">
        <v>21438</v>
      </c>
      <c r="B1506" s="9">
        <v>2</v>
      </c>
      <c r="C1506" s="9" t="s">
        <v>1589</v>
      </c>
      <c r="D1506" s="9" t="s">
        <v>1590</v>
      </c>
      <c r="E1506" s="9" t="s">
        <v>1591</v>
      </c>
      <c r="F1506" s="9" t="s">
        <v>1589</v>
      </c>
      <c r="G1506" s="9" t="s">
        <v>1606</v>
      </c>
      <c r="H1506" s="9" t="s">
        <v>1624</v>
      </c>
      <c r="I1506" s="9" t="s">
        <v>2974</v>
      </c>
      <c r="J1506" s="9" t="s">
        <v>1587</v>
      </c>
      <c r="K1506" s="9">
        <v>1</v>
      </c>
      <c r="L1506" s="9">
        <v>15</v>
      </c>
      <c r="M1506" s="9">
        <v>1999</v>
      </c>
      <c r="O1506" s="9" t="str">
        <f t="shared" si="73"/>
        <v>NO</v>
      </c>
      <c r="P1506" s="9" t="str">
        <f t="shared" si="74"/>
        <v>YES</v>
      </c>
      <c r="Q1506" s="9" t="str">
        <f t="shared" si="75"/>
        <v>Unconditioned</v>
      </c>
    </row>
    <row r="1507" spans="1:17">
      <c r="A1507" s="9">
        <v>21452</v>
      </c>
      <c r="B1507" s="9">
        <v>1</v>
      </c>
      <c r="C1507" s="9" t="s">
        <v>1589</v>
      </c>
      <c r="D1507" s="9" t="s">
        <v>1590</v>
      </c>
      <c r="E1507" s="9" t="s">
        <v>1602</v>
      </c>
      <c r="F1507" s="9" t="s">
        <v>1603</v>
      </c>
      <c r="G1507" s="9" t="s">
        <v>1592</v>
      </c>
      <c r="H1507" s="9" t="s">
        <v>177</v>
      </c>
      <c r="I1507" s="9" t="s">
        <v>2975</v>
      </c>
      <c r="J1507" s="9" t="s">
        <v>1601</v>
      </c>
      <c r="K1507" s="9">
        <v>1</v>
      </c>
      <c r="L1507" s="9">
        <v>25</v>
      </c>
      <c r="M1507" s="9">
        <v>2002</v>
      </c>
      <c r="O1507" s="9" t="str">
        <f t="shared" si="73"/>
        <v>NO</v>
      </c>
      <c r="P1507" s="9" t="str">
        <f t="shared" si="74"/>
        <v>NO</v>
      </c>
      <c r="Q1507" s="9" t="str">
        <f t="shared" si="75"/>
        <v>Conditioned</v>
      </c>
    </row>
    <row r="1508" spans="1:17">
      <c r="A1508" s="9">
        <v>21456</v>
      </c>
      <c r="B1508" s="9">
        <v>1</v>
      </c>
      <c r="C1508" s="9" t="s">
        <v>1589</v>
      </c>
      <c r="D1508" s="9" t="s">
        <v>1590</v>
      </c>
      <c r="E1508" s="9" t="s">
        <v>1591</v>
      </c>
      <c r="F1508" s="9" t="s">
        <v>1589</v>
      </c>
      <c r="G1508" s="9" t="s">
        <v>1592</v>
      </c>
      <c r="H1508" s="9" t="s">
        <v>172</v>
      </c>
      <c r="I1508" s="9" t="s">
        <v>2976</v>
      </c>
      <c r="J1508" s="9" t="s">
        <v>1597</v>
      </c>
      <c r="K1508" s="9">
        <v>0.75</v>
      </c>
      <c r="L1508" s="9">
        <v>20</v>
      </c>
      <c r="M1508" s="9">
        <v>1980</v>
      </c>
      <c r="O1508" s="9" t="str">
        <f t="shared" si="73"/>
        <v>NO</v>
      </c>
      <c r="P1508" s="9" t="str">
        <f t="shared" si="74"/>
        <v>NO</v>
      </c>
      <c r="Q1508" s="9" t="str">
        <f t="shared" si="75"/>
        <v>Conditioned</v>
      </c>
    </row>
    <row r="1509" spans="1:17">
      <c r="A1509" s="9">
        <v>21459</v>
      </c>
      <c r="B1509" s="9">
        <v>1</v>
      </c>
      <c r="C1509" s="9" t="s">
        <v>1589</v>
      </c>
      <c r="D1509" s="9" t="s">
        <v>1590</v>
      </c>
      <c r="E1509" s="9" t="s">
        <v>1602</v>
      </c>
      <c r="F1509" s="9" t="s">
        <v>1603</v>
      </c>
      <c r="G1509" s="9" t="s">
        <v>1592</v>
      </c>
      <c r="H1509" s="9" t="s">
        <v>174</v>
      </c>
      <c r="I1509" s="9" t="s">
        <v>2977</v>
      </c>
      <c r="J1509" s="9" t="s">
        <v>1601</v>
      </c>
      <c r="K1509" s="9">
        <v>0.75</v>
      </c>
      <c r="L1509" s="9">
        <v>26</v>
      </c>
      <c r="M1509" s="9">
        <v>2002</v>
      </c>
      <c r="O1509" s="9" t="str">
        <f t="shared" si="73"/>
        <v>NO</v>
      </c>
      <c r="P1509" s="9" t="str">
        <f t="shared" si="74"/>
        <v>NO</v>
      </c>
      <c r="Q1509" s="9" t="str">
        <f t="shared" si="75"/>
        <v>Conditioned</v>
      </c>
    </row>
    <row r="1510" spans="1:17">
      <c r="A1510" s="9">
        <v>21460</v>
      </c>
      <c r="B1510" s="9">
        <v>1</v>
      </c>
      <c r="C1510" s="9" t="s">
        <v>1589</v>
      </c>
      <c r="D1510" s="9" t="s">
        <v>1590</v>
      </c>
      <c r="E1510" s="9" t="s">
        <v>1589</v>
      </c>
      <c r="F1510" s="9" t="s">
        <v>1589</v>
      </c>
      <c r="G1510" s="9" t="s">
        <v>1592</v>
      </c>
      <c r="H1510" s="9" t="s">
        <v>2235</v>
      </c>
      <c r="I1510" s="9" t="s">
        <v>2978</v>
      </c>
      <c r="J1510" s="9" t="s">
        <v>1612</v>
      </c>
      <c r="K1510" s="9">
        <v>1</v>
      </c>
      <c r="L1510" s="9">
        <v>17</v>
      </c>
      <c r="M1510" s="9">
        <v>2001</v>
      </c>
      <c r="O1510" s="9" t="str">
        <f t="shared" si="73"/>
        <v>NO</v>
      </c>
      <c r="P1510" s="9" t="str">
        <f t="shared" si="74"/>
        <v>NO</v>
      </c>
      <c r="Q1510" s="9" t="str">
        <f t="shared" si="75"/>
        <v>Conditioned</v>
      </c>
    </row>
    <row r="1511" spans="1:17">
      <c r="A1511" s="9">
        <v>21460</v>
      </c>
      <c r="B1511" s="9">
        <v>2</v>
      </c>
      <c r="C1511" s="9" t="s">
        <v>1589</v>
      </c>
      <c r="D1511" s="9" t="s">
        <v>1590</v>
      </c>
      <c r="E1511" s="9" t="s">
        <v>1589</v>
      </c>
      <c r="F1511" s="9" t="s">
        <v>1589</v>
      </c>
      <c r="G1511" s="9" t="s">
        <v>1592</v>
      </c>
      <c r="H1511" s="9" t="s">
        <v>2979</v>
      </c>
      <c r="I1511" s="9" t="s">
        <v>1589</v>
      </c>
      <c r="J1511" s="9" t="s">
        <v>1612</v>
      </c>
      <c r="K1511" s="9">
        <v>1</v>
      </c>
      <c r="L1511" s="9">
        <v>14</v>
      </c>
      <c r="O1511" s="9" t="str">
        <f t="shared" si="73"/>
        <v>NO</v>
      </c>
      <c r="P1511" s="9" t="str">
        <f t="shared" si="74"/>
        <v>NO</v>
      </c>
      <c r="Q1511" s="9" t="str">
        <f t="shared" si="75"/>
        <v>Conditioned</v>
      </c>
    </row>
    <row r="1512" spans="1:17">
      <c r="A1512" s="9">
        <v>21460</v>
      </c>
      <c r="B1512" s="9">
        <v>3</v>
      </c>
      <c r="C1512" s="9" t="s">
        <v>1589</v>
      </c>
      <c r="D1512" s="9" t="s">
        <v>1590</v>
      </c>
      <c r="E1512" s="9" t="s">
        <v>1591</v>
      </c>
      <c r="F1512" s="9" t="s">
        <v>1589</v>
      </c>
      <c r="G1512" s="9" t="s">
        <v>1592</v>
      </c>
      <c r="H1512" s="9" t="s">
        <v>173</v>
      </c>
      <c r="I1512" s="9" t="s">
        <v>1589</v>
      </c>
      <c r="J1512" s="9" t="s">
        <v>1587</v>
      </c>
      <c r="K1512" s="9">
        <v>1</v>
      </c>
      <c r="L1512" s="9">
        <v>12</v>
      </c>
      <c r="O1512" s="9" t="str">
        <f t="shared" si="73"/>
        <v>NO</v>
      </c>
      <c r="P1512" s="9" t="str">
        <f t="shared" si="74"/>
        <v>YES</v>
      </c>
      <c r="Q1512" s="9" t="str">
        <f t="shared" si="75"/>
        <v>Conditioned</v>
      </c>
    </row>
    <row r="1513" spans="1:17">
      <c r="A1513" s="9">
        <v>21463</v>
      </c>
      <c r="B1513" s="9">
        <v>1</v>
      </c>
      <c r="C1513" s="9" t="s">
        <v>1589</v>
      </c>
      <c r="D1513" s="9" t="s">
        <v>1590</v>
      </c>
      <c r="E1513" s="9" t="s">
        <v>1613</v>
      </c>
      <c r="F1513" s="9" t="s">
        <v>1590</v>
      </c>
      <c r="G1513" s="9" t="s">
        <v>1592</v>
      </c>
      <c r="H1513" s="9" t="s">
        <v>170</v>
      </c>
      <c r="I1513" s="9" t="s">
        <v>1589</v>
      </c>
      <c r="J1513" s="9" t="s">
        <v>1610</v>
      </c>
      <c r="K1513" s="9">
        <v>1</v>
      </c>
      <c r="L1513" s="9">
        <v>20</v>
      </c>
      <c r="M1513" s="9">
        <v>2000</v>
      </c>
      <c r="O1513" s="9" t="str">
        <f t="shared" si="73"/>
        <v>NO</v>
      </c>
      <c r="P1513" s="9" t="str">
        <f t="shared" si="74"/>
        <v>NO</v>
      </c>
      <c r="Q1513" s="9" t="str">
        <f t="shared" si="75"/>
        <v>Conditioned</v>
      </c>
    </row>
    <row r="1514" spans="1:17">
      <c r="A1514" s="9">
        <v>21464</v>
      </c>
      <c r="B1514" s="9">
        <v>1</v>
      </c>
      <c r="C1514" s="9" t="s">
        <v>1589</v>
      </c>
      <c r="D1514" s="9" t="s">
        <v>1603</v>
      </c>
      <c r="E1514" s="9" t="s">
        <v>1602</v>
      </c>
      <c r="F1514" s="9" t="s">
        <v>1603</v>
      </c>
      <c r="G1514" s="9" t="s">
        <v>1592</v>
      </c>
      <c r="H1514" s="9" t="s">
        <v>170</v>
      </c>
      <c r="I1514" s="9" t="s">
        <v>2980</v>
      </c>
      <c r="J1514" s="9" t="s">
        <v>1601</v>
      </c>
      <c r="K1514" s="9">
        <v>1</v>
      </c>
      <c r="L1514" s="9">
        <v>28</v>
      </c>
      <c r="M1514" s="9">
        <v>2009</v>
      </c>
      <c r="O1514" s="9" t="str">
        <f t="shared" si="73"/>
        <v>NO</v>
      </c>
      <c r="P1514" s="9" t="str">
        <f t="shared" si="74"/>
        <v>NO</v>
      </c>
      <c r="Q1514" s="9" t="str">
        <f t="shared" si="75"/>
        <v>Conditioned</v>
      </c>
    </row>
    <row r="1515" spans="1:17">
      <c r="A1515" s="9">
        <v>21464</v>
      </c>
      <c r="B1515" s="9">
        <v>2</v>
      </c>
      <c r="C1515" s="9" t="s">
        <v>1589</v>
      </c>
      <c r="D1515" s="9" t="s">
        <v>1590</v>
      </c>
      <c r="E1515" s="9" t="s">
        <v>1591</v>
      </c>
      <c r="F1515" s="9" t="s">
        <v>1589</v>
      </c>
      <c r="G1515" s="9" t="s">
        <v>1592</v>
      </c>
      <c r="H1515" s="9" t="s">
        <v>177</v>
      </c>
      <c r="I1515" s="9" t="s">
        <v>2981</v>
      </c>
      <c r="J1515" s="9" t="s">
        <v>1605</v>
      </c>
      <c r="K1515" s="9">
        <v>1</v>
      </c>
      <c r="L1515" s="9">
        <v>21</v>
      </c>
      <c r="M1515" s="9">
        <v>1984</v>
      </c>
      <c r="O1515" s="9" t="str">
        <f t="shared" si="73"/>
        <v>NO</v>
      </c>
      <c r="P1515" s="9" t="str">
        <f t="shared" si="74"/>
        <v>YES</v>
      </c>
      <c r="Q1515" s="9" t="str">
        <f t="shared" si="75"/>
        <v>Conditioned</v>
      </c>
    </row>
    <row r="1516" spans="1:17">
      <c r="A1516" s="9">
        <v>21469</v>
      </c>
      <c r="B1516" s="9">
        <v>1</v>
      </c>
      <c r="C1516" s="9" t="s">
        <v>1589</v>
      </c>
      <c r="D1516" s="9" t="s">
        <v>1590</v>
      </c>
      <c r="E1516" s="9" t="s">
        <v>1591</v>
      </c>
      <c r="F1516" s="9" t="s">
        <v>1589</v>
      </c>
      <c r="G1516" s="9" t="s">
        <v>1592</v>
      </c>
      <c r="H1516" s="9" t="s">
        <v>1638</v>
      </c>
      <c r="I1516" s="9" t="s">
        <v>2982</v>
      </c>
      <c r="J1516" s="9" t="s">
        <v>1608</v>
      </c>
      <c r="K1516" s="9">
        <v>1</v>
      </c>
      <c r="L1516" s="9">
        <v>22</v>
      </c>
      <c r="M1516" s="9">
        <v>2010</v>
      </c>
      <c r="O1516" s="9" t="str">
        <f t="shared" si="73"/>
        <v>NO</v>
      </c>
      <c r="P1516" s="9" t="str">
        <f t="shared" si="74"/>
        <v>NO</v>
      </c>
      <c r="Q1516" s="9" t="str">
        <f t="shared" si="75"/>
        <v>Conditioned</v>
      </c>
    </row>
    <row r="1517" spans="1:17">
      <c r="A1517" s="9">
        <v>21469</v>
      </c>
      <c r="B1517" s="9">
        <v>2</v>
      </c>
      <c r="C1517" s="9" t="s">
        <v>1589</v>
      </c>
      <c r="D1517" s="9" t="s">
        <v>1590</v>
      </c>
      <c r="E1517" s="9" t="s">
        <v>1591</v>
      </c>
      <c r="F1517" s="9" t="s">
        <v>1589</v>
      </c>
      <c r="G1517" s="9" t="s">
        <v>1606</v>
      </c>
      <c r="H1517" s="9" t="s">
        <v>170</v>
      </c>
      <c r="I1517" s="9" t="s">
        <v>2983</v>
      </c>
      <c r="J1517" s="9" t="s">
        <v>1605</v>
      </c>
      <c r="K1517" s="9">
        <v>1</v>
      </c>
      <c r="L1517" s="9">
        <v>17</v>
      </c>
      <c r="M1517" s="9">
        <v>2000</v>
      </c>
      <c r="O1517" s="9" t="str">
        <f t="shared" si="73"/>
        <v>NO</v>
      </c>
      <c r="P1517" s="9" t="str">
        <f t="shared" si="74"/>
        <v>YES</v>
      </c>
      <c r="Q1517" s="9" t="str">
        <f t="shared" si="75"/>
        <v>Unconditioned</v>
      </c>
    </row>
    <row r="1518" spans="1:17">
      <c r="A1518" s="9">
        <v>21471</v>
      </c>
      <c r="B1518" s="9">
        <v>1</v>
      </c>
      <c r="C1518" s="9" t="s">
        <v>1589</v>
      </c>
      <c r="D1518" s="9" t="s">
        <v>1590</v>
      </c>
      <c r="E1518" s="9" t="s">
        <v>1613</v>
      </c>
      <c r="F1518" s="9" t="s">
        <v>1590</v>
      </c>
      <c r="G1518" s="9" t="s">
        <v>1592</v>
      </c>
      <c r="H1518" s="9" t="s">
        <v>1624</v>
      </c>
      <c r="I1518" s="9" t="s">
        <v>2984</v>
      </c>
      <c r="J1518" s="9" t="s">
        <v>1605</v>
      </c>
      <c r="K1518" s="9">
        <v>1</v>
      </c>
      <c r="L1518" s="9">
        <v>25</v>
      </c>
      <c r="M1518" s="9">
        <v>2006</v>
      </c>
      <c r="O1518" s="9" t="str">
        <f t="shared" si="73"/>
        <v>NO</v>
      </c>
      <c r="P1518" s="9" t="str">
        <f t="shared" si="74"/>
        <v>YES</v>
      </c>
      <c r="Q1518" s="9" t="str">
        <f t="shared" si="75"/>
        <v>Conditioned</v>
      </c>
    </row>
    <row r="1519" spans="1:17">
      <c r="A1519" s="9">
        <v>21471</v>
      </c>
      <c r="B1519" s="9">
        <v>2</v>
      </c>
      <c r="C1519" s="9" t="s">
        <v>1589</v>
      </c>
      <c r="D1519" s="9" t="s">
        <v>1603</v>
      </c>
      <c r="E1519" s="9" t="s">
        <v>1602</v>
      </c>
      <c r="F1519" s="9" t="s">
        <v>1603</v>
      </c>
      <c r="G1519" s="9" t="s">
        <v>1592</v>
      </c>
      <c r="H1519" s="9" t="s">
        <v>173</v>
      </c>
      <c r="I1519" s="9" t="s">
        <v>2985</v>
      </c>
      <c r="J1519" s="9" t="s">
        <v>1601</v>
      </c>
      <c r="K1519" s="9">
        <v>1</v>
      </c>
      <c r="L1519" s="9">
        <v>31</v>
      </c>
      <c r="M1519" s="9">
        <v>2010</v>
      </c>
      <c r="O1519" s="9" t="str">
        <f t="shared" si="73"/>
        <v>NO</v>
      </c>
      <c r="P1519" s="9" t="str">
        <f t="shared" si="74"/>
        <v>NO</v>
      </c>
      <c r="Q1519" s="9" t="str">
        <f t="shared" si="75"/>
        <v>Conditioned</v>
      </c>
    </row>
    <row r="1520" spans="1:17">
      <c r="A1520" s="9">
        <v>21471</v>
      </c>
      <c r="B1520" s="9">
        <v>3</v>
      </c>
      <c r="C1520" s="9" t="s">
        <v>1589</v>
      </c>
      <c r="D1520" s="9" t="s">
        <v>1590</v>
      </c>
      <c r="E1520" s="9" t="s">
        <v>1591</v>
      </c>
      <c r="F1520" s="9" t="s">
        <v>1589</v>
      </c>
      <c r="G1520" s="9" t="s">
        <v>1606</v>
      </c>
      <c r="H1520" s="9" t="s">
        <v>1638</v>
      </c>
      <c r="I1520" s="9" t="s">
        <v>2986</v>
      </c>
      <c r="J1520" s="9" t="s">
        <v>1587</v>
      </c>
      <c r="K1520" s="9">
        <v>1</v>
      </c>
      <c r="L1520" s="9">
        <v>25</v>
      </c>
      <c r="M1520" s="9">
        <v>1995</v>
      </c>
      <c r="O1520" s="9" t="str">
        <f t="shared" si="73"/>
        <v>NO</v>
      </c>
      <c r="P1520" s="9" t="str">
        <f t="shared" si="74"/>
        <v>YES</v>
      </c>
      <c r="Q1520" s="9" t="str">
        <f t="shared" si="75"/>
        <v>Unconditioned</v>
      </c>
    </row>
    <row r="1521" spans="1:17">
      <c r="A1521" s="9">
        <v>21483</v>
      </c>
      <c r="B1521" s="9">
        <v>1</v>
      </c>
      <c r="C1521" s="9" t="s">
        <v>1589</v>
      </c>
      <c r="D1521" s="9" t="s">
        <v>1590</v>
      </c>
      <c r="E1521" s="9" t="s">
        <v>1602</v>
      </c>
      <c r="F1521" s="9" t="s">
        <v>1590</v>
      </c>
      <c r="G1521" s="9" t="s">
        <v>1592</v>
      </c>
      <c r="H1521" s="9" t="s">
        <v>170</v>
      </c>
      <c r="I1521" s="9" t="s">
        <v>2987</v>
      </c>
      <c r="J1521" s="9" t="s">
        <v>1601</v>
      </c>
      <c r="K1521" s="9">
        <v>1</v>
      </c>
      <c r="L1521" s="9">
        <v>22</v>
      </c>
      <c r="M1521" s="9">
        <v>1996</v>
      </c>
      <c r="O1521" s="9" t="str">
        <f t="shared" si="73"/>
        <v>NO</v>
      </c>
      <c r="P1521" s="9" t="str">
        <f t="shared" si="74"/>
        <v>NO</v>
      </c>
      <c r="Q1521" s="9" t="str">
        <f t="shared" si="75"/>
        <v>Conditioned</v>
      </c>
    </row>
    <row r="1522" spans="1:17">
      <c r="A1522" s="9">
        <v>21483</v>
      </c>
      <c r="B1522" s="9">
        <v>2</v>
      </c>
      <c r="C1522" s="9" t="s">
        <v>1589</v>
      </c>
      <c r="D1522" s="9" t="s">
        <v>1590</v>
      </c>
      <c r="E1522" s="9" t="s">
        <v>1591</v>
      </c>
      <c r="F1522" s="9" t="s">
        <v>1589</v>
      </c>
      <c r="G1522" s="9" t="s">
        <v>1606</v>
      </c>
      <c r="H1522" s="9" t="s">
        <v>1632</v>
      </c>
      <c r="I1522" s="9" t="s">
        <v>2988</v>
      </c>
      <c r="J1522" s="9" t="s">
        <v>1597</v>
      </c>
      <c r="K1522" s="9">
        <v>1</v>
      </c>
      <c r="L1522" s="9">
        <v>20</v>
      </c>
      <c r="M1522" s="9">
        <v>1991</v>
      </c>
      <c r="O1522" s="9" t="str">
        <f t="shared" si="73"/>
        <v>NO</v>
      </c>
      <c r="P1522" s="9" t="str">
        <f t="shared" si="74"/>
        <v>NO</v>
      </c>
      <c r="Q1522" s="9" t="str">
        <f t="shared" si="75"/>
        <v>Unconditioned</v>
      </c>
    </row>
    <row r="1523" spans="1:17">
      <c r="A1523" s="9">
        <v>21484</v>
      </c>
      <c r="B1523" s="9">
        <v>1</v>
      </c>
      <c r="C1523" s="9" t="s">
        <v>1589</v>
      </c>
      <c r="D1523" s="9" t="s">
        <v>1590</v>
      </c>
      <c r="E1523" s="9" t="s">
        <v>1591</v>
      </c>
      <c r="F1523" s="9" t="s">
        <v>1589</v>
      </c>
      <c r="G1523" s="9" t="s">
        <v>1592</v>
      </c>
      <c r="H1523" s="9" t="s">
        <v>170</v>
      </c>
      <c r="I1523" s="9" t="s">
        <v>2989</v>
      </c>
      <c r="J1523" s="9" t="s">
        <v>1597</v>
      </c>
      <c r="K1523" s="9">
        <v>1</v>
      </c>
      <c r="L1523" s="9">
        <v>18</v>
      </c>
      <c r="M1523" s="9">
        <v>2003</v>
      </c>
      <c r="O1523" s="9" t="str">
        <f t="shared" si="73"/>
        <v>NO</v>
      </c>
      <c r="P1523" s="9" t="str">
        <f t="shared" si="74"/>
        <v>NO</v>
      </c>
      <c r="Q1523" s="9" t="str">
        <f t="shared" si="75"/>
        <v>Conditioned</v>
      </c>
    </row>
    <row r="1524" spans="1:17">
      <c r="A1524" s="9">
        <v>21486</v>
      </c>
      <c r="B1524" s="9">
        <v>1</v>
      </c>
      <c r="C1524" s="9" t="s">
        <v>1589</v>
      </c>
      <c r="D1524" s="9" t="s">
        <v>1590</v>
      </c>
      <c r="E1524" s="9" t="s">
        <v>1591</v>
      </c>
      <c r="F1524" s="9" t="s">
        <v>1589</v>
      </c>
      <c r="G1524" s="9" t="s">
        <v>1606</v>
      </c>
      <c r="H1524" s="9" t="s">
        <v>1766</v>
      </c>
      <c r="I1524" s="9" t="s">
        <v>1589</v>
      </c>
      <c r="J1524" s="9" t="s">
        <v>1605</v>
      </c>
      <c r="K1524" s="9">
        <v>1</v>
      </c>
      <c r="L1524" s="9">
        <v>22</v>
      </c>
      <c r="O1524" s="9" t="str">
        <f t="shared" si="73"/>
        <v>NO</v>
      </c>
      <c r="P1524" s="9" t="str">
        <f t="shared" si="74"/>
        <v>YES</v>
      </c>
      <c r="Q1524" s="9" t="str">
        <f t="shared" si="75"/>
        <v>Unconditioned</v>
      </c>
    </row>
    <row r="1525" spans="1:17">
      <c r="A1525" s="9">
        <v>21487</v>
      </c>
      <c r="B1525" s="9">
        <v>1</v>
      </c>
      <c r="C1525" s="9" t="s">
        <v>1589</v>
      </c>
      <c r="D1525" s="9" t="s">
        <v>1590</v>
      </c>
      <c r="E1525" s="9" t="s">
        <v>1602</v>
      </c>
      <c r="F1525" s="9" t="s">
        <v>1603</v>
      </c>
      <c r="G1525" s="9" t="s">
        <v>1592</v>
      </c>
      <c r="H1525" s="9" t="s">
        <v>775</v>
      </c>
      <c r="I1525" s="9" t="s">
        <v>2990</v>
      </c>
      <c r="J1525" s="9" t="s">
        <v>1601</v>
      </c>
      <c r="K1525" s="9">
        <v>1</v>
      </c>
      <c r="L1525" s="9">
        <v>26</v>
      </c>
      <c r="M1525" s="9">
        <v>2007</v>
      </c>
      <c r="O1525" s="9" t="str">
        <f t="shared" si="73"/>
        <v>NO</v>
      </c>
      <c r="P1525" s="9" t="str">
        <f t="shared" si="74"/>
        <v>NO</v>
      </c>
      <c r="Q1525" s="9" t="str">
        <f t="shared" si="75"/>
        <v>Conditioned</v>
      </c>
    </row>
    <row r="1526" spans="1:17">
      <c r="A1526" s="9">
        <v>21487</v>
      </c>
      <c r="B1526" s="9">
        <v>2</v>
      </c>
      <c r="C1526" s="9" t="s">
        <v>1589</v>
      </c>
      <c r="D1526" s="9" t="s">
        <v>1590</v>
      </c>
      <c r="E1526" s="9" t="s">
        <v>1591</v>
      </c>
      <c r="F1526" s="9" t="s">
        <v>1589</v>
      </c>
      <c r="G1526" s="9" t="s">
        <v>1592</v>
      </c>
      <c r="H1526" s="9" t="s">
        <v>1766</v>
      </c>
      <c r="I1526" s="9" t="s">
        <v>2991</v>
      </c>
      <c r="J1526" s="9" t="s">
        <v>1605</v>
      </c>
      <c r="K1526" s="9">
        <v>1</v>
      </c>
      <c r="L1526" s="9">
        <v>25</v>
      </c>
      <c r="M1526" s="9">
        <v>1993</v>
      </c>
      <c r="O1526" s="9" t="str">
        <f t="shared" si="73"/>
        <v>NO</v>
      </c>
      <c r="P1526" s="9" t="str">
        <f t="shared" si="74"/>
        <v>YES</v>
      </c>
      <c r="Q1526" s="9" t="str">
        <f t="shared" si="75"/>
        <v>Conditioned</v>
      </c>
    </row>
    <row r="1527" spans="1:17">
      <c r="A1527" s="9">
        <v>21494</v>
      </c>
      <c r="B1527" s="9">
        <v>1</v>
      </c>
      <c r="C1527" s="9" t="s">
        <v>1589</v>
      </c>
      <c r="D1527" s="9" t="s">
        <v>1590</v>
      </c>
      <c r="E1527" s="9" t="s">
        <v>1602</v>
      </c>
      <c r="F1527" s="9" t="s">
        <v>1603</v>
      </c>
      <c r="G1527" s="9" t="s">
        <v>1592</v>
      </c>
      <c r="H1527" s="9" t="s">
        <v>177</v>
      </c>
      <c r="I1527" s="9" t="s">
        <v>2992</v>
      </c>
      <c r="J1527" s="9" t="s">
        <v>1601</v>
      </c>
      <c r="K1527" s="9">
        <v>1</v>
      </c>
      <c r="L1527" s="9">
        <v>21</v>
      </c>
      <c r="M1527" s="9">
        <v>2001</v>
      </c>
      <c r="O1527" s="9" t="str">
        <f t="shared" si="73"/>
        <v>NO</v>
      </c>
      <c r="P1527" s="9" t="str">
        <f t="shared" si="74"/>
        <v>NO</v>
      </c>
      <c r="Q1527" s="9" t="str">
        <f t="shared" si="75"/>
        <v>Conditioned</v>
      </c>
    </row>
    <row r="1528" spans="1:17">
      <c r="A1528" s="9">
        <v>21499</v>
      </c>
      <c r="B1528" s="9">
        <v>1</v>
      </c>
      <c r="C1528" s="9" t="s">
        <v>1589</v>
      </c>
      <c r="D1528" s="9" t="s">
        <v>1590</v>
      </c>
      <c r="E1528" s="9" t="s">
        <v>1613</v>
      </c>
      <c r="F1528" s="9" t="s">
        <v>1603</v>
      </c>
      <c r="G1528" s="9" t="s">
        <v>1592</v>
      </c>
      <c r="H1528" s="9" t="s">
        <v>1871</v>
      </c>
      <c r="I1528" s="9" t="s">
        <v>2993</v>
      </c>
      <c r="J1528" s="9" t="s">
        <v>1597</v>
      </c>
      <c r="K1528" s="9">
        <v>1</v>
      </c>
      <c r="L1528" s="9">
        <v>19</v>
      </c>
      <c r="M1528" s="9">
        <v>1998</v>
      </c>
      <c r="O1528" s="9" t="str">
        <f t="shared" si="73"/>
        <v>NO</v>
      </c>
      <c r="P1528" s="9" t="str">
        <f t="shared" si="74"/>
        <v>NO</v>
      </c>
      <c r="Q1528" s="9" t="str">
        <f t="shared" si="75"/>
        <v>Conditioned</v>
      </c>
    </row>
    <row r="1529" spans="1:17">
      <c r="A1529" s="9">
        <v>21499</v>
      </c>
      <c r="B1529" s="9">
        <v>2</v>
      </c>
      <c r="C1529" s="9" t="s">
        <v>1589</v>
      </c>
      <c r="D1529" s="9" t="s">
        <v>1590</v>
      </c>
      <c r="E1529" s="9" t="s">
        <v>1591</v>
      </c>
      <c r="F1529" s="9" t="s">
        <v>1589</v>
      </c>
      <c r="G1529" s="9" t="s">
        <v>1592</v>
      </c>
      <c r="H1529" s="9" t="s">
        <v>181</v>
      </c>
      <c r="I1529" s="9" t="s">
        <v>2994</v>
      </c>
      <c r="J1529" s="9" t="s">
        <v>1587</v>
      </c>
      <c r="K1529" s="9">
        <v>1</v>
      </c>
      <c r="L1529" s="9">
        <v>5</v>
      </c>
      <c r="O1529" s="9" t="str">
        <f t="shared" si="73"/>
        <v>YES</v>
      </c>
      <c r="P1529" s="9" t="str">
        <f t="shared" si="74"/>
        <v>YES</v>
      </c>
      <c r="Q1529" s="9" t="str">
        <f t="shared" si="75"/>
        <v>Conditioned</v>
      </c>
    </row>
    <row r="1530" spans="1:17">
      <c r="A1530" s="9">
        <v>21501</v>
      </c>
      <c r="B1530" s="9">
        <v>1</v>
      </c>
      <c r="C1530" s="9" t="s">
        <v>1589</v>
      </c>
      <c r="D1530" s="9" t="s">
        <v>1590</v>
      </c>
      <c r="E1530" s="9" t="s">
        <v>1591</v>
      </c>
      <c r="F1530" s="9" t="s">
        <v>1589</v>
      </c>
      <c r="G1530" s="9" t="s">
        <v>1592</v>
      </c>
      <c r="H1530" s="9" t="s">
        <v>170</v>
      </c>
      <c r="I1530" s="9" t="s">
        <v>2995</v>
      </c>
      <c r="J1530" s="9" t="s">
        <v>1597</v>
      </c>
      <c r="K1530" s="9">
        <v>1</v>
      </c>
      <c r="L1530" s="9">
        <v>23</v>
      </c>
      <c r="M1530" s="9">
        <v>1991</v>
      </c>
      <c r="O1530" s="9" t="str">
        <f t="shared" si="73"/>
        <v>NO</v>
      </c>
      <c r="P1530" s="9" t="str">
        <f t="shared" si="74"/>
        <v>NO</v>
      </c>
      <c r="Q1530" s="9" t="str">
        <f t="shared" si="75"/>
        <v>Conditioned</v>
      </c>
    </row>
    <row r="1531" spans="1:17">
      <c r="A1531" s="9">
        <v>21501</v>
      </c>
      <c r="B1531" s="9">
        <v>2</v>
      </c>
      <c r="C1531" s="9" t="s">
        <v>1589</v>
      </c>
      <c r="D1531" s="9" t="s">
        <v>1590</v>
      </c>
      <c r="E1531" s="9" t="s">
        <v>1591</v>
      </c>
      <c r="F1531" s="9" t="s">
        <v>1589</v>
      </c>
      <c r="G1531" s="9" t="s">
        <v>1606</v>
      </c>
      <c r="H1531" s="9" t="s">
        <v>170</v>
      </c>
      <c r="I1531" s="9" t="s">
        <v>2996</v>
      </c>
      <c r="J1531" s="9" t="s">
        <v>1587</v>
      </c>
      <c r="K1531" s="9">
        <v>1</v>
      </c>
      <c r="L1531" s="9">
        <v>23</v>
      </c>
      <c r="M1531" s="9">
        <v>1989</v>
      </c>
      <c r="O1531" s="9" t="str">
        <f t="shared" si="73"/>
        <v>NO</v>
      </c>
      <c r="P1531" s="9" t="str">
        <f t="shared" si="74"/>
        <v>YES</v>
      </c>
      <c r="Q1531" s="9" t="str">
        <f t="shared" si="75"/>
        <v>Unconditioned</v>
      </c>
    </row>
    <row r="1532" spans="1:17">
      <c r="A1532" s="9">
        <v>21503</v>
      </c>
      <c r="B1532" s="9">
        <v>1</v>
      </c>
      <c r="C1532" s="9" t="s">
        <v>1589</v>
      </c>
      <c r="D1532" s="9" t="s">
        <v>1590</v>
      </c>
      <c r="E1532" s="9" t="s">
        <v>1591</v>
      </c>
      <c r="F1532" s="9" t="s">
        <v>1589</v>
      </c>
      <c r="G1532" s="9" t="s">
        <v>1592</v>
      </c>
      <c r="H1532" s="9" t="s">
        <v>172</v>
      </c>
      <c r="I1532" s="9" t="s">
        <v>2997</v>
      </c>
      <c r="J1532" s="9" t="s">
        <v>1601</v>
      </c>
      <c r="K1532" s="9">
        <v>1</v>
      </c>
      <c r="L1532" s="9">
        <v>25</v>
      </c>
      <c r="M1532" s="9">
        <v>1999</v>
      </c>
      <c r="O1532" s="9" t="str">
        <f t="shared" si="73"/>
        <v>NO</v>
      </c>
      <c r="P1532" s="9" t="str">
        <f t="shared" si="74"/>
        <v>NO</v>
      </c>
      <c r="Q1532" s="9" t="str">
        <f t="shared" si="75"/>
        <v>Conditioned</v>
      </c>
    </row>
    <row r="1533" spans="1:17">
      <c r="A1533" s="9">
        <v>21504</v>
      </c>
      <c r="B1533" s="9">
        <v>1</v>
      </c>
      <c r="C1533" s="9" t="s">
        <v>1589</v>
      </c>
      <c r="D1533" s="9" t="s">
        <v>1590</v>
      </c>
      <c r="E1533" s="9" t="s">
        <v>1602</v>
      </c>
      <c r="F1533" s="9" t="s">
        <v>1603</v>
      </c>
      <c r="G1533" s="9" t="s">
        <v>1592</v>
      </c>
      <c r="H1533" s="9" t="s">
        <v>173</v>
      </c>
      <c r="I1533" s="9" t="s">
        <v>2998</v>
      </c>
      <c r="J1533" s="9" t="s">
        <v>1601</v>
      </c>
      <c r="K1533" s="9">
        <v>1</v>
      </c>
      <c r="L1533" s="9">
        <v>21</v>
      </c>
      <c r="M1533" s="9">
        <v>1992</v>
      </c>
      <c r="O1533" s="9" t="str">
        <f t="shared" si="73"/>
        <v>NO</v>
      </c>
      <c r="P1533" s="9" t="str">
        <f t="shared" si="74"/>
        <v>NO</v>
      </c>
      <c r="Q1533" s="9" t="str">
        <f t="shared" si="75"/>
        <v>Conditioned</v>
      </c>
    </row>
    <row r="1534" spans="1:17">
      <c r="A1534" s="9">
        <v>21524</v>
      </c>
      <c r="B1534" s="9">
        <v>1</v>
      </c>
      <c r="C1534" s="9" t="s">
        <v>1589</v>
      </c>
      <c r="D1534" s="9" t="s">
        <v>1590</v>
      </c>
      <c r="E1534" s="9" t="s">
        <v>1602</v>
      </c>
      <c r="F1534" s="9" t="s">
        <v>1603</v>
      </c>
      <c r="G1534" s="9" t="s">
        <v>1592</v>
      </c>
      <c r="H1534" s="9" t="s">
        <v>1599</v>
      </c>
      <c r="I1534" s="9" t="s">
        <v>2999</v>
      </c>
      <c r="J1534" s="9" t="s">
        <v>1601</v>
      </c>
      <c r="K1534" s="9">
        <v>1</v>
      </c>
      <c r="L1534" s="9">
        <v>25</v>
      </c>
      <c r="M1534" s="9">
        <v>2002</v>
      </c>
      <c r="O1534" s="9" t="str">
        <f t="shared" si="73"/>
        <v>NO</v>
      </c>
      <c r="P1534" s="9" t="str">
        <f t="shared" si="74"/>
        <v>NO</v>
      </c>
      <c r="Q1534" s="9" t="str">
        <f t="shared" si="75"/>
        <v>Conditioned</v>
      </c>
    </row>
    <row r="1535" spans="1:17">
      <c r="A1535" s="9">
        <v>21524</v>
      </c>
      <c r="B1535" s="9">
        <v>2</v>
      </c>
      <c r="C1535" s="9" t="s">
        <v>1589</v>
      </c>
      <c r="D1535" s="9" t="s">
        <v>1590</v>
      </c>
      <c r="E1535" s="9" t="s">
        <v>1602</v>
      </c>
      <c r="F1535" s="9" t="s">
        <v>1603</v>
      </c>
      <c r="G1535" s="9" t="s">
        <v>1606</v>
      </c>
      <c r="H1535" s="9" t="s">
        <v>170</v>
      </c>
      <c r="I1535" s="9" t="s">
        <v>3000</v>
      </c>
      <c r="J1535" s="9" t="s">
        <v>1601</v>
      </c>
      <c r="K1535" s="9">
        <v>1</v>
      </c>
      <c r="L1535" s="9">
        <v>25</v>
      </c>
      <c r="M1535" s="9">
        <v>1991</v>
      </c>
      <c r="O1535" s="9" t="str">
        <f t="shared" si="73"/>
        <v>NO</v>
      </c>
      <c r="P1535" s="9" t="str">
        <f t="shared" si="74"/>
        <v>NO</v>
      </c>
      <c r="Q1535" s="9" t="str">
        <f t="shared" si="75"/>
        <v>Unconditioned</v>
      </c>
    </row>
    <row r="1536" spans="1:17">
      <c r="A1536" s="9">
        <v>21531</v>
      </c>
      <c r="B1536" s="9">
        <v>1</v>
      </c>
      <c r="C1536" s="9" t="s">
        <v>1589</v>
      </c>
      <c r="D1536" s="9" t="s">
        <v>1590</v>
      </c>
      <c r="E1536" s="9" t="s">
        <v>1613</v>
      </c>
      <c r="F1536" s="9" t="s">
        <v>1603</v>
      </c>
      <c r="G1536" s="9" t="s">
        <v>1592</v>
      </c>
      <c r="H1536" s="9" t="s">
        <v>172</v>
      </c>
      <c r="I1536" s="9" t="s">
        <v>3001</v>
      </c>
      <c r="J1536" s="9" t="s">
        <v>1601</v>
      </c>
      <c r="K1536" s="9">
        <v>1</v>
      </c>
      <c r="L1536" s="9">
        <v>20</v>
      </c>
      <c r="M1536" s="9">
        <v>1988</v>
      </c>
      <c r="O1536" s="9" t="str">
        <f t="shared" si="73"/>
        <v>NO</v>
      </c>
      <c r="P1536" s="9" t="str">
        <f t="shared" si="74"/>
        <v>NO</v>
      </c>
      <c r="Q1536" s="9" t="str">
        <f t="shared" si="75"/>
        <v>Conditioned</v>
      </c>
    </row>
    <row r="1537" spans="1:17">
      <c r="A1537" s="9">
        <v>21531</v>
      </c>
      <c r="B1537" s="9">
        <v>2</v>
      </c>
      <c r="C1537" s="9" t="s">
        <v>1589</v>
      </c>
      <c r="D1537" s="9" t="s">
        <v>1590</v>
      </c>
      <c r="E1537" s="9" t="s">
        <v>1591</v>
      </c>
      <c r="F1537" s="9" t="s">
        <v>1589</v>
      </c>
      <c r="G1537" s="9" t="s">
        <v>1606</v>
      </c>
      <c r="H1537" s="9" t="s">
        <v>177</v>
      </c>
      <c r="I1537" s="9" t="s">
        <v>3002</v>
      </c>
      <c r="J1537" s="9" t="s">
        <v>1612</v>
      </c>
      <c r="K1537" s="9">
        <v>1</v>
      </c>
      <c r="L1537" s="9">
        <v>13</v>
      </c>
      <c r="M1537" s="9">
        <v>1986</v>
      </c>
      <c r="O1537" s="9" t="str">
        <f t="shared" si="73"/>
        <v>NO</v>
      </c>
      <c r="P1537" s="9" t="str">
        <f t="shared" si="74"/>
        <v>NO</v>
      </c>
      <c r="Q1537" s="9" t="str">
        <f t="shared" si="75"/>
        <v>Unconditioned</v>
      </c>
    </row>
    <row r="1538" spans="1:17">
      <c r="A1538" s="9">
        <v>21531</v>
      </c>
      <c r="B1538" s="9">
        <v>3</v>
      </c>
      <c r="C1538" s="9" t="s">
        <v>1589</v>
      </c>
      <c r="D1538" s="9" t="s">
        <v>1590</v>
      </c>
      <c r="E1538" s="9" t="s">
        <v>1591</v>
      </c>
      <c r="F1538" s="9" t="s">
        <v>1589</v>
      </c>
      <c r="G1538" s="9" t="s">
        <v>1606</v>
      </c>
      <c r="H1538" s="9" t="s">
        <v>170</v>
      </c>
      <c r="I1538" s="9" t="s">
        <v>3003</v>
      </c>
      <c r="J1538" s="9" t="s">
        <v>1605</v>
      </c>
      <c r="K1538" s="9">
        <v>1</v>
      </c>
      <c r="L1538" s="9">
        <v>20</v>
      </c>
      <c r="M1538" s="9">
        <v>1987</v>
      </c>
      <c r="O1538" s="9" t="str">
        <f t="shared" si="73"/>
        <v>NO</v>
      </c>
      <c r="P1538" s="9" t="str">
        <f t="shared" si="74"/>
        <v>YES</v>
      </c>
      <c r="Q1538" s="9" t="str">
        <f t="shared" si="75"/>
        <v>Unconditioned</v>
      </c>
    </row>
    <row r="1539" spans="1:17">
      <c r="A1539" s="9">
        <v>21532</v>
      </c>
      <c r="B1539" s="9">
        <v>1</v>
      </c>
      <c r="C1539" s="9" t="s">
        <v>1589</v>
      </c>
      <c r="D1539" s="9" t="s">
        <v>1590</v>
      </c>
      <c r="E1539" s="9" t="s">
        <v>1602</v>
      </c>
      <c r="F1539" s="9" t="s">
        <v>1603</v>
      </c>
      <c r="G1539" s="9" t="s">
        <v>1592</v>
      </c>
      <c r="H1539" s="9" t="s">
        <v>1017</v>
      </c>
      <c r="I1539" s="9" t="s">
        <v>3004</v>
      </c>
      <c r="J1539" s="9" t="s">
        <v>1608</v>
      </c>
      <c r="K1539" s="9">
        <v>1</v>
      </c>
      <c r="L1539" s="9">
        <v>20</v>
      </c>
      <c r="M1539" s="9">
        <v>2007</v>
      </c>
      <c r="O1539" s="9" t="str">
        <f t="shared" si="73"/>
        <v>NO</v>
      </c>
      <c r="P1539" s="9" t="str">
        <f t="shared" si="74"/>
        <v>NO</v>
      </c>
      <c r="Q1539" s="9" t="str">
        <f t="shared" si="75"/>
        <v>Conditioned</v>
      </c>
    </row>
    <row r="1540" spans="1:17">
      <c r="A1540" s="9">
        <v>21532</v>
      </c>
      <c r="B1540" s="9">
        <v>2</v>
      </c>
      <c r="C1540" s="9" t="s">
        <v>1589</v>
      </c>
      <c r="D1540" s="9" t="s">
        <v>1590</v>
      </c>
      <c r="E1540" s="9" t="s">
        <v>1613</v>
      </c>
      <c r="F1540" s="9" t="s">
        <v>1603</v>
      </c>
      <c r="G1540" s="9" t="s">
        <v>1592</v>
      </c>
      <c r="H1540" s="9" t="s">
        <v>170</v>
      </c>
      <c r="I1540" s="9" t="s">
        <v>3005</v>
      </c>
      <c r="J1540" s="9" t="s">
        <v>1597</v>
      </c>
      <c r="K1540" s="9">
        <v>1</v>
      </c>
      <c r="L1540" s="9">
        <v>18</v>
      </c>
      <c r="M1540" s="9">
        <v>1998</v>
      </c>
      <c r="O1540" s="9" t="str">
        <f t="shared" si="73"/>
        <v>NO</v>
      </c>
      <c r="P1540" s="9" t="str">
        <f t="shared" si="74"/>
        <v>NO</v>
      </c>
      <c r="Q1540" s="9" t="str">
        <f t="shared" si="75"/>
        <v>Conditioned</v>
      </c>
    </row>
    <row r="1541" spans="1:17">
      <c r="A1541" s="9">
        <v>21532</v>
      </c>
      <c r="B1541" s="9">
        <v>3</v>
      </c>
      <c r="C1541" s="9" t="s">
        <v>1589</v>
      </c>
      <c r="D1541" s="9" t="s">
        <v>1590</v>
      </c>
      <c r="E1541" s="9" t="s">
        <v>1591</v>
      </c>
      <c r="F1541" s="9" t="s">
        <v>1589</v>
      </c>
      <c r="G1541" s="9" t="s">
        <v>1592</v>
      </c>
      <c r="H1541" s="9" t="s">
        <v>1871</v>
      </c>
      <c r="I1541" s="9" t="s">
        <v>3006</v>
      </c>
      <c r="J1541" s="9" t="s">
        <v>1597</v>
      </c>
      <c r="K1541" s="9">
        <v>1</v>
      </c>
      <c r="L1541" s="9">
        <v>16</v>
      </c>
      <c r="M1541" s="9">
        <v>1996</v>
      </c>
      <c r="O1541" s="9" t="str">
        <f t="shared" si="73"/>
        <v>NO</v>
      </c>
      <c r="P1541" s="9" t="str">
        <f t="shared" si="74"/>
        <v>NO</v>
      </c>
      <c r="Q1541" s="9" t="str">
        <f t="shared" si="75"/>
        <v>Conditioned</v>
      </c>
    </row>
    <row r="1542" spans="1:17">
      <c r="A1542" s="9">
        <v>21532</v>
      </c>
      <c r="B1542" s="9">
        <v>4</v>
      </c>
      <c r="C1542" s="9" t="s">
        <v>1589</v>
      </c>
      <c r="D1542" s="9" t="s">
        <v>1590</v>
      </c>
      <c r="E1542" s="9" t="s">
        <v>1591</v>
      </c>
      <c r="F1542" s="9" t="s">
        <v>1589</v>
      </c>
      <c r="G1542" s="9" t="s">
        <v>1606</v>
      </c>
      <c r="H1542" s="9" t="s">
        <v>170</v>
      </c>
      <c r="I1542" s="9" t="s">
        <v>3007</v>
      </c>
      <c r="J1542" s="9" t="s">
        <v>1587</v>
      </c>
      <c r="K1542" s="9">
        <v>1</v>
      </c>
      <c r="L1542" s="9">
        <v>17</v>
      </c>
      <c r="M1542" s="9">
        <v>2000</v>
      </c>
      <c r="O1542" s="9" t="str">
        <f t="shared" si="73"/>
        <v>NO</v>
      </c>
      <c r="P1542" s="9" t="str">
        <f t="shared" si="74"/>
        <v>YES</v>
      </c>
      <c r="Q1542" s="9" t="str">
        <f t="shared" si="75"/>
        <v>Unconditioned</v>
      </c>
    </row>
    <row r="1543" spans="1:17">
      <c r="A1543" s="9">
        <v>21537</v>
      </c>
      <c r="B1543" s="9">
        <v>1</v>
      </c>
      <c r="C1543" s="9" t="s">
        <v>1589</v>
      </c>
      <c r="D1543" s="9" t="s">
        <v>1590</v>
      </c>
      <c r="E1543" s="9" t="s">
        <v>1591</v>
      </c>
      <c r="F1543" s="9" t="s">
        <v>1589</v>
      </c>
      <c r="G1543" s="9" t="s">
        <v>1592</v>
      </c>
      <c r="H1543" s="9" t="s">
        <v>169</v>
      </c>
      <c r="I1543" s="9" t="s">
        <v>3008</v>
      </c>
      <c r="J1543" s="9" t="s">
        <v>1597</v>
      </c>
      <c r="K1543" s="9">
        <v>1</v>
      </c>
      <c r="L1543" s="9">
        <v>22</v>
      </c>
      <c r="M1543" s="9">
        <v>2005</v>
      </c>
      <c r="O1543" s="9" t="str">
        <f t="shared" si="73"/>
        <v>NO</v>
      </c>
      <c r="P1543" s="9" t="str">
        <f t="shared" si="74"/>
        <v>NO</v>
      </c>
      <c r="Q1543" s="9" t="str">
        <f t="shared" si="75"/>
        <v>Conditioned</v>
      </c>
    </row>
    <row r="1544" spans="1:17">
      <c r="A1544" s="9">
        <v>21537</v>
      </c>
      <c r="B1544" s="9">
        <v>2</v>
      </c>
      <c r="C1544" s="9" t="s">
        <v>1589</v>
      </c>
      <c r="D1544" s="9" t="s">
        <v>1590</v>
      </c>
      <c r="E1544" s="9" t="s">
        <v>1591</v>
      </c>
      <c r="F1544" s="9" t="s">
        <v>1589</v>
      </c>
      <c r="G1544" s="9" t="s">
        <v>1592</v>
      </c>
      <c r="H1544" s="9" t="s">
        <v>173</v>
      </c>
      <c r="I1544" s="9" t="s">
        <v>3009</v>
      </c>
      <c r="J1544" s="9" t="s">
        <v>1601</v>
      </c>
      <c r="K1544" s="9">
        <v>1</v>
      </c>
      <c r="L1544" s="9">
        <v>21</v>
      </c>
      <c r="M1544" s="9">
        <v>1996</v>
      </c>
      <c r="O1544" s="9" t="str">
        <f t="shared" si="73"/>
        <v>NO</v>
      </c>
      <c r="P1544" s="9" t="str">
        <f t="shared" si="74"/>
        <v>NO</v>
      </c>
      <c r="Q1544" s="9" t="str">
        <f t="shared" si="75"/>
        <v>Conditioned</v>
      </c>
    </row>
    <row r="1545" spans="1:17">
      <c r="A1545" s="9">
        <v>21546</v>
      </c>
      <c r="B1545" s="9">
        <v>1</v>
      </c>
      <c r="C1545" s="9" t="s">
        <v>1589</v>
      </c>
      <c r="D1545" s="9" t="s">
        <v>1590</v>
      </c>
      <c r="E1545" s="9" t="s">
        <v>1602</v>
      </c>
      <c r="F1545" s="9" t="s">
        <v>1603</v>
      </c>
      <c r="G1545" s="9" t="s">
        <v>1592</v>
      </c>
      <c r="H1545" s="9" t="s">
        <v>170</v>
      </c>
      <c r="I1545" s="9" t="s">
        <v>3010</v>
      </c>
      <c r="J1545" s="9" t="s">
        <v>1610</v>
      </c>
      <c r="K1545" s="9">
        <v>1</v>
      </c>
      <c r="L1545" s="9">
        <v>24</v>
      </c>
      <c r="M1545" s="9">
        <v>2009</v>
      </c>
      <c r="O1545" s="9" t="str">
        <f t="shared" si="73"/>
        <v>NO</v>
      </c>
      <c r="P1545" s="9" t="str">
        <f t="shared" si="74"/>
        <v>NO</v>
      </c>
      <c r="Q1545" s="9" t="str">
        <f t="shared" si="75"/>
        <v>Conditioned</v>
      </c>
    </row>
    <row r="1546" spans="1:17">
      <c r="A1546" s="9">
        <v>21566</v>
      </c>
      <c r="B1546" s="9">
        <v>1</v>
      </c>
      <c r="C1546" s="9" t="s">
        <v>1589</v>
      </c>
      <c r="D1546" s="9" t="s">
        <v>1590</v>
      </c>
      <c r="E1546" s="9" t="s">
        <v>1591</v>
      </c>
      <c r="F1546" s="9" t="s">
        <v>1589</v>
      </c>
      <c r="G1546" s="9" t="s">
        <v>1592</v>
      </c>
      <c r="H1546" s="9" t="s">
        <v>1678</v>
      </c>
      <c r="I1546" s="9" t="s">
        <v>3011</v>
      </c>
      <c r="J1546" s="9" t="s">
        <v>1601</v>
      </c>
      <c r="K1546" s="9">
        <v>1</v>
      </c>
      <c r="L1546" s="9">
        <v>25</v>
      </c>
      <c r="M1546" s="9">
        <v>1991</v>
      </c>
      <c r="O1546" s="9" t="str">
        <f t="shared" si="73"/>
        <v>NO</v>
      </c>
      <c r="P1546" s="9" t="str">
        <f t="shared" si="74"/>
        <v>NO</v>
      </c>
      <c r="Q1546" s="9" t="str">
        <f t="shared" si="75"/>
        <v>Conditioned</v>
      </c>
    </row>
    <row r="1547" spans="1:17">
      <c r="A1547" s="9">
        <v>21578</v>
      </c>
      <c r="B1547" s="9">
        <v>1</v>
      </c>
      <c r="C1547" s="9" t="s">
        <v>1589</v>
      </c>
      <c r="D1547" s="9" t="s">
        <v>1590</v>
      </c>
      <c r="E1547" s="9" t="s">
        <v>1602</v>
      </c>
      <c r="F1547" s="9" t="s">
        <v>1590</v>
      </c>
      <c r="G1547" s="9" t="s">
        <v>1592</v>
      </c>
      <c r="H1547" s="9" t="s">
        <v>170</v>
      </c>
      <c r="I1547" s="9" t="s">
        <v>3012</v>
      </c>
      <c r="J1547" s="9" t="s">
        <v>1601</v>
      </c>
      <c r="K1547" s="9">
        <v>1</v>
      </c>
      <c r="L1547" s="9">
        <v>21</v>
      </c>
      <c r="M1547" s="9">
        <v>2002</v>
      </c>
      <c r="O1547" s="9" t="str">
        <f t="shared" si="73"/>
        <v>NO</v>
      </c>
      <c r="P1547" s="9" t="str">
        <f t="shared" si="74"/>
        <v>NO</v>
      </c>
      <c r="Q1547" s="9" t="str">
        <f t="shared" si="75"/>
        <v>Conditioned</v>
      </c>
    </row>
    <row r="1548" spans="1:17">
      <c r="A1548" s="9">
        <v>21578</v>
      </c>
      <c r="B1548" s="9">
        <v>2</v>
      </c>
      <c r="C1548" s="9" t="s">
        <v>1589</v>
      </c>
      <c r="D1548" s="9" t="s">
        <v>1590</v>
      </c>
      <c r="E1548" s="9" t="s">
        <v>1591</v>
      </c>
      <c r="F1548" s="9" t="s">
        <v>1589</v>
      </c>
      <c r="G1548" s="9" t="s">
        <v>1606</v>
      </c>
      <c r="H1548" s="9" t="s">
        <v>1638</v>
      </c>
      <c r="I1548" s="9" t="s">
        <v>3013</v>
      </c>
      <c r="J1548" s="9" t="s">
        <v>1605</v>
      </c>
      <c r="K1548" s="9">
        <v>1</v>
      </c>
      <c r="L1548" s="9">
        <v>18</v>
      </c>
      <c r="M1548" s="9">
        <v>1970</v>
      </c>
      <c r="O1548" s="9" t="str">
        <f t="shared" si="73"/>
        <v>NO</v>
      </c>
      <c r="P1548" s="9" t="str">
        <f t="shared" si="74"/>
        <v>YES</v>
      </c>
      <c r="Q1548" s="9" t="str">
        <f t="shared" si="75"/>
        <v>Unconditioned</v>
      </c>
    </row>
    <row r="1549" spans="1:17">
      <c r="A1549" s="9">
        <v>21578</v>
      </c>
      <c r="B1549" s="9">
        <v>3</v>
      </c>
      <c r="C1549" s="9" t="s">
        <v>1589</v>
      </c>
      <c r="D1549" s="9" t="s">
        <v>1590</v>
      </c>
      <c r="E1549" s="9" t="s">
        <v>1613</v>
      </c>
      <c r="F1549" s="9" t="s">
        <v>1590</v>
      </c>
      <c r="G1549" s="9" t="s">
        <v>1606</v>
      </c>
      <c r="H1549" s="9" t="s">
        <v>1638</v>
      </c>
      <c r="I1549" s="9" t="s">
        <v>3014</v>
      </c>
      <c r="J1549" s="9" t="s">
        <v>1597</v>
      </c>
      <c r="K1549" s="9">
        <v>1</v>
      </c>
      <c r="L1549" s="9">
        <v>20</v>
      </c>
      <c r="M1549" s="9">
        <v>1999</v>
      </c>
      <c r="O1549" s="9" t="str">
        <f t="shared" si="73"/>
        <v>NO</v>
      </c>
      <c r="P1549" s="9" t="str">
        <f t="shared" si="74"/>
        <v>NO</v>
      </c>
      <c r="Q1549" s="9" t="str">
        <f t="shared" si="75"/>
        <v>Unconditioned</v>
      </c>
    </row>
    <row r="1550" spans="1:17">
      <c r="A1550" s="9">
        <v>21588</v>
      </c>
      <c r="B1550" s="9">
        <v>1</v>
      </c>
      <c r="C1550" s="9" t="s">
        <v>1589</v>
      </c>
      <c r="D1550" s="9" t="s">
        <v>1590</v>
      </c>
      <c r="E1550" s="9" t="s">
        <v>1591</v>
      </c>
      <c r="F1550" s="9" t="s">
        <v>1589</v>
      </c>
      <c r="G1550" s="9" t="s">
        <v>1592</v>
      </c>
      <c r="H1550" s="9" t="s">
        <v>178</v>
      </c>
      <c r="I1550" s="9" t="s">
        <v>3015</v>
      </c>
      <c r="J1550" s="9" t="s">
        <v>1597</v>
      </c>
      <c r="K1550" s="9">
        <v>1</v>
      </c>
      <c r="L1550" s="9">
        <v>19</v>
      </c>
      <c r="M1550" s="9">
        <v>2002</v>
      </c>
      <c r="O1550" s="9" t="str">
        <f t="shared" si="73"/>
        <v>NO</v>
      </c>
      <c r="P1550" s="9" t="str">
        <f t="shared" si="74"/>
        <v>NO</v>
      </c>
      <c r="Q1550" s="9" t="str">
        <f t="shared" si="75"/>
        <v>Conditioned</v>
      </c>
    </row>
    <row r="1551" spans="1:17">
      <c r="A1551" s="9">
        <v>21598</v>
      </c>
      <c r="B1551" s="9">
        <v>1</v>
      </c>
      <c r="C1551" s="9" t="s">
        <v>1589</v>
      </c>
      <c r="D1551" s="9" t="s">
        <v>1590</v>
      </c>
      <c r="E1551" s="9" t="s">
        <v>1591</v>
      </c>
      <c r="F1551" s="9" t="s">
        <v>1589</v>
      </c>
      <c r="G1551" s="9" t="s">
        <v>1592</v>
      </c>
      <c r="H1551" s="9" t="s">
        <v>1638</v>
      </c>
      <c r="I1551" s="9" t="s">
        <v>3016</v>
      </c>
      <c r="J1551" s="9" t="s">
        <v>1597</v>
      </c>
      <c r="K1551" s="9">
        <v>1</v>
      </c>
      <c r="L1551" s="9">
        <v>20</v>
      </c>
      <c r="M1551" s="9">
        <v>1999</v>
      </c>
      <c r="O1551" s="9" t="str">
        <f t="shared" si="73"/>
        <v>NO</v>
      </c>
      <c r="P1551" s="9" t="str">
        <f t="shared" si="74"/>
        <v>NO</v>
      </c>
      <c r="Q1551" s="9" t="str">
        <f t="shared" si="75"/>
        <v>Conditioned</v>
      </c>
    </row>
    <row r="1552" spans="1:17">
      <c r="A1552" s="9">
        <v>21598</v>
      </c>
      <c r="B1552" s="9">
        <v>2</v>
      </c>
      <c r="C1552" s="9" t="s">
        <v>1589</v>
      </c>
      <c r="D1552" s="9" t="s">
        <v>1590</v>
      </c>
      <c r="E1552" s="9" t="s">
        <v>1591</v>
      </c>
      <c r="F1552" s="9" t="s">
        <v>1589</v>
      </c>
      <c r="G1552" s="9" t="s">
        <v>1606</v>
      </c>
      <c r="H1552" s="9" t="s">
        <v>1638</v>
      </c>
      <c r="I1552" s="9" t="s">
        <v>3017</v>
      </c>
      <c r="J1552" s="9" t="s">
        <v>1597</v>
      </c>
      <c r="K1552" s="9">
        <v>1</v>
      </c>
      <c r="L1552" s="9">
        <v>20</v>
      </c>
      <c r="M1552" s="9">
        <v>1979</v>
      </c>
      <c r="O1552" s="9" t="str">
        <f t="shared" si="73"/>
        <v>NO</v>
      </c>
      <c r="P1552" s="9" t="str">
        <f t="shared" si="74"/>
        <v>NO</v>
      </c>
      <c r="Q1552" s="9" t="str">
        <f t="shared" si="75"/>
        <v>Unconditioned</v>
      </c>
    </row>
    <row r="1553" spans="1:17">
      <c r="A1553" s="9">
        <v>21598</v>
      </c>
      <c r="B1553" s="9">
        <v>3</v>
      </c>
      <c r="C1553" s="9" t="s">
        <v>1589</v>
      </c>
      <c r="D1553" s="9" t="s">
        <v>1590</v>
      </c>
      <c r="E1553" s="9" t="s">
        <v>1591</v>
      </c>
      <c r="F1553" s="9" t="s">
        <v>1589</v>
      </c>
      <c r="G1553" s="9" t="s">
        <v>1606</v>
      </c>
      <c r="H1553" s="9" t="s">
        <v>1638</v>
      </c>
      <c r="I1553" s="9" t="s">
        <v>1589</v>
      </c>
      <c r="J1553" s="9" t="s">
        <v>1587</v>
      </c>
      <c r="K1553" s="9">
        <v>1</v>
      </c>
      <c r="L1553" s="9">
        <v>30</v>
      </c>
      <c r="O1553" s="9" t="str">
        <f t="shared" si="73"/>
        <v>NO</v>
      </c>
      <c r="P1553" s="9" t="str">
        <f t="shared" si="74"/>
        <v>YES</v>
      </c>
      <c r="Q1553" s="9" t="str">
        <f t="shared" si="75"/>
        <v>Unconditioned</v>
      </c>
    </row>
    <row r="1554" spans="1:17">
      <c r="A1554" s="9">
        <v>21601</v>
      </c>
      <c r="B1554" s="9">
        <v>1</v>
      </c>
      <c r="C1554" s="9" t="s">
        <v>1589</v>
      </c>
      <c r="D1554" s="9" t="s">
        <v>1590</v>
      </c>
      <c r="E1554" s="9" t="s">
        <v>1613</v>
      </c>
      <c r="F1554" s="9" t="s">
        <v>1590</v>
      </c>
      <c r="G1554" s="9" t="s">
        <v>1592</v>
      </c>
      <c r="H1554" s="9" t="s">
        <v>169</v>
      </c>
      <c r="I1554" s="9" t="s">
        <v>3018</v>
      </c>
      <c r="J1554" s="9" t="s">
        <v>1597</v>
      </c>
      <c r="K1554" s="9">
        <v>1</v>
      </c>
      <c r="L1554" s="9">
        <v>18</v>
      </c>
      <c r="M1554" s="9">
        <v>1981</v>
      </c>
      <c r="O1554" s="9" t="str">
        <f t="shared" si="73"/>
        <v>NO</v>
      </c>
      <c r="P1554" s="9" t="str">
        <f t="shared" si="74"/>
        <v>NO</v>
      </c>
      <c r="Q1554" s="9" t="str">
        <f t="shared" si="75"/>
        <v>Conditioned</v>
      </c>
    </row>
    <row r="1555" spans="1:17">
      <c r="A1555" s="9">
        <v>21605</v>
      </c>
      <c r="B1555" s="9">
        <v>1</v>
      </c>
      <c r="C1555" s="9" t="s">
        <v>1589</v>
      </c>
      <c r="D1555" s="9" t="s">
        <v>1590</v>
      </c>
      <c r="E1555" s="9" t="s">
        <v>1602</v>
      </c>
      <c r="F1555" s="9" t="s">
        <v>1603</v>
      </c>
      <c r="G1555" s="9" t="s">
        <v>1592</v>
      </c>
      <c r="H1555" s="9" t="s">
        <v>174</v>
      </c>
      <c r="I1555" s="9" t="s">
        <v>3019</v>
      </c>
      <c r="J1555" s="9" t="s">
        <v>1601</v>
      </c>
      <c r="K1555" s="9">
        <v>1</v>
      </c>
      <c r="L1555" s="9">
        <v>26</v>
      </c>
      <c r="M1555" s="9">
        <v>2004</v>
      </c>
      <c r="O1555" s="9" t="str">
        <f t="shared" si="73"/>
        <v>NO</v>
      </c>
      <c r="P1555" s="9" t="str">
        <f t="shared" si="74"/>
        <v>NO</v>
      </c>
      <c r="Q1555" s="9" t="str">
        <f t="shared" si="75"/>
        <v>Conditioned</v>
      </c>
    </row>
    <row r="1556" spans="1:17">
      <c r="A1556" s="9">
        <v>21612</v>
      </c>
      <c r="B1556" s="9">
        <v>1</v>
      </c>
      <c r="C1556" s="9" t="s">
        <v>1589</v>
      </c>
      <c r="D1556" s="9" t="s">
        <v>1590</v>
      </c>
      <c r="E1556" s="9" t="s">
        <v>1591</v>
      </c>
      <c r="F1556" s="9" t="s">
        <v>1589</v>
      </c>
      <c r="G1556" s="9" t="s">
        <v>1592</v>
      </c>
      <c r="H1556" s="9" t="s">
        <v>169</v>
      </c>
      <c r="I1556" s="9" t="s">
        <v>3008</v>
      </c>
      <c r="J1556" s="9" t="s">
        <v>1597</v>
      </c>
      <c r="K1556" s="9">
        <v>1</v>
      </c>
      <c r="L1556" s="9">
        <v>23</v>
      </c>
      <c r="M1556" s="9">
        <v>2006</v>
      </c>
      <c r="O1556" s="9" t="str">
        <f t="shared" si="73"/>
        <v>NO</v>
      </c>
      <c r="P1556" s="9" t="str">
        <f t="shared" si="74"/>
        <v>NO</v>
      </c>
      <c r="Q1556" s="9" t="str">
        <f t="shared" si="75"/>
        <v>Conditioned</v>
      </c>
    </row>
    <row r="1557" spans="1:17">
      <c r="A1557" s="9">
        <v>21615</v>
      </c>
      <c r="B1557" s="9">
        <v>1</v>
      </c>
      <c r="C1557" s="9" t="s">
        <v>1589</v>
      </c>
      <c r="D1557" s="9" t="s">
        <v>1590</v>
      </c>
      <c r="E1557" s="9" t="s">
        <v>1602</v>
      </c>
      <c r="F1557" s="9" t="s">
        <v>1603</v>
      </c>
      <c r="G1557" s="9" t="s">
        <v>1592</v>
      </c>
      <c r="H1557" s="9" t="s">
        <v>177</v>
      </c>
      <c r="I1557" s="9" t="s">
        <v>3020</v>
      </c>
      <c r="J1557" s="9" t="s">
        <v>1601</v>
      </c>
      <c r="K1557" s="9">
        <v>1</v>
      </c>
      <c r="L1557" s="9">
        <v>26</v>
      </c>
      <c r="M1557" s="9">
        <v>2004</v>
      </c>
      <c r="O1557" s="9" t="str">
        <f t="shared" si="73"/>
        <v>NO</v>
      </c>
      <c r="P1557" s="9" t="str">
        <f t="shared" si="74"/>
        <v>NO</v>
      </c>
      <c r="Q1557" s="9" t="str">
        <f t="shared" si="75"/>
        <v>Conditioned</v>
      </c>
    </row>
    <row r="1558" spans="1:17">
      <c r="A1558" s="9">
        <v>21615</v>
      </c>
      <c r="B1558" s="9">
        <v>2</v>
      </c>
      <c r="C1558" s="9" t="s">
        <v>3021</v>
      </c>
      <c r="D1558" s="9" t="s">
        <v>1590</v>
      </c>
      <c r="E1558" s="9" t="s">
        <v>1591</v>
      </c>
      <c r="F1558" s="9" t="s">
        <v>1589</v>
      </c>
      <c r="G1558" s="9" t="s">
        <v>1606</v>
      </c>
      <c r="H1558" s="9" t="s">
        <v>170</v>
      </c>
      <c r="I1558" s="9" t="s">
        <v>1589</v>
      </c>
      <c r="J1558" s="9" t="s">
        <v>1587</v>
      </c>
      <c r="K1558" s="9">
        <v>1</v>
      </c>
      <c r="L1558" s="9">
        <v>15</v>
      </c>
      <c r="O1558" s="9" t="str">
        <f t="shared" si="73"/>
        <v>NO</v>
      </c>
      <c r="P1558" s="9" t="str">
        <f t="shared" si="74"/>
        <v>YES</v>
      </c>
      <c r="Q1558" s="9" t="str">
        <f t="shared" si="75"/>
        <v>Unconditioned</v>
      </c>
    </row>
    <row r="1559" spans="1:17">
      <c r="A1559" s="9">
        <v>21615</v>
      </c>
      <c r="B1559" s="9">
        <v>3</v>
      </c>
      <c r="C1559" s="9" t="s">
        <v>3022</v>
      </c>
      <c r="D1559" s="9" t="s">
        <v>1590</v>
      </c>
      <c r="E1559" s="9" t="s">
        <v>1591</v>
      </c>
      <c r="F1559" s="9" t="s">
        <v>1589</v>
      </c>
      <c r="G1559" s="9" t="s">
        <v>1606</v>
      </c>
      <c r="H1559" s="9" t="s">
        <v>1589</v>
      </c>
      <c r="I1559" s="9" t="s">
        <v>1589</v>
      </c>
      <c r="J1559" s="9" t="s">
        <v>1587</v>
      </c>
      <c r="K1559" s="9">
        <v>1</v>
      </c>
      <c r="L1559" s="9">
        <v>21</v>
      </c>
      <c r="O1559" s="9" t="str">
        <f t="shared" ref="O1559:O1622" si="76">IF(L1559&lt;7.75,"YES","NO")</f>
        <v>NO</v>
      </c>
      <c r="P1559" s="9" t="str">
        <f t="shared" ref="P1559:P1622" si="77">VLOOKUP(J1559,$Z$21:$AA$27,2,FALSE)</f>
        <v>YES</v>
      </c>
      <c r="Q1559" s="9" t="str">
        <f t="shared" ref="Q1559:Q1622" si="78">G1559</f>
        <v>Unconditioned</v>
      </c>
    </row>
    <row r="1560" spans="1:17">
      <c r="A1560" s="9">
        <v>21623</v>
      </c>
      <c r="B1560" s="9">
        <v>1</v>
      </c>
      <c r="C1560" s="9" t="s">
        <v>1589</v>
      </c>
      <c r="D1560" s="9" t="s">
        <v>1590</v>
      </c>
      <c r="E1560" s="9" t="s">
        <v>1602</v>
      </c>
      <c r="F1560" s="9" t="s">
        <v>1603</v>
      </c>
      <c r="G1560" s="9" t="s">
        <v>1592</v>
      </c>
      <c r="H1560" s="9" t="s">
        <v>173</v>
      </c>
      <c r="I1560" s="9" t="s">
        <v>3023</v>
      </c>
      <c r="J1560" s="9" t="s">
        <v>1601</v>
      </c>
      <c r="K1560" s="9">
        <v>1</v>
      </c>
      <c r="L1560" s="9">
        <v>30</v>
      </c>
      <c r="M1560" s="9">
        <v>1998</v>
      </c>
      <c r="O1560" s="9" t="str">
        <f t="shared" si="76"/>
        <v>NO</v>
      </c>
      <c r="P1560" s="9" t="str">
        <f t="shared" si="77"/>
        <v>NO</v>
      </c>
      <c r="Q1560" s="9" t="str">
        <f t="shared" si="78"/>
        <v>Conditioned</v>
      </c>
    </row>
    <row r="1561" spans="1:17">
      <c r="A1561" s="9">
        <v>21623</v>
      </c>
      <c r="B1561" s="9">
        <v>2</v>
      </c>
      <c r="C1561" s="9" t="s">
        <v>1589</v>
      </c>
      <c r="D1561" s="9" t="s">
        <v>1590</v>
      </c>
      <c r="E1561" s="9" t="s">
        <v>1591</v>
      </c>
      <c r="F1561" s="9" t="s">
        <v>1589</v>
      </c>
      <c r="G1561" s="9" t="s">
        <v>1592</v>
      </c>
      <c r="H1561" s="9" t="s">
        <v>1589</v>
      </c>
      <c r="I1561" s="9" t="s">
        <v>1589</v>
      </c>
      <c r="J1561" s="9" t="s">
        <v>1589</v>
      </c>
      <c r="K1561" s="9">
        <v>1</v>
      </c>
      <c r="L1561" s="9">
        <v>12</v>
      </c>
      <c r="O1561" s="9" t="str">
        <f t="shared" si="76"/>
        <v>NO</v>
      </c>
      <c r="P1561" s="9" t="e">
        <f t="shared" si="77"/>
        <v>#N/A</v>
      </c>
      <c r="Q1561" s="9" t="str">
        <f t="shared" si="78"/>
        <v>Conditioned</v>
      </c>
    </row>
    <row r="1562" spans="1:17">
      <c r="A1562" s="9">
        <v>21623</v>
      </c>
      <c r="B1562" s="9">
        <v>3</v>
      </c>
      <c r="C1562" s="9" t="s">
        <v>1589</v>
      </c>
      <c r="D1562" s="9" t="s">
        <v>1590</v>
      </c>
      <c r="E1562" s="9" t="s">
        <v>1591</v>
      </c>
      <c r="F1562" s="9" t="s">
        <v>1589</v>
      </c>
      <c r="G1562" s="9" t="s">
        <v>1592</v>
      </c>
      <c r="H1562" s="9" t="s">
        <v>173</v>
      </c>
      <c r="I1562" s="9" t="s">
        <v>3024</v>
      </c>
      <c r="J1562" s="9" t="s">
        <v>1589</v>
      </c>
      <c r="K1562" s="9">
        <v>1</v>
      </c>
      <c r="L1562" s="9">
        <v>12</v>
      </c>
      <c r="M1562" s="9">
        <v>2006</v>
      </c>
      <c r="O1562" s="9" t="str">
        <f t="shared" si="76"/>
        <v>NO</v>
      </c>
      <c r="P1562" s="9" t="e">
        <f t="shared" si="77"/>
        <v>#N/A</v>
      </c>
      <c r="Q1562" s="9" t="str">
        <f t="shared" si="78"/>
        <v>Conditioned</v>
      </c>
    </row>
    <row r="1563" spans="1:17">
      <c r="A1563" s="9">
        <v>21623</v>
      </c>
      <c r="B1563" s="9">
        <v>4</v>
      </c>
      <c r="C1563" s="9" t="s">
        <v>1589</v>
      </c>
      <c r="D1563" s="9" t="s">
        <v>1590</v>
      </c>
      <c r="E1563" s="9" t="s">
        <v>1591</v>
      </c>
      <c r="F1563" s="9" t="s">
        <v>1589</v>
      </c>
      <c r="G1563" s="9" t="s">
        <v>1592</v>
      </c>
      <c r="H1563" s="9" t="s">
        <v>1711</v>
      </c>
      <c r="I1563" s="9" t="s">
        <v>1589</v>
      </c>
      <c r="J1563" s="9" t="s">
        <v>1589</v>
      </c>
      <c r="K1563" s="9">
        <v>1</v>
      </c>
      <c r="L1563" s="9">
        <v>12</v>
      </c>
      <c r="O1563" s="9" t="str">
        <f t="shared" si="76"/>
        <v>NO</v>
      </c>
      <c r="P1563" s="9" t="e">
        <f t="shared" si="77"/>
        <v>#N/A</v>
      </c>
      <c r="Q1563" s="9" t="str">
        <f t="shared" si="78"/>
        <v>Conditioned</v>
      </c>
    </row>
    <row r="1564" spans="1:17">
      <c r="A1564" s="9">
        <v>21638</v>
      </c>
      <c r="B1564" s="9">
        <v>1</v>
      </c>
      <c r="C1564" s="9" t="s">
        <v>1589</v>
      </c>
      <c r="D1564" s="9" t="s">
        <v>1590</v>
      </c>
      <c r="E1564" s="9" t="s">
        <v>1613</v>
      </c>
      <c r="F1564" s="9" t="s">
        <v>1603</v>
      </c>
      <c r="G1564" s="9" t="s">
        <v>1592</v>
      </c>
      <c r="H1564" s="9" t="s">
        <v>174</v>
      </c>
      <c r="I1564" s="9" t="s">
        <v>3025</v>
      </c>
      <c r="J1564" s="9" t="s">
        <v>1610</v>
      </c>
      <c r="K1564" s="9">
        <v>1</v>
      </c>
      <c r="L1564" s="9">
        <v>24</v>
      </c>
      <c r="M1564" s="9">
        <v>2008</v>
      </c>
      <c r="O1564" s="9" t="str">
        <f t="shared" si="76"/>
        <v>NO</v>
      </c>
      <c r="P1564" s="9" t="str">
        <f t="shared" si="77"/>
        <v>NO</v>
      </c>
      <c r="Q1564" s="9" t="str">
        <f t="shared" si="78"/>
        <v>Conditioned</v>
      </c>
    </row>
    <row r="1565" spans="1:17">
      <c r="A1565" s="9">
        <v>21647</v>
      </c>
      <c r="B1565" s="9">
        <v>1</v>
      </c>
      <c r="C1565" s="9" t="s">
        <v>1589</v>
      </c>
      <c r="D1565" s="9" t="s">
        <v>1590</v>
      </c>
      <c r="E1565" s="9" t="s">
        <v>1613</v>
      </c>
      <c r="F1565" s="9" t="s">
        <v>1603</v>
      </c>
      <c r="G1565" s="9" t="s">
        <v>1592</v>
      </c>
      <c r="H1565" s="9" t="s">
        <v>170</v>
      </c>
      <c r="I1565" s="9" t="s">
        <v>3026</v>
      </c>
      <c r="J1565" s="9" t="s">
        <v>1608</v>
      </c>
      <c r="K1565" s="9">
        <v>1</v>
      </c>
      <c r="L1565" s="9">
        <v>22</v>
      </c>
      <c r="M1565" s="9">
        <v>2006</v>
      </c>
      <c r="O1565" s="9" t="str">
        <f t="shared" si="76"/>
        <v>NO</v>
      </c>
      <c r="P1565" s="9" t="str">
        <f t="shared" si="77"/>
        <v>NO</v>
      </c>
      <c r="Q1565" s="9" t="str">
        <f t="shared" si="78"/>
        <v>Conditioned</v>
      </c>
    </row>
    <row r="1566" spans="1:17">
      <c r="A1566" s="9">
        <v>21647</v>
      </c>
      <c r="B1566" s="9">
        <v>2</v>
      </c>
      <c r="C1566" s="9" t="s">
        <v>1589</v>
      </c>
      <c r="D1566" s="9" t="s">
        <v>1590</v>
      </c>
      <c r="E1566" s="9" t="s">
        <v>1591</v>
      </c>
      <c r="F1566" s="9" t="s">
        <v>1589</v>
      </c>
      <c r="G1566" s="9" t="s">
        <v>1606</v>
      </c>
      <c r="H1566" s="9" t="s">
        <v>170</v>
      </c>
      <c r="I1566" s="9" t="s">
        <v>3027</v>
      </c>
      <c r="J1566" s="9" t="s">
        <v>1605</v>
      </c>
      <c r="K1566" s="9">
        <v>1</v>
      </c>
      <c r="L1566" s="9">
        <v>20</v>
      </c>
      <c r="M1566" s="9">
        <v>1989</v>
      </c>
      <c r="O1566" s="9" t="str">
        <f t="shared" si="76"/>
        <v>NO</v>
      </c>
      <c r="P1566" s="9" t="str">
        <f t="shared" si="77"/>
        <v>YES</v>
      </c>
      <c r="Q1566" s="9" t="str">
        <f t="shared" si="78"/>
        <v>Unconditioned</v>
      </c>
    </row>
    <row r="1567" spans="1:17">
      <c r="A1567" s="9">
        <v>21647</v>
      </c>
      <c r="B1567" s="9">
        <v>3</v>
      </c>
      <c r="C1567" s="9" t="s">
        <v>1589</v>
      </c>
      <c r="D1567" s="9" t="s">
        <v>1590</v>
      </c>
      <c r="E1567" s="9" t="s">
        <v>1591</v>
      </c>
      <c r="F1567" s="9" t="s">
        <v>1589</v>
      </c>
      <c r="G1567" s="9" t="s">
        <v>1606</v>
      </c>
      <c r="H1567" s="9" t="s">
        <v>1624</v>
      </c>
      <c r="I1567" s="9" t="s">
        <v>1589</v>
      </c>
      <c r="J1567" s="9" t="s">
        <v>1597</v>
      </c>
      <c r="K1567" s="9">
        <v>1</v>
      </c>
      <c r="L1567" s="9">
        <v>14</v>
      </c>
      <c r="O1567" s="9" t="str">
        <f t="shared" si="76"/>
        <v>NO</v>
      </c>
      <c r="P1567" s="9" t="str">
        <f t="shared" si="77"/>
        <v>NO</v>
      </c>
      <c r="Q1567" s="9" t="str">
        <f t="shared" si="78"/>
        <v>Unconditioned</v>
      </c>
    </row>
    <row r="1568" spans="1:17">
      <c r="A1568" s="9">
        <v>21647</v>
      </c>
      <c r="B1568" s="9">
        <v>4</v>
      </c>
      <c r="C1568" s="9" t="s">
        <v>1589</v>
      </c>
      <c r="D1568" s="9" t="s">
        <v>1590</v>
      </c>
      <c r="E1568" s="9" t="s">
        <v>1591</v>
      </c>
      <c r="F1568" s="9" t="s">
        <v>1589</v>
      </c>
      <c r="G1568" s="9" t="s">
        <v>1606</v>
      </c>
      <c r="H1568" s="9" t="s">
        <v>1900</v>
      </c>
      <c r="I1568" s="9" t="s">
        <v>3028</v>
      </c>
      <c r="J1568" s="9" t="s">
        <v>1605</v>
      </c>
      <c r="K1568" s="9">
        <v>1</v>
      </c>
      <c r="L1568" s="9">
        <v>18</v>
      </c>
      <c r="O1568" s="9" t="str">
        <f t="shared" si="76"/>
        <v>NO</v>
      </c>
      <c r="P1568" s="9" t="str">
        <f t="shared" si="77"/>
        <v>YES</v>
      </c>
      <c r="Q1568" s="9" t="str">
        <f t="shared" si="78"/>
        <v>Unconditioned</v>
      </c>
    </row>
    <row r="1569" spans="1:17">
      <c r="A1569" s="9">
        <v>21654</v>
      </c>
      <c r="B1569" s="9">
        <v>1</v>
      </c>
      <c r="C1569" s="9" t="s">
        <v>1589</v>
      </c>
      <c r="D1569" s="9" t="s">
        <v>1590</v>
      </c>
      <c r="E1569" s="9" t="s">
        <v>1613</v>
      </c>
      <c r="F1569" s="9" t="s">
        <v>1603</v>
      </c>
      <c r="G1569" s="9" t="s">
        <v>1592</v>
      </c>
      <c r="H1569" s="9" t="s">
        <v>173</v>
      </c>
      <c r="I1569" s="9" t="s">
        <v>3029</v>
      </c>
      <c r="J1569" s="9" t="s">
        <v>1597</v>
      </c>
      <c r="K1569" s="9">
        <v>1</v>
      </c>
      <c r="L1569" s="9">
        <v>26</v>
      </c>
      <c r="M1569" s="9">
        <v>1999</v>
      </c>
      <c r="O1569" s="9" t="str">
        <f t="shared" si="76"/>
        <v>NO</v>
      </c>
      <c r="P1569" s="9" t="str">
        <f t="shared" si="77"/>
        <v>NO</v>
      </c>
      <c r="Q1569" s="9" t="str">
        <f t="shared" si="78"/>
        <v>Conditioned</v>
      </c>
    </row>
    <row r="1570" spans="1:17">
      <c r="A1570" s="9">
        <v>21654</v>
      </c>
      <c r="B1570" s="9">
        <v>2</v>
      </c>
      <c r="C1570" s="9" t="s">
        <v>1589</v>
      </c>
      <c r="D1570" s="9" t="s">
        <v>1590</v>
      </c>
      <c r="E1570" s="9" t="s">
        <v>1591</v>
      </c>
      <c r="F1570" s="9" t="s">
        <v>1589</v>
      </c>
      <c r="G1570" s="9" t="s">
        <v>1592</v>
      </c>
      <c r="H1570" s="9" t="s">
        <v>169</v>
      </c>
      <c r="I1570" s="9" t="s">
        <v>3030</v>
      </c>
      <c r="J1570" s="9" t="s">
        <v>1597</v>
      </c>
      <c r="K1570" s="9">
        <v>1</v>
      </c>
      <c r="L1570" s="9">
        <v>26</v>
      </c>
      <c r="M1570" s="9">
        <v>2007</v>
      </c>
      <c r="O1570" s="9" t="str">
        <f t="shared" si="76"/>
        <v>NO</v>
      </c>
      <c r="P1570" s="9" t="str">
        <f t="shared" si="77"/>
        <v>NO</v>
      </c>
      <c r="Q1570" s="9" t="str">
        <f t="shared" si="78"/>
        <v>Conditioned</v>
      </c>
    </row>
    <row r="1571" spans="1:17">
      <c r="A1571" s="9">
        <v>21668</v>
      </c>
      <c r="B1571" s="9">
        <v>1</v>
      </c>
      <c r="C1571" s="9" t="s">
        <v>1589</v>
      </c>
      <c r="D1571" s="9" t="s">
        <v>1590</v>
      </c>
      <c r="E1571" s="9" t="s">
        <v>1602</v>
      </c>
      <c r="F1571" s="9" t="s">
        <v>1603</v>
      </c>
      <c r="G1571" s="9" t="s">
        <v>1592</v>
      </c>
      <c r="H1571" s="9" t="s">
        <v>172</v>
      </c>
      <c r="I1571" s="9" t="s">
        <v>3031</v>
      </c>
      <c r="J1571" s="9" t="s">
        <v>1601</v>
      </c>
      <c r="K1571" s="9">
        <v>1</v>
      </c>
      <c r="L1571" s="9">
        <v>21</v>
      </c>
      <c r="M1571" s="9">
        <v>2001</v>
      </c>
      <c r="O1571" s="9" t="str">
        <f t="shared" si="76"/>
        <v>NO</v>
      </c>
      <c r="P1571" s="9" t="str">
        <f t="shared" si="77"/>
        <v>NO</v>
      </c>
      <c r="Q1571" s="9" t="str">
        <f t="shared" si="78"/>
        <v>Conditioned</v>
      </c>
    </row>
    <row r="1572" spans="1:17">
      <c r="A1572" s="9">
        <v>21672</v>
      </c>
      <c r="B1572" s="9">
        <v>1</v>
      </c>
      <c r="C1572" s="9" t="s">
        <v>1589</v>
      </c>
      <c r="D1572" s="9" t="s">
        <v>1590</v>
      </c>
      <c r="E1572" s="9" t="s">
        <v>1591</v>
      </c>
      <c r="F1572" s="9" t="s">
        <v>1589</v>
      </c>
      <c r="G1572" s="9" t="s">
        <v>1592</v>
      </c>
      <c r="H1572" s="9" t="s">
        <v>174</v>
      </c>
      <c r="I1572" s="9" t="s">
        <v>3032</v>
      </c>
      <c r="J1572" s="9" t="s">
        <v>1597</v>
      </c>
      <c r="K1572" s="9">
        <v>1</v>
      </c>
      <c r="L1572" s="9">
        <v>24</v>
      </c>
      <c r="M1572" s="9">
        <v>1991</v>
      </c>
      <c r="O1572" s="9" t="str">
        <f t="shared" si="76"/>
        <v>NO</v>
      </c>
      <c r="P1572" s="9" t="str">
        <f t="shared" si="77"/>
        <v>NO</v>
      </c>
      <c r="Q1572" s="9" t="str">
        <f t="shared" si="78"/>
        <v>Conditioned</v>
      </c>
    </row>
    <row r="1573" spans="1:17">
      <c r="A1573" s="9">
        <v>21672</v>
      </c>
      <c r="B1573" s="9">
        <v>2</v>
      </c>
      <c r="C1573" s="9" t="s">
        <v>3033</v>
      </c>
      <c r="D1573" s="9" t="s">
        <v>1590</v>
      </c>
      <c r="E1573" s="9" t="s">
        <v>1591</v>
      </c>
      <c r="F1573" s="9" t="s">
        <v>1589</v>
      </c>
      <c r="G1573" s="9" t="s">
        <v>1592</v>
      </c>
      <c r="H1573" s="9" t="s">
        <v>1638</v>
      </c>
      <c r="I1573" s="9" t="s">
        <v>1589</v>
      </c>
      <c r="J1573" s="9" t="s">
        <v>1605</v>
      </c>
      <c r="K1573" s="9">
        <v>1</v>
      </c>
      <c r="L1573" s="9">
        <v>18</v>
      </c>
      <c r="O1573" s="9" t="str">
        <f t="shared" si="76"/>
        <v>NO</v>
      </c>
      <c r="P1573" s="9" t="str">
        <f t="shared" si="77"/>
        <v>YES</v>
      </c>
      <c r="Q1573" s="9" t="str">
        <f t="shared" si="78"/>
        <v>Conditioned</v>
      </c>
    </row>
    <row r="1574" spans="1:17">
      <c r="A1574" s="9">
        <v>21672</v>
      </c>
      <c r="B1574" s="9">
        <v>3</v>
      </c>
      <c r="C1574" s="9" t="s">
        <v>3034</v>
      </c>
      <c r="D1574" s="9" t="s">
        <v>1590</v>
      </c>
      <c r="E1574" s="9" t="s">
        <v>1591</v>
      </c>
      <c r="F1574" s="9" t="s">
        <v>1589</v>
      </c>
      <c r="G1574" s="9" t="s">
        <v>1592</v>
      </c>
      <c r="H1574" s="9" t="s">
        <v>169</v>
      </c>
      <c r="I1574" s="9" t="s">
        <v>1589</v>
      </c>
      <c r="J1574" s="9" t="s">
        <v>1597</v>
      </c>
      <c r="K1574" s="9">
        <v>1</v>
      </c>
      <c r="L1574" s="9">
        <v>20</v>
      </c>
      <c r="M1574" s="9">
        <v>1986</v>
      </c>
      <c r="O1574" s="9" t="str">
        <f t="shared" si="76"/>
        <v>NO</v>
      </c>
      <c r="P1574" s="9" t="str">
        <f t="shared" si="77"/>
        <v>NO</v>
      </c>
      <c r="Q1574" s="9" t="str">
        <f t="shared" si="78"/>
        <v>Conditioned</v>
      </c>
    </row>
    <row r="1575" spans="1:17">
      <c r="A1575" s="9">
        <v>21678</v>
      </c>
      <c r="B1575" s="9">
        <v>1</v>
      </c>
      <c r="C1575" s="9" t="s">
        <v>1589</v>
      </c>
      <c r="D1575" s="9" t="s">
        <v>1590</v>
      </c>
      <c r="E1575" s="9" t="s">
        <v>1602</v>
      </c>
      <c r="F1575" s="9" t="s">
        <v>1603</v>
      </c>
      <c r="G1575" s="9" t="s">
        <v>1592</v>
      </c>
      <c r="H1575" s="9" t="s">
        <v>1017</v>
      </c>
      <c r="I1575" s="9" t="s">
        <v>3035</v>
      </c>
      <c r="J1575" s="9" t="s">
        <v>1601</v>
      </c>
      <c r="K1575" s="9">
        <v>1</v>
      </c>
      <c r="L1575" s="9">
        <v>27</v>
      </c>
      <c r="M1575" s="9">
        <v>2009</v>
      </c>
      <c r="O1575" s="9" t="str">
        <f t="shared" si="76"/>
        <v>NO</v>
      </c>
      <c r="P1575" s="9" t="str">
        <f t="shared" si="77"/>
        <v>NO</v>
      </c>
      <c r="Q1575" s="9" t="str">
        <f t="shared" si="78"/>
        <v>Conditioned</v>
      </c>
    </row>
    <row r="1576" spans="1:17">
      <c r="A1576" s="9">
        <v>21680</v>
      </c>
      <c r="B1576" s="9">
        <v>1</v>
      </c>
      <c r="C1576" s="9" t="s">
        <v>1589</v>
      </c>
      <c r="D1576" s="9" t="s">
        <v>1590</v>
      </c>
      <c r="E1576" s="9" t="s">
        <v>1602</v>
      </c>
      <c r="F1576" s="9" t="s">
        <v>1603</v>
      </c>
      <c r="G1576" s="9" t="s">
        <v>1592</v>
      </c>
      <c r="H1576" s="9" t="s">
        <v>1599</v>
      </c>
      <c r="I1576" s="9" t="s">
        <v>3036</v>
      </c>
      <c r="J1576" s="9" t="s">
        <v>1601</v>
      </c>
      <c r="K1576" s="9">
        <v>1</v>
      </c>
      <c r="L1576" s="9">
        <v>26</v>
      </c>
      <c r="M1576" s="9">
        <v>2005</v>
      </c>
      <c r="O1576" s="9" t="str">
        <f t="shared" si="76"/>
        <v>NO</v>
      </c>
      <c r="P1576" s="9" t="str">
        <f t="shared" si="77"/>
        <v>NO</v>
      </c>
      <c r="Q1576" s="9" t="str">
        <f t="shared" si="78"/>
        <v>Conditioned</v>
      </c>
    </row>
    <row r="1577" spans="1:17">
      <c r="A1577" s="9">
        <v>21680</v>
      </c>
      <c r="B1577" s="9">
        <v>2</v>
      </c>
      <c r="C1577" s="9" t="s">
        <v>1589</v>
      </c>
      <c r="D1577" s="9" t="s">
        <v>1590</v>
      </c>
      <c r="E1577" s="9" t="s">
        <v>1591</v>
      </c>
      <c r="F1577" s="9" t="s">
        <v>1589</v>
      </c>
      <c r="G1577" s="9" t="s">
        <v>1592</v>
      </c>
      <c r="H1577" s="9" t="s">
        <v>1638</v>
      </c>
      <c r="I1577" s="9" t="s">
        <v>3037</v>
      </c>
      <c r="J1577" s="9" t="s">
        <v>1612</v>
      </c>
      <c r="K1577" s="9">
        <v>1</v>
      </c>
      <c r="L1577" s="9">
        <v>4</v>
      </c>
      <c r="M1577" s="9">
        <v>2005</v>
      </c>
      <c r="O1577" s="9" t="str">
        <f t="shared" si="76"/>
        <v>YES</v>
      </c>
      <c r="P1577" s="9" t="str">
        <f t="shared" si="77"/>
        <v>NO</v>
      </c>
      <c r="Q1577" s="9" t="str">
        <f t="shared" si="78"/>
        <v>Conditioned</v>
      </c>
    </row>
    <row r="1578" spans="1:17">
      <c r="A1578" s="9">
        <v>21680</v>
      </c>
      <c r="B1578" s="9">
        <v>3</v>
      </c>
      <c r="C1578" s="9" t="s">
        <v>1589</v>
      </c>
      <c r="D1578" s="9" t="s">
        <v>1590</v>
      </c>
      <c r="E1578" s="9" t="s">
        <v>1589</v>
      </c>
      <c r="F1578" s="9" t="s">
        <v>1589</v>
      </c>
      <c r="G1578" s="9" t="s">
        <v>1592</v>
      </c>
      <c r="H1578" s="9" t="s">
        <v>1638</v>
      </c>
      <c r="I1578" s="9" t="s">
        <v>3037</v>
      </c>
      <c r="J1578" s="9" t="s">
        <v>1612</v>
      </c>
      <c r="K1578" s="9">
        <v>1</v>
      </c>
      <c r="L1578" s="9">
        <v>4</v>
      </c>
      <c r="M1578" s="9">
        <v>2005</v>
      </c>
      <c r="O1578" s="9" t="str">
        <f t="shared" si="76"/>
        <v>YES</v>
      </c>
      <c r="P1578" s="9" t="str">
        <f t="shared" si="77"/>
        <v>NO</v>
      </c>
      <c r="Q1578" s="9" t="str">
        <f t="shared" si="78"/>
        <v>Conditioned</v>
      </c>
    </row>
    <row r="1579" spans="1:17">
      <c r="A1579" s="9">
        <v>21684</v>
      </c>
      <c r="B1579" s="9">
        <v>1</v>
      </c>
      <c r="C1579" s="9" t="s">
        <v>1589</v>
      </c>
      <c r="D1579" s="9" t="s">
        <v>1590</v>
      </c>
      <c r="E1579" s="9" t="s">
        <v>1591</v>
      </c>
      <c r="F1579" s="9" t="s">
        <v>1589</v>
      </c>
      <c r="G1579" s="9" t="s">
        <v>1592</v>
      </c>
      <c r="H1579" s="9" t="s">
        <v>168</v>
      </c>
      <c r="I1579" s="9" t="s">
        <v>3038</v>
      </c>
      <c r="J1579" s="9" t="s">
        <v>1597</v>
      </c>
      <c r="K1579" s="9">
        <v>1</v>
      </c>
      <c r="L1579" s="9">
        <v>15</v>
      </c>
      <c r="M1579" s="9">
        <v>1999</v>
      </c>
      <c r="O1579" s="9" t="str">
        <f t="shared" si="76"/>
        <v>NO</v>
      </c>
      <c r="P1579" s="9" t="str">
        <f t="shared" si="77"/>
        <v>NO</v>
      </c>
      <c r="Q1579" s="9" t="str">
        <f t="shared" si="78"/>
        <v>Conditioned</v>
      </c>
    </row>
    <row r="1580" spans="1:17">
      <c r="A1580" s="9">
        <v>21684</v>
      </c>
      <c r="B1580" s="9">
        <v>2</v>
      </c>
      <c r="C1580" s="9" t="s">
        <v>1589</v>
      </c>
      <c r="D1580" s="9" t="s">
        <v>1590</v>
      </c>
      <c r="E1580" s="9" t="s">
        <v>1591</v>
      </c>
      <c r="F1580" s="9" t="s">
        <v>1589</v>
      </c>
      <c r="G1580" s="9" t="s">
        <v>1606</v>
      </c>
      <c r="H1580" s="9" t="s">
        <v>169</v>
      </c>
      <c r="I1580" s="9" t="s">
        <v>3039</v>
      </c>
      <c r="J1580" s="9" t="s">
        <v>1605</v>
      </c>
      <c r="K1580" s="9">
        <v>1</v>
      </c>
      <c r="L1580" s="9">
        <v>22</v>
      </c>
      <c r="M1580" s="9">
        <v>1992</v>
      </c>
      <c r="O1580" s="9" t="str">
        <f t="shared" si="76"/>
        <v>NO</v>
      </c>
      <c r="P1580" s="9" t="str">
        <f t="shared" si="77"/>
        <v>YES</v>
      </c>
      <c r="Q1580" s="9" t="str">
        <f t="shared" si="78"/>
        <v>Unconditioned</v>
      </c>
    </row>
    <row r="1581" spans="1:17">
      <c r="A1581" s="9">
        <v>21684</v>
      </c>
      <c r="B1581" s="9">
        <v>3</v>
      </c>
      <c r="C1581" s="9" t="s">
        <v>1589</v>
      </c>
      <c r="D1581" s="9" t="s">
        <v>1590</v>
      </c>
      <c r="E1581" s="9" t="s">
        <v>1613</v>
      </c>
      <c r="F1581" s="9" t="s">
        <v>1590</v>
      </c>
      <c r="G1581" s="9" t="s">
        <v>1606</v>
      </c>
      <c r="H1581" s="9" t="s">
        <v>174</v>
      </c>
      <c r="I1581" s="9" t="s">
        <v>3040</v>
      </c>
      <c r="J1581" s="9" t="s">
        <v>1597</v>
      </c>
      <c r="K1581" s="9">
        <v>1</v>
      </c>
      <c r="L1581" s="9">
        <v>22</v>
      </c>
      <c r="M1581" s="9">
        <v>1993</v>
      </c>
      <c r="O1581" s="9" t="str">
        <f t="shared" si="76"/>
        <v>NO</v>
      </c>
      <c r="P1581" s="9" t="str">
        <f t="shared" si="77"/>
        <v>NO</v>
      </c>
      <c r="Q1581" s="9" t="str">
        <f t="shared" si="78"/>
        <v>Unconditioned</v>
      </c>
    </row>
    <row r="1582" spans="1:17">
      <c r="A1582" s="9">
        <v>21689</v>
      </c>
      <c r="B1582" s="9">
        <v>1</v>
      </c>
      <c r="C1582" s="9" t="s">
        <v>1589</v>
      </c>
      <c r="D1582" s="9" t="s">
        <v>1590</v>
      </c>
      <c r="E1582" s="9" t="s">
        <v>1591</v>
      </c>
      <c r="F1582" s="9" t="s">
        <v>1589</v>
      </c>
      <c r="G1582" s="9" t="s">
        <v>1592</v>
      </c>
      <c r="H1582" s="9" t="s">
        <v>1805</v>
      </c>
      <c r="I1582" s="9" t="s">
        <v>3041</v>
      </c>
      <c r="J1582" s="9" t="s">
        <v>1597</v>
      </c>
      <c r="K1582" s="9">
        <v>1</v>
      </c>
      <c r="L1582" s="9">
        <v>14</v>
      </c>
      <c r="M1582" s="9">
        <v>1999</v>
      </c>
      <c r="O1582" s="9" t="str">
        <f t="shared" si="76"/>
        <v>NO</v>
      </c>
      <c r="P1582" s="9" t="str">
        <f t="shared" si="77"/>
        <v>NO</v>
      </c>
      <c r="Q1582" s="9" t="str">
        <f t="shared" si="78"/>
        <v>Conditioned</v>
      </c>
    </row>
    <row r="1583" spans="1:17">
      <c r="A1583" s="9">
        <v>21692</v>
      </c>
      <c r="B1583" s="9">
        <v>1</v>
      </c>
      <c r="C1583" s="9" t="s">
        <v>1589</v>
      </c>
      <c r="D1583" s="9" t="s">
        <v>1590</v>
      </c>
      <c r="E1583" s="9" t="s">
        <v>1591</v>
      </c>
      <c r="F1583" s="9" t="s">
        <v>1589</v>
      </c>
      <c r="G1583" s="9" t="s">
        <v>1592</v>
      </c>
      <c r="H1583" s="9" t="s">
        <v>169</v>
      </c>
      <c r="I1583" s="9" t="s">
        <v>3042</v>
      </c>
      <c r="J1583" s="9" t="s">
        <v>1597</v>
      </c>
      <c r="K1583" s="9">
        <v>1</v>
      </c>
      <c r="L1583" s="9">
        <v>18</v>
      </c>
      <c r="M1583" s="9">
        <v>1999</v>
      </c>
      <c r="O1583" s="9" t="str">
        <f t="shared" si="76"/>
        <v>NO</v>
      </c>
      <c r="P1583" s="9" t="str">
        <f t="shared" si="77"/>
        <v>NO</v>
      </c>
      <c r="Q1583" s="9" t="str">
        <f t="shared" si="78"/>
        <v>Conditioned</v>
      </c>
    </row>
    <row r="1584" spans="1:17">
      <c r="A1584" s="9">
        <v>21700</v>
      </c>
      <c r="B1584" s="9">
        <v>1</v>
      </c>
      <c r="C1584" s="9" t="s">
        <v>1589</v>
      </c>
      <c r="D1584" s="9" t="s">
        <v>1590</v>
      </c>
      <c r="E1584" s="9" t="s">
        <v>1602</v>
      </c>
      <c r="F1584" s="9" t="s">
        <v>1603</v>
      </c>
      <c r="G1584" s="9" t="s">
        <v>1592</v>
      </c>
      <c r="H1584" s="9" t="s">
        <v>169</v>
      </c>
      <c r="I1584" s="9" t="s">
        <v>3043</v>
      </c>
      <c r="J1584" s="9" t="s">
        <v>1601</v>
      </c>
      <c r="K1584" s="9">
        <v>1</v>
      </c>
      <c r="L1584" s="9">
        <v>22</v>
      </c>
      <c r="M1584" s="9">
        <v>2005</v>
      </c>
      <c r="O1584" s="9" t="str">
        <f t="shared" si="76"/>
        <v>NO</v>
      </c>
      <c r="P1584" s="9" t="str">
        <f t="shared" si="77"/>
        <v>NO</v>
      </c>
      <c r="Q1584" s="9" t="str">
        <f t="shared" si="78"/>
        <v>Conditioned</v>
      </c>
    </row>
    <row r="1585" spans="1:17">
      <c r="A1585" s="9">
        <v>21700</v>
      </c>
      <c r="B1585" s="9">
        <v>2</v>
      </c>
      <c r="C1585" s="9" t="s">
        <v>1589</v>
      </c>
      <c r="D1585" s="9" t="s">
        <v>1590</v>
      </c>
      <c r="E1585" s="9" t="s">
        <v>1591</v>
      </c>
      <c r="F1585" s="9" t="s">
        <v>1589</v>
      </c>
      <c r="G1585" s="9" t="s">
        <v>1606</v>
      </c>
      <c r="H1585" s="9" t="s">
        <v>169</v>
      </c>
      <c r="I1585" s="9" t="s">
        <v>3044</v>
      </c>
      <c r="J1585" s="9" t="s">
        <v>1587</v>
      </c>
      <c r="K1585" s="9">
        <v>1</v>
      </c>
      <c r="L1585" s="9">
        <v>20</v>
      </c>
      <c r="M1585" s="9">
        <v>2005</v>
      </c>
      <c r="O1585" s="9" t="str">
        <f t="shared" si="76"/>
        <v>NO</v>
      </c>
      <c r="P1585" s="9" t="str">
        <f t="shared" si="77"/>
        <v>YES</v>
      </c>
      <c r="Q1585" s="9" t="str">
        <f t="shared" si="78"/>
        <v>Unconditioned</v>
      </c>
    </row>
    <row r="1586" spans="1:17">
      <c r="A1586" s="9">
        <v>21701</v>
      </c>
      <c r="B1586" s="9">
        <v>1</v>
      </c>
      <c r="C1586" s="9" t="s">
        <v>1589</v>
      </c>
      <c r="D1586" s="9" t="s">
        <v>1590</v>
      </c>
      <c r="E1586" s="9" t="s">
        <v>1613</v>
      </c>
      <c r="F1586" s="9" t="s">
        <v>1603</v>
      </c>
      <c r="G1586" s="9" t="s">
        <v>1592</v>
      </c>
      <c r="H1586" s="9" t="s">
        <v>1017</v>
      </c>
      <c r="I1586" s="9" t="s">
        <v>3045</v>
      </c>
      <c r="J1586" s="9" t="s">
        <v>1597</v>
      </c>
      <c r="K1586" s="9">
        <v>1</v>
      </c>
      <c r="L1586" s="9">
        <v>24</v>
      </c>
      <c r="M1586" s="9">
        <v>2007</v>
      </c>
      <c r="O1586" s="9" t="str">
        <f t="shared" si="76"/>
        <v>NO</v>
      </c>
      <c r="P1586" s="9" t="str">
        <f t="shared" si="77"/>
        <v>NO</v>
      </c>
      <c r="Q1586" s="9" t="str">
        <f t="shared" si="78"/>
        <v>Conditioned</v>
      </c>
    </row>
    <row r="1587" spans="1:17">
      <c r="A1587" s="9">
        <v>21703</v>
      </c>
      <c r="B1587" s="9">
        <v>1</v>
      </c>
      <c r="C1587" s="9" t="s">
        <v>1589</v>
      </c>
      <c r="D1587" s="9" t="s">
        <v>1590</v>
      </c>
      <c r="E1587" s="9" t="s">
        <v>1591</v>
      </c>
      <c r="F1587" s="9" t="s">
        <v>1589</v>
      </c>
      <c r="G1587" s="9" t="s">
        <v>1592</v>
      </c>
      <c r="H1587" s="9" t="s">
        <v>172</v>
      </c>
      <c r="I1587" s="9" t="s">
        <v>3046</v>
      </c>
      <c r="J1587" s="9" t="s">
        <v>1597</v>
      </c>
      <c r="K1587" s="9">
        <v>1</v>
      </c>
      <c r="L1587" s="9">
        <v>18</v>
      </c>
      <c r="M1587" s="9">
        <v>1990</v>
      </c>
      <c r="O1587" s="9" t="str">
        <f t="shared" si="76"/>
        <v>NO</v>
      </c>
      <c r="P1587" s="9" t="str">
        <f t="shared" si="77"/>
        <v>NO</v>
      </c>
      <c r="Q1587" s="9" t="str">
        <f t="shared" si="78"/>
        <v>Conditioned</v>
      </c>
    </row>
    <row r="1588" spans="1:17">
      <c r="A1588" s="9">
        <v>21707</v>
      </c>
      <c r="B1588" s="9">
        <v>1</v>
      </c>
      <c r="C1588" s="9" t="s">
        <v>1589</v>
      </c>
      <c r="D1588" s="9" t="s">
        <v>1590</v>
      </c>
      <c r="E1588" s="9" t="s">
        <v>1602</v>
      </c>
      <c r="F1588" s="9" t="s">
        <v>1603</v>
      </c>
      <c r="G1588" s="9" t="s">
        <v>1592</v>
      </c>
      <c r="H1588" s="9" t="s">
        <v>170</v>
      </c>
      <c r="I1588" s="9" t="s">
        <v>3047</v>
      </c>
      <c r="J1588" s="9" t="s">
        <v>1601</v>
      </c>
      <c r="K1588" s="9">
        <v>1</v>
      </c>
      <c r="L1588" s="9">
        <v>20</v>
      </c>
      <c r="M1588" s="9">
        <v>1976</v>
      </c>
      <c r="O1588" s="9" t="str">
        <f t="shared" si="76"/>
        <v>NO</v>
      </c>
      <c r="P1588" s="9" t="str">
        <f t="shared" si="77"/>
        <v>NO</v>
      </c>
      <c r="Q1588" s="9" t="str">
        <f t="shared" si="78"/>
        <v>Conditioned</v>
      </c>
    </row>
    <row r="1589" spans="1:17">
      <c r="A1589" s="9">
        <v>21707</v>
      </c>
      <c r="B1589" s="9">
        <v>2</v>
      </c>
      <c r="C1589" s="9" t="s">
        <v>1589</v>
      </c>
      <c r="D1589" s="9" t="s">
        <v>1590</v>
      </c>
      <c r="E1589" s="9" t="s">
        <v>1591</v>
      </c>
      <c r="F1589" s="9" t="s">
        <v>1589</v>
      </c>
      <c r="G1589" s="9" t="s">
        <v>1606</v>
      </c>
      <c r="H1589" s="9" t="s">
        <v>1900</v>
      </c>
      <c r="I1589" s="9" t="s">
        <v>3048</v>
      </c>
      <c r="J1589" s="9" t="s">
        <v>1605</v>
      </c>
      <c r="K1589" s="9">
        <v>1</v>
      </c>
      <c r="L1589" s="9">
        <v>20</v>
      </c>
      <c r="M1589" s="9">
        <v>1975</v>
      </c>
      <c r="O1589" s="9" t="str">
        <f t="shared" si="76"/>
        <v>NO</v>
      </c>
      <c r="P1589" s="9" t="str">
        <f t="shared" si="77"/>
        <v>YES</v>
      </c>
      <c r="Q1589" s="9" t="str">
        <f t="shared" si="78"/>
        <v>Unconditioned</v>
      </c>
    </row>
    <row r="1590" spans="1:17">
      <c r="A1590" s="9">
        <v>21708</v>
      </c>
      <c r="B1590" s="9">
        <v>1</v>
      </c>
      <c r="C1590" s="9" t="s">
        <v>1589</v>
      </c>
      <c r="D1590" s="9" t="s">
        <v>1590</v>
      </c>
      <c r="E1590" s="9" t="s">
        <v>1602</v>
      </c>
      <c r="F1590" s="9" t="s">
        <v>1603</v>
      </c>
      <c r="G1590" s="9" t="s">
        <v>1592</v>
      </c>
      <c r="H1590" s="9" t="s">
        <v>1638</v>
      </c>
      <c r="I1590" s="9" t="s">
        <v>3049</v>
      </c>
      <c r="J1590" s="9" t="s">
        <v>1601</v>
      </c>
      <c r="K1590" s="9">
        <v>1</v>
      </c>
      <c r="L1590" s="9">
        <v>24</v>
      </c>
      <c r="M1590" s="9">
        <v>1990</v>
      </c>
      <c r="O1590" s="9" t="str">
        <f t="shared" si="76"/>
        <v>NO</v>
      </c>
      <c r="P1590" s="9" t="str">
        <f t="shared" si="77"/>
        <v>NO</v>
      </c>
      <c r="Q1590" s="9" t="str">
        <f t="shared" si="78"/>
        <v>Conditioned</v>
      </c>
    </row>
    <row r="1591" spans="1:17">
      <c r="A1591" s="9">
        <v>21710</v>
      </c>
      <c r="B1591" s="9">
        <v>1</v>
      </c>
      <c r="C1591" s="9" t="s">
        <v>1589</v>
      </c>
      <c r="D1591" s="9" t="s">
        <v>1590</v>
      </c>
      <c r="E1591" s="9" t="s">
        <v>1602</v>
      </c>
      <c r="F1591" s="9" t="s">
        <v>1603</v>
      </c>
      <c r="G1591" s="9" t="s">
        <v>1592</v>
      </c>
      <c r="H1591" s="9" t="s">
        <v>177</v>
      </c>
      <c r="I1591" s="9" t="s">
        <v>3050</v>
      </c>
      <c r="J1591" s="9" t="s">
        <v>1601</v>
      </c>
      <c r="K1591" s="9">
        <v>1</v>
      </c>
      <c r="L1591" s="9">
        <v>21</v>
      </c>
      <c r="M1591" s="9">
        <v>2007</v>
      </c>
      <c r="O1591" s="9" t="str">
        <f t="shared" si="76"/>
        <v>NO</v>
      </c>
      <c r="P1591" s="9" t="str">
        <f t="shared" si="77"/>
        <v>NO</v>
      </c>
      <c r="Q1591" s="9" t="str">
        <f t="shared" si="78"/>
        <v>Conditioned</v>
      </c>
    </row>
    <row r="1592" spans="1:17">
      <c r="A1592" s="9">
        <v>21719</v>
      </c>
      <c r="B1592" s="9">
        <v>1</v>
      </c>
      <c r="C1592" s="9" t="s">
        <v>1589</v>
      </c>
      <c r="D1592" s="9" t="s">
        <v>1590</v>
      </c>
      <c r="E1592" s="9" t="s">
        <v>1591</v>
      </c>
      <c r="F1592" s="9" t="s">
        <v>1589</v>
      </c>
      <c r="G1592" s="9" t="s">
        <v>1592</v>
      </c>
      <c r="H1592" s="9" t="s">
        <v>177</v>
      </c>
      <c r="I1592" s="9" t="s">
        <v>3051</v>
      </c>
      <c r="J1592" s="9" t="s">
        <v>1597</v>
      </c>
      <c r="K1592" s="9">
        <v>1</v>
      </c>
      <c r="L1592" s="9">
        <v>19</v>
      </c>
      <c r="M1592" s="9">
        <v>1982</v>
      </c>
      <c r="O1592" s="9" t="str">
        <f t="shared" si="76"/>
        <v>NO</v>
      </c>
      <c r="P1592" s="9" t="str">
        <f t="shared" si="77"/>
        <v>NO</v>
      </c>
      <c r="Q1592" s="9" t="str">
        <f t="shared" si="78"/>
        <v>Conditioned</v>
      </c>
    </row>
    <row r="1593" spans="1:17">
      <c r="A1593" s="9">
        <v>21720</v>
      </c>
      <c r="B1593" s="9">
        <v>1</v>
      </c>
      <c r="C1593" s="9" t="s">
        <v>1589</v>
      </c>
      <c r="D1593" s="9" t="s">
        <v>1590</v>
      </c>
      <c r="E1593" s="9" t="s">
        <v>1602</v>
      </c>
      <c r="F1593" s="9" t="s">
        <v>1590</v>
      </c>
      <c r="G1593" s="9" t="s">
        <v>1592</v>
      </c>
      <c r="H1593" s="9" t="s">
        <v>1638</v>
      </c>
      <c r="I1593" s="9" t="s">
        <v>3052</v>
      </c>
      <c r="J1593" s="9" t="s">
        <v>1601</v>
      </c>
      <c r="K1593" s="9">
        <v>1</v>
      </c>
      <c r="L1593" s="9">
        <v>21</v>
      </c>
      <c r="M1593" s="9">
        <v>1991</v>
      </c>
      <c r="O1593" s="9" t="str">
        <f t="shared" si="76"/>
        <v>NO</v>
      </c>
      <c r="P1593" s="9" t="str">
        <f t="shared" si="77"/>
        <v>NO</v>
      </c>
      <c r="Q1593" s="9" t="str">
        <f t="shared" si="78"/>
        <v>Conditioned</v>
      </c>
    </row>
    <row r="1594" spans="1:17">
      <c r="A1594" s="9">
        <v>21722</v>
      </c>
      <c r="B1594" s="9">
        <v>1</v>
      </c>
      <c r="C1594" s="9" t="s">
        <v>1589</v>
      </c>
      <c r="D1594" s="9" t="s">
        <v>1590</v>
      </c>
      <c r="E1594" s="9" t="s">
        <v>1613</v>
      </c>
      <c r="F1594" s="9" t="s">
        <v>1603</v>
      </c>
      <c r="G1594" s="9" t="s">
        <v>1592</v>
      </c>
      <c r="H1594" s="9" t="s">
        <v>1638</v>
      </c>
      <c r="I1594" s="9" t="s">
        <v>3053</v>
      </c>
      <c r="J1594" s="9" t="s">
        <v>1597</v>
      </c>
      <c r="K1594" s="9">
        <v>1</v>
      </c>
      <c r="L1594" s="9">
        <v>26</v>
      </c>
      <c r="M1594" s="9">
        <v>2001</v>
      </c>
      <c r="O1594" s="9" t="str">
        <f t="shared" si="76"/>
        <v>NO</v>
      </c>
      <c r="P1594" s="9" t="str">
        <f t="shared" si="77"/>
        <v>NO</v>
      </c>
      <c r="Q1594" s="9" t="str">
        <f t="shared" si="78"/>
        <v>Conditioned</v>
      </c>
    </row>
    <row r="1595" spans="1:17">
      <c r="A1595" s="9">
        <v>21733</v>
      </c>
      <c r="B1595" s="9">
        <v>1</v>
      </c>
      <c r="C1595" s="9" t="s">
        <v>1589</v>
      </c>
      <c r="D1595" s="9" t="s">
        <v>1590</v>
      </c>
      <c r="E1595" s="9" t="s">
        <v>1602</v>
      </c>
      <c r="F1595" s="9" t="s">
        <v>1603</v>
      </c>
      <c r="G1595" s="9" t="s">
        <v>1592</v>
      </c>
      <c r="H1595" s="9" t="s">
        <v>1589</v>
      </c>
      <c r="I1595" s="9" t="s">
        <v>3054</v>
      </c>
      <c r="J1595" s="9" t="s">
        <v>1601</v>
      </c>
      <c r="K1595" s="9">
        <v>1</v>
      </c>
      <c r="L1595" s="9">
        <v>25</v>
      </c>
      <c r="M1595" s="9">
        <v>2004</v>
      </c>
      <c r="O1595" s="9" t="str">
        <f t="shared" si="76"/>
        <v>NO</v>
      </c>
      <c r="P1595" s="9" t="str">
        <f t="shared" si="77"/>
        <v>NO</v>
      </c>
      <c r="Q1595" s="9" t="str">
        <f t="shared" si="78"/>
        <v>Conditioned</v>
      </c>
    </row>
    <row r="1596" spans="1:17">
      <c r="A1596" s="9">
        <v>21733</v>
      </c>
      <c r="B1596" s="9">
        <v>2</v>
      </c>
      <c r="C1596" s="9" t="s">
        <v>1589</v>
      </c>
      <c r="D1596" s="9" t="s">
        <v>1590</v>
      </c>
      <c r="E1596" s="9" t="s">
        <v>1591</v>
      </c>
      <c r="F1596" s="9" t="s">
        <v>1589</v>
      </c>
      <c r="G1596" s="9" t="s">
        <v>1606</v>
      </c>
      <c r="H1596" s="9" t="s">
        <v>1678</v>
      </c>
      <c r="I1596" s="9" t="s">
        <v>1589</v>
      </c>
      <c r="J1596" s="9" t="s">
        <v>1587</v>
      </c>
      <c r="K1596" s="9">
        <v>1</v>
      </c>
      <c r="L1596" s="9">
        <v>20</v>
      </c>
      <c r="O1596" s="9" t="str">
        <f t="shared" si="76"/>
        <v>NO</v>
      </c>
      <c r="P1596" s="9" t="str">
        <f t="shared" si="77"/>
        <v>YES</v>
      </c>
      <c r="Q1596" s="9" t="str">
        <f t="shared" si="78"/>
        <v>Unconditioned</v>
      </c>
    </row>
    <row r="1597" spans="1:17">
      <c r="A1597" s="9">
        <v>21741</v>
      </c>
      <c r="B1597" s="9">
        <v>1</v>
      </c>
      <c r="C1597" s="9" t="s">
        <v>1589</v>
      </c>
      <c r="D1597" s="9" t="s">
        <v>1590</v>
      </c>
      <c r="E1597" s="9" t="s">
        <v>1613</v>
      </c>
      <c r="F1597" s="9" t="s">
        <v>1603</v>
      </c>
      <c r="G1597" s="9" t="s">
        <v>1592</v>
      </c>
      <c r="H1597" s="9" t="s">
        <v>2121</v>
      </c>
      <c r="I1597" s="9" t="s">
        <v>3055</v>
      </c>
      <c r="J1597" s="9" t="s">
        <v>1597</v>
      </c>
      <c r="K1597" s="9">
        <v>1</v>
      </c>
      <c r="L1597" s="9">
        <v>19</v>
      </c>
      <c r="M1597" s="9">
        <v>1987</v>
      </c>
      <c r="O1597" s="9" t="str">
        <f t="shared" si="76"/>
        <v>NO</v>
      </c>
      <c r="P1597" s="9" t="str">
        <f t="shared" si="77"/>
        <v>NO</v>
      </c>
      <c r="Q1597" s="9" t="str">
        <f t="shared" si="78"/>
        <v>Conditioned</v>
      </c>
    </row>
    <row r="1598" spans="1:17">
      <c r="A1598" s="9">
        <v>21741</v>
      </c>
      <c r="B1598" s="9">
        <v>2</v>
      </c>
      <c r="C1598" s="9" t="s">
        <v>1589</v>
      </c>
      <c r="D1598" s="9" t="s">
        <v>1590</v>
      </c>
      <c r="E1598" s="9" t="s">
        <v>1591</v>
      </c>
      <c r="F1598" s="9" t="s">
        <v>1589</v>
      </c>
      <c r="G1598" s="9" t="s">
        <v>1606</v>
      </c>
      <c r="H1598" s="9" t="s">
        <v>1766</v>
      </c>
      <c r="I1598" s="9" t="s">
        <v>3056</v>
      </c>
      <c r="J1598" s="9" t="s">
        <v>1597</v>
      </c>
      <c r="K1598" s="9">
        <v>1</v>
      </c>
      <c r="L1598" s="9">
        <v>17</v>
      </c>
      <c r="M1598" s="9">
        <v>1989</v>
      </c>
      <c r="O1598" s="9" t="str">
        <f t="shared" si="76"/>
        <v>NO</v>
      </c>
      <c r="P1598" s="9" t="str">
        <f t="shared" si="77"/>
        <v>NO</v>
      </c>
      <c r="Q1598" s="9" t="str">
        <f t="shared" si="78"/>
        <v>Unconditioned</v>
      </c>
    </row>
    <row r="1599" spans="1:17">
      <c r="A1599" s="9">
        <v>21741</v>
      </c>
      <c r="B1599" s="9">
        <v>3</v>
      </c>
      <c r="C1599" s="9" t="s">
        <v>1589</v>
      </c>
      <c r="D1599" s="9" t="s">
        <v>1590</v>
      </c>
      <c r="E1599" s="9" t="s">
        <v>1591</v>
      </c>
      <c r="F1599" s="9" t="s">
        <v>1589</v>
      </c>
      <c r="G1599" s="9" t="s">
        <v>1606</v>
      </c>
      <c r="H1599" s="9" t="s">
        <v>170</v>
      </c>
      <c r="I1599" s="9" t="s">
        <v>3055</v>
      </c>
      <c r="J1599" s="9" t="s">
        <v>1597</v>
      </c>
      <c r="K1599" s="9">
        <v>1</v>
      </c>
      <c r="L1599" s="9">
        <v>19</v>
      </c>
      <c r="M1599" s="9">
        <v>1987</v>
      </c>
      <c r="O1599" s="9" t="str">
        <f t="shared" si="76"/>
        <v>NO</v>
      </c>
      <c r="P1599" s="9" t="str">
        <f t="shared" si="77"/>
        <v>NO</v>
      </c>
      <c r="Q1599" s="9" t="str">
        <f t="shared" si="78"/>
        <v>Unconditioned</v>
      </c>
    </row>
    <row r="1600" spans="1:17">
      <c r="A1600" s="9">
        <v>21746</v>
      </c>
      <c r="B1600" s="9">
        <v>1</v>
      </c>
      <c r="C1600" s="9" t="s">
        <v>1589</v>
      </c>
      <c r="D1600" s="9" t="s">
        <v>1590</v>
      </c>
      <c r="E1600" s="9" t="s">
        <v>1602</v>
      </c>
      <c r="F1600" s="9" t="s">
        <v>1603</v>
      </c>
      <c r="G1600" s="9" t="s">
        <v>1592</v>
      </c>
      <c r="H1600" s="9" t="s">
        <v>177</v>
      </c>
      <c r="I1600" s="9" t="s">
        <v>3057</v>
      </c>
      <c r="J1600" s="9" t="s">
        <v>1608</v>
      </c>
      <c r="K1600" s="9">
        <v>1</v>
      </c>
      <c r="L1600" s="9">
        <v>25</v>
      </c>
      <c r="M1600" s="9">
        <v>2010</v>
      </c>
      <c r="O1600" s="9" t="str">
        <f t="shared" si="76"/>
        <v>NO</v>
      </c>
      <c r="P1600" s="9" t="str">
        <f t="shared" si="77"/>
        <v>NO</v>
      </c>
      <c r="Q1600" s="9" t="str">
        <f t="shared" si="78"/>
        <v>Conditioned</v>
      </c>
    </row>
    <row r="1601" spans="1:17">
      <c r="A1601" s="9">
        <v>21748</v>
      </c>
      <c r="B1601" s="9">
        <v>1</v>
      </c>
      <c r="C1601" s="9" t="s">
        <v>1589</v>
      </c>
      <c r="D1601" s="9" t="s">
        <v>1590</v>
      </c>
      <c r="E1601" s="9" t="s">
        <v>1602</v>
      </c>
      <c r="F1601" s="9" t="s">
        <v>1603</v>
      </c>
      <c r="G1601" s="9" t="s">
        <v>1592</v>
      </c>
      <c r="H1601" s="9" t="s">
        <v>170</v>
      </c>
      <c r="I1601" s="9" t="s">
        <v>3058</v>
      </c>
      <c r="J1601" s="9" t="s">
        <v>1601</v>
      </c>
      <c r="K1601" s="9">
        <v>0.75</v>
      </c>
      <c r="L1601" s="9">
        <v>21</v>
      </c>
      <c r="M1601" s="9">
        <v>2000</v>
      </c>
      <c r="O1601" s="9" t="str">
        <f t="shared" si="76"/>
        <v>NO</v>
      </c>
      <c r="P1601" s="9" t="str">
        <f t="shared" si="77"/>
        <v>NO</v>
      </c>
      <c r="Q1601" s="9" t="str">
        <f t="shared" si="78"/>
        <v>Conditioned</v>
      </c>
    </row>
    <row r="1602" spans="1:17">
      <c r="A1602" s="9">
        <v>21753</v>
      </c>
      <c r="B1602" s="9">
        <v>1</v>
      </c>
      <c r="C1602" s="9" t="s">
        <v>1589</v>
      </c>
      <c r="D1602" s="9" t="s">
        <v>1590</v>
      </c>
      <c r="E1602" s="9" t="s">
        <v>1591</v>
      </c>
      <c r="F1602" s="9" t="s">
        <v>1589</v>
      </c>
      <c r="G1602" s="9" t="s">
        <v>1592</v>
      </c>
      <c r="H1602" s="9" t="s">
        <v>1638</v>
      </c>
      <c r="I1602" s="9" t="s">
        <v>3059</v>
      </c>
      <c r="J1602" s="9" t="s">
        <v>1597</v>
      </c>
      <c r="K1602" s="9">
        <v>1</v>
      </c>
      <c r="L1602" s="9">
        <v>17</v>
      </c>
      <c r="M1602" s="9">
        <v>1978</v>
      </c>
      <c r="O1602" s="9" t="str">
        <f t="shared" si="76"/>
        <v>NO</v>
      </c>
      <c r="P1602" s="9" t="str">
        <f t="shared" si="77"/>
        <v>NO</v>
      </c>
      <c r="Q1602" s="9" t="str">
        <f t="shared" si="78"/>
        <v>Conditioned</v>
      </c>
    </row>
    <row r="1603" spans="1:17">
      <c r="A1603" s="9">
        <v>21768</v>
      </c>
      <c r="B1603" s="9">
        <v>1</v>
      </c>
      <c r="C1603" s="9" t="s">
        <v>1589</v>
      </c>
      <c r="D1603" s="9" t="s">
        <v>1590</v>
      </c>
      <c r="E1603" s="9" t="s">
        <v>1602</v>
      </c>
      <c r="F1603" s="9" t="s">
        <v>1603</v>
      </c>
      <c r="G1603" s="9" t="s">
        <v>1592</v>
      </c>
      <c r="H1603" s="9" t="s">
        <v>170</v>
      </c>
      <c r="I1603" s="9" t="s">
        <v>3060</v>
      </c>
      <c r="J1603" s="9" t="s">
        <v>1601</v>
      </c>
      <c r="K1603" s="9">
        <v>1</v>
      </c>
      <c r="L1603" s="9">
        <v>20</v>
      </c>
      <c r="M1603" s="9">
        <v>2008</v>
      </c>
      <c r="O1603" s="9" t="str">
        <f t="shared" si="76"/>
        <v>NO</v>
      </c>
      <c r="P1603" s="9" t="str">
        <f t="shared" si="77"/>
        <v>NO</v>
      </c>
      <c r="Q1603" s="9" t="str">
        <f t="shared" si="78"/>
        <v>Conditioned</v>
      </c>
    </row>
    <row r="1604" spans="1:17">
      <c r="A1604" s="9">
        <v>21768</v>
      </c>
      <c r="B1604" s="9">
        <v>2</v>
      </c>
      <c r="C1604" s="9" t="s">
        <v>1589</v>
      </c>
      <c r="D1604" s="9" t="s">
        <v>1590</v>
      </c>
      <c r="E1604" s="9" t="s">
        <v>1613</v>
      </c>
      <c r="F1604" s="9" t="s">
        <v>1590</v>
      </c>
      <c r="G1604" s="9" t="s">
        <v>1606</v>
      </c>
      <c r="H1604" s="9" t="s">
        <v>170</v>
      </c>
      <c r="I1604" s="9" t="s">
        <v>3061</v>
      </c>
      <c r="J1604" s="9" t="s">
        <v>1601</v>
      </c>
      <c r="K1604" s="9">
        <v>1</v>
      </c>
      <c r="L1604" s="9">
        <v>18</v>
      </c>
      <c r="O1604" s="9" t="str">
        <f t="shared" si="76"/>
        <v>NO</v>
      </c>
      <c r="P1604" s="9" t="str">
        <f t="shared" si="77"/>
        <v>NO</v>
      </c>
      <c r="Q1604" s="9" t="str">
        <f t="shared" si="78"/>
        <v>Unconditioned</v>
      </c>
    </row>
    <row r="1605" spans="1:17">
      <c r="A1605" s="9">
        <v>21777</v>
      </c>
      <c r="B1605" s="9">
        <v>1</v>
      </c>
      <c r="C1605" s="9" t="s">
        <v>1589</v>
      </c>
      <c r="D1605" s="9" t="s">
        <v>1590</v>
      </c>
      <c r="E1605" s="9" t="s">
        <v>1613</v>
      </c>
      <c r="F1605" s="9" t="s">
        <v>1603</v>
      </c>
      <c r="G1605" s="9" t="s">
        <v>1592</v>
      </c>
      <c r="H1605" s="9" t="s">
        <v>170</v>
      </c>
      <c r="I1605" s="9" t="s">
        <v>1589</v>
      </c>
      <c r="J1605" s="9" t="s">
        <v>1608</v>
      </c>
      <c r="K1605" s="9">
        <v>1</v>
      </c>
      <c r="L1605" s="9">
        <v>19</v>
      </c>
      <c r="M1605" s="9">
        <v>1998</v>
      </c>
      <c r="O1605" s="9" t="str">
        <f t="shared" si="76"/>
        <v>NO</v>
      </c>
      <c r="P1605" s="9" t="str">
        <f t="shared" si="77"/>
        <v>NO</v>
      </c>
      <c r="Q1605" s="9" t="str">
        <f t="shared" si="78"/>
        <v>Conditioned</v>
      </c>
    </row>
    <row r="1606" spans="1:17">
      <c r="A1606" s="9">
        <v>21777</v>
      </c>
      <c r="B1606" s="9">
        <v>2</v>
      </c>
      <c r="C1606" s="9" t="s">
        <v>1589</v>
      </c>
      <c r="D1606" s="9" t="s">
        <v>1590</v>
      </c>
      <c r="E1606" s="9" t="s">
        <v>1591</v>
      </c>
      <c r="F1606" s="9" t="s">
        <v>1589</v>
      </c>
      <c r="G1606" s="9" t="s">
        <v>1592</v>
      </c>
      <c r="H1606" s="9" t="s">
        <v>1624</v>
      </c>
      <c r="I1606" s="9" t="s">
        <v>1589</v>
      </c>
      <c r="J1606" s="9" t="s">
        <v>1608</v>
      </c>
      <c r="K1606" s="9">
        <v>1</v>
      </c>
      <c r="L1606" s="9">
        <v>19</v>
      </c>
      <c r="M1606" s="9">
        <v>1980</v>
      </c>
      <c r="O1606" s="9" t="str">
        <f t="shared" si="76"/>
        <v>NO</v>
      </c>
      <c r="P1606" s="9" t="str">
        <f t="shared" si="77"/>
        <v>NO</v>
      </c>
      <c r="Q1606" s="9" t="str">
        <f t="shared" si="78"/>
        <v>Conditioned</v>
      </c>
    </row>
    <row r="1607" spans="1:17">
      <c r="A1607" s="9">
        <v>21777</v>
      </c>
      <c r="B1607" s="9">
        <v>3</v>
      </c>
      <c r="C1607" s="9" t="s">
        <v>1589</v>
      </c>
      <c r="D1607" s="9" t="s">
        <v>1590</v>
      </c>
      <c r="E1607" s="9" t="s">
        <v>1591</v>
      </c>
      <c r="F1607" s="9" t="s">
        <v>1589</v>
      </c>
      <c r="G1607" s="9" t="s">
        <v>1592</v>
      </c>
      <c r="H1607" s="9" t="s">
        <v>170</v>
      </c>
      <c r="I1607" s="9" t="s">
        <v>3062</v>
      </c>
      <c r="J1607" s="9" t="s">
        <v>1587</v>
      </c>
      <c r="K1607" s="9">
        <v>1</v>
      </c>
      <c r="L1607" s="9">
        <v>16</v>
      </c>
      <c r="M1607" s="9">
        <v>1996</v>
      </c>
      <c r="O1607" s="9" t="str">
        <f t="shared" si="76"/>
        <v>NO</v>
      </c>
      <c r="P1607" s="9" t="str">
        <f t="shared" si="77"/>
        <v>YES</v>
      </c>
      <c r="Q1607" s="9" t="str">
        <f t="shared" si="78"/>
        <v>Conditioned</v>
      </c>
    </row>
    <row r="1608" spans="1:17">
      <c r="A1608" s="9">
        <v>21777</v>
      </c>
      <c r="B1608" s="9">
        <v>4</v>
      </c>
      <c r="C1608" s="9" t="s">
        <v>1589</v>
      </c>
      <c r="D1608" s="9" t="s">
        <v>1590</v>
      </c>
      <c r="E1608" s="9" t="s">
        <v>1613</v>
      </c>
      <c r="F1608" s="9" t="s">
        <v>1603</v>
      </c>
      <c r="G1608" s="9" t="s">
        <v>1592</v>
      </c>
      <c r="H1608" s="9" t="s">
        <v>1638</v>
      </c>
      <c r="I1608" s="9" t="s">
        <v>3063</v>
      </c>
      <c r="J1608" s="9" t="s">
        <v>1608</v>
      </c>
      <c r="K1608" s="9">
        <v>1</v>
      </c>
      <c r="L1608" s="9">
        <v>22</v>
      </c>
      <c r="M1608" s="9">
        <v>2010</v>
      </c>
      <c r="O1608" s="9" t="str">
        <f t="shared" si="76"/>
        <v>NO</v>
      </c>
      <c r="P1608" s="9" t="str">
        <f t="shared" si="77"/>
        <v>NO</v>
      </c>
      <c r="Q1608" s="9" t="str">
        <f t="shared" si="78"/>
        <v>Conditioned</v>
      </c>
    </row>
    <row r="1609" spans="1:17">
      <c r="A1609" s="9">
        <v>21781</v>
      </c>
      <c r="B1609" s="9">
        <v>1</v>
      </c>
      <c r="C1609" s="9" t="s">
        <v>1589</v>
      </c>
      <c r="D1609" s="9" t="s">
        <v>1603</v>
      </c>
      <c r="E1609" s="9" t="s">
        <v>1613</v>
      </c>
      <c r="F1609" s="9" t="s">
        <v>1603</v>
      </c>
      <c r="G1609" s="9" t="s">
        <v>1592</v>
      </c>
      <c r="H1609" s="9" t="s">
        <v>178</v>
      </c>
      <c r="I1609" s="9" t="s">
        <v>3064</v>
      </c>
      <c r="J1609" s="9" t="s">
        <v>1608</v>
      </c>
      <c r="K1609" s="9">
        <v>1</v>
      </c>
      <c r="L1609" s="9">
        <v>26</v>
      </c>
      <c r="M1609" s="9">
        <v>2010</v>
      </c>
      <c r="O1609" s="9" t="str">
        <f t="shared" si="76"/>
        <v>NO</v>
      </c>
      <c r="P1609" s="9" t="str">
        <f t="shared" si="77"/>
        <v>NO</v>
      </c>
      <c r="Q1609" s="9" t="str">
        <f t="shared" si="78"/>
        <v>Conditioned</v>
      </c>
    </row>
    <row r="1610" spans="1:17">
      <c r="A1610" s="9">
        <v>21781</v>
      </c>
      <c r="B1610" s="9">
        <v>2</v>
      </c>
      <c r="C1610" s="9" t="s">
        <v>1589</v>
      </c>
      <c r="D1610" s="9" t="s">
        <v>1590</v>
      </c>
      <c r="E1610" s="9" t="s">
        <v>1602</v>
      </c>
      <c r="F1610" s="9" t="s">
        <v>1603</v>
      </c>
      <c r="G1610" s="9" t="s">
        <v>1606</v>
      </c>
      <c r="H1610" s="9" t="s">
        <v>169</v>
      </c>
      <c r="I1610" s="9" t="s">
        <v>3065</v>
      </c>
      <c r="J1610" s="9" t="s">
        <v>1601</v>
      </c>
      <c r="K1610" s="9">
        <v>0.5</v>
      </c>
      <c r="L1610" s="9">
        <v>26</v>
      </c>
      <c r="M1610" s="9">
        <v>2004</v>
      </c>
      <c r="O1610" s="9" t="str">
        <f t="shared" si="76"/>
        <v>NO</v>
      </c>
      <c r="P1610" s="9" t="str">
        <f t="shared" si="77"/>
        <v>NO</v>
      </c>
      <c r="Q1610" s="9" t="str">
        <f t="shared" si="78"/>
        <v>Unconditioned</v>
      </c>
    </row>
    <row r="1611" spans="1:17">
      <c r="A1611" s="9">
        <v>21781</v>
      </c>
      <c r="B1611" s="9">
        <v>3</v>
      </c>
      <c r="C1611" s="9" t="s">
        <v>1589</v>
      </c>
      <c r="D1611" s="9" t="s">
        <v>1590</v>
      </c>
      <c r="E1611" s="9" t="s">
        <v>1591</v>
      </c>
      <c r="F1611" s="9" t="s">
        <v>1589</v>
      </c>
      <c r="G1611" s="9" t="s">
        <v>1592</v>
      </c>
      <c r="H1611" s="9" t="s">
        <v>169</v>
      </c>
      <c r="I1611" s="9" t="s">
        <v>3066</v>
      </c>
      <c r="J1611" s="9" t="s">
        <v>1605</v>
      </c>
      <c r="K1611" s="9">
        <v>1</v>
      </c>
      <c r="L1611" s="9">
        <v>24</v>
      </c>
      <c r="M1611" s="9">
        <v>1998</v>
      </c>
      <c r="O1611" s="9" t="str">
        <f t="shared" si="76"/>
        <v>NO</v>
      </c>
      <c r="P1611" s="9" t="str">
        <f t="shared" si="77"/>
        <v>YES</v>
      </c>
      <c r="Q1611" s="9" t="str">
        <f t="shared" si="78"/>
        <v>Conditioned</v>
      </c>
    </row>
    <row r="1612" spans="1:17">
      <c r="A1612" s="9">
        <v>21783</v>
      </c>
      <c r="B1612" s="9">
        <v>1</v>
      </c>
      <c r="C1612" s="9" t="s">
        <v>1589</v>
      </c>
      <c r="D1612" s="9" t="s">
        <v>1590</v>
      </c>
      <c r="E1612" s="9" t="s">
        <v>1602</v>
      </c>
      <c r="F1612" s="9" t="s">
        <v>1603</v>
      </c>
      <c r="G1612" s="9" t="s">
        <v>1592</v>
      </c>
      <c r="H1612" s="9" t="s">
        <v>1599</v>
      </c>
      <c r="I1612" s="9" t="s">
        <v>3067</v>
      </c>
      <c r="J1612" s="9" t="s">
        <v>1601</v>
      </c>
      <c r="K1612" s="9">
        <v>1</v>
      </c>
      <c r="L1612" s="9">
        <v>22</v>
      </c>
      <c r="M1612" s="9">
        <v>2007</v>
      </c>
      <c r="O1612" s="9" t="str">
        <f t="shared" si="76"/>
        <v>NO</v>
      </c>
      <c r="P1612" s="9" t="str">
        <f t="shared" si="77"/>
        <v>NO</v>
      </c>
      <c r="Q1612" s="9" t="str">
        <f t="shared" si="78"/>
        <v>Conditioned</v>
      </c>
    </row>
    <row r="1613" spans="1:17">
      <c r="A1613" s="9">
        <v>21783</v>
      </c>
      <c r="B1613" s="9">
        <v>2</v>
      </c>
      <c r="C1613" s="9" t="s">
        <v>1589</v>
      </c>
      <c r="D1613" s="9" t="s">
        <v>1590</v>
      </c>
      <c r="E1613" s="9" t="s">
        <v>1591</v>
      </c>
      <c r="F1613" s="9" t="s">
        <v>1589</v>
      </c>
      <c r="G1613" s="9" t="s">
        <v>1592</v>
      </c>
      <c r="H1613" s="9" t="s">
        <v>170</v>
      </c>
      <c r="I1613" s="9" t="s">
        <v>3068</v>
      </c>
      <c r="J1613" s="9" t="s">
        <v>1587</v>
      </c>
      <c r="K1613" s="9">
        <v>1</v>
      </c>
      <c r="L1613" s="9">
        <v>18</v>
      </c>
      <c r="M1613" s="9">
        <v>2006</v>
      </c>
      <c r="O1613" s="9" t="str">
        <f t="shared" si="76"/>
        <v>NO</v>
      </c>
      <c r="P1613" s="9" t="str">
        <f t="shared" si="77"/>
        <v>YES</v>
      </c>
      <c r="Q1613" s="9" t="str">
        <f t="shared" si="78"/>
        <v>Conditioned</v>
      </c>
    </row>
    <row r="1614" spans="1:17">
      <c r="A1614" s="9">
        <v>21787</v>
      </c>
      <c r="B1614" s="9">
        <v>1</v>
      </c>
      <c r="C1614" s="9" t="s">
        <v>1589</v>
      </c>
      <c r="D1614" s="9" t="s">
        <v>1590</v>
      </c>
      <c r="E1614" s="9" t="s">
        <v>1591</v>
      </c>
      <c r="F1614" s="9" t="s">
        <v>1589</v>
      </c>
      <c r="G1614" s="9" t="s">
        <v>1592</v>
      </c>
      <c r="H1614" s="9" t="s">
        <v>1638</v>
      </c>
      <c r="I1614" s="9" t="s">
        <v>3069</v>
      </c>
      <c r="J1614" s="9" t="s">
        <v>1601</v>
      </c>
      <c r="K1614" s="9">
        <v>1</v>
      </c>
      <c r="L1614" s="9">
        <v>22</v>
      </c>
      <c r="M1614" s="9">
        <v>2010</v>
      </c>
      <c r="O1614" s="9" t="str">
        <f t="shared" si="76"/>
        <v>NO</v>
      </c>
      <c r="P1614" s="9" t="str">
        <f t="shared" si="77"/>
        <v>NO</v>
      </c>
      <c r="Q1614" s="9" t="str">
        <f t="shared" si="78"/>
        <v>Conditioned</v>
      </c>
    </row>
    <row r="1615" spans="1:17">
      <c r="A1615" s="9">
        <v>21791</v>
      </c>
      <c r="B1615" s="9">
        <v>1</v>
      </c>
      <c r="C1615" s="9" t="s">
        <v>1589</v>
      </c>
      <c r="D1615" s="9" t="s">
        <v>1590</v>
      </c>
      <c r="E1615" s="9" t="s">
        <v>1613</v>
      </c>
      <c r="F1615" s="9" t="s">
        <v>1603</v>
      </c>
      <c r="G1615" s="9" t="s">
        <v>1592</v>
      </c>
      <c r="H1615" s="9" t="s">
        <v>170</v>
      </c>
      <c r="I1615" s="9" t="s">
        <v>3070</v>
      </c>
      <c r="J1615" s="9" t="s">
        <v>1597</v>
      </c>
      <c r="K1615" s="9">
        <v>1</v>
      </c>
      <c r="L1615" s="9">
        <v>20</v>
      </c>
      <c r="M1615" s="9">
        <v>1999</v>
      </c>
      <c r="O1615" s="9" t="str">
        <f t="shared" si="76"/>
        <v>NO</v>
      </c>
      <c r="P1615" s="9" t="str">
        <f t="shared" si="77"/>
        <v>NO</v>
      </c>
      <c r="Q1615" s="9" t="str">
        <f t="shared" si="78"/>
        <v>Conditioned</v>
      </c>
    </row>
    <row r="1616" spans="1:17">
      <c r="A1616" s="9">
        <v>21791</v>
      </c>
      <c r="B1616" s="9">
        <v>2</v>
      </c>
      <c r="C1616" s="9" t="s">
        <v>1589</v>
      </c>
      <c r="D1616" s="9" t="s">
        <v>1590</v>
      </c>
      <c r="E1616" s="9" t="s">
        <v>1591</v>
      </c>
      <c r="F1616" s="9" t="s">
        <v>1589</v>
      </c>
      <c r="G1616" s="9" t="s">
        <v>1592</v>
      </c>
      <c r="H1616" s="9" t="s">
        <v>1624</v>
      </c>
      <c r="I1616" s="9" t="s">
        <v>1589</v>
      </c>
      <c r="J1616" s="9" t="s">
        <v>1605</v>
      </c>
      <c r="K1616" s="9">
        <v>1</v>
      </c>
      <c r="L1616" s="9">
        <v>14</v>
      </c>
      <c r="M1616" s="9">
        <v>1998</v>
      </c>
      <c r="O1616" s="9" t="str">
        <f t="shared" si="76"/>
        <v>NO</v>
      </c>
      <c r="P1616" s="9" t="str">
        <f t="shared" si="77"/>
        <v>YES</v>
      </c>
      <c r="Q1616" s="9" t="str">
        <f t="shared" si="78"/>
        <v>Conditioned</v>
      </c>
    </row>
    <row r="1617" spans="1:17">
      <c r="A1617" s="9">
        <v>21796</v>
      </c>
      <c r="B1617" s="9">
        <v>1</v>
      </c>
      <c r="C1617" s="9" t="s">
        <v>1589</v>
      </c>
      <c r="D1617" s="9" t="s">
        <v>1590</v>
      </c>
      <c r="E1617" s="9" t="s">
        <v>1591</v>
      </c>
      <c r="F1617" s="9" t="s">
        <v>1589</v>
      </c>
      <c r="G1617" s="9" t="s">
        <v>1592</v>
      </c>
      <c r="H1617" s="9" t="s">
        <v>2246</v>
      </c>
      <c r="I1617" s="9" t="s">
        <v>3071</v>
      </c>
      <c r="J1617" s="9" t="s">
        <v>1605</v>
      </c>
      <c r="K1617" s="9">
        <v>1</v>
      </c>
      <c r="L1617" s="9">
        <v>19</v>
      </c>
      <c r="M1617" s="9">
        <v>2007</v>
      </c>
      <c r="O1617" s="9" t="str">
        <f t="shared" si="76"/>
        <v>NO</v>
      </c>
      <c r="P1617" s="9" t="str">
        <f t="shared" si="77"/>
        <v>YES</v>
      </c>
      <c r="Q1617" s="9" t="str">
        <f t="shared" si="78"/>
        <v>Conditioned</v>
      </c>
    </row>
    <row r="1618" spans="1:17">
      <c r="A1618" s="9">
        <v>21796</v>
      </c>
      <c r="B1618" s="9">
        <v>2</v>
      </c>
      <c r="C1618" s="9" t="s">
        <v>1589</v>
      </c>
      <c r="D1618" s="9" t="s">
        <v>1590</v>
      </c>
      <c r="E1618" s="9" t="s">
        <v>1602</v>
      </c>
      <c r="F1618" s="9" t="s">
        <v>1603</v>
      </c>
      <c r="G1618" s="9" t="s">
        <v>1592</v>
      </c>
      <c r="H1618" s="9" t="s">
        <v>1599</v>
      </c>
      <c r="I1618" s="9" t="s">
        <v>3072</v>
      </c>
      <c r="J1618" s="9" t="s">
        <v>1601</v>
      </c>
      <c r="K1618" s="9">
        <v>1</v>
      </c>
      <c r="L1618" s="9">
        <v>20</v>
      </c>
      <c r="M1618" s="9">
        <v>1995</v>
      </c>
      <c r="O1618" s="9" t="str">
        <f t="shared" si="76"/>
        <v>NO</v>
      </c>
      <c r="P1618" s="9" t="str">
        <f t="shared" si="77"/>
        <v>NO</v>
      </c>
      <c r="Q1618" s="9" t="str">
        <f t="shared" si="78"/>
        <v>Conditioned</v>
      </c>
    </row>
    <row r="1619" spans="1:17">
      <c r="A1619" s="9">
        <v>21799</v>
      </c>
      <c r="B1619" s="9">
        <v>1</v>
      </c>
      <c r="C1619" s="9" t="s">
        <v>1589</v>
      </c>
      <c r="D1619" s="9" t="s">
        <v>1590</v>
      </c>
      <c r="E1619" s="9" t="s">
        <v>1591</v>
      </c>
      <c r="F1619" s="9" t="s">
        <v>1589</v>
      </c>
      <c r="G1619" s="9" t="s">
        <v>1592</v>
      </c>
      <c r="H1619" s="9" t="s">
        <v>170</v>
      </c>
      <c r="I1619" s="9" t="s">
        <v>3073</v>
      </c>
      <c r="J1619" s="9" t="s">
        <v>1610</v>
      </c>
      <c r="K1619" s="9">
        <v>1</v>
      </c>
      <c r="L1619" s="9">
        <v>25</v>
      </c>
      <c r="M1619" s="9">
        <v>2005</v>
      </c>
      <c r="O1619" s="9" t="str">
        <f t="shared" si="76"/>
        <v>NO</v>
      </c>
      <c r="P1619" s="9" t="str">
        <f t="shared" si="77"/>
        <v>NO</v>
      </c>
      <c r="Q1619" s="9" t="str">
        <f t="shared" si="78"/>
        <v>Conditioned</v>
      </c>
    </row>
    <row r="1620" spans="1:17">
      <c r="A1620" s="9">
        <v>21816</v>
      </c>
      <c r="B1620" s="9">
        <v>1</v>
      </c>
      <c r="C1620" s="9" t="s">
        <v>1589</v>
      </c>
      <c r="D1620" s="9" t="s">
        <v>1590</v>
      </c>
      <c r="E1620" s="9" t="s">
        <v>1602</v>
      </c>
      <c r="F1620" s="9" t="s">
        <v>1603</v>
      </c>
      <c r="G1620" s="9" t="s">
        <v>1592</v>
      </c>
      <c r="H1620" s="9" t="s">
        <v>1589</v>
      </c>
      <c r="I1620" s="9" t="s">
        <v>3074</v>
      </c>
      <c r="J1620" s="9" t="s">
        <v>1601</v>
      </c>
      <c r="K1620" s="9">
        <v>1</v>
      </c>
      <c r="L1620" s="9">
        <v>25</v>
      </c>
      <c r="M1620" s="9">
        <v>2007</v>
      </c>
      <c r="O1620" s="9" t="str">
        <f t="shared" si="76"/>
        <v>NO</v>
      </c>
      <c r="P1620" s="9" t="str">
        <f t="shared" si="77"/>
        <v>NO</v>
      </c>
      <c r="Q1620" s="9" t="str">
        <f t="shared" si="78"/>
        <v>Conditioned</v>
      </c>
    </row>
    <row r="1621" spans="1:17">
      <c r="A1621" s="9">
        <v>21818</v>
      </c>
      <c r="B1621" s="9">
        <v>1</v>
      </c>
      <c r="C1621" s="9" t="s">
        <v>1589</v>
      </c>
      <c r="D1621" s="9" t="s">
        <v>1590</v>
      </c>
      <c r="E1621" s="9" t="s">
        <v>1591</v>
      </c>
      <c r="F1621" s="9" t="s">
        <v>1589</v>
      </c>
      <c r="G1621" s="9" t="s">
        <v>1592</v>
      </c>
      <c r="H1621" s="9" t="s">
        <v>173</v>
      </c>
      <c r="I1621" s="9" t="s">
        <v>3075</v>
      </c>
      <c r="J1621" s="9" t="s">
        <v>1597</v>
      </c>
      <c r="K1621" s="9">
        <v>1</v>
      </c>
      <c r="L1621" s="9">
        <v>25</v>
      </c>
      <c r="M1621" s="9">
        <v>1994</v>
      </c>
      <c r="O1621" s="9" t="str">
        <f t="shared" si="76"/>
        <v>NO</v>
      </c>
      <c r="P1621" s="9" t="str">
        <f t="shared" si="77"/>
        <v>NO</v>
      </c>
      <c r="Q1621" s="9" t="str">
        <f t="shared" si="78"/>
        <v>Conditioned</v>
      </c>
    </row>
    <row r="1622" spans="1:17">
      <c r="A1622" s="9">
        <v>21828</v>
      </c>
      <c r="B1622" s="9">
        <v>1</v>
      </c>
      <c r="C1622" s="9" t="s">
        <v>1589</v>
      </c>
      <c r="D1622" s="9" t="s">
        <v>1590</v>
      </c>
      <c r="E1622" s="9" t="s">
        <v>1591</v>
      </c>
      <c r="F1622" s="9" t="s">
        <v>1589</v>
      </c>
      <c r="G1622" s="9" t="s">
        <v>1592</v>
      </c>
      <c r="H1622" s="9" t="s">
        <v>170</v>
      </c>
      <c r="I1622" s="9" t="s">
        <v>3076</v>
      </c>
      <c r="J1622" s="9" t="s">
        <v>1597</v>
      </c>
      <c r="K1622" s="9">
        <v>1</v>
      </c>
      <c r="L1622" s="9">
        <v>21</v>
      </c>
      <c r="M1622" s="9">
        <v>2002</v>
      </c>
      <c r="O1622" s="9" t="str">
        <f t="shared" si="76"/>
        <v>NO</v>
      </c>
      <c r="P1622" s="9" t="str">
        <f t="shared" si="77"/>
        <v>NO</v>
      </c>
      <c r="Q1622" s="9" t="str">
        <f t="shared" si="78"/>
        <v>Conditioned</v>
      </c>
    </row>
    <row r="1623" spans="1:17">
      <c r="A1623" s="9">
        <v>21828</v>
      </c>
      <c r="B1623" s="9">
        <v>2</v>
      </c>
      <c r="C1623" s="9" t="s">
        <v>1589</v>
      </c>
      <c r="D1623" s="9" t="s">
        <v>1590</v>
      </c>
      <c r="E1623" s="9" t="s">
        <v>1591</v>
      </c>
      <c r="F1623" s="9" t="s">
        <v>1589</v>
      </c>
      <c r="G1623" s="9" t="s">
        <v>1606</v>
      </c>
      <c r="H1623" s="9" t="s">
        <v>1900</v>
      </c>
      <c r="I1623" s="9" t="s">
        <v>3077</v>
      </c>
      <c r="J1623" s="9" t="s">
        <v>1597</v>
      </c>
      <c r="K1623" s="9">
        <v>1</v>
      </c>
      <c r="L1623" s="9">
        <v>19</v>
      </c>
      <c r="M1623" s="9">
        <v>2000</v>
      </c>
      <c r="O1623" s="9" t="str">
        <f t="shared" ref="O1623:O1686" si="79">IF(L1623&lt;7.75,"YES","NO")</f>
        <v>NO</v>
      </c>
      <c r="P1623" s="9" t="str">
        <f t="shared" ref="P1623:P1686" si="80">VLOOKUP(J1623,$Z$21:$AA$27,2,FALSE)</f>
        <v>NO</v>
      </c>
      <c r="Q1623" s="9" t="str">
        <f t="shared" ref="Q1623:Q1686" si="81">G1623</f>
        <v>Unconditioned</v>
      </c>
    </row>
    <row r="1624" spans="1:17">
      <c r="A1624" s="9">
        <v>21828</v>
      </c>
      <c r="B1624" s="9">
        <v>3</v>
      </c>
      <c r="C1624" s="9" t="s">
        <v>1589</v>
      </c>
      <c r="D1624" s="9" t="s">
        <v>1590</v>
      </c>
      <c r="E1624" s="9" t="s">
        <v>1591</v>
      </c>
      <c r="F1624" s="9" t="s">
        <v>1589</v>
      </c>
      <c r="G1624" s="9" t="s">
        <v>1606</v>
      </c>
      <c r="H1624" s="9" t="s">
        <v>1972</v>
      </c>
      <c r="I1624" s="9" t="s">
        <v>1589</v>
      </c>
      <c r="J1624" s="9" t="s">
        <v>1605</v>
      </c>
      <c r="K1624" s="9">
        <v>1</v>
      </c>
      <c r="L1624" s="9">
        <v>20</v>
      </c>
      <c r="M1624" s="9">
        <v>1985</v>
      </c>
      <c r="O1624" s="9" t="str">
        <f t="shared" si="79"/>
        <v>NO</v>
      </c>
      <c r="P1624" s="9" t="str">
        <f t="shared" si="80"/>
        <v>YES</v>
      </c>
      <c r="Q1624" s="9" t="str">
        <f t="shared" si="81"/>
        <v>Unconditioned</v>
      </c>
    </row>
    <row r="1625" spans="1:17">
      <c r="A1625" s="9">
        <v>21831</v>
      </c>
      <c r="B1625" s="9">
        <v>1</v>
      </c>
      <c r="C1625" s="9" t="s">
        <v>1589</v>
      </c>
      <c r="D1625" s="9" t="s">
        <v>1590</v>
      </c>
      <c r="E1625" s="9" t="s">
        <v>1591</v>
      </c>
      <c r="F1625" s="9" t="s">
        <v>1589</v>
      </c>
      <c r="G1625" s="9" t="s">
        <v>1592</v>
      </c>
      <c r="H1625" s="9" t="s">
        <v>172</v>
      </c>
      <c r="I1625" s="9" t="s">
        <v>3078</v>
      </c>
      <c r="J1625" s="9" t="s">
        <v>1601</v>
      </c>
      <c r="K1625" s="9">
        <v>1</v>
      </c>
      <c r="L1625" s="9">
        <v>20</v>
      </c>
      <c r="M1625" s="9">
        <v>1990</v>
      </c>
      <c r="O1625" s="9" t="str">
        <f t="shared" si="79"/>
        <v>NO</v>
      </c>
      <c r="P1625" s="9" t="str">
        <f t="shared" si="80"/>
        <v>NO</v>
      </c>
      <c r="Q1625" s="9" t="str">
        <f t="shared" si="81"/>
        <v>Conditioned</v>
      </c>
    </row>
    <row r="1626" spans="1:17">
      <c r="A1626" s="9">
        <v>21856</v>
      </c>
      <c r="B1626" s="9">
        <v>1</v>
      </c>
      <c r="C1626" s="9" t="s">
        <v>1589</v>
      </c>
      <c r="D1626" s="9" t="s">
        <v>1590</v>
      </c>
      <c r="E1626" s="9" t="s">
        <v>1591</v>
      </c>
      <c r="F1626" s="9" t="s">
        <v>1589</v>
      </c>
      <c r="G1626" s="9" t="s">
        <v>1592</v>
      </c>
      <c r="H1626" s="9" t="s">
        <v>174</v>
      </c>
      <c r="I1626" s="9" t="s">
        <v>3079</v>
      </c>
      <c r="J1626" s="9" t="s">
        <v>1597</v>
      </c>
      <c r="K1626" s="9">
        <v>1</v>
      </c>
      <c r="L1626" s="9">
        <v>23</v>
      </c>
      <c r="M1626" s="9">
        <v>2002</v>
      </c>
      <c r="O1626" s="9" t="str">
        <f t="shared" si="79"/>
        <v>NO</v>
      </c>
      <c r="P1626" s="9" t="str">
        <f t="shared" si="80"/>
        <v>NO</v>
      </c>
      <c r="Q1626" s="9" t="str">
        <f t="shared" si="81"/>
        <v>Conditioned</v>
      </c>
    </row>
    <row r="1627" spans="1:17">
      <c r="A1627" s="9">
        <v>21862</v>
      </c>
      <c r="B1627" s="9">
        <v>1</v>
      </c>
      <c r="C1627" s="9" t="s">
        <v>1589</v>
      </c>
      <c r="D1627" s="9" t="s">
        <v>1590</v>
      </c>
      <c r="E1627" s="9" t="s">
        <v>1602</v>
      </c>
      <c r="F1627" s="9" t="s">
        <v>1603</v>
      </c>
      <c r="G1627" s="9" t="s">
        <v>1592</v>
      </c>
      <c r="H1627" s="9" t="s">
        <v>170</v>
      </c>
      <c r="I1627" s="9" t="s">
        <v>3080</v>
      </c>
      <c r="J1627" s="9" t="s">
        <v>1610</v>
      </c>
      <c r="K1627" s="9">
        <v>1</v>
      </c>
      <c r="L1627" s="9">
        <v>25</v>
      </c>
      <c r="M1627" s="9">
        <v>2007</v>
      </c>
      <c r="O1627" s="9" t="str">
        <f t="shared" si="79"/>
        <v>NO</v>
      </c>
      <c r="P1627" s="9" t="str">
        <f t="shared" si="80"/>
        <v>NO</v>
      </c>
      <c r="Q1627" s="9" t="str">
        <f t="shared" si="81"/>
        <v>Conditioned</v>
      </c>
    </row>
    <row r="1628" spans="1:17">
      <c r="A1628" s="9">
        <v>21862</v>
      </c>
      <c r="B1628" s="9">
        <v>2</v>
      </c>
      <c r="C1628" s="9" t="s">
        <v>1589</v>
      </c>
      <c r="D1628" s="9" t="s">
        <v>1590</v>
      </c>
      <c r="E1628" s="9" t="s">
        <v>1602</v>
      </c>
      <c r="F1628" s="9" t="s">
        <v>1603</v>
      </c>
      <c r="G1628" s="9" t="s">
        <v>1592</v>
      </c>
      <c r="H1628" s="9" t="s">
        <v>169</v>
      </c>
      <c r="I1628" s="9" t="s">
        <v>3081</v>
      </c>
      <c r="J1628" s="9" t="s">
        <v>1601</v>
      </c>
      <c r="K1628" s="9">
        <v>1</v>
      </c>
      <c r="L1628" s="9">
        <v>26</v>
      </c>
      <c r="M1628" s="9">
        <v>2003</v>
      </c>
      <c r="O1628" s="9" t="str">
        <f t="shared" si="79"/>
        <v>NO</v>
      </c>
      <c r="P1628" s="9" t="str">
        <f t="shared" si="80"/>
        <v>NO</v>
      </c>
      <c r="Q1628" s="9" t="str">
        <f t="shared" si="81"/>
        <v>Conditioned</v>
      </c>
    </row>
    <row r="1629" spans="1:17">
      <c r="A1629" s="9">
        <v>21877</v>
      </c>
      <c r="B1629" s="9">
        <v>1</v>
      </c>
      <c r="C1629" s="9" t="s">
        <v>1589</v>
      </c>
      <c r="D1629" s="9" t="s">
        <v>1603</v>
      </c>
      <c r="E1629" s="9" t="s">
        <v>1602</v>
      </c>
      <c r="F1629" s="9" t="s">
        <v>1603</v>
      </c>
      <c r="G1629" s="9" t="s">
        <v>1592</v>
      </c>
      <c r="H1629" s="9" t="s">
        <v>1599</v>
      </c>
      <c r="I1629" s="9" t="s">
        <v>3082</v>
      </c>
      <c r="J1629" s="9" t="s">
        <v>1601</v>
      </c>
      <c r="K1629" s="9">
        <v>1</v>
      </c>
      <c r="L1629" s="9">
        <v>25</v>
      </c>
      <c r="M1629" s="9">
        <v>2003</v>
      </c>
      <c r="O1629" s="9" t="str">
        <f t="shared" si="79"/>
        <v>NO</v>
      </c>
      <c r="P1629" s="9" t="str">
        <f t="shared" si="80"/>
        <v>NO</v>
      </c>
      <c r="Q1629" s="9" t="str">
        <f t="shared" si="81"/>
        <v>Conditioned</v>
      </c>
    </row>
    <row r="1630" spans="1:17">
      <c r="A1630" s="9">
        <v>21881</v>
      </c>
      <c r="B1630" s="9">
        <v>1</v>
      </c>
      <c r="C1630" s="9" t="s">
        <v>1589</v>
      </c>
      <c r="D1630" s="9" t="s">
        <v>1603</v>
      </c>
      <c r="E1630" s="9" t="s">
        <v>1602</v>
      </c>
      <c r="F1630" s="9" t="s">
        <v>1603</v>
      </c>
      <c r="G1630" s="9" t="s">
        <v>1592</v>
      </c>
      <c r="H1630" s="9" t="s">
        <v>177</v>
      </c>
      <c r="I1630" s="9" t="s">
        <v>3083</v>
      </c>
      <c r="J1630" s="9" t="s">
        <v>1601</v>
      </c>
      <c r="K1630" s="9">
        <v>0.75</v>
      </c>
      <c r="L1630" s="9">
        <v>23</v>
      </c>
      <c r="M1630" s="9">
        <v>2007</v>
      </c>
      <c r="O1630" s="9" t="str">
        <f t="shared" si="79"/>
        <v>NO</v>
      </c>
      <c r="P1630" s="9" t="str">
        <f t="shared" si="80"/>
        <v>NO</v>
      </c>
      <c r="Q1630" s="9" t="str">
        <f t="shared" si="81"/>
        <v>Conditioned</v>
      </c>
    </row>
    <row r="1631" spans="1:17">
      <c r="A1631" s="9">
        <v>21881</v>
      </c>
      <c r="B1631" s="9">
        <v>2</v>
      </c>
      <c r="C1631" s="9" t="s">
        <v>1589</v>
      </c>
      <c r="D1631" s="9" t="s">
        <v>1590</v>
      </c>
      <c r="E1631" s="9" t="s">
        <v>1591</v>
      </c>
      <c r="F1631" s="9" t="s">
        <v>1589</v>
      </c>
      <c r="G1631" s="9" t="s">
        <v>1606</v>
      </c>
      <c r="H1631" s="9" t="s">
        <v>177</v>
      </c>
      <c r="I1631" s="9" t="s">
        <v>1589</v>
      </c>
      <c r="J1631" s="9" t="s">
        <v>1608</v>
      </c>
      <c r="K1631" s="9">
        <v>1</v>
      </c>
      <c r="L1631" s="9">
        <v>25</v>
      </c>
      <c r="O1631" s="9" t="str">
        <f t="shared" si="79"/>
        <v>NO</v>
      </c>
      <c r="P1631" s="9" t="str">
        <f t="shared" si="80"/>
        <v>NO</v>
      </c>
      <c r="Q1631" s="9" t="str">
        <f t="shared" si="81"/>
        <v>Unconditioned</v>
      </c>
    </row>
    <row r="1632" spans="1:17">
      <c r="A1632" s="9">
        <v>21881</v>
      </c>
      <c r="B1632" s="9">
        <v>3</v>
      </c>
      <c r="C1632" s="9" t="s">
        <v>1589</v>
      </c>
      <c r="D1632" s="9" t="s">
        <v>1590</v>
      </c>
      <c r="E1632" s="9" t="s">
        <v>1591</v>
      </c>
      <c r="F1632" s="9" t="s">
        <v>1589</v>
      </c>
      <c r="G1632" s="9" t="s">
        <v>1592</v>
      </c>
      <c r="H1632" s="9" t="s">
        <v>3084</v>
      </c>
      <c r="I1632" s="9" t="s">
        <v>1589</v>
      </c>
      <c r="J1632" s="9" t="s">
        <v>1587</v>
      </c>
      <c r="K1632" s="9">
        <v>0.75</v>
      </c>
      <c r="L1632" s="9">
        <v>12</v>
      </c>
      <c r="O1632" s="9" t="str">
        <f t="shared" si="79"/>
        <v>NO</v>
      </c>
      <c r="P1632" s="9" t="str">
        <f t="shared" si="80"/>
        <v>YES</v>
      </c>
      <c r="Q1632" s="9" t="str">
        <f t="shared" si="81"/>
        <v>Conditioned</v>
      </c>
    </row>
    <row r="1633" spans="1:17">
      <c r="A1633" s="9">
        <v>21883</v>
      </c>
      <c r="B1633" s="9">
        <v>1</v>
      </c>
      <c r="C1633" s="9" t="s">
        <v>1589</v>
      </c>
      <c r="D1633" s="9" t="s">
        <v>1590</v>
      </c>
      <c r="E1633" s="9" t="s">
        <v>1591</v>
      </c>
      <c r="F1633" s="9" t="s">
        <v>1589</v>
      </c>
      <c r="G1633" s="9" t="s">
        <v>1592</v>
      </c>
      <c r="H1633" s="9" t="s">
        <v>1638</v>
      </c>
      <c r="I1633" s="9" t="s">
        <v>3085</v>
      </c>
      <c r="J1633" s="9" t="s">
        <v>1597</v>
      </c>
      <c r="K1633" s="9">
        <v>1</v>
      </c>
      <c r="L1633" s="9">
        <v>23</v>
      </c>
      <c r="M1633" s="9">
        <v>1992</v>
      </c>
      <c r="O1633" s="9" t="str">
        <f t="shared" si="79"/>
        <v>NO</v>
      </c>
      <c r="P1633" s="9" t="str">
        <f t="shared" si="80"/>
        <v>NO</v>
      </c>
      <c r="Q1633" s="9" t="str">
        <f t="shared" si="81"/>
        <v>Conditioned</v>
      </c>
    </row>
    <row r="1634" spans="1:17">
      <c r="A1634" s="9">
        <v>21883</v>
      </c>
      <c r="B1634" s="9">
        <v>2</v>
      </c>
      <c r="C1634" s="9" t="s">
        <v>1589</v>
      </c>
      <c r="D1634" s="9" t="s">
        <v>1590</v>
      </c>
      <c r="E1634" s="9" t="s">
        <v>1591</v>
      </c>
      <c r="F1634" s="9" t="s">
        <v>1589</v>
      </c>
      <c r="G1634" s="9" t="s">
        <v>1592</v>
      </c>
      <c r="H1634" s="9" t="s">
        <v>1624</v>
      </c>
      <c r="I1634" s="9" t="s">
        <v>1589</v>
      </c>
      <c r="J1634" s="9" t="s">
        <v>1587</v>
      </c>
      <c r="K1634" s="9">
        <v>1</v>
      </c>
      <c r="L1634" s="9">
        <v>30</v>
      </c>
      <c r="M1634" s="9">
        <v>1980</v>
      </c>
      <c r="O1634" s="9" t="str">
        <f t="shared" si="79"/>
        <v>NO</v>
      </c>
      <c r="P1634" s="9" t="str">
        <f t="shared" si="80"/>
        <v>YES</v>
      </c>
      <c r="Q1634" s="9" t="str">
        <f t="shared" si="81"/>
        <v>Conditioned</v>
      </c>
    </row>
    <row r="1635" spans="1:17">
      <c r="A1635" s="9">
        <v>21888</v>
      </c>
      <c r="B1635" s="9">
        <v>1</v>
      </c>
      <c r="C1635" s="9" t="s">
        <v>1589</v>
      </c>
      <c r="D1635" s="9" t="s">
        <v>1590</v>
      </c>
      <c r="E1635" s="9" t="s">
        <v>1591</v>
      </c>
      <c r="F1635" s="9" t="s">
        <v>1589</v>
      </c>
      <c r="G1635" s="9" t="s">
        <v>1592</v>
      </c>
      <c r="H1635" s="9" t="s">
        <v>174</v>
      </c>
      <c r="I1635" s="9" t="s">
        <v>3086</v>
      </c>
      <c r="J1635" s="9" t="s">
        <v>1597</v>
      </c>
      <c r="K1635" s="9">
        <v>1</v>
      </c>
      <c r="L1635" s="9">
        <v>19</v>
      </c>
      <c r="M1635" s="9">
        <v>1993</v>
      </c>
      <c r="O1635" s="9" t="str">
        <f t="shared" si="79"/>
        <v>NO</v>
      </c>
      <c r="P1635" s="9" t="str">
        <f t="shared" si="80"/>
        <v>NO</v>
      </c>
      <c r="Q1635" s="9" t="str">
        <f t="shared" si="81"/>
        <v>Conditioned</v>
      </c>
    </row>
    <row r="1636" spans="1:17">
      <c r="A1636" s="9">
        <v>21888</v>
      </c>
      <c r="B1636" s="9">
        <v>2</v>
      </c>
      <c r="C1636" s="9" t="s">
        <v>3087</v>
      </c>
      <c r="D1636" s="9" t="s">
        <v>1590</v>
      </c>
      <c r="E1636" s="9" t="s">
        <v>1591</v>
      </c>
      <c r="F1636" s="9" t="s">
        <v>1589</v>
      </c>
      <c r="G1636" s="9" t="s">
        <v>1606</v>
      </c>
      <c r="H1636" s="9" t="s">
        <v>169</v>
      </c>
      <c r="I1636" s="9" t="s">
        <v>1589</v>
      </c>
      <c r="J1636" s="9" t="s">
        <v>1587</v>
      </c>
      <c r="K1636" s="9">
        <v>1</v>
      </c>
      <c r="L1636" s="9">
        <v>14</v>
      </c>
      <c r="O1636" s="9" t="str">
        <f t="shared" si="79"/>
        <v>NO</v>
      </c>
      <c r="P1636" s="9" t="str">
        <f t="shared" si="80"/>
        <v>YES</v>
      </c>
      <c r="Q1636" s="9" t="str">
        <f t="shared" si="81"/>
        <v>Unconditioned</v>
      </c>
    </row>
    <row r="1637" spans="1:17">
      <c r="A1637" s="9">
        <v>21889</v>
      </c>
      <c r="B1637" s="9">
        <v>1</v>
      </c>
      <c r="C1637" s="9" t="s">
        <v>1589</v>
      </c>
      <c r="D1637" s="9" t="s">
        <v>1590</v>
      </c>
      <c r="E1637" s="9" t="s">
        <v>1602</v>
      </c>
      <c r="F1637" s="9" t="s">
        <v>1603</v>
      </c>
      <c r="G1637" s="9" t="s">
        <v>1592</v>
      </c>
      <c r="H1637" s="9" t="s">
        <v>170</v>
      </c>
      <c r="I1637" s="9" t="s">
        <v>3088</v>
      </c>
      <c r="J1637" s="9" t="s">
        <v>1601</v>
      </c>
      <c r="K1637" s="9">
        <v>1</v>
      </c>
      <c r="L1637" s="9">
        <v>23</v>
      </c>
      <c r="M1637" s="9">
        <v>2006</v>
      </c>
      <c r="O1637" s="9" t="str">
        <f t="shared" si="79"/>
        <v>NO</v>
      </c>
      <c r="P1637" s="9" t="str">
        <f t="shared" si="80"/>
        <v>NO</v>
      </c>
      <c r="Q1637" s="9" t="str">
        <f t="shared" si="81"/>
        <v>Conditioned</v>
      </c>
    </row>
    <row r="1638" spans="1:17">
      <c r="A1638" s="9">
        <v>21889</v>
      </c>
      <c r="B1638" s="9">
        <v>2</v>
      </c>
      <c r="C1638" s="9" t="s">
        <v>1589</v>
      </c>
      <c r="D1638" s="9" t="s">
        <v>1590</v>
      </c>
      <c r="E1638" s="9" t="s">
        <v>1591</v>
      </c>
      <c r="F1638" s="9" t="s">
        <v>1589</v>
      </c>
      <c r="G1638" s="9" t="s">
        <v>1606</v>
      </c>
      <c r="H1638" s="9" t="s">
        <v>177</v>
      </c>
      <c r="I1638" s="9" t="s">
        <v>3089</v>
      </c>
      <c r="J1638" s="9" t="s">
        <v>1605</v>
      </c>
      <c r="K1638" s="9">
        <v>1</v>
      </c>
      <c r="L1638" s="9">
        <v>13</v>
      </c>
      <c r="M1638" s="9">
        <v>1999</v>
      </c>
      <c r="O1638" s="9" t="str">
        <f t="shared" si="79"/>
        <v>NO</v>
      </c>
      <c r="P1638" s="9" t="str">
        <f t="shared" si="80"/>
        <v>YES</v>
      </c>
      <c r="Q1638" s="9" t="str">
        <f t="shared" si="81"/>
        <v>Unconditioned</v>
      </c>
    </row>
    <row r="1639" spans="1:17">
      <c r="A1639" s="9">
        <v>21896</v>
      </c>
      <c r="B1639" s="9">
        <v>1</v>
      </c>
      <c r="C1639" s="9" t="s">
        <v>1589</v>
      </c>
      <c r="D1639" s="9" t="s">
        <v>1603</v>
      </c>
      <c r="E1639" s="9" t="s">
        <v>1613</v>
      </c>
      <c r="F1639" s="9" t="s">
        <v>1603</v>
      </c>
      <c r="G1639" s="9" t="s">
        <v>1592</v>
      </c>
      <c r="H1639" s="9" t="s">
        <v>173</v>
      </c>
      <c r="I1639" s="9" t="s">
        <v>3090</v>
      </c>
      <c r="J1639" s="9" t="s">
        <v>1608</v>
      </c>
      <c r="K1639" s="9">
        <v>1</v>
      </c>
      <c r="L1639" s="9">
        <v>26</v>
      </c>
      <c r="M1639" s="9">
        <v>2011</v>
      </c>
      <c r="O1639" s="9" t="str">
        <f t="shared" si="79"/>
        <v>NO</v>
      </c>
      <c r="P1639" s="9" t="str">
        <f t="shared" si="80"/>
        <v>NO</v>
      </c>
      <c r="Q1639" s="9" t="str">
        <f t="shared" si="81"/>
        <v>Conditioned</v>
      </c>
    </row>
    <row r="1640" spans="1:17">
      <c r="A1640" s="9">
        <v>21898</v>
      </c>
      <c r="B1640" s="9">
        <v>1</v>
      </c>
      <c r="C1640" s="9" t="s">
        <v>1589</v>
      </c>
      <c r="D1640" s="9" t="s">
        <v>1590</v>
      </c>
      <c r="E1640" s="9" t="s">
        <v>1602</v>
      </c>
      <c r="F1640" s="9" t="s">
        <v>1603</v>
      </c>
      <c r="G1640" s="9" t="s">
        <v>1592</v>
      </c>
      <c r="H1640" s="9" t="s">
        <v>1638</v>
      </c>
      <c r="I1640" s="9" t="s">
        <v>3091</v>
      </c>
      <c r="J1640" s="9" t="s">
        <v>1601</v>
      </c>
      <c r="K1640" s="9">
        <v>1</v>
      </c>
      <c r="L1640" s="9">
        <v>21</v>
      </c>
      <c r="M1640" s="9">
        <v>1979</v>
      </c>
      <c r="O1640" s="9" t="str">
        <f t="shared" si="79"/>
        <v>NO</v>
      </c>
      <c r="P1640" s="9" t="str">
        <f t="shared" si="80"/>
        <v>NO</v>
      </c>
      <c r="Q1640" s="9" t="str">
        <f t="shared" si="81"/>
        <v>Conditioned</v>
      </c>
    </row>
    <row r="1641" spans="1:17">
      <c r="A1641" s="9">
        <v>21899</v>
      </c>
      <c r="B1641" s="9">
        <v>1</v>
      </c>
      <c r="C1641" s="9" t="s">
        <v>1589</v>
      </c>
      <c r="D1641" s="9" t="s">
        <v>1590</v>
      </c>
      <c r="E1641" s="9" t="s">
        <v>1613</v>
      </c>
      <c r="F1641" s="9" t="s">
        <v>1603</v>
      </c>
      <c r="G1641" s="9" t="s">
        <v>1592</v>
      </c>
      <c r="H1641" s="9" t="s">
        <v>1638</v>
      </c>
      <c r="I1641" s="9" t="s">
        <v>3092</v>
      </c>
      <c r="J1641" s="9" t="s">
        <v>1608</v>
      </c>
      <c r="K1641" s="9">
        <v>1</v>
      </c>
      <c r="L1641" s="9">
        <v>26</v>
      </c>
      <c r="M1641" s="9">
        <v>2007</v>
      </c>
      <c r="O1641" s="9" t="str">
        <f t="shared" si="79"/>
        <v>NO</v>
      </c>
      <c r="P1641" s="9" t="str">
        <f t="shared" si="80"/>
        <v>NO</v>
      </c>
      <c r="Q1641" s="9" t="str">
        <f t="shared" si="81"/>
        <v>Conditioned</v>
      </c>
    </row>
    <row r="1642" spans="1:17">
      <c r="A1642" s="9">
        <v>21899</v>
      </c>
      <c r="B1642" s="9">
        <v>2</v>
      </c>
      <c r="C1642" s="9" t="s">
        <v>1589</v>
      </c>
      <c r="D1642" s="9" t="s">
        <v>1590</v>
      </c>
      <c r="E1642" s="9" t="s">
        <v>1591</v>
      </c>
      <c r="F1642" s="9" t="s">
        <v>1589</v>
      </c>
      <c r="G1642" s="9" t="s">
        <v>1592</v>
      </c>
      <c r="H1642" s="9" t="s">
        <v>177</v>
      </c>
      <c r="I1642" s="9" t="s">
        <v>3093</v>
      </c>
      <c r="J1642" s="9" t="s">
        <v>1597</v>
      </c>
      <c r="K1642" s="9">
        <v>1</v>
      </c>
      <c r="L1642" s="9">
        <v>16</v>
      </c>
      <c r="M1642" s="9">
        <v>2005</v>
      </c>
      <c r="O1642" s="9" t="str">
        <f t="shared" si="79"/>
        <v>NO</v>
      </c>
      <c r="P1642" s="9" t="str">
        <f t="shared" si="80"/>
        <v>NO</v>
      </c>
      <c r="Q1642" s="9" t="str">
        <f t="shared" si="81"/>
        <v>Conditioned</v>
      </c>
    </row>
    <row r="1643" spans="1:17">
      <c r="A1643" s="9">
        <v>21905</v>
      </c>
      <c r="B1643" s="9">
        <v>1</v>
      </c>
      <c r="C1643" s="9" t="s">
        <v>1589</v>
      </c>
      <c r="D1643" s="9" t="s">
        <v>1590</v>
      </c>
      <c r="E1643" s="9" t="s">
        <v>1591</v>
      </c>
      <c r="F1643" s="9" t="s">
        <v>1589</v>
      </c>
      <c r="G1643" s="9" t="s">
        <v>1592</v>
      </c>
      <c r="H1643" s="9" t="s">
        <v>173</v>
      </c>
      <c r="I1643" s="9" t="s">
        <v>3094</v>
      </c>
      <c r="J1643" s="9" t="s">
        <v>1608</v>
      </c>
      <c r="K1643" s="9">
        <v>1</v>
      </c>
      <c r="L1643" s="9">
        <v>25</v>
      </c>
      <c r="M1643" s="9">
        <v>1995</v>
      </c>
      <c r="O1643" s="9" t="str">
        <f t="shared" si="79"/>
        <v>NO</v>
      </c>
      <c r="P1643" s="9" t="str">
        <f t="shared" si="80"/>
        <v>NO</v>
      </c>
      <c r="Q1643" s="9" t="str">
        <f t="shared" si="81"/>
        <v>Conditioned</v>
      </c>
    </row>
    <row r="1644" spans="1:17">
      <c r="A1644" s="9">
        <v>21905</v>
      </c>
      <c r="B1644" s="9">
        <v>2</v>
      </c>
      <c r="C1644" s="9" t="s">
        <v>3095</v>
      </c>
      <c r="D1644" s="9" t="s">
        <v>1590</v>
      </c>
      <c r="E1644" s="9" t="s">
        <v>1591</v>
      </c>
      <c r="F1644" s="9" t="s">
        <v>1589</v>
      </c>
      <c r="G1644" s="9" t="s">
        <v>1606</v>
      </c>
      <c r="H1644" s="9" t="s">
        <v>169</v>
      </c>
      <c r="I1644" s="9" t="s">
        <v>1589</v>
      </c>
      <c r="J1644" s="9" t="s">
        <v>1587</v>
      </c>
      <c r="K1644" s="9">
        <v>1</v>
      </c>
      <c r="L1644" s="9">
        <v>20</v>
      </c>
      <c r="O1644" s="9" t="str">
        <f t="shared" si="79"/>
        <v>NO</v>
      </c>
      <c r="P1644" s="9" t="str">
        <f t="shared" si="80"/>
        <v>YES</v>
      </c>
      <c r="Q1644" s="9" t="str">
        <f t="shared" si="81"/>
        <v>Unconditioned</v>
      </c>
    </row>
    <row r="1645" spans="1:17">
      <c r="A1645" s="9">
        <v>21906</v>
      </c>
      <c r="B1645" s="9">
        <v>1</v>
      </c>
      <c r="C1645" s="9" t="s">
        <v>1589</v>
      </c>
      <c r="D1645" s="9" t="s">
        <v>1590</v>
      </c>
      <c r="E1645" s="9" t="s">
        <v>1602</v>
      </c>
      <c r="F1645" s="9" t="s">
        <v>1590</v>
      </c>
      <c r="G1645" s="9" t="s">
        <v>1592</v>
      </c>
      <c r="H1645" s="9" t="s">
        <v>169</v>
      </c>
      <c r="I1645" s="9" t="s">
        <v>3096</v>
      </c>
      <c r="J1645" s="9" t="s">
        <v>1601</v>
      </c>
      <c r="K1645" s="9">
        <v>1</v>
      </c>
      <c r="L1645" s="9">
        <v>27</v>
      </c>
      <c r="M1645" s="9">
        <v>1997</v>
      </c>
      <c r="O1645" s="9" t="str">
        <f t="shared" si="79"/>
        <v>NO</v>
      </c>
      <c r="P1645" s="9" t="str">
        <f t="shared" si="80"/>
        <v>NO</v>
      </c>
      <c r="Q1645" s="9" t="str">
        <f t="shared" si="81"/>
        <v>Conditioned</v>
      </c>
    </row>
    <row r="1646" spans="1:17">
      <c r="A1646" s="9">
        <v>21914</v>
      </c>
      <c r="B1646" s="9">
        <v>1</v>
      </c>
      <c r="C1646" s="9" t="s">
        <v>1589</v>
      </c>
      <c r="D1646" s="9" t="s">
        <v>1590</v>
      </c>
      <c r="E1646" s="9" t="s">
        <v>1591</v>
      </c>
      <c r="F1646" s="9" t="s">
        <v>1589</v>
      </c>
      <c r="G1646" s="9" t="s">
        <v>1592</v>
      </c>
      <c r="H1646" s="9" t="s">
        <v>177</v>
      </c>
      <c r="I1646" s="9" t="s">
        <v>3097</v>
      </c>
      <c r="J1646" s="9" t="s">
        <v>1605</v>
      </c>
      <c r="K1646" s="9">
        <v>1</v>
      </c>
      <c r="L1646" s="9">
        <v>20</v>
      </c>
      <c r="M1646" s="9">
        <v>1999</v>
      </c>
      <c r="O1646" s="9" t="str">
        <f t="shared" si="79"/>
        <v>NO</v>
      </c>
      <c r="P1646" s="9" t="str">
        <f t="shared" si="80"/>
        <v>YES</v>
      </c>
      <c r="Q1646" s="9" t="str">
        <f t="shared" si="81"/>
        <v>Conditioned</v>
      </c>
    </row>
    <row r="1647" spans="1:17">
      <c r="A1647" s="9">
        <v>21914</v>
      </c>
      <c r="B1647" s="9">
        <v>2</v>
      </c>
      <c r="C1647" s="9" t="s">
        <v>1589</v>
      </c>
      <c r="D1647" s="9" t="s">
        <v>1590</v>
      </c>
      <c r="E1647" s="9" t="s">
        <v>1613</v>
      </c>
      <c r="F1647" s="9" t="s">
        <v>1603</v>
      </c>
      <c r="G1647" s="9" t="s">
        <v>1592</v>
      </c>
      <c r="H1647" s="9" t="s">
        <v>1599</v>
      </c>
      <c r="I1647" s="9" t="s">
        <v>1589</v>
      </c>
      <c r="J1647" s="9" t="s">
        <v>1601</v>
      </c>
      <c r="K1647" s="9">
        <v>1</v>
      </c>
      <c r="L1647" s="9">
        <v>36</v>
      </c>
      <c r="M1647" s="9">
        <v>1998</v>
      </c>
      <c r="O1647" s="9" t="str">
        <f t="shared" si="79"/>
        <v>NO</v>
      </c>
      <c r="P1647" s="9" t="str">
        <f t="shared" si="80"/>
        <v>NO</v>
      </c>
      <c r="Q1647" s="9" t="str">
        <f t="shared" si="81"/>
        <v>Conditioned</v>
      </c>
    </row>
    <row r="1648" spans="1:17">
      <c r="A1648" s="9">
        <v>21922</v>
      </c>
      <c r="B1648" s="9">
        <v>1</v>
      </c>
      <c r="C1648" s="9" t="s">
        <v>1589</v>
      </c>
      <c r="D1648" s="9" t="s">
        <v>1603</v>
      </c>
      <c r="E1648" s="9" t="s">
        <v>1602</v>
      </c>
      <c r="F1648" s="9" t="s">
        <v>1603</v>
      </c>
      <c r="G1648" s="9" t="s">
        <v>1592</v>
      </c>
      <c r="H1648" s="9" t="s">
        <v>176</v>
      </c>
      <c r="I1648" s="9" t="s">
        <v>3098</v>
      </c>
      <c r="J1648" s="9" t="s">
        <v>1610</v>
      </c>
      <c r="K1648" s="9">
        <v>1</v>
      </c>
      <c r="L1648" s="9">
        <v>26</v>
      </c>
      <c r="M1648" s="9">
        <v>2008</v>
      </c>
      <c r="O1648" s="9" t="str">
        <f t="shared" si="79"/>
        <v>NO</v>
      </c>
      <c r="P1648" s="9" t="str">
        <f t="shared" si="80"/>
        <v>NO</v>
      </c>
      <c r="Q1648" s="9" t="str">
        <f t="shared" si="81"/>
        <v>Conditioned</v>
      </c>
    </row>
    <row r="1649" spans="1:17">
      <c r="A1649" s="9">
        <v>21934</v>
      </c>
      <c r="B1649" s="9">
        <v>1</v>
      </c>
      <c r="C1649" s="9" t="s">
        <v>1589</v>
      </c>
      <c r="D1649" s="9" t="s">
        <v>1590</v>
      </c>
      <c r="E1649" s="9" t="s">
        <v>1591</v>
      </c>
      <c r="F1649" s="9" t="s">
        <v>1589</v>
      </c>
      <c r="G1649" s="9" t="s">
        <v>1592</v>
      </c>
      <c r="H1649" s="9" t="s">
        <v>2246</v>
      </c>
      <c r="I1649" s="9" t="s">
        <v>3099</v>
      </c>
      <c r="J1649" s="9" t="s">
        <v>1597</v>
      </c>
      <c r="K1649" s="9">
        <v>1</v>
      </c>
      <c r="L1649" s="9">
        <v>15</v>
      </c>
      <c r="M1649" s="9">
        <v>1981</v>
      </c>
      <c r="O1649" s="9" t="str">
        <f t="shared" si="79"/>
        <v>NO</v>
      </c>
      <c r="P1649" s="9" t="str">
        <f t="shared" si="80"/>
        <v>NO</v>
      </c>
      <c r="Q1649" s="9" t="str">
        <f t="shared" si="81"/>
        <v>Conditioned</v>
      </c>
    </row>
    <row r="1650" spans="1:17">
      <c r="A1650" s="9">
        <v>21934</v>
      </c>
      <c r="B1650" s="9">
        <v>2</v>
      </c>
      <c r="C1650" s="9" t="s">
        <v>1589</v>
      </c>
      <c r="D1650" s="9" t="s">
        <v>1590</v>
      </c>
      <c r="E1650" s="9" t="s">
        <v>1591</v>
      </c>
      <c r="F1650" s="9" t="s">
        <v>1589</v>
      </c>
      <c r="G1650" s="9" t="s">
        <v>1606</v>
      </c>
      <c r="H1650" s="9" t="s">
        <v>170</v>
      </c>
      <c r="I1650" s="9" t="s">
        <v>3100</v>
      </c>
      <c r="J1650" s="9" t="s">
        <v>1601</v>
      </c>
      <c r="K1650" s="9">
        <v>1</v>
      </c>
      <c r="L1650" s="9">
        <v>30</v>
      </c>
      <c r="M1650" s="9">
        <v>2005</v>
      </c>
      <c r="O1650" s="9" t="str">
        <f t="shared" si="79"/>
        <v>NO</v>
      </c>
      <c r="P1650" s="9" t="str">
        <f t="shared" si="80"/>
        <v>NO</v>
      </c>
      <c r="Q1650" s="9" t="str">
        <f t="shared" si="81"/>
        <v>Unconditioned</v>
      </c>
    </row>
    <row r="1651" spans="1:17">
      <c r="A1651" s="9">
        <v>21936</v>
      </c>
      <c r="B1651" s="9">
        <v>1</v>
      </c>
      <c r="C1651" s="9" t="s">
        <v>1589</v>
      </c>
      <c r="D1651" s="9" t="s">
        <v>1590</v>
      </c>
      <c r="E1651" s="9" t="s">
        <v>1591</v>
      </c>
      <c r="F1651" s="9" t="s">
        <v>1589</v>
      </c>
      <c r="G1651" s="9" t="s">
        <v>1592</v>
      </c>
      <c r="H1651" s="9" t="s">
        <v>1766</v>
      </c>
      <c r="I1651" s="9" t="s">
        <v>3101</v>
      </c>
      <c r="J1651" s="9" t="s">
        <v>1597</v>
      </c>
      <c r="K1651" s="9">
        <v>1</v>
      </c>
      <c r="L1651" s="9">
        <v>19</v>
      </c>
      <c r="M1651" s="9">
        <v>1991</v>
      </c>
      <c r="O1651" s="9" t="str">
        <f t="shared" si="79"/>
        <v>NO</v>
      </c>
      <c r="P1651" s="9" t="str">
        <f t="shared" si="80"/>
        <v>NO</v>
      </c>
      <c r="Q1651" s="9" t="str">
        <f t="shared" si="81"/>
        <v>Conditioned</v>
      </c>
    </row>
    <row r="1652" spans="1:17">
      <c r="A1652" s="9">
        <v>21936</v>
      </c>
      <c r="B1652" s="9">
        <v>2</v>
      </c>
      <c r="C1652" s="9" t="s">
        <v>1589</v>
      </c>
      <c r="D1652" s="9" t="s">
        <v>1590</v>
      </c>
      <c r="E1652" s="9" t="s">
        <v>1591</v>
      </c>
      <c r="F1652" s="9" t="s">
        <v>1589</v>
      </c>
      <c r="G1652" s="9" t="s">
        <v>1592</v>
      </c>
      <c r="H1652" s="9" t="s">
        <v>1638</v>
      </c>
      <c r="I1652" s="9" t="s">
        <v>1589</v>
      </c>
      <c r="J1652" s="9" t="s">
        <v>1587</v>
      </c>
      <c r="K1652" s="9">
        <v>1</v>
      </c>
      <c r="L1652" s="9">
        <v>17</v>
      </c>
      <c r="O1652" s="9" t="str">
        <f t="shared" si="79"/>
        <v>NO</v>
      </c>
      <c r="P1652" s="9" t="str">
        <f t="shared" si="80"/>
        <v>YES</v>
      </c>
      <c r="Q1652" s="9" t="str">
        <f t="shared" si="81"/>
        <v>Conditioned</v>
      </c>
    </row>
    <row r="1653" spans="1:17">
      <c r="A1653" s="9">
        <v>21950</v>
      </c>
      <c r="B1653" s="9">
        <v>1</v>
      </c>
      <c r="C1653" s="9" t="s">
        <v>1589</v>
      </c>
      <c r="D1653" s="9" t="s">
        <v>1590</v>
      </c>
      <c r="E1653" s="9" t="s">
        <v>1613</v>
      </c>
      <c r="F1653" s="9" t="s">
        <v>1603</v>
      </c>
      <c r="G1653" s="9" t="s">
        <v>1592</v>
      </c>
      <c r="H1653" s="9" t="s">
        <v>1638</v>
      </c>
      <c r="I1653" s="9" t="s">
        <v>3102</v>
      </c>
      <c r="J1653" s="9" t="s">
        <v>1608</v>
      </c>
      <c r="K1653" s="9">
        <v>1</v>
      </c>
      <c r="L1653" s="9">
        <v>18</v>
      </c>
      <c r="M1653" s="9">
        <v>2004</v>
      </c>
      <c r="O1653" s="9" t="str">
        <f t="shared" si="79"/>
        <v>NO</v>
      </c>
      <c r="P1653" s="9" t="str">
        <f t="shared" si="80"/>
        <v>NO</v>
      </c>
      <c r="Q1653" s="9" t="str">
        <f t="shared" si="81"/>
        <v>Conditioned</v>
      </c>
    </row>
    <row r="1654" spans="1:17">
      <c r="A1654" s="9">
        <v>21951</v>
      </c>
      <c r="B1654" s="9">
        <v>1</v>
      </c>
      <c r="C1654" s="9" t="s">
        <v>1589</v>
      </c>
      <c r="D1654" s="9" t="s">
        <v>1590</v>
      </c>
      <c r="E1654" s="9" t="s">
        <v>1591</v>
      </c>
      <c r="F1654" s="9" t="s">
        <v>1589</v>
      </c>
      <c r="G1654" s="9" t="s">
        <v>1592</v>
      </c>
      <c r="H1654" s="9" t="s">
        <v>172</v>
      </c>
      <c r="I1654" s="9" t="s">
        <v>1589</v>
      </c>
      <c r="J1654" s="9" t="s">
        <v>1601</v>
      </c>
      <c r="K1654" s="9">
        <v>1</v>
      </c>
      <c r="L1654" s="9">
        <v>20</v>
      </c>
      <c r="M1654" s="9">
        <v>1995</v>
      </c>
      <c r="O1654" s="9" t="str">
        <f t="shared" si="79"/>
        <v>NO</v>
      </c>
      <c r="P1654" s="9" t="str">
        <f t="shared" si="80"/>
        <v>NO</v>
      </c>
      <c r="Q1654" s="9" t="str">
        <f t="shared" si="81"/>
        <v>Conditioned</v>
      </c>
    </row>
    <row r="1655" spans="1:17">
      <c r="A1655" s="9">
        <v>21951</v>
      </c>
      <c r="B1655" s="9">
        <v>2</v>
      </c>
      <c r="C1655" s="9" t="s">
        <v>1589</v>
      </c>
      <c r="D1655" s="9" t="s">
        <v>1590</v>
      </c>
      <c r="E1655" s="9" t="s">
        <v>1591</v>
      </c>
      <c r="F1655" s="9" t="s">
        <v>1589</v>
      </c>
      <c r="G1655" s="9" t="s">
        <v>1592</v>
      </c>
      <c r="H1655" s="9" t="s">
        <v>1972</v>
      </c>
      <c r="I1655" s="9" t="s">
        <v>1589</v>
      </c>
      <c r="J1655" s="9" t="s">
        <v>1587</v>
      </c>
      <c r="K1655" s="9">
        <v>1</v>
      </c>
      <c r="L1655" s="9">
        <v>25</v>
      </c>
      <c r="M1655" s="9">
        <v>1985</v>
      </c>
      <c r="O1655" s="9" t="str">
        <f t="shared" si="79"/>
        <v>NO</v>
      </c>
      <c r="P1655" s="9" t="str">
        <f t="shared" si="80"/>
        <v>YES</v>
      </c>
      <c r="Q1655" s="9" t="str">
        <f t="shared" si="81"/>
        <v>Conditioned</v>
      </c>
    </row>
    <row r="1656" spans="1:17">
      <c r="A1656" s="9">
        <v>21961</v>
      </c>
      <c r="B1656" s="9">
        <v>1</v>
      </c>
      <c r="C1656" s="9" t="s">
        <v>1589</v>
      </c>
      <c r="D1656" s="9" t="s">
        <v>1590</v>
      </c>
      <c r="E1656" s="9" t="s">
        <v>1602</v>
      </c>
      <c r="F1656" s="9" t="s">
        <v>1590</v>
      </c>
      <c r="G1656" s="9" t="s">
        <v>1592</v>
      </c>
      <c r="H1656" s="9" t="s">
        <v>1638</v>
      </c>
      <c r="I1656" s="9" t="s">
        <v>3103</v>
      </c>
      <c r="J1656" s="9" t="s">
        <v>1601</v>
      </c>
      <c r="K1656" s="9">
        <v>1</v>
      </c>
      <c r="L1656" s="9">
        <v>19</v>
      </c>
      <c r="M1656" s="9">
        <v>1997</v>
      </c>
      <c r="O1656" s="9" t="str">
        <f t="shared" si="79"/>
        <v>NO</v>
      </c>
      <c r="P1656" s="9" t="str">
        <f t="shared" si="80"/>
        <v>NO</v>
      </c>
      <c r="Q1656" s="9" t="str">
        <f t="shared" si="81"/>
        <v>Conditioned</v>
      </c>
    </row>
    <row r="1657" spans="1:17">
      <c r="A1657" s="9">
        <v>21967</v>
      </c>
      <c r="B1657" s="9">
        <v>1</v>
      </c>
      <c r="C1657" s="9" t="s">
        <v>1589</v>
      </c>
      <c r="D1657" s="9" t="s">
        <v>1590</v>
      </c>
      <c r="E1657" s="9" t="s">
        <v>1602</v>
      </c>
      <c r="F1657" s="9" t="s">
        <v>1603</v>
      </c>
      <c r="G1657" s="9" t="s">
        <v>1592</v>
      </c>
      <c r="H1657" s="9" t="s">
        <v>173</v>
      </c>
      <c r="I1657" s="9" t="s">
        <v>1589</v>
      </c>
      <c r="J1657" s="9" t="s">
        <v>1601</v>
      </c>
      <c r="K1657" s="9">
        <v>1</v>
      </c>
      <c r="L1657" s="9">
        <v>27</v>
      </c>
      <c r="M1657" s="9">
        <v>2002</v>
      </c>
      <c r="O1657" s="9" t="str">
        <f t="shared" si="79"/>
        <v>NO</v>
      </c>
      <c r="P1657" s="9" t="str">
        <f t="shared" si="80"/>
        <v>NO</v>
      </c>
      <c r="Q1657" s="9" t="str">
        <f t="shared" si="81"/>
        <v>Conditioned</v>
      </c>
    </row>
    <row r="1658" spans="1:17">
      <c r="A1658" s="9">
        <v>21967</v>
      </c>
      <c r="B1658" s="9">
        <v>2</v>
      </c>
      <c r="C1658" s="9" t="s">
        <v>1589</v>
      </c>
      <c r="D1658" s="9" t="s">
        <v>1603</v>
      </c>
      <c r="E1658" s="9" t="s">
        <v>1591</v>
      </c>
      <c r="F1658" s="9" t="s">
        <v>1589</v>
      </c>
      <c r="G1658" s="9" t="s">
        <v>1592</v>
      </c>
      <c r="H1658" s="9" t="s">
        <v>170</v>
      </c>
      <c r="I1658" s="9" t="s">
        <v>1589</v>
      </c>
      <c r="J1658" s="9" t="s">
        <v>1605</v>
      </c>
      <c r="K1658" s="9">
        <v>1</v>
      </c>
      <c r="L1658" s="9">
        <v>17</v>
      </c>
      <c r="M1658" s="9">
        <v>2008</v>
      </c>
      <c r="O1658" s="9" t="str">
        <f t="shared" si="79"/>
        <v>NO</v>
      </c>
      <c r="P1658" s="9" t="str">
        <f t="shared" si="80"/>
        <v>YES</v>
      </c>
      <c r="Q1658" s="9" t="str">
        <f t="shared" si="81"/>
        <v>Conditioned</v>
      </c>
    </row>
    <row r="1659" spans="1:17">
      <c r="A1659" s="9">
        <v>21974</v>
      </c>
      <c r="B1659" s="9">
        <v>1</v>
      </c>
      <c r="C1659" s="9" t="s">
        <v>1589</v>
      </c>
      <c r="D1659" s="9" t="s">
        <v>1590</v>
      </c>
      <c r="E1659" s="9" t="s">
        <v>1602</v>
      </c>
      <c r="F1659" s="9" t="s">
        <v>1603</v>
      </c>
      <c r="G1659" s="9" t="s">
        <v>1592</v>
      </c>
      <c r="H1659" s="9" t="s">
        <v>173</v>
      </c>
      <c r="I1659" s="9" t="s">
        <v>3104</v>
      </c>
      <c r="J1659" s="9" t="s">
        <v>1601</v>
      </c>
      <c r="K1659" s="9">
        <v>1</v>
      </c>
      <c r="L1659" s="9">
        <v>23</v>
      </c>
      <c r="M1659" s="9">
        <v>1996</v>
      </c>
      <c r="O1659" s="9" t="str">
        <f t="shared" si="79"/>
        <v>NO</v>
      </c>
      <c r="P1659" s="9" t="str">
        <f t="shared" si="80"/>
        <v>NO</v>
      </c>
      <c r="Q1659" s="9" t="str">
        <f t="shared" si="81"/>
        <v>Conditioned</v>
      </c>
    </row>
    <row r="1660" spans="1:17">
      <c r="A1660" s="9">
        <v>21977</v>
      </c>
      <c r="B1660" s="9">
        <v>1</v>
      </c>
      <c r="C1660" s="9" t="s">
        <v>1589</v>
      </c>
      <c r="D1660" s="9" t="s">
        <v>1590</v>
      </c>
      <c r="E1660" s="9" t="s">
        <v>1591</v>
      </c>
      <c r="F1660" s="9" t="s">
        <v>1589</v>
      </c>
      <c r="G1660" s="9" t="s">
        <v>1592</v>
      </c>
      <c r="H1660" s="9" t="s">
        <v>1638</v>
      </c>
      <c r="I1660" s="9" t="s">
        <v>3105</v>
      </c>
      <c r="J1660" s="9" t="s">
        <v>1597</v>
      </c>
      <c r="K1660" s="9">
        <v>1</v>
      </c>
      <c r="L1660" s="9">
        <v>22</v>
      </c>
      <c r="M1660" s="9">
        <v>1997</v>
      </c>
      <c r="O1660" s="9" t="str">
        <f t="shared" si="79"/>
        <v>NO</v>
      </c>
      <c r="P1660" s="9" t="str">
        <f t="shared" si="80"/>
        <v>NO</v>
      </c>
      <c r="Q1660" s="9" t="str">
        <f t="shared" si="81"/>
        <v>Conditioned</v>
      </c>
    </row>
    <row r="1661" spans="1:17">
      <c r="A1661" s="9">
        <v>21977</v>
      </c>
      <c r="B1661" s="9">
        <v>2</v>
      </c>
      <c r="C1661" s="9" t="s">
        <v>1589</v>
      </c>
      <c r="D1661" s="9" t="s">
        <v>1590</v>
      </c>
      <c r="E1661" s="9" t="s">
        <v>1591</v>
      </c>
      <c r="F1661" s="9" t="s">
        <v>1589</v>
      </c>
      <c r="G1661" s="9" t="s">
        <v>1606</v>
      </c>
      <c r="H1661" s="9" t="s">
        <v>1900</v>
      </c>
      <c r="I1661" s="9" t="s">
        <v>3106</v>
      </c>
      <c r="J1661" s="9" t="s">
        <v>1587</v>
      </c>
      <c r="K1661" s="9">
        <v>1</v>
      </c>
      <c r="L1661" s="9">
        <v>23</v>
      </c>
      <c r="M1661" s="9">
        <v>1978</v>
      </c>
      <c r="O1661" s="9" t="str">
        <f t="shared" si="79"/>
        <v>NO</v>
      </c>
      <c r="P1661" s="9" t="str">
        <f t="shared" si="80"/>
        <v>YES</v>
      </c>
      <c r="Q1661" s="9" t="str">
        <f t="shared" si="81"/>
        <v>Unconditioned</v>
      </c>
    </row>
    <row r="1662" spans="1:17">
      <c r="A1662" s="9">
        <v>21978</v>
      </c>
      <c r="B1662" s="9">
        <v>1</v>
      </c>
      <c r="C1662" s="9" t="s">
        <v>1589</v>
      </c>
      <c r="D1662" s="9" t="s">
        <v>1590</v>
      </c>
      <c r="E1662" s="9" t="s">
        <v>1602</v>
      </c>
      <c r="F1662" s="9" t="s">
        <v>1603</v>
      </c>
      <c r="G1662" s="9" t="s">
        <v>1592</v>
      </c>
      <c r="H1662" s="9" t="s">
        <v>1599</v>
      </c>
      <c r="I1662" s="9" t="s">
        <v>3107</v>
      </c>
      <c r="J1662" s="9" t="s">
        <v>1601</v>
      </c>
      <c r="K1662" s="9">
        <v>1</v>
      </c>
      <c r="L1662" s="9">
        <v>22</v>
      </c>
      <c r="M1662" s="9">
        <v>1994</v>
      </c>
      <c r="O1662" s="9" t="str">
        <f t="shared" si="79"/>
        <v>NO</v>
      </c>
      <c r="P1662" s="9" t="str">
        <f t="shared" si="80"/>
        <v>NO</v>
      </c>
      <c r="Q1662" s="9" t="str">
        <f t="shared" si="81"/>
        <v>Conditioned</v>
      </c>
    </row>
    <row r="1663" spans="1:17">
      <c r="A1663" s="9">
        <v>21978</v>
      </c>
      <c r="B1663" s="9">
        <v>2</v>
      </c>
      <c r="C1663" s="9" t="s">
        <v>1589</v>
      </c>
      <c r="D1663" s="9" t="s">
        <v>1590</v>
      </c>
      <c r="E1663" s="9" t="s">
        <v>1591</v>
      </c>
      <c r="F1663" s="9" t="s">
        <v>1589</v>
      </c>
      <c r="G1663" s="9" t="s">
        <v>1606</v>
      </c>
      <c r="H1663" s="9" t="s">
        <v>169</v>
      </c>
      <c r="I1663" s="9" t="s">
        <v>1922</v>
      </c>
      <c r="J1663" s="9" t="s">
        <v>1597</v>
      </c>
      <c r="L1663" s="9">
        <v>17</v>
      </c>
      <c r="M1663" s="9">
        <v>2008</v>
      </c>
      <c r="O1663" s="9" t="str">
        <f t="shared" si="79"/>
        <v>NO</v>
      </c>
      <c r="P1663" s="9" t="str">
        <f t="shared" si="80"/>
        <v>NO</v>
      </c>
      <c r="Q1663" s="9" t="str">
        <f t="shared" si="81"/>
        <v>Unconditioned</v>
      </c>
    </row>
    <row r="1664" spans="1:17">
      <c r="A1664" s="9">
        <v>21978</v>
      </c>
      <c r="B1664" s="9">
        <v>3</v>
      </c>
      <c r="C1664" s="9" t="s">
        <v>1589</v>
      </c>
      <c r="D1664" s="9" t="s">
        <v>1590</v>
      </c>
      <c r="E1664" s="9" t="s">
        <v>1591</v>
      </c>
      <c r="F1664" s="9" t="s">
        <v>1589</v>
      </c>
      <c r="G1664" s="9" t="s">
        <v>1606</v>
      </c>
      <c r="H1664" s="9" t="s">
        <v>1589</v>
      </c>
      <c r="I1664" s="9" t="s">
        <v>3108</v>
      </c>
      <c r="J1664" s="9" t="s">
        <v>1605</v>
      </c>
      <c r="K1664" s="9">
        <v>1</v>
      </c>
      <c r="L1664" s="9">
        <v>17</v>
      </c>
      <c r="M1664" s="9">
        <v>2008</v>
      </c>
      <c r="O1664" s="9" t="str">
        <f t="shared" si="79"/>
        <v>NO</v>
      </c>
      <c r="P1664" s="9" t="str">
        <f t="shared" si="80"/>
        <v>YES</v>
      </c>
      <c r="Q1664" s="9" t="str">
        <f t="shared" si="81"/>
        <v>Unconditioned</v>
      </c>
    </row>
    <row r="1665" spans="1:17">
      <c r="A1665" s="9">
        <v>21979</v>
      </c>
      <c r="B1665" s="9">
        <v>1</v>
      </c>
      <c r="C1665" s="9" t="s">
        <v>1589</v>
      </c>
      <c r="D1665" s="9" t="s">
        <v>1590</v>
      </c>
      <c r="E1665" s="9" t="s">
        <v>1602</v>
      </c>
      <c r="F1665" s="9" t="s">
        <v>1603</v>
      </c>
      <c r="G1665" s="9" t="s">
        <v>1592</v>
      </c>
      <c r="H1665" s="9" t="s">
        <v>169</v>
      </c>
      <c r="I1665" s="9" t="s">
        <v>3109</v>
      </c>
      <c r="J1665" s="9" t="s">
        <v>1601</v>
      </c>
      <c r="K1665" s="9">
        <v>1</v>
      </c>
      <c r="L1665" s="9">
        <v>26</v>
      </c>
      <c r="M1665" s="9">
        <v>2007</v>
      </c>
      <c r="O1665" s="9" t="str">
        <f t="shared" si="79"/>
        <v>NO</v>
      </c>
      <c r="P1665" s="9" t="str">
        <f t="shared" si="80"/>
        <v>NO</v>
      </c>
      <c r="Q1665" s="9" t="str">
        <f t="shared" si="81"/>
        <v>Conditioned</v>
      </c>
    </row>
    <row r="1666" spans="1:17">
      <c r="A1666" s="9">
        <v>21979</v>
      </c>
      <c r="B1666" s="9">
        <v>2</v>
      </c>
      <c r="C1666" s="9" t="s">
        <v>1589</v>
      </c>
      <c r="D1666" s="9" t="s">
        <v>1590</v>
      </c>
      <c r="E1666" s="9" t="s">
        <v>1591</v>
      </c>
      <c r="F1666" s="9" t="s">
        <v>1589</v>
      </c>
      <c r="G1666" s="9" t="s">
        <v>1606</v>
      </c>
      <c r="H1666" s="9" t="s">
        <v>169</v>
      </c>
      <c r="I1666" s="9" t="s">
        <v>3110</v>
      </c>
      <c r="J1666" s="9" t="s">
        <v>1587</v>
      </c>
      <c r="K1666" s="9">
        <v>1</v>
      </c>
      <c r="L1666" s="9">
        <v>12</v>
      </c>
      <c r="M1666" s="9">
        <v>2002</v>
      </c>
      <c r="O1666" s="9" t="str">
        <f t="shared" si="79"/>
        <v>NO</v>
      </c>
      <c r="P1666" s="9" t="str">
        <f t="shared" si="80"/>
        <v>YES</v>
      </c>
      <c r="Q1666" s="9" t="str">
        <f t="shared" si="81"/>
        <v>Unconditioned</v>
      </c>
    </row>
    <row r="1667" spans="1:17">
      <c r="A1667" s="9">
        <v>21981</v>
      </c>
      <c r="B1667" s="9">
        <v>1</v>
      </c>
      <c r="C1667" s="9" t="s">
        <v>1589</v>
      </c>
      <c r="D1667" s="9" t="s">
        <v>1590</v>
      </c>
      <c r="E1667" s="9" t="s">
        <v>1591</v>
      </c>
      <c r="F1667" s="9" t="s">
        <v>1589</v>
      </c>
      <c r="G1667" s="9" t="s">
        <v>1592</v>
      </c>
      <c r="H1667" s="9" t="s">
        <v>172</v>
      </c>
      <c r="I1667" s="9" t="s">
        <v>3111</v>
      </c>
      <c r="J1667" s="9" t="s">
        <v>1597</v>
      </c>
      <c r="K1667" s="9">
        <v>1</v>
      </c>
      <c r="L1667" s="9">
        <v>18</v>
      </c>
      <c r="M1667" s="9">
        <v>2009</v>
      </c>
      <c r="O1667" s="9" t="str">
        <f t="shared" si="79"/>
        <v>NO</v>
      </c>
      <c r="P1667" s="9" t="str">
        <f t="shared" si="80"/>
        <v>NO</v>
      </c>
      <c r="Q1667" s="9" t="str">
        <f t="shared" si="81"/>
        <v>Conditioned</v>
      </c>
    </row>
    <row r="1668" spans="1:17">
      <c r="A1668" s="9">
        <v>21988</v>
      </c>
      <c r="B1668" s="9">
        <v>1</v>
      </c>
      <c r="C1668" s="9" t="s">
        <v>1589</v>
      </c>
      <c r="D1668" s="9" t="s">
        <v>1603</v>
      </c>
      <c r="E1668" s="9" t="s">
        <v>1602</v>
      </c>
      <c r="F1668" s="9" t="s">
        <v>1603</v>
      </c>
      <c r="G1668" s="9" t="s">
        <v>1592</v>
      </c>
      <c r="H1668" s="9" t="s">
        <v>176</v>
      </c>
      <c r="I1668" s="9" t="s">
        <v>3112</v>
      </c>
      <c r="J1668" s="9" t="s">
        <v>1601</v>
      </c>
      <c r="K1668" s="9">
        <v>1</v>
      </c>
      <c r="L1668" s="9">
        <v>26</v>
      </c>
      <c r="M1668" s="9">
        <v>2008</v>
      </c>
      <c r="O1668" s="9" t="str">
        <f t="shared" si="79"/>
        <v>NO</v>
      </c>
      <c r="P1668" s="9" t="str">
        <f t="shared" si="80"/>
        <v>NO</v>
      </c>
      <c r="Q1668" s="9" t="str">
        <f t="shared" si="81"/>
        <v>Conditioned</v>
      </c>
    </row>
    <row r="1669" spans="1:17">
      <c r="A1669" s="9">
        <v>22000</v>
      </c>
      <c r="B1669" s="9">
        <v>1</v>
      </c>
      <c r="C1669" s="9" t="s">
        <v>1589</v>
      </c>
      <c r="D1669" s="9" t="s">
        <v>1590</v>
      </c>
      <c r="E1669" s="9" t="s">
        <v>1591</v>
      </c>
      <c r="F1669" s="9" t="s">
        <v>1589</v>
      </c>
      <c r="G1669" s="9" t="s">
        <v>1592</v>
      </c>
      <c r="H1669" s="9" t="s">
        <v>173</v>
      </c>
      <c r="I1669" s="9" t="s">
        <v>3113</v>
      </c>
      <c r="J1669" s="9" t="s">
        <v>1597</v>
      </c>
      <c r="K1669" s="9">
        <v>1</v>
      </c>
      <c r="L1669" s="9">
        <v>25</v>
      </c>
      <c r="M1669" s="9">
        <v>1994</v>
      </c>
      <c r="O1669" s="9" t="str">
        <f t="shared" si="79"/>
        <v>NO</v>
      </c>
      <c r="P1669" s="9" t="str">
        <f t="shared" si="80"/>
        <v>NO</v>
      </c>
      <c r="Q1669" s="9" t="str">
        <f t="shared" si="81"/>
        <v>Conditioned</v>
      </c>
    </row>
    <row r="1670" spans="1:17">
      <c r="A1670" s="9">
        <v>22005</v>
      </c>
      <c r="B1670" s="9">
        <v>1</v>
      </c>
      <c r="C1670" s="9" t="s">
        <v>1589</v>
      </c>
      <c r="D1670" s="9" t="s">
        <v>1590</v>
      </c>
      <c r="E1670" s="9" t="s">
        <v>1602</v>
      </c>
      <c r="F1670" s="9" t="s">
        <v>1590</v>
      </c>
      <c r="G1670" s="9" t="s">
        <v>1592</v>
      </c>
      <c r="H1670" s="9" t="s">
        <v>174</v>
      </c>
      <c r="I1670" s="9" t="s">
        <v>3114</v>
      </c>
      <c r="J1670" s="9" t="s">
        <v>1601</v>
      </c>
      <c r="K1670" s="9">
        <v>1</v>
      </c>
      <c r="L1670" s="9">
        <v>26</v>
      </c>
      <c r="M1670" s="9">
        <v>2002</v>
      </c>
      <c r="O1670" s="9" t="str">
        <f t="shared" si="79"/>
        <v>NO</v>
      </c>
      <c r="P1670" s="9" t="str">
        <f t="shared" si="80"/>
        <v>NO</v>
      </c>
      <c r="Q1670" s="9" t="str">
        <f t="shared" si="81"/>
        <v>Conditioned</v>
      </c>
    </row>
    <row r="1671" spans="1:17">
      <c r="A1671" s="9">
        <v>22015</v>
      </c>
      <c r="B1671" s="9">
        <v>1</v>
      </c>
      <c r="C1671" s="9" t="s">
        <v>1589</v>
      </c>
      <c r="D1671" s="9" t="s">
        <v>1590</v>
      </c>
      <c r="E1671" s="9" t="s">
        <v>1591</v>
      </c>
      <c r="F1671" s="9" t="s">
        <v>1589</v>
      </c>
      <c r="G1671" s="9" t="s">
        <v>1592</v>
      </c>
      <c r="H1671" s="9" t="s">
        <v>1624</v>
      </c>
      <c r="I1671" s="9" t="s">
        <v>3115</v>
      </c>
      <c r="J1671" s="9" t="s">
        <v>1597</v>
      </c>
      <c r="K1671" s="9">
        <v>1</v>
      </c>
      <c r="L1671" s="9">
        <v>14</v>
      </c>
      <c r="M1671" s="9">
        <v>1970</v>
      </c>
      <c r="O1671" s="9" t="str">
        <f t="shared" si="79"/>
        <v>NO</v>
      </c>
      <c r="P1671" s="9" t="str">
        <f t="shared" si="80"/>
        <v>NO</v>
      </c>
      <c r="Q1671" s="9" t="str">
        <f t="shared" si="81"/>
        <v>Conditioned</v>
      </c>
    </row>
    <row r="1672" spans="1:17">
      <c r="A1672" s="9">
        <v>22015</v>
      </c>
      <c r="B1672" s="9">
        <v>2</v>
      </c>
      <c r="C1672" s="9" t="s">
        <v>1589</v>
      </c>
      <c r="D1672" s="9" t="s">
        <v>1590</v>
      </c>
      <c r="E1672" s="9" t="s">
        <v>1591</v>
      </c>
      <c r="F1672" s="9" t="s">
        <v>1589</v>
      </c>
      <c r="G1672" s="9" t="s">
        <v>1606</v>
      </c>
      <c r="H1672" s="9" t="s">
        <v>1589</v>
      </c>
      <c r="I1672" s="9" t="s">
        <v>3116</v>
      </c>
      <c r="J1672" s="9" t="s">
        <v>1587</v>
      </c>
      <c r="K1672" s="9">
        <v>1</v>
      </c>
      <c r="L1672" s="9">
        <v>30</v>
      </c>
      <c r="M1672" s="9">
        <v>1970</v>
      </c>
      <c r="O1672" s="9" t="str">
        <f t="shared" si="79"/>
        <v>NO</v>
      </c>
      <c r="P1672" s="9" t="str">
        <f t="shared" si="80"/>
        <v>YES</v>
      </c>
      <c r="Q1672" s="9" t="str">
        <f t="shared" si="81"/>
        <v>Unconditioned</v>
      </c>
    </row>
    <row r="1673" spans="1:17">
      <c r="A1673" s="9">
        <v>22015</v>
      </c>
      <c r="B1673" s="9">
        <v>3</v>
      </c>
      <c r="C1673" s="9" t="s">
        <v>1589</v>
      </c>
      <c r="D1673" s="9" t="s">
        <v>1590</v>
      </c>
      <c r="E1673" s="9" t="s">
        <v>1591</v>
      </c>
      <c r="F1673" s="9" t="s">
        <v>1589</v>
      </c>
      <c r="G1673" s="9" t="s">
        <v>1606</v>
      </c>
      <c r="H1673" s="9" t="s">
        <v>1589</v>
      </c>
      <c r="I1673" s="9" t="s">
        <v>3117</v>
      </c>
      <c r="J1673" s="9" t="s">
        <v>1605</v>
      </c>
      <c r="K1673" s="9">
        <v>1</v>
      </c>
      <c r="L1673" s="9">
        <v>19</v>
      </c>
      <c r="M1673" s="9">
        <v>1980</v>
      </c>
      <c r="O1673" s="9" t="str">
        <f t="shared" si="79"/>
        <v>NO</v>
      </c>
      <c r="P1673" s="9" t="str">
        <f t="shared" si="80"/>
        <v>YES</v>
      </c>
      <c r="Q1673" s="9" t="str">
        <f t="shared" si="81"/>
        <v>Unconditioned</v>
      </c>
    </row>
    <row r="1674" spans="1:17">
      <c r="A1674" s="9">
        <v>22019</v>
      </c>
      <c r="B1674" s="9">
        <v>1</v>
      </c>
      <c r="C1674" s="9" t="s">
        <v>1589</v>
      </c>
      <c r="D1674" s="9" t="s">
        <v>1590</v>
      </c>
      <c r="E1674" s="9" t="s">
        <v>1602</v>
      </c>
      <c r="F1674" s="9" t="s">
        <v>1603</v>
      </c>
      <c r="G1674" s="9" t="s">
        <v>1592</v>
      </c>
      <c r="H1674" s="9" t="s">
        <v>1599</v>
      </c>
      <c r="I1674" s="9" t="s">
        <v>3118</v>
      </c>
      <c r="J1674" s="9" t="s">
        <v>1601</v>
      </c>
      <c r="K1674" s="9">
        <v>1</v>
      </c>
      <c r="L1674" s="9">
        <v>25</v>
      </c>
      <c r="M1674" s="9">
        <v>2008</v>
      </c>
      <c r="O1674" s="9" t="str">
        <f t="shared" si="79"/>
        <v>NO</v>
      </c>
      <c r="P1674" s="9" t="str">
        <f t="shared" si="80"/>
        <v>NO</v>
      </c>
      <c r="Q1674" s="9" t="str">
        <f t="shared" si="81"/>
        <v>Conditioned</v>
      </c>
    </row>
    <row r="1675" spans="1:17">
      <c r="A1675" s="9">
        <v>22021</v>
      </c>
      <c r="B1675" s="9">
        <v>1</v>
      </c>
      <c r="C1675" s="9" t="s">
        <v>1589</v>
      </c>
      <c r="D1675" s="9" t="s">
        <v>1590</v>
      </c>
      <c r="E1675" s="9" t="s">
        <v>1613</v>
      </c>
      <c r="F1675" s="9" t="s">
        <v>1603</v>
      </c>
      <c r="G1675" s="9" t="s">
        <v>1592</v>
      </c>
      <c r="H1675" s="9" t="s">
        <v>174</v>
      </c>
      <c r="I1675" s="9" t="s">
        <v>3119</v>
      </c>
      <c r="J1675" s="9" t="s">
        <v>1601</v>
      </c>
      <c r="K1675" s="9">
        <v>1</v>
      </c>
      <c r="L1675" s="9">
        <v>16</v>
      </c>
      <c r="M1675" s="9">
        <v>2000</v>
      </c>
      <c r="O1675" s="9" t="str">
        <f t="shared" si="79"/>
        <v>NO</v>
      </c>
      <c r="P1675" s="9" t="str">
        <f t="shared" si="80"/>
        <v>NO</v>
      </c>
      <c r="Q1675" s="9" t="str">
        <f t="shared" si="81"/>
        <v>Conditioned</v>
      </c>
    </row>
    <row r="1676" spans="1:17">
      <c r="A1676" s="9">
        <v>22023</v>
      </c>
      <c r="B1676" s="9">
        <v>1</v>
      </c>
      <c r="C1676" s="9" t="s">
        <v>1589</v>
      </c>
      <c r="D1676" s="9" t="s">
        <v>1603</v>
      </c>
      <c r="E1676" s="9" t="s">
        <v>1613</v>
      </c>
      <c r="F1676" s="9" t="s">
        <v>1603</v>
      </c>
      <c r="G1676" s="9" t="s">
        <v>1592</v>
      </c>
      <c r="H1676" s="9" t="s">
        <v>173</v>
      </c>
      <c r="I1676" s="9" t="s">
        <v>3120</v>
      </c>
      <c r="J1676" s="9" t="s">
        <v>1608</v>
      </c>
      <c r="K1676" s="9">
        <v>1</v>
      </c>
      <c r="L1676" s="9">
        <v>26</v>
      </c>
      <c r="M1676" s="9">
        <v>2010</v>
      </c>
      <c r="O1676" s="9" t="str">
        <f t="shared" si="79"/>
        <v>NO</v>
      </c>
      <c r="P1676" s="9" t="str">
        <f t="shared" si="80"/>
        <v>NO</v>
      </c>
      <c r="Q1676" s="9" t="str">
        <f t="shared" si="81"/>
        <v>Conditioned</v>
      </c>
    </row>
    <row r="1677" spans="1:17">
      <c r="A1677" s="9">
        <v>22024</v>
      </c>
      <c r="B1677" s="9">
        <v>1</v>
      </c>
      <c r="C1677" s="9" t="s">
        <v>1589</v>
      </c>
      <c r="D1677" s="9" t="s">
        <v>1590</v>
      </c>
      <c r="E1677" s="9" t="s">
        <v>1613</v>
      </c>
      <c r="F1677" s="9" t="s">
        <v>1590</v>
      </c>
      <c r="G1677" s="9" t="s">
        <v>1592</v>
      </c>
      <c r="H1677" s="9" t="s">
        <v>177</v>
      </c>
      <c r="I1677" s="9" t="s">
        <v>3121</v>
      </c>
      <c r="J1677" s="9" t="s">
        <v>1610</v>
      </c>
      <c r="K1677" s="9">
        <v>1</v>
      </c>
      <c r="L1677" s="9">
        <v>25</v>
      </c>
      <c r="M1677" s="9">
        <v>2008</v>
      </c>
      <c r="O1677" s="9" t="str">
        <f t="shared" si="79"/>
        <v>NO</v>
      </c>
      <c r="P1677" s="9" t="str">
        <f t="shared" si="80"/>
        <v>NO</v>
      </c>
      <c r="Q1677" s="9" t="str">
        <f t="shared" si="81"/>
        <v>Conditioned</v>
      </c>
    </row>
    <row r="1678" spans="1:17">
      <c r="A1678" s="9">
        <v>22024</v>
      </c>
      <c r="B1678" s="9">
        <v>2</v>
      </c>
      <c r="C1678" s="9" t="s">
        <v>1589</v>
      </c>
      <c r="D1678" s="9" t="s">
        <v>1590</v>
      </c>
      <c r="E1678" s="9" t="s">
        <v>1591</v>
      </c>
      <c r="F1678" s="9" t="s">
        <v>1589</v>
      </c>
      <c r="G1678" s="9" t="s">
        <v>1592</v>
      </c>
      <c r="H1678" s="9" t="s">
        <v>177</v>
      </c>
      <c r="I1678" s="9" t="s">
        <v>3122</v>
      </c>
      <c r="J1678" s="9" t="s">
        <v>1605</v>
      </c>
      <c r="K1678" s="9">
        <v>1</v>
      </c>
      <c r="L1678" s="9">
        <v>23</v>
      </c>
      <c r="M1678" s="9">
        <v>2004</v>
      </c>
      <c r="O1678" s="9" t="str">
        <f t="shared" si="79"/>
        <v>NO</v>
      </c>
      <c r="P1678" s="9" t="str">
        <f t="shared" si="80"/>
        <v>YES</v>
      </c>
      <c r="Q1678" s="9" t="str">
        <f t="shared" si="81"/>
        <v>Conditioned</v>
      </c>
    </row>
    <row r="1679" spans="1:17">
      <c r="A1679" s="9">
        <v>22039</v>
      </c>
      <c r="B1679" s="9">
        <v>1</v>
      </c>
      <c r="C1679" s="9" t="s">
        <v>1589</v>
      </c>
      <c r="D1679" s="9" t="s">
        <v>1590</v>
      </c>
      <c r="E1679" s="9" t="s">
        <v>1591</v>
      </c>
      <c r="F1679" s="9" t="s">
        <v>1589</v>
      </c>
      <c r="G1679" s="9" t="s">
        <v>1592</v>
      </c>
      <c r="H1679" s="9" t="s">
        <v>1624</v>
      </c>
      <c r="I1679" s="9" t="s">
        <v>3123</v>
      </c>
      <c r="J1679" s="9" t="s">
        <v>1597</v>
      </c>
      <c r="K1679" s="9">
        <v>1</v>
      </c>
      <c r="L1679" s="9">
        <v>22</v>
      </c>
      <c r="M1679" s="9">
        <v>2008</v>
      </c>
      <c r="O1679" s="9" t="str">
        <f t="shared" si="79"/>
        <v>NO</v>
      </c>
      <c r="P1679" s="9" t="str">
        <f t="shared" si="80"/>
        <v>NO</v>
      </c>
      <c r="Q1679" s="9" t="str">
        <f t="shared" si="81"/>
        <v>Conditioned</v>
      </c>
    </row>
    <row r="1680" spans="1:17">
      <c r="A1680" s="9">
        <v>22041</v>
      </c>
      <c r="B1680" s="9">
        <v>1</v>
      </c>
      <c r="C1680" s="9" t="s">
        <v>1589</v>
      </c>
      <c r="D1680" s="9" t="s">
        <v>1590</v>
      </c>
      <c r="E1680" s="9" t="s">
        <v>1602</v>
      </c>
      <c r="F1680" s="9" t="s">
        <v>1603</v>
      </c>
      <c r="G1680" s="9" t="s">
        <v>1592</v>
      </c>
      <c r="H1680" s="9" t="s">
        <v>173</v>
      </c>
      <c r="I1680" s="9" t="s">
        <v>3124</v>
      </c>
      <c r="J1680" s="9" t="s">
        <v>1601</v>
      </c>
      <c r="K1680" s="9">
        <v>1</v>
      </c>
      <c r="L1680" s="9">
        <v>26</v>
      </c>
      <c r="M1680" s="9">
        <v>2006</v>
      </c>
      <c r="O1680" s="9" t="str">
        <f t="shared" si="79"/>
        <v>NO</v>
      </c>
      <c r="P1680" s="9" t="str">
        <f t="shared" si="80"/>
        <v>NO</v>
      </c>
      <c r="Q1680" s="9" t="str">
        <f t="shared" si="81"/>
        <v>Conditioned</v>
      </c>
    </row>
    <row r="1681" spans="1:17">
      <c r="A1681" s="9">
        <v>22041</v>
      </c>
      <c r="B1681" s="9">
        <v>2</v>
      </c>
      <c r="C1681" s="9" t="s">
        <v>1589</v>
      </c>
      <c r="D1681" s="9" t="s">
        <v>1590</v>
      </c>
      <c r="E1681" s="9" t="s">
        <v>1591</v>
      </c>
      <c r="F1681" s="9" t="s">
        <v>1589</v>
      </c>
      <c r="G1681" s="9" t="s">
        <v>1592</v>
      </c>
      <c r="H1681" s="9" t="s">
        <v>169</v>
      </c>
      <c r="I1681" s="9" t="s">
        <v>3125</v>
      </c>
      <c r="J1681" s="9" t="s">
        <v>1605</v>
      </c>
      <c r="K1681" s="9">
        <v>1</v>
      </c>
      <c r="L1681" s="9">
        <v>21</v>
      </c>
      <c r="M1681" s="9">
        <v>2003</v>
      </c>
      <c r="O1681" s="9" t="str">
        <f t="shared" si="79"/>
        <v>NO</v>
      </c>
      <c r="P1681" s="9" t="str">
        <f t="shared" si="80"/>
        <v>YES</v>
      </c>
      <c r="Q1681" s="9" t="str">
        <f t="shared" si="81"/>
        <v>Conditioned</v>
      </c>
    </row>
    <row r="1682" spans="1:17">
      <c r="A1682" s="9">
        <v>22047</v>
      </c>
      <c r="B1682" s="9">
        <v>1</v>
      </c>
      <c r="C1682" s="9" t="s">
        <v>1589</v>
      </c>
      <c r="D1682" s="9" t="s">
        <v>1590</v>
      </c>
      <c r="E1682" s="9" t="s">
        <v>1591</v>
      </c>
      <c r="F1682" s="9" t="s">
        <v>1589</v>
      </c>
      <c r="G1682" s="9" t="s">
        <v>1592</v>
      </c>
      <c r="H1682" s="9" t="s">
        <v>177</v>
      </c>
      <c r="I1682" s="9" t="s">
        <v>3126</v>
      </c>
      <c r="J1682" s="9" t="s">
        <v>1587</v>
      </c>
      <c r="K1682" s="9">
        <v>1</v>
      </c>
      <c r="L1682" s="9">
        <v>21</v>
      </c>
      <c r="M1682" s="9">
        <v>2005</v>
      </c>
      <c r="O1682" s="9" t="str">
        <f t="shared" si="79"/>
        <v>NO</v>
      </c>
      <c r="P1682" s="9" t="str">
        <f t="shared" si="80"/>
        <v>YES</v>
      </c>
      <c r="Q1682" s="9" t="str">
        <f t="shared" si="81"/>
        <v>Conditioned</v>
      </c>
    </row>
    <row r="1683" spans="1:17">
      <c r="A1683" s="9">
        <v>22047</v>
      </c>
      <c r="B1683" s="9">
        <v>2</v>
      </c>
      <c r="C1683" s="9" t="s">
        <v>3127</v>
      </c>
      <c r="D1683" s="9" t="s">
        <v>1590</v>
      </c>
      <c r="E1683" s="9" t="s">
        <v>1591</v>
      </c>
      <c r="F1683" s="9" t="s">
        <v>1589</v>
      </c>
      <c r="G1683" s="9" t="s">
        <v>1592</v>
      </c>
      <c r="H1683" s="9" t="s">
        <v>170</v>
      </c>
      <c r="I1683" s="9" t="s">
        <v>1589</v>
      </c>
      <c r="J1683" s="9" t="s">
        <v>1587</v>
      </c>
      <c r="K1683" s="9">
        <v>1</v>
      </c>
      <c r="L1683" s="9">
        <v>15</v>
      </c>
      <c r="M1683" s="9">
        <v>2002</v>
      </c>
      <c r="O1683" s="9" t="str">
        <f t="shared" si="79"/>
        <v>NO</v>
      </c>
      <c r="P1683" s="9" t="str">
        <f t="shared" si="80"/>
        <v>YES</v>
      </c>
      <c r="Q1683" s="9" t="str">
        <f t="shared" si="81"/>
        <v>Conditioned</v>
      </c>
    </row>
    <row r="1684" spans="1:17">
      <c r="A1684" s="9">
        <v>22052</v>
      </c>
      <c r="B1684" s="9">
        <v>1</v>
      </c>
      <c r="C1684" s="9" t="s">
        <v>1589</v>
      </c>
      <c r="D1684" s="9" t="s">
        <v>1603</v>
      </c>
      <c r="E1684" s="9" t="s">
        <v>1602</v>
      </c>
      <c r="F1684" s="9" t="s">
        <v>1603</v>
      </c>
      <c r="G1684" s="9" t="s">
        <v>1592</v>
      </c>
      <c r="H1684" s="9" t="s">
        <v>170</v>
      </c>
      <c r="I1684" s="9" t="s">
        <v>3128</v>
      </c>
      <c r="J1684" s="9" t="s">
        <v>1601</v>
      </c>
      <c r="K1684" s="9">
        <v>1</v>
      </c>
      <c r="L1684" s="9">
        <v>25</v>
      </c>
      <c r="M1684" s="9">
        <v>2004</v>
      </c>
      <c r="O1684" s="9" t="str">
        <f t="shared" si="79"/>
        <v>NO</v>
      </c>
      <c r="P1684" s="9" t="str">
        <f t="shared" si="80"/>
        <v>NO</v>
      </c>
      <c r="Q1684" s="9" t="str">
        <f t="shared" si="81"/>
        <v>Conditioned</v>
      </c>
    </row>
    <row r="1685" spans="1:17">
      <c r="A1685" s="9">
        <v>22052</v>
      </c>
      <c r="B1685" s="9">
        <v>2</v>
      </c>
      <c r="C1685" s="9" t="s">
        <v>3129</v>
      </c>
      <c r="D1685" s="9" t="s">
        <v>1590</v>
      </c>
      <c r="E1685" s="9" t="s">
        <v>1589</v>
      </c>
      <c r="F1685" s="9" t="s">
        <v>1589</v>
      </c>
      <c r="G1685" s="9" t="s">
        <v>1606</v>
      </c>
      <c r="H1685" s="9" t="s">
        <v>3130</v>
      </c>
      <c r="I1685" s="9" t="s">
        <v>1589</v>
      </c>
      <c r="J1685" s="9" t="s">
        <v>1612</v>
      </c>
      <c r="K1685" s="9">
        <v>1</v>
      </c>
      <c r="L1685" s="9">
        <v>12</v>
      </c>
      <c r="O1685" s="9" t="str">
        <f t="shared" si="79"/>
        <v>NO</v>
      </c>
      <c r="P1685" s="9" t="str">
        <f t="shared" si="80"/>
        <v>NO</v>
      </c>
      <c r="Q1685" s="9" t="str">
        <f t="shared" si="81"/>
        <v>Unconditioned</v>
      </c>
    </row>
    <row r="1686" spans="1:17">
      <c r="A1686" s="9">
        <v>22052</v>
      </c>
      <c r="B1686" s="9">
        <v>3</v>
      </c>
      <c r="C1686" s="9" t="s">
        <v>3131</v>
      </c>
      <c r="D1686" s="9" t="s">
        <v>1590</v>
      </c>
      <c r="E1686" s="9" t="s">
        <v>1589</v>
      </c>
      <c r="F1686" s="9" t="s">
        <v>1589</v>
      </c>
      <c r="G1686" s="9" t="s">
        <v>1606</v>
      </c>
      <c r="H1686" s="9" t="s">
        <v>1552</v>
      </c>
      <c r="I1686" s="9" t="s">
        <v>3132</v>
      </c>
      <c r="J1686" s="9" t="s">
        <v>1612</v>
      </c>
      <c r="K1686" s="9">
        <v>1</v>
      </c>
      <c r="L1686" s="9">
        <v>15</v>
      </c>
      <c r="O1686" s="9" t="str">
        <f t="shared" si="79"/>
        <v>NO</v>
      </c>
      <c r="P1686" s="9" t="str">
        <f t="shared" si="80"/>
        <v>NO</v>
      </c>
      <c r="Q1686" s="9" t="str">
        <f t="shared" si="81"/>
        <v>Unconditioned</v>
      </c>
    </row>
    <row r="1687" spans="1:17">
      <c r="A1687" s="9">
        <v>22053</v>
      </c>
      <c r="B1687" s="9">
        <v>1</v>
      </c>
      <c r="C1687" s="9" t="s">
        <v>1589</v>
      </c>
      <c r="D1687" s="9" t="s">
        <v>1590</v>
      </c>
      <c r="E1687" s="9" t="s">
        <v>1591</v>
      </c>
      <c r="F1687" s="9" t="s">
        <v>1589</v>
      </c>
      <c r="G1687" s="9" t="s">
        <v>1606</v>
      </c>
      <c r="H1687" s="9" t="s">
        <v>170</v>
      </c>
      <c r="I1687" s="9" t="s">
        <v>3133</v>
      </c>
      <c r="J1687" s="9" t="s">
        <v>1605</v>
      </c>
      <c r="K1687" s="9">
        <v>1</v>
      </c>
      <c r="L1687" s="9">
        <v>18</v>
      </c>
      <c r="M1687" s="9">
        <v>2007</v>
      </c>
      <c r="O1687" s="9" t="str">
        <f t="shared" ref="O1687:O1750" si="82">IF(L1687&lt;7.75,"YES","NO")</f>
        <v>NO</v>
      </c>
      <c r="P1687" s="9" t="str">
        <f t="shared" ref="P1687:P1750" si="83">VLOOKUP(J1687,$Z$21:$AA$27,2,FALSE)</f>
        <v>YES</v>
      </c>
      <c r="Q1687" s="9" t="str">
        <f t="shared" ref="Q1687:Q1750" si="84">G1687</f>
        <v>Unconditioned</v>
      </c>
    </row>
    <row r="1688" spans="1:17">
      <c r="A1688" s="9">
        <v>22053</v>
      </c>
      <c r="B1688" s="9">
        <v>2</v>
      </c>
      <c r="C1688" s="9" t="s">
        <v>1589</v>
      </c>
      <c r="D1688" s="9" t="s">
        <v>1590</v>
      </c>
      <c r="E1688" s="9" t="s">
        <v>1591</v>
      </c>
      <c r="F1688" s="9" t="s">
        <v>1589</v>
      </c>
      <c r="G1688" s="9" t="s">
        <v>1592</v>
      </c>
      <c r="H1688" s="9" t="s">
        <v>170</v>
      </c>
      <c r="I1688" s="9" t="s">
        <v>3134</v>
      </c>
      <c r="J1688" s="9" t="s">
        <v>1597</v>
      </c>
      <c r="K1688" s="9">
        <v>1</v>
      </c>
      <c r="L1688" s="9">
        <v>20</v>
      </c>
      <c r="M1688" s="9">
        <v>1999</v>
      </c>
      <c r="O1688" s="9" t="str">
        <f t="shared" si="82"/>
        <v>NO</v>
      </c>
      <c r="P1688" s="9" t="str">
        <f t="shared" si="83"/>
        <v>NO</v>
      </c>
      <c r="Q1688" s="9" t="str">
        <f t="shared" si="84"/>
        <v>Conditioned</v>
      </c>
    </row>
    <row r="1689" spans="1:17">
      <c r="A1689" s="9">
        <v>22059</v>
      </c>
      <c r="B1689" s="9">
        <v>1</v>
      </c>
      <c r="C1689" s="9" t="s">
        <v>1589</v>
      </c>
      <c r="D1689" s="9" t="s">
        <v>1590</v>
      </c>
      <c r="E1689" s="9" t="s">
        <v>1602</v>
      </c>
      <c r="F1689" s="9" t="s">
        <v>1603</v>
      </c>
      <c r="G1689" s="9" t="s">
        <v>1592</v>
      </c>
      <c r="H1689" s="9" t="s">
        <v>1599</v>
      </c>
      <c r="I1689" s="9" t="s">
        <v>3135</v>
      </c>
      <c r="J1689" s="9" t="s">
        <v>1601</v>
      </c>
      <c r="K1689" s="9">
        <v>1</v>
      </c>
      <c r="L1689" s="9">
        <v>22</v>
      </c>
      <c r="M1689" s="9">
        <v>1992</v>
      </c>
      <c r="O1689" s="9" t="str">
        <f t="shared" si="82"/>
        <v>NO</v>
      </c>
      <c r="P1689" s="9" t="str">
        <f t="shared" si="83"/>
        <v>NO</v>
      </c>
      <c r="Q1689" s="9" t="str">
        <f t="shared" si="84"/>
        <v>Conditioned</v>
      </c>
    </row>
    <row r="1690" spans="1:17">
      <c r="A1690" s="9">
        <v>22059</v>
      </c>
      <c r="B1690" s="9">
        <v>2</v>
      </c>
      <c r="C1690" s="9" t="s">
        <v>1589</v>
      </c>
      <c r="D1690" s="9" t="s">
        <v>1590</v>
      </c>
      <c r="E1690" s="9" t="s">
        <v>1591</v>
      </c>
      <c r="F1690" s="9" t="s">
        <v>1589</v>
      </c>
      <c r="G1690" s="9" t="s">
        <v>1606</v>
      </c>
      <c r="H1690" s="9" t="s">
        <v>169</v>
      </c>
      <c r="I1690" s="9" t="s">
        <v>3136</v>
      </c>
      <c r="J1690" s="9" t="s">
        <v>1597</v>
      </c>
      <c r="K1690" s="9">
        <v>1</v>
      </c>
      <c r="L1690" s="9">
        <v>18</v>
      </c>
      <c r="M1690" s="9">
        <v>1992</v>
      </c>
      <c r="O1690" s="9" t="str">
        <f t="shared" si="82"/>
        <v>NO</v>
      </c>
      <c r="P1690" s="9" t="str">
        <f t="shared" si="83"/>
        <v>NO</v>
      </c>
      <c r="Q1690" s="9" t="str">
        <f t="shared" si="84"/>
        <v>Unconditioned</v>
      </c>
    </row>
    <row r="1691" spans="1:17">
      <c r="A1691" s="9">
        <v>22059</v>
      </c>
      <c r="B1691" s="9">
        <v>3</v>
      </c>
      <c r="C1691" s="9" t="s">
        <v>1589</v>
      </c>
      <c r="D1691" s="9" t="s">
        <v>1590</v>
      </c>
      <c r="E1691" s="9" t="s">
        <v>1591</v>
      </c>
      <c r="F1691" s="9" t="s">
        <v>1589</v>
      </c>
      <c r="G1691" s="9" t="s">
        <v>1606</v>
      </c>
      <c r="H1691" s="9" t="s">
        <v>173</v>
      </c>
      <c r="I1691" s="9" t="s">
        <v>3137</v>
      </c>
      <c r="J1691" s="9" t="s">
        <v>1587</v>
      </c>
      <c r="K1691" s="9">
        <v>1</v>
      </c>
      <c r="L1691" s="9">
        <v>25</v>
      </c>
      <c r="M1691" s="9">
        <v>1996</v>
      </c>
      <c r="O1691" s="9" t="str">
        <f t="shared" si="82"/>
        <v>NO</v>
      </c>
      <c r="P1691" s="9" t="str">
        <f t="shared" si="83"/>
        <v>YES</v>
      </c>
      <c r="Q1691" s="9" t="str">
        <f t="shared" si="84"/>
        <v>Unconditioned</v>
      </c>
    </row>
    <row r="1692" spans="1:17">
      <c r="A1692" s="9">
        <v>22061</v>
      </c>
      <c r="B1692" s="9">
        <v>1</v>
      </c>
      <c r="C1692" s="9" t="s">
        <v>1589</v>
      </c>
      <c r="D1692" s="9" t="s">
        <v>1590</v>
      </c>
      <c r="E1692" s="9" t="s">
        <v>1591</v>
      </c>
      <c r="F1692" s="9" t="s">
        <v>1589</v>
      </c>
      <c r="G1692" s="9" t="s">
        <v>1592</v>
      </c>
      <c r="H1692" s="9" t="s">
        <v>174</v>
      </c>
      <c r="I1692" s="9" t="s">
        <v>3138</v>
      </c>
      <c r="J1692" s="9" t="s">
        <v>1608</v>
      </c>
      <c r="K1692" s="9">
        <v>1</v>
      </c>
      <c r="L1692" s="9">
        <v>21</v>
      </c>
      <c r="M1692" s="9">
        <v>2010</v>
      </c>
      <c r="O1692" s="9" t="str">
        <f t="shared" si="82"/>
        <v>NO</v>
      </c>
      <c r="P1692" s="9" t="str">
        <f t="shared" si="83"/>
        <v>NO</v>
      </c>
      <c r="Q1692" s="9" t="str">
        <f t="shared" si="84"/>
        <v>Conditioned</v>
      </c>
    </row>
    <row r="1693" spans="1:17">
      <c r="A1693" s="9">
        <v>22077</v>
      </c>
      <c r="B1693" s="9">
        <v>1</v>
      </c>
      <c r="C1693" s="9" t="s">
        <v>3139</v>
      </c>
      <c r="D1693" s="9" t="s">
        <v>1590</v>
      </c>
      <c r="E1693" s="9" t="s">
        <v>1591</v>
      </c>
      <c r="F1693" s="9" t="s">
        <v>1589</v>
      </c>
      <c r="G1693" s="9" t="s">
        <v>1592</v>
      </c>
      <c r="H1693" s="9" t="s">
        <v>170</v>
      </c>
      <c r="I1693" s="9" t="s">
        <v>2577</v>
      </c>
      <c r="J1693" s="9" t="s">
        <v>1605</v>
      </c>
      <c r="K1693" s="9">
        <v>1</v>
      </c>
      <c r="L1693" s="9">
        <v>15</v>
      </c>
      <c r="M1693" s="9">
        <v>1990</v>
      </c>
      <c r="O1693" s="9" t="str">
        <f t="shared" si="82"/>
        <v>NO</v>
      </c>
      <c r="P1693" s="9" t="str">
        <f t="shared" si="83"/>
        <v>YES</v>
      </c>
      <c r="Q1693" s="9" t="str">
        <f t="shared" si="84"/>
        <v>Conditioned</v>
      </c>
    </row>
    <row r="1694" spans="1:17">
      <c r="A1694" s="9">
        <v>22077</v>
      </c>
      <c r="B1694" s="9">
        <v>2</v>
      </c>
      <c r="C1694" s="9" t="s">
        <v>1589</v>
      </c>
      <c r="D1694" s="9" t="s">
        <v>1590</v>
      </c>
      <c r="E1694" s="9" t="s">
        <v>1613</v>
      </c>
      <c r="F1694" s="9" t="s">
        <v>1590</v>
      </c>
      <c r="G1694" s="9" t="s">
        <v>1592</v>
      </c>
      <c r="H1694" s="9" t="s">
        <v>170</v>
      </c>
      <c r="I1694" s="9" t="s">
        <v>3140</v>
      </c>
      <c r="J1694" s="9" t="s">
        <v>1597</v>
      </c>
      <c r="K1694" s="9">
        <v>1</v>
      </c>
      <c r="L1694" s="9">
        <v>15</v>
      </c>
      <c r="M1694" s="9">
        <v>1991</v>
      </c>
      <c r="O1694" s="9" t="str">
        <f t="shared" si="82"/>
        <v>NO</v>
      </c>
      <c r="P1694" s="9" t="str">
        <f t="shared" si="83"/>
        <v>NO</v>
      </c>
      <c r="Q1694" s="9" t="str">
        <f t="shared" si="84"/>
        <v>Conditioned</v>
      </c>
    </row>
    <row r="1695" spans="1:17">
      <c r="A1695" s="9">
        <v>22077</v>
      </c>
      <c r="B1695" s="9">
        <v>3</v>
      </c>
      <c r="C1695" s="9" t="s">
        <v>3141</v>
      </c>
      <c r="D1695" s="9" t="s">
        <v>1590</v>
      </c>
      <c r="E1695" s="9" t="s">
        <v>1591</v>
      </c>
      <c r="F1695" s="9" t="s">
        <v>1589</v>
      </c>
      <c r="G1695" s="9" t="s">
        <v>1606</v>
      </c>
      <c r="H1695" s="9" t="s">
        <v>1589</v>
      </c>
      <c r="I1695" s="9" t="s">
        <v>1589</v>
      </c>
      <c r="J1695" s="9" t="s">
        <v>1605</v>
      </c>
      <c r="K1695" s="9">
        <v>1</v>
      </c>
      <c r="L1695" s="9">
        <v>17</v>
      </c>
      <c r="O1695" s="9" t="str">
        <f t="shared" si="82"/>
        <v>NO</v>
      </c>
      <c r="P1695" s="9" t="str">
        <f t="shared" si="83"/>
        <v>YES</v>
      </c>
      <c r="Q1695" s="9" t="str">
        <f t="shared" si="84"/>
        <v>Unconditioned</v>
      </c>
    </row>
    <row r="1696" spans="1:17">
      <c r="A1696" s="9">
        <v>22077</v>
      </c>
      <c r="B1696" s="9">
        <v>4</v>
      </c>
      <c r="C1696" s="9" t="s">
        <v>1589</v>
      </c>
      <c r="D1696" s="9" t="s">
        <v>1590</v>
      </c>
      <c r="E1696" s="9" t="s">
        <v>1613</v>
      </c>
      <c r="F1696" s="9" t="s">
        <v>1590</v>
      </c>
      <c r="G1696" s="9" t="s">
        <v>1606</v>
      </c>
      <c r="H1696" s="9" t="s">
        <v>177</v>
      </c>
      <c r="I1696" s="9" t="s">
        <v>3142</v>
      </c>
      <c r="J1696" s="9" t="s">
        <v>1597</v>
      </c>
      <c r="K1696" s="9">
        <v>1</v>
      </c>
      <c r="L1696" s="9">
        <v>18</v>
      </c>
      <c r="M1696" s="9">
        <v>1986</v>
      </c>
      <c r="O1696" s="9" t="str">
        <f t="shared" si="82"/>
        <v>NO</v>
      </c>
      <c r="P1696" s="9" t="str">
        <f t="shared" si="83"/>
        <v>NO</v>
      </c>
      <c r="Q1696" s="9" t="str">
        <f t="shared" si="84"/>
        <v>Unconditioned</v>
      </c>
    </row>
    <row r="1697" spans="1:17">
      <c r="A1697" s="9">
        <v>22084</v>
      </c>
      <c r="B1697" s="9">
        <v>1</v>
      </c>
      <c r="C1697" s="9" t="s">
        <v>1589</v>
      </c>
      <c r="D1697" s="9" t="s">
        <v>1590</v>
      </c>
      <c r="E1697" s="9" t="s">
        <v>1602</v>
      </c>
      <c r="F1697" s="9" t="s">
        <v>1603</v>
      </c>
      <c r="G1697" s="9" t="s">
        <v>1592</v>
      </c>
      <c r="H1697" s="9" t="s">
        <v>177</v>
      </c>
      <c r="I1697" s="9" t="s">
        <v>3143</v>
      </c>
      <c r="J1697" s="9" t="s">
        <v>1601</v>
      </c>
      <c r="K1697" s="9">
        <v>1</v>
      </c>
      <c r="L1697" s="9">
        <v>26</v>
      </c>
      <c r="M1697" s="9">
        <v>1986</v>
      </c>
      <c r="O1697" s="9" t="str">
        <f t="shared" si="82"/>
        <v>NO</v>
      </c>
      <c r="P1697" s="9" t="str">
        <f t="shared" si="83"/>
        <v>NO</v>
      </c>
      <c r="Q1697" s="9" t="str">
        <f t="shared" si="84"/>
        <v>Conditioned</v>
      </c>
    </row>
    <row r="1698" spans="1:17">
      <c r="A1698" s="9">
        <v>22086</v>
      </c>
      <c r="B1698" s="9">
        <v>1</v>
      </c>
      <c r="C1698" s="9" t="s">
        <v>3144</v>
      </c>
      <c r="D1698" s="9" t="s">
        <v>1590</v>
      </c>
      <c r="E1698" s="9" t="s">
        <v>1613</v>
      </c>
      <c r="F1698" s="9" t="s">
        <v>1603</v>
      </c>
      <c r="G1698" s="9" t="s">
        <v>1592</v>
      </c>
      <c r="H1698" s="9" t="s">
        <v>170</v>
      </c>
      <c r="I1698" s="9" t="s">
        <v>3145</v>
      </c>
      <c r="J1698" s="9" t="s">
        <v>1597</v>
      </c>
      <c r="K1698" s="9">
        <v>1</v>
      </c>
      <c r="L1698" s="9">
        <v>22</v>
      </c>
      <c r="M1698" s="9">
        <v>2000</v>
      </c>
      <c r="O1698" s="9" t="str">
        <f t="shared" si="82"/>
        <v>NO</v>
      </c>
      <c r="P1698" s="9" t="str">
        <f t="shared" si="83"/>
        <v>NO</v>
      </c>
      <c r="Q1698" s="9" t="str">
        <f t="shared" si="84"/>
        <v>Conditioned</v>
      </c>
    </row>
    <row r="1699" spans="1:17">
      <c r="A1699" s="9">
        <v>22086</v>
      </c>
      <c r="B1699" s="9">
        <v>2</v>
      </c>
      <c r="C1699" s="9" t="s">
        <v>3146</v>
      </c>
      <c r="D1699" s="9" t="s">
        <v>1590</v>
      </c>
      <c r="E1699" s="9" t="s">
        <v>1591</v>
      </c>
      <c r="F1699" s="9" t="s">
        <v>1589</v>
      </c>
      <c r="G1699" s="9" t="s">
        <v>1606</v>
      </c>
      <c r="H1699" s="9" t="s">
        <v>170</v>
      </c>
      <c r="I1699" s="9" t="s">
        <v>3147</v>
      </c>
      <c r="J1699" s="9" t="s">
        <v>1605</v>
      </c>
      <c r="K1699" s="9">
        <v>0.25</v>
      </c>
      <c r="L1699" s="9">
        <v>18</v>
      </c>
      <c r="M1699" s="9">
        <v>1998</v>
      </c>
      <c r="O1699" s="9" t="str">
        <f t="shared" si="82"/>
        <v>NO</v>
      </c>
      <c r="P1699" s="9" t="str">
        <f t="shared" si="83"/>
        <v>YES</v>
      </c>
      <c r="Q1699" s="9" t="str">
        <f t="shared" si="84"/>
        <v>Unconditioned</v>
      </c>
    </row>
    <row r="1700" spans="1:17">
      <c r="A1700" s="9">
        <v>22086</v>
      </c>
      <c r="B1700" s="9">
        <v>3</v>
      </c>
      <c r="C1700" s="9" t="s">
        <v>1589</v>
      </c>
      <c r="D1700" s="9" t="s">
        <v>1590</v>
      </c>
      <c r="E1700" s="9" t="s">
        <v>1613</v>
      </c>
      <c r="F1700" s="9" t="s">
        <v>1603</v>
      </c>
      <c r="G1700" s="9" t="s">
        <v>1606</v>
      </c>
      <c r="H1700" s="9" t="s">
        <v>1632</v>
      </c>
      <c r="I1700" s="9" t="s">
        <v>3148</v>
      </c>
      <c r="J1700" s="9" t="s">
        <v>1597</v>
      </c>
      <c r="K1700" s="9">
        <v>0.25</v>
      </c>
      <c r="L1700" s="9">
        <v>19</v>
      </c>
      <c r="M1700" s="9">
        <v>1999</v>
      </c>
      <c r="O1700" s="9" t="str">
        <f t="shared" si="82"/>
        <v>NO</v>
      </c>
      <c r="P1700" s="9" t="str">
        <f t="shared" si="83"/>
        <v>NO</v>
      </c>
      <c r="Q1700" s="9" t="str">
        <f t="shared" si="84"/>
        <v>Unconditioned</v>
      </c>
    </row>
    <row r="1701" spans="1:17">
      <c r="A1701" s="9">
        <v>22087</v>
      </c>
      <c r="B1701" s="9">
        <v>1</v>
      </c>
      <c r="C1701" s="9" t="s">
        <v>1589</v>
      </c>
      <c r="D1701" s="9" t="s">
        <v>1590</v>
      </c>
      <c r="E1701" s="9" t="s">
        <v>1591</v>
      </c>
      <c r="F1701" s="9" t="s">
        <v>1589</v>
      </c>
      <c r="G1701" s="9" t="s">
        <v>1592</v>
      </c>
      <c r="H1701" s="9" t="s">
        <v>173</v>
      </c>
      <c r="I1701" s="9" t="s">
        <v>3149</v>
      </c>
      <c r="J1701" s="9" t="s">
        <v>1597</v>
      </c>
      <c r="K1701" s="9">
        <v>1</v>
      </c>
      <c r="L1701" s="9">
        <v>22</v>
      </c>
      <c r="M1701" s="9">
        <v>2004</v>
      </c>
      <c r="O1701" s="9" t="str">
        <f t="shared" si="82"/>
        <v>NO</v>
      </c>
      <c r="P1701" s="9" t="str">
        <f t="shared" si="83"/>
        <v>NO</v>
      </c>
      <c r="Q1701" s="9" t="str">
        <f t="shared" si="84"/>
        <v>Conditioned</v>
      </c>
    </row>
    <row r="1702" spans="1:17">
      <c r="A1702" s="9">
        <v>22095</v>
      </c>
      <c r="B1702" s="9">
        <v>1</v>
      </c>
      <c r="C1702" s="9" t="s">
        <v>1589</v>
      </c>
      <c r="D1702" s="9" t="s">
        <v>1603</v>
      </c>
      <c r="E1702" s="9" t="s">
        <v>1591</v>
      </c>
      <c r="F1702" s="9" t="s">
        <v>1589</v>
      </c>
      <c r="G1702" s="9" t="s">
        <v>1592</v>
      </c>
      <c r="H1702" s="9" t="s">
        <v>174</v>
      </c>
      <c r="I1702" s="9" t="s">
        <v>3150</v>
      </c>
      <c r="J1702" s="9" t="s">
        <v>1608</v>
      </c>
      <c r="K1702" s="9">
        <v>1</v>
      </c>
      <c r="L1702" s="9">
        <v>19</v>
      </c>
      <c r="M1702" s="9">
        <v>2005</v>
      </c>
      <c r="O1702" s="9" t="str">
        <f t="shared" si="82"/>
        <v>NO</v>
      </c>
      <c r="P1702" s="9" t="str">
        <f t="shared" si="83"/>
        <v>NO</v>
      </c>
      <c r="Q1702" s="9" t="str">
        <f t="shared" si="84"/>
        <v>Conditioned</v>
      </c>
    </row>
    <row r="1703" spans="1:17">
      <c r="A1703" s="9">
        <v>22095</v>
      </c>
      <c r="B1703" s="9">
        <v>2</v>
      </c>
      <c r="C1703" s="9" t="s">
        <v>1589</v>
      </c>
      <c r="D1703" s="9" t="s">
        <v>1590</v>
      </c>
      <c r="E1703" s="9" t="s">
        <v>1591</v>
      </c>
      <c r="F1703" s="9" t="s">
        <v>1589</v>
      </c>
      <c r="G1703" s="9" t="s">
        <v>1592</v>
      </c>
      <c r="H1703" s="9" t="s">
        <v>3151</v>
      </c>
      <c r="I1703" s="9" t="s">
        <v>1589</v>
      </c>
      <c r="J1703" s="9" t="s">
        <v>1605</v>
      </c>
      <c r="K1703" s="9">
        <v>1</v>
      </c>
      <c r="L1703" s="9">
        <v>15</v>
      </c>
      <c r="O1703" s="9" t="str">
        <f t="shared" si="82"/>
        <v>NO</v>
      </c>
      <c r="P1703" s="9" t="str">
        <f t="shared" si="83"/>
        <v>YES</v>
      </c>
      <c r="Q1703" s="9" t="str">
        <f t="shared" si="84"/>
        <v>Conditioned</v>
      </c>
    </row>
    <row r="1704" spans="1:17">
      <c r="A1704" s="9">
        <v>22096</v>
      </c>
      <c r="B1704" s="9">
        <v>1</v>
      </c>
      <c r="C1704" s="9" t="s">
        <v>1589</v>
      </c>
      <c r="D1704" s="9" t="s">
        <v>1590</v>
      </c>
      <c r="E1704" s="9" t="s">
        <v>1591</v>
      </c>
      <c r="F1704" s="9" t="s">
        <v>1589</v>
      </c>
      <c r="G1704" s="9" t="s">
        <v>1592</v>
      </c>
      <c r="H1704" s="9" t="s">
        <v>1678</v>
      </c>
      <c r="I1704" s="9" t="s">
        <v>3152</v>
      </c>
      <c r="J1704" s="9" t="s">
        <v>1601</v>
      </c>
      <c r="K1704" s="9">
        <v>1</v>
      </c>
      <c r="L1704" s="9">
        <v>23</v>
      </c>
      <c r="M1704" s="9">
        <v>1990</v>
      </c>
      <c r="O1704" s="9" t="str">
        <f t="shared" si="82"/>
        <v>NO</v>
      </c>
      <c r="P1704" s="9" t="str">
        <f t="shared" si="83"/>
        <v>NO</v>
      </c>
      <c r="Q1704" s="9" t="str">
        <f t="shared" si="84"/>
        <v>Conditioned</v>
      </c>
    </row>
    <row r="1705" spans="1:17">
      <c r="A1705" s="9">
        <v>22096</v>
      </c>
      <c r="B1705" s="9">
        <v>2</v>
      </c>
      <c r="C1705" s="9" t="s">
        <v>1589</v>
      </c>
      <c r="D1705" s="9" t="s">
        <v>1590</v>
      </c>
      <c r="E1705" s="9" t="s">
        <v>1591</v>
      </c>
      <c r="F1705" s="9" t="s">
        <v>1589</v>
      </c>
      <c r="G1705" s="9" t="s">
        <v>1606</v>
      </c>
      <c r="H1705" s="9" t="s">
        <v>1589</v>
      </c>
      <c r="I1705" s="9" t="s">
        <v>1589</v>
      </c>
      <c r="J1705" s="9" t="s">
        <v>1587</v>
      </c>
      <c r="K1705" s="9">
        <v>1</v>
      </c>
      <c r="L1705" s="9">
        <v>15</v>
      </c>
      <c r="M1705" s="9">
        <v>1960</v>
      </c>
      <c r="O1705" s="9" t="str">
        <f t="shared" si="82"/>
        <v>NO</v>
      </c>
      <c r="P1705" s="9" t="str">
        <f t="shared" si="83"/>
        <v>YES</v>
      </c>
      <c r="Q1705" s="9" t="str">
        <f t="shared" si="84"/>
        <v>Unconditioned</v>
      </c>
    </row>
    <row r="1706" spans="1:17">
      <c r="A1706" s="9">
        <v>22096</v>
      </c>
      <c r="B1706" s="9">
        <v>3</v>
      </c>
      <c r="C1706" s="9" t="s">
        <v>1589</v>
      </c>
      <c r="D1706" s="9" t="s">
        <v>1590</v>
      </c>
      <c r="E1706" s="9" t="s">
        <v>1591</v>
      </c>
      <c r="F1706" s="9" t="s">
        <v>1589</v>
      </c>
      <c r="G1706" s="9" t="s">
        <v>1606</v>
      </c>
      <c r="H1706" s="9" t="s">
        <v>1589</v>
      </c>
      <c r="I1706" s="9" t="s">
        <v>1752</v>
      </c>
      <c r="J1706" s="9" t="s">
        <v>1605</v>
      </c>
      <c r="K1706" s="9">
        <v>1</v>
      </c>
      <c r="L1706" s="9">
        <v>17</v>
      </c>
      <c r="M1706" s="9">
        <v>2007</v>
      </c>
      <c r="O1706" s="9" t="str">
        <f t="shared" si="82"/>
        <v>NO</v>
      </c>
      <c r="P1706" s="9" t="str">
        <f t="shared" si="83"/>
        <v>YES</v>
      </c>
      <c r="Q1706" s="9" t="str">
        <f t="shared" si="84"/>
        <v>Unconditioned</v>
      </c>
    </row>
    <row r="1707" spans="1:17">
      <c r="A1707" s="9">
        <v>22096</v>
      </c>
      <c r="B1707" s="9">
        <v>4</v>
      </c>
      <c r="C1707" s="9" t="s">
        <v>1589</v>
      </c>
      <c r="D1707" s="9" t="s">
        <v>1590</v>
      </c>
      <c r="E1707" s="9" t="s">
        <v>1591</v>
      </c>
      <c r="F1707" s="9" t="s">
        <v>1589</v>
      </c>
      <c r="G1707" s="9" t="s">
        <v>1592</v>
      </c>
      <c r="H1707" s="9" t="s">
        <v>1624</v>
      </c>
      <c r="I1707" s="9" t="s">
        <v>3153</v>
      </c>
      <c r="J1707" s="9" t="s">
        <v>1597</v>
      </c>
      <c r="K1707" s="9">
        <v>1</v>
      </c>
      <c r="L1707" s="9">
        <v>20</v>
      </c>
      <c r="M1707" s="9">
        <v>1991</v>
      </c>
      <c r="O1707" s="9" t="str">
        <f t="shared" si="82"/>
        <v>NO</v>
      </c>
      <c r="P1707" s="9" t="str">
        <f t="shared" si="83"/>
        <v>NO</v>
      </c>
      <c r="Q1707" s="9" t="str">
        <f t="shared" si="84"/>
        <v>Conditioned</v>
      </c>
    </row>
    <row r="1708" spans="1:17">
      <c r="A1708" s="9">
        <v>22108</v>
      </c>
      <c r="B1708" s="9">
        <v>1</v>
      </c>
      <c r="C1708" s="9" t="s">
        <v>1589</v>
      </c>
      <c r="D1708" s="9" t="s">
        <v>1590</v>
      </c>
      <c r="E1708" s="9" t="s">
        <v>1613</v>
      </c>
      <c r="F1708" s="9" t="s">
        <v>1603</v>
      </c>
      <c r="G1708" s="9" t="s">
        <v>1592</v>
      </c>
      <c r="H1708" s="9" t="s">
        <v>174</v>
      </c>
      <c r="I1708" s="9" t="s">
        <v>3154</v>
      </c>
      <c r="J1708" s="9" t="s">
        <v>1597</v>
      </c>
      <c r="K1708" s="9">
        <v>1</v>
      </c>
      <c r="L1708" s="9">
        <v>18</v>
      </c>
      <c r="M1708" s="9">
        <v>1994</v>
      </c>
      <c r="O1708" s="9" t="str">
        <f t="shared" si="82"/>
        <v>NO</v>
      </c>
      <c r="P1708" s="9" t="str">
        <f t="shared" si="83"/>
        <v>NO</v>
      </c>
      <c r="Q1708" s="9" t="str">
        <f t="shared" si="84"/>
        <v>Conditioned</v>
      </c>
    </row>
    <row r="1709" spans="1:17">
      <c r="A1709" s="9">
        <v>22108</v>
      </c>
      <c r="B1709" s="9">
        <v>2</v>
      </c>
      <c r="C1709" s="9" t="s">
        <v>1589</v>
      </c>
      <c r="D1709" s="9" t="s">
        <v>1590</v>
      </c>
      <c r="E1709" s="9" t="s">
        <v>1591</v>
      </c>
      <c r="F1709" s="9" t="s">
        <v>1589</v>
      </c>
      <c r="G1709" s="9" t="s">
        <v>1592</v>
      </c>
      <c r="H1709" s="9" t="s">
        <v>172</v>
      </c>
      <c r="I1709" s="9" t="s">
        <v>3155</v>
      </c>
      <c r="J1709" s="9" t="s">
        <v>1597</v>
      </c>
      <c r="K1709" s="9">
        <v>1</v>
      </c>
      <c r="L1709" s="9">
        <v>17</v>
      </c>
      <c r="M1709" s="9">
        <v>1988</v>
      </c>
      <c r="O1709" s="9" t="str">
        <f t="shared" si="82"/>
        <v>NO</v>
      </c>
      <c r="P1709" s="9" t="str">
        <f t="shared" si="83"/>
        <v>NO</v>
      </c>
      <c r="Q1709" s="9" t="str">
        <f t="shared" si="84"/>
        <v>Conditioned</v>
      </c>
    </row>
    <row r="1710" spans="1:17">
      <c r="A1710" s="9">
        <v>22108</v>
      </c>
      <c r="B1710" s="9">
        <v>3</v>
      </c>
      <c r="C1710" s="9" t="s">
        <v>1589</v>
      </c>
      <c r="D1710" s="9" t="s">
        <v>1590</v>
      </c>
      <c r="E1710" s="9" t="s">
        <v>1591</v>
      </c>
      <c r="F1710" s="9" t="s">
        <v>1589</v>
      </c>
      <c r="G1710" s="9" t="s">
        <v>1606</v>
      </c>
      <c r="H1710" s="9" t="s">
        <v>1900</v>
      </c>
      <c r="I1710" s="9" t="s">
        <v>3156</v>
      </c>
      <c r="J1710" s="9" t="s">
        <v>1587</v>
      </c>
      <c r="K1710" s="9">
        <v>1</v>
      </c>
      <c r="L1710" s="9">
        <v>15</v>
      </c>
      <c r="M1710" s="9">
        <v>2010</v>
      </c>
      <c r="O1710" s="9" t="str">
        <f t="shared" si="82"/>
        <v>NO</v>
      </c>
      <c r="P1710" s="9" t="str">
        <f t="shared" si="83"/>
        <v>YES</v>
      </c>
      <c r="Q1710" s="9" t="str">
        <f t="shared" si="84"/>
        <v>Unconditioned</v>
      </c>
    </row>
    <row r="1711" spans="1:17">
      <c r="A1711" s="9">
        <v>22109</v>
      </c>
      <c r="B1711" s="9">
        <v>1</v>
      </c>
      <c r="C1711" s="9" t="s">
        <v>1589</v>
      </c>
      <c r="D1711" s="9" t="s">
        <v>1603</v>
      </c>
      <c r="E1711" s="9" t="s">
        <v>1602</v>
      </c>
      <c r="F1711" s="9" t="s">
        <v>1603</v>
      </c>
      <c r="G1711" s="9" t="s">
        <v>1592</v>
      </c>
      <c r="H1711" s="9" t="s">
        <v>1599</v>
      </c>
      <c r="I1711" s="9" t="s">
        <v>3157</v>
      </c>
      <c r="J1711" s="9" t="s">
        <v>1601</v>
      </c>
      <c r="K1711" s="9">
        <v>1</v>
      </c>
      <c r="L1711" s="9">
        <v>22</v>
      </c>
      <c r="M1711" s="9">
        <v>2000</v>
      </c>
      <c r="O1711" s="9" t="str">
        <f t="shared" si="82"/>
        <v>NO</v>
      </c>
      <c r="P1711" s="9" t="str">
        <f t="shared" si="83"/>
        <v>NO</v>
      </c>
      <c r="Q1711" s="9" t="str">
        <f t="shared" si="84"/>
        <v>Conditioned</v>
      </c>
    </row>
    <row r="1712" spans="1:17">
      <c r="A1712" s="9">
        <v>22109</v>
      </c>
      <c r="B1712" s="9">
        <v>2</v>
      </c>
      <c r="C1712" s="9" t="s">
        <v>1589</v>
      </c>
      <c r="D1712" s="9" t="s">
        <v>1590</v>
      </c>
      <c r="E1712" s="9" t="s">
        <v>1591</v>
      </c>
      <c r="F1712" s="9" t="s">
        <v>1589</v>
      </c>
      <c r="G1712" s="9" t="s">
        <v>1606</v>
      </c>
      <c r="H1712" s="9" t="s">
        <v>3158</v>
      </c>
      <c r="I1712" s="9" t="s">
        <v>3159</v>
      </c>
      <c r="J1712" s="9" t="s">
        <v>1605</v>
      </c>
      <c r="K1712" s="9">
        <v>1</v>
      </c>
      <c r="L1712" s="9">
        <v>22</v>
      </c>
      <c r="M1712" s="9">
        <v>2002</v>
      </c>
      <c r="O1712" s="9" t="str">
        <f t="shared" si="82"/>
        <v>NO</v>
      </c>
      <c r="P1712" s="9" t="str">
        <f t="shared" si="83"/>
        <v>YES</v>
      </c>
      <c r="Q1712" s="9" t="str">
        <f t="shared" si="84"/>
        <v>Unconditioned</v>
      </c>
    </row>
    <row r="1713" spans="1:17">
      <c r="A1713" s="9">
        <v>22123</v>
      </c>
      <c r="B1713" s="9">
        <v>1</v>
      </c>
      <c r="C1713" s="9" t="s">
        <v>3160</v>
      </c>
      <c r="D1713" s="9" t="s">
        <v>1590</v>
      </c>
      <c r="E1713" s="9" t="s">
        <v>1591</v>
      </c>
      <c r="F1713" s="9" t="s">
        <v>1589</v>
      </c>
      <c r="G1713" s="9" t="s">
        <v>1592</v>
      </c>
      <c r="H1713" s="9" t="s">
        <v>1638</v>
      </c>
      <c r="I1713" s="9" t="s">
        <v>3161</v>
      </c>
      <c r="J1713" s="9" t="s">
        <v>1597</v>
      </c>
      <c r="K1713" s="9">
        <v>1</v>
      </c>
      <c r="L1713" s="9">
        <v>14</v>
      </c>
      <c r="O1713" s="9" t="str">
        <f t="shared" si="82"/>
        <v>NO</v>
      </c>
      <c r="P1713" s="9" t="str">
        <f t="shared" si="83"/>
        <v>NO</v>
      </c>
      <c r="Q1713" s="9" t="str">
        <f t="shared" si="84"/>
        <v>Conditioned</v>
      </c>
    </row>
    <row r="1714" spans="1:17">
      <c r="A1714" s="9">
        <v>22124</v>
      </c>
      <c r="B1714" s="9">
        <v>1</v>
      </c>
      <c r="C1714" s="9" t="s">
        <v>1589</v>
      </c>
      <c r="D1714" s="9" t="s">
        <v>1590</v>
      </c>
      <c r="E1714" s="9" t="s">
        <v>1613</v>
      </c>
      <c r="F1714" s="9" t="s">
        <v>1603</v>
      </c>
      <c r="G1714" s="9" t="s">
        <v>1592</v>
      </c>
      <c r="H1714" s="9" t="s">
        <v>177</v>
      </c>
      <c r="I1714" s="9" t="s">
        <v>3162</v>
      </c>
      <c r="J1714" s="9" t="s">
        <v>1601</v>
      </c>
      <c r="K1714" s="9">
        <v>1</v>
      </c>
      <c r="L1714" s="9">
        <v>26</v>
      </c>
      <c r="M1714" s="9">
        <v>2000</v>
      </c>
      <c r="O1714" s="9" t="str">
        <f t="shared" si="82"/>
        <v>NO</v>
      </c>
      <c r="P1714" s="9" t="str">
        <f t="shared" si="83"/>
        <v>NO</v>
      </c>
      <c r="Q1714" s="9" t="str">
        <f t="shared" si="84"/>
        <v>Conditioned</v>
      </c>
    </row>
    <row r="1715" spans="1:17">
      <c r="A1715" s="9">
        <v>22124</v>
      </c>
      <c r="B1715" s="9">
        <v>2</v>
      </c>
      <c r="C1715" s="9" t="s">
        <v>3163</v>
      </c>
      <c r="D1715" s="9" t="s">
        <v>1590</v>
      </c>
      <c r="E1715" s="9" t="s">
        <v>1589</v>
      </c>
      <c r="F1715" s="9" t="s">
        <v>1589</v>
      </c>
      <c r="G1715" s="9" t="s">
        <v>1592</v>
      </c>
      <c r="H1715" s="9" t="s">
        <v>3164</v>
      </c>
      <c r="I1715" s="9" t="s">
        <v>3165</v>
      </c>
      <c r="J1715" s="9" t="s">
        <v>1612</v>
      </c>
      <c r="K1715" s="9">
        <v>1</v>
      </c>
      <c r="L1715" s="9">
        <v>4</v>
      </c>
      <c r="O1715" s="9" t="str">
        <f t="shared" si="82"/>
        <v>YES</v>
      </c>
      <c r="P1715" s="9" t="str">
        <f t="shared" si="83"/>
        <v>NO</v>
      </c>
      <c r="Q1715" s="9" t="str">
        <f t="shared" si="84"/>
        <v>Conditioned</v>
      </c>
    </row>
    <row r="1716" spans="1:17">
      <c r="A1716" s="9">
        <v>22125</v>
      </c>
      <c r="B1716" s="9">
        <v>1</v>
      </c>
      <c r="C1716" s="9" t="s">
        <v>1589</v>
      </c>
      <c r="D1716" s="9" t="s">
        <v>1590</v>
      </c>
      <c r="E1716" s="9" t="s">
        <v>1602</v>
      </c>
      <c r="F1716" s="9" t="s">
        <v>1603</v>
      </c>
      <c r="G1716" s="9" t="s">
        <v>1592</v>
      </c>
      <c r="H1716" s="9" t="s">
        <v>170</v>
      </c>
      <c r="I1716" s="9" t="s">
        <v>3166</v>
      </c>
      <c r="J1716" s="9" t="s">
        <v>1601</v>
      </c>
      <c r="K1716" s="9">
        <v>1</v>
      </c>
      <c r="L1716" s="9">
        <v>22</v>
      </c>
      <c r="M1716" s="9">
        <v>1995</v>
      </c>
      <c r="O1716" s="9" t="str">
        <f t="shared" si="82"/>
        <v>NO</v>
      </c>
      <c r="P1716" s="9" t="str">
        <f t="shared" si="83"/>
        <v>NO</v>
      </c>
      <c r="Q1716" s="9" t="str">
        <f t="shared" si="84"/>
        <v>Conditioned</v>
      </c>
    </row>
    <row r="1717" spans="1:17">
      <c r="A1717" s="9">
        <v>22125</v>
      </c>
      <c r="B1717" s="9">
        <v>2</v>
      </c>
      <c r="C1717" s="9" t="s">
        <v>1589</v>
      </c>
      <c r="D1717" s="9" t="s">
        <v>1603</v>
      </c>
      <c r="E1717" s="9" t="s">
        <v>1591</v>
      </c>
      <c r="F1717" s="9" t="s">
        <v>1589</v>
      </c>
      <c r="G1717" s="9" t="s">
        <v>1592</v>
      </c>
      <c r="H1717" s="9" t="s">
        <v>1638</v>
      </c>
      <c r="I1717" s="9" t="s">
        <v>1589</v>
      </c>
      <c r="J1717" s="9" t="s">
        <v>1605</v>
      </c>
      <c r="K1717" s="9">
        <v>1</v>
      </c>
      <c r="L1717" s="9">
        <v>20</v>
      </c>
      <c r="M1717" s="9">
        <v>1970</v>
      </c>
      <c r="O1717" s="9" t="str">
        <f t="shared" si="82"/>
        <v>NO</v>
      </c>
      <c r="P1717" s="9" t="str">
        <f t="shared" si="83"/>
        <v>YES</v>
      </c>
      <c r="Q1717" s="9" t="str">
        <f t="shared" si="84"/>
        <v>Conditioned</v>
      </c>
    </row>
    <row r="1718" spans="1:17">
      <c r="A1718" s="9">
        <v>22127</v>
      </c>
      <c r="B1718" s="9">
        <v>1</v>
      </c>
      <c r="C1718" s="9" t="s">
        <v>1589</v>
      </c>
      <c r="D1718" s="9" t="s">
        <v>1590</v>
      </c>
      <c r="E1718" s="9" t="s">
        <v>1613</v>
      </c>
      <c r="F1718" s="9" t="s">
        <v>1603</v>
      </c>
      <c r="G1718" s="9" t="s">
        <v>1592</v>
      </c>
      <c r="H1718" s="9" t="s">
        <v>1638</v>
      </c>
      <c r="I1718" s="9" t="s">
        <v>3167</v>
      </c>
      <c r="J1718" s="9" t="s">
        <v>1608</v>
      </c>
      <c r="K1718" s="9">
        <v>1</v>
      </c>
      <c r="L1718" s="9">
        <v>22</v>
      </c>
      <c r="M1718" s="9">
        <v>2004</v>
      </c>
      <c r="O1718" s="9" t="str">
        <f t="shared" si="82"/>
        <v>NO</v>
      </c>
      <c r="P1718" s="9" t="str">
        <f t="shared" si="83"/>
        <v>NO</v>
      </c>
      <c r="Q1718" s="9" t="str">
        <f t="shared" si="84"/>
        <v>Conditioned</v>
      </c>
    </row>
    <row r="1719" spans="1:17">
      <c r="A1719" s="9">
        <v>22127</v>
      </c>
      <c r="B1719" s="9">
        <v>2</v>
      </c>
      <c r="C1719" s="9" t="s">
        <v>1589</v>
      </c>
      <c r="D1719" s="9" t="s">
        <v>1590</v>
      </c>
      <c r="E1719" s="9" t="s">
        <v>1613</v>
      </c>
      <c r="F1719" s="9" t="s">
        <v>1590</v>
      </c>
      <c r="G1719" s="9" t="s">
        <v>1606</v>
      </c>
      <c r="H1719" s="9" t="s">
        <v>170</v>
      </c>
      <c r="I1719" s="9" t="s">
        <v>3168</v>
      </c>
      <c r="J1719" s="9" t="s">
        <v>1597</v>
      </c>
      <c r="K1719" s="9">
        <v>1</v>
      </c>
      <c r="L1719" s="9">
        <v>21</v>
      </c>
      <c r="M1719" s="9">
        <v>2010</v>
      </c>
      <c r="O1719" s="9" t="str">
        <f t="shared" si="82"/>
        <v>NO</v>
      </c>
      <c r="P1719" s="9" t="str">
        <f t="shared" si="83"/>
        <v>NO</v>
      </c>
      <c r="Q1719" s="9" t="str">
        <f t="shared" si="84"/>
        <v>Unconditioned</v>
      </c>
    </row>
    <row r="1720" spans="1:17">
      <c r="A1720" s="9">
        <v>22129</v>
      </c>
      <c r="B1720" s="9">
        <v>1</v>
      </c>
      <c r="C1720" s="9" t="s">
        <v>1589</v>
      </c>
      <c r="D1720" s="9" t="s">
        <v>1590</v>
      </c>
      <c r="E1720" s="9" t="s">
        <v>1602</v>
      </c>
      <c r="F1720" s="9" t="s">
        <v>1603</v>
      </c>
      <c r="G1720" s="9" t="s">
        <v>1592</v>
      </c>
      <c r="H1720" s="9" t="s">
        <v>1638</v>
      </c>
      <c r="I1720" s="9" t="s">
        <v>3169</v>
      </c>
      <c r="J1720" s="9" t="s">
        <v>1601</v>
      </c>
      <c r="K1720" s="9">
        <v>1</v>
      </c>
      <c r="L1720" s="9">
        <v>25</v>
      </c>
      <c r="M1720" s="9">
        <v>2009</v>
      </c>
      <c r="O1720" s="9" t="str">
        <f t="shared" si="82"/>
        <v>NO</v>
      </c>
      <c r="P1720" s="9" t="str">
        <f t="shared" si="83"/>
        <v>NO</v>
      </c>
      <c r="Q1720" s="9" t="str">
        <f t="shared" si="84"/>
        <v>Conditioned</v>
      </c>
    </row>
    <row r="1721" spans="1:17">
      <c r="A1721" s="9">
        <v>22131</v>
      </c>
      <c r="B1721" s="9">
        <v>1</v>
      </c>
      <c r="C1721" s="9" t="s">
        <v>1589</v>
      </c>
      <c r="D1721" s="9" t="s">
        <v>1590</v>
      </c>
      <c r="E1721" s="9" t="s">
        <v>1613</v>
      </c>
      <c r="F1721" s="9" t="s">
        <v>1603</v>
      </c>
      <c r="G1721" s="9" t="s">
        <v>1592</v>
      </c>
      <c r="H1721" s="9" t="s">
        <v>169</v>
      </c>
      <c r="I1721" s="9" t="s">
        <v>3170</v>
      </c>
      <c r="J1721" s="9" t="s">
        <v>1597</v>
      </c>
      <c r="K1721" s="9">
        <v>1</v>
      </c>
      <c r="L1721" s="9">
        <v>20</v>
      </c>
      <c r="M1721" s="9">
        <v>2009</v>
      </c>
      <c r="O1721" s="9" t="str">
        <f t="shared" si="82"/>
        <v>NO</v>
      </c>
      <c r="P1721" s="9" t="str">
        <f t="shared" si="83"/>
        <v>NO</v>
      </c>
      <c r="Q1721" s="9" t="str">
        <f t="shared" si="84"/>
        <v>Conditioned</v>
      </c>
    </row>
    <row r="1722" spans="1:17">
      <c r="A1722" s="9">
        <v>22138</v>
      </c>
      <c r="B1722" s="9">
        <v>1</v>
      </c>
      <c r="C1722" s="9" t="s">
        <v>1589</v>
      </c>
      <c r="D1722" s="9" t="s">
        <v>1590</v>
      </c>
      <c r="E1722" s="9" t="s">
        <v>1591</v>
      </c>
      <c r="F1722" s="9" t="s">
        <v>1589</v>
      </c>
      <c r="G1722" s="9" t="s">
        <v>1592</v>
      </c>
      <c r="H1722" s="9" t="s">
        <v>173</v>
      </c>
      <c r="I1722" s="9" t="s">
        <v>3171</v>
      </c>
      <c r="J1722" s="9" t="s">
        <v>1597</v>
      </c>
      <c r="K1722" s="9">
        <v>1</v>
      </c>
      <c r="L1722" s="9">
        <v>20</v>
      </c>
      <c r="M1722" s="9">
        <v>1998</v>
      </c>
      <c r="O1722" s="9" t="str">
        <f t="shared" si="82"/>
        <v>NO</v>
      </c>
      <c r="P1722" s="9" t="str">
        <f t="shared" si="83"/>
        <v>NO</v>
      </c>
      <c r="Q1722" s="9" t="str">
        <f t="shared" si="84"/>
        <v>Conditioned</v>
      </c>
    </row>
    <row r="1723" spans="1:17">
      <c r="A1723" s="9">
        <v>22138</v>
      </c>
      <c r="B1723" s="9">
        <v>2</v>
      </c>
      <c r="C1723" s="9" t="s">
        <v>1589</v>
      </c>
      <c r="D1723" s="9" t="s">
        <v>1590</v>
      </c>
      <c r="E1723" s="9" t="s">
        <v>1591</v>
      </c>
      <c r="F1723" s="9" t="s">
        <v>1589</v>
      </c>
      <c r="G1723" s="9" t="s">
        <v>1592</v>
      </c>
      <c r="H1723" s="9" t="s">
        <v>170</v>
      </c>
      <c r="I1723" s="9" t="s">
        <v>3172</v>
      </c>
      <c r="J1723" s="9" t="s">
        <v>1605</v>
      </c>
      <c r="K1723" s="9">
        <v>1</v>
      </c>
      <c r="L1723" s="9">
        <v>20</v>
      </c>
      <c r="M1723" s="9">
        <v>2003</v>
      </c>
      <c r="O1723" s="9" t="str">
        <f t="shared" si="82"/>
        <v>NO</v>
      </c>
      <c r="P1723" s="9" t="str">
        <f t="shared" si="83"/>
        <v>YES</v>
      </c>
      <c r="Q1723" s="9" t="str">
        <f t="shared" si="84"/>
        <v>Conditioned</v>
      </c>
    </row>
    <row r="1724" spans="1:17">
      <c r="A1724" s="9">
        <v>22144</v>
      </c>
      <c r="B1724" s="9">
        <v>1</v>
      </c>
      <c r="C1724" s="9" t="s">
        <v>1589</v>
      </c>
      <c r="D1724" s="9" t="s">
        <v>1590</v>
      </c>
      <c r="E1724" s="9" t="s">
        <v>1602</v>
      </c>
      <c r="F1724" s="9" t="s">
        <v>1603</v>
      </c>
      <c r="G1724" s="9" t="s">
        <v>1592</v>
      </c>
      <c r="H1724" s="9" t="s">
        <v>170</v>
      </c>
      <c r="I1724" s="9" t="s">
        <v>3173</v>
      </c>
      <c r="J1724" s="9" t="s">
        <v>1601</v>
      </c>
      <c r="K1724" s="9">
        <v>1</v>
      </c>
      <c r="L1724" s="9">
        <v>25</v>
      </c>
      <c r="M1724" s="9">
        <v>2002</v>
      </c>
      <c r="O1724" s="9" t="str">
        <f t="shared" si="82"/>
        <v>NO</v>
      </c>
      <c r="P1724" s="9" t="str">
        <f t="shared" si="83"/>
        <v>NO</v>
      </c>
      <c r="Q1724" s="9" t="str">
        <f t="shared" si="84"/>
        <v>Conditioned</v>
      </c>
    </row>
    <row r="1725" spans="1:17">
      <c r="A1725" s="9">
        <v>22144</v>
      </c>
      <c r="B1725" s="9">
        <v>2</v>
      </c>
      <c r="C1725" s="9" t="s">
        <v>3174</v>
      </c>
      <c r="D1725" s="9" t="s">
        <v>1590</v>
      </c>
      <c r="E1725" s="9" t="s">
        <v>1602</v>
      </c>
      <c r="F1725" s="9" t="s">
        <v>1590</v>
      </c>
      <c r="G1725" s="9" t="s">
        <v>1606</v>
      </c>
      <c r="H1725" s="9" t="s">
        <v>172</v>
      </c>
      <c r="I1725" s="9" t="s">
        <v>3175</v>
      </c>
      <c r="J1725" s="9" t="s">
        <v>1601</v>
      </c>
      <c r="K1725" s="9">
        <v>1</v>
      </c>
      <c r="L1725" s="9">
        <v>25</v>
      </c>
      <c r="O1725" s="9" t="str">
        <f t="shared" si="82"/>
        <v>NO</v>
      </c>
      <c r="P1725" s="9" t="str">
        <f t="shared" si="83"/>
        <v>NO</v>
      </c>
      <c r="Q1725" s="9" t="str">
        <f t="shared" si="84"/>
        <v>Unconditioned</v>
      </c>
    </row>
    <row r="1726" spans="1:17">
      <c r="A1726" s="9">
        <v>22144</v>
      </c>
      <c r="B1726" s="9">
        <v>3</v>
      </c>
      <c r="C1726" s="9" t="s">
        <v>3176</v>
      </c>
      <c r="D1726" s="9" t="s">
        <v>1590</v>
      </c>
      <c r="E1726" s="9" t="s">
        <v>1591</v>
      </c>
      <c r="F1726" s="9" t="s">
        <v>1589</v>
      </c>
      <c r="G1726" s="9" t="s">
        <v>1606</v>
      </c>
      <c r="H1726" s="9" t="s">
        <v>1552</v>
      </c>
      <c r="I1726" s="9" t="s">
        <v>1589</v>
      </c>
      <c r="J1726" s="9" t="s">
        <v>1587</v>
      </c>
      <c r="K1726" s="9">
        <v>1</v>
      </c>
      <c r="L1726" s="9">
        <v>15</v>
      </c>
      <c r="O1726" s="9" t="str">
        <f t="shared" si="82"/>
        <v>NO</v>
      </c>
      <c r="P1726" s="9" t="str">
        <f t="shared" si="83"/>
        <v>YES</v>
      </c>
      <c r="Q1726" s="9" t="str">
        <f t="shared" si="84"/>
        <v>Unconditioned</v>
      </c>
    </row>
    <row r="1727" spans="1:17">
      <c r="A1727" s="9">
        <v>22153</v>
      </c>
      <c r="B1727" s="9">
        <v>1</v>
      </c>
      <c r="C1727" s="9" t="s">
        <v>1589</v>
      </c>
      <c r="D1727" s="9" t="s">
        <v>1590</v>
      </c>
      <c r="E1727" s="9" t="s">
        <v>1591</v>
      </c>
      <c r="F1727" s="9" t="s">
        <v>1589</v>
      </c>
      <c r="G1727" s="9" t="s">
        <v>1592</v>
      </c>
      <c r="H1727" s="9" t="s">
        <v>170</v>
      </c>
      <c r="I1727" s="9" t="s">
        <v>3177</v>
      </c>
      <c r="J1727" s="9" t="s">
        <v>1610</v>
      </c>
      <c r="K1727" s="9">
        <v>1</v>
      </c>
      <c r="L1727" s="9">
        <v>25</v>
      </c>
      <c r="M1727" s="9">
        <v>2010</v>
      </c>
      <c r="O1727" s="9" t="str">
        <f t="shared" si="82"/>
        <v>NO</v>
      </c>
      <c r="P1727" s="9" t="str">
        <f t="shared" si="83"/>
        <v>NO</v>
      </c>
      <c r="Q1727" s="9" t="str">
        <f t="shared" si="84"/>
        <v>Conditioned</v>
      </c>
    </row>
    <row r="1728" spans="1:17">
      <c r="A1728" s="9">
        <v>22153</v>
      </c>
      <c r="B1728" s="9">
        <v>2</v>
      </c>
      <c r="C1728" s="9" t="s">
        <v>1589</v>
      </c>
      <c r="D1728" s="9" t="s">
        <v>1590</v>
      </c>
      <c r="E1728" s="9" t="s">
        <v>1602</v>
      </c>
      <c r="F1728" s="9" t="s">
        <v>1590</v>
      </c>
      <c r="G1728" s="9" t="s">
        <v>1606</v>
      </c>
      <c r="H1728" s="9" t="s">
        <v>170</v>
      </c>
      <c r="I1728" s="9" t="s">
        <v>3178</v>
      </c>
      <c r="J1728" s="9" t="s">
        <v>1601</v>
      </c>
      <c r="K1728" s="9">
        <v>1</v>
      </c>
      <c r="L1728" s="9">
        <v>25</v>
      </c>
      <c r="M1728" s="9">
        <v>2004</v>
      </c>
      <c r="O1728" s="9" t="str">
        <f t="shared" si="82"/>
        <v>NO</v>
      </c>
      <c r="P1728" s="9" t="str">
        <f t="shared" si="83"/>
        <v>NO</v>
      </c>
      <c r="Q1728" s="9" t="str">
        <f t="shared" si="84"/>
        <v>Unconditioned</v>
      </c>
    </row>
    <row r="1729" spans="1:17">
      <c r="A1729" s="9">
        <v>22159</v>
      </c>
      <c r="B1729" s="9">
        <v>1</v>
      </c>
      <c r="C1729" s="9" t="s">
        <v>1589</v>
      </c>
      <c r="D1729" s="9" t="s">
        <v>1590</v>
      </c>
      <c r="E1729" s="9" t="s">
        <v>1613</v>
      </c>
      <c r="F1729" s="9" t="s">
        <v>1603</v>
      </c>
      <c r="G1729" s="9" t="s">
        <v>1592</v>
      </c>
      <c r="H1729" s="9" t="s">
        <v>1017</v>
      </c>
      <c r="I1729" s="9" t="s">
        <v>3179</v>
      </c>
      <c r="J1729" s="9" t="s">
        <v>1610</v>
      </c>
      <c r="K1729" s="9">
        <v>1</v>
      </c>
      <c r="L1729" s="9">
        <v>22</v>
      </c>
      <c r="M1729" s="9">
        <v>2005</v>
      </c>
      <c r="O1729" s="9" t="str">
        <f t="shared" si="82"/>
        <v>NO</v>
      </c>
      <c r="P1729" s="9" t="str">
        <f t="shared" si="83"/>
        <v>NO</v>
      </c>
      <c r="Q1729" s="9" t="str">
        <f t="shared" si="84"/>
        <v>Conditioned</v>
      </c>
    </row>
    <row r="1730" spans="1:17">
      <c r="A1730" s="9">
        <v>22159</v>
      </c>
      <c r="B1730" s="9">
        <v>2</v>
      </c>
      <c r="C1730" s="9" t="s">
        <v>1589</v>
      </c>
      <c r="D1730" s="9" t="s">
        <v>1590</v>
      </c>
      <c r="E1730" s="9" t="s">
        <v>1591</v>
      </c>
      <c r="F1730" s="9" t="s">
        <v>1589</v>
      </c>
      <c r="G1730" s="9" t="s">
        <v>1592</v>
      </c>
      <c r="H1730" s="9" t="s">
        <v>170</v>
      </c>
      <c r="I1730" s="9" t="s">
        <v>3180</v>
      </c>
      <c r="J1730" s="9" t="s">
        <v>1605</v>
      </c>
      <c r="K1730" s="9">
        <v>1</v>
      </c>
      <c r="L1730" s="9">
        <v>14</v>
      </c>
      <c r="M1730" s="9">
        <v>2007</v>
      </c>
      <c r="O1730" s="9" t="str">
        <f t="shared" si="82"/>
        <v>NO</v>
      </c>
      <c r="P1730" s="9" t="str">
        <f t="shared" si="83"/>
        <v>YES</v>
      </c>
      <c r="Q1730" s="9" t="str">
        <f t="shared" si="84"/>
        <v>Conditioned</v>
      </c>
    </row>
    <row r="1731" spans="1:17">
      <c r="A1731" s="9">
        <v>22172</v>
      </c>
      <c r="B1731" s="9">
        <v>1</v>
      </c>
      <c r="C1731" s="9" t="s">
        <v>1589</v>
      </c>
      <c r="D1731" s="9" t="s">
        <v>1590</v>
      </c>
      <c r="E1731" s="9" t="s">
        <v>1591</v>
      </c>
      <c r="F1731" s="9" t="s">
        <v>1589</v>
      </c>
      <c r="G1731" s="9" t="s">
        <v>1592</v>
      </c>
      <c r="H1731" s="9" t="s">
        <v>1552</v>
      </c>
      <c r="I1731" s="9" t="s">
        <v>3181</v>
      </c>
      <c r="J1731" s="9" t="s">
        <v>1597</v>
      </c>
      <c r="K1731" s="9">
        <v>1</v>
      </c>
      <c r="L1731" s="9">
        <v>17</v>
      </c>
      <c r="M1731" s="9">
        <v>1988</v>
      </c>
      <c r="O1731" s="9" t="str">
        <f t="shared" si="82"/>
        <v>NO</v>
      </c>
      <c r="P1731" s="9" t="str">
        <f t="shared" si="83"/>
        <v>NO</v>
      </c>
      <c r="Q1731" s="9" t="str">
        <f t="shared" si="84"/>
        <v>Conditioned</v>
      </c>
    </row>
    <row r="1732" spans="1:17">
      <c r="A1732" s="9">
        <v>22172</v>
      </c>
      <c r="B1732" s="9">
        <v>2</v>
      </c>
      <c r="C1732" s="9" t="s">
        <v>1589</v>
      </c>
      <c r="D1732" s="9" t="s">
        <v>1590</v>
      </c>
      <c r="E1732" s="9" t="s">
        <v>1591</v>
      </c>
      <c r="F1732" s="9" t="s">
        <v>1589</v>
      </c>
      <c r="G1732" s="9" t="s">
        <v>1606</v>
      </c>
      <c r="H1732" s="9" t="s">
        <v>177</v>
      </c>
      <c r="I1732" s="9" t="s">
        <v>3182</v>
      </c>
      <c r="J1732" s="9" t="s">
        <v>1587</v>
      </c>
      <c r="K1732" s="9">
        <v>1</v>
      </c>
      <c r="L1732" s="9">
        <v>20</v>
      </c>
      <c r="M1732" s="9">
        <v>1989</v>
      </c>
      <c r="O1732" s="9" t="str">
        <f t="shared" si="82"/>
        <v>NO</v>
      </c>
      <c r="P1732" s="9" t="str">
        <f t="shared" si="83"/>
        <v>YES</v>
      </c>
      <c r="Q1732" s="9" t="str">
        <f t="shared" si="84"/>
        <v>Unconditioned</v>
      </c>
    </row>
    <row r="1733" spans="1:17">
      <c r="A1733" s="9">
        <v>22172</v>
      </c>
      <c r="B1733" s="9">
        <v>3</v>
      </c>
      <c r="C1733" s="9" t="s">
        <v>1589</v>
      </c>
      <c r="D1733" s="9" t="s">
        <v>1590</v>
      </c>
      <c r="E1733" s="9" t="s">
        <v>1591</v>
      </c>
      <c r="F1733" s="9" t="s">
        <v>1589</v>
      </c>
      <c r="G1733" s="9" t="s">
        <v>1592</v>
      </c>
      <c r="H1733" s="9" t="s">
        <v>775</v>
      </c>
      <c r="I1733" s="9" t="s">
        <v>3183</v>
      </c>
      <c r="J1733" s="9" t="s">
        <v>1587</v>
      </c>
      <c r="K1733" s="9">
        <v>1</v>
      </c>
      <c r="L1733" s="9">
        <v>19</v>
      </c>
      <c r="M1733" s="9">
        <v>1992</v>
      </c>
      <c r="O1733" s="9" t="str">
        <f t="shared" si="82"/>
        <v>NO</v>
      </c>
      <c r="P1733" s="9" t="str">
        <f t="shared" si="83"/>
        <v>YES</v>
      </c>
      <c r="Q1733" s="9" t="str">
        <f t="shared" si="84"/>
        <v>Conditioned</v>
      </c>
    </row>
    <row r="1734" spans="1:17">
      <c r="A1734" s="9">
        <v>22175</v>
      </c>
      <c r="B1734" s="9">
        <v>1</v>
      </c>
      <c r="C1734" s="9" t="s">
        <v>1589</v>
      </c>
      <c r="D1734" s="9" t="s">
        <v>1590</v>
      </c>
      <c r="E1734" s="9" t="s">
        <v>1602</v>
      </c>
      <c r="F1734" s="9" t="s">
        <v>1603</v>
      </c>
      <c r="G1734" s="9" t="s">
        <v>1592</v>
      </c>
      <c r="H1734" s="9" t="s">
        <v>170</v>
      </c>
      <c r="I1734" s="9" t="s">
        <v>3184</v>
      </c>
      <c r="J1734" s="9" t="s">
        <v>1601</v>
      </c>
      <c r="K1734" s="9">
        <v>1</v>
      </c>
      <c r="L1734" s="9">
        <v>18</v>
      </c>
      <c r="M1734" s="9">
        <v>2006</v>
      </c>
      <c r="O1734" s="9" t="str">
        <f t="shared" si="82"/>
        <v>NO</v>
      </c>
      <c r="P1734" s="9" t="str">
        <f t="shared" si="83"/>
        <v>NO</v>
      </c>
      <c r="Q1734" s="9" t="str">
        <f t="shared" si="84"/>
        <v>Conditioned</v>
      </c>
    </row>
    <row r="1735" spans="1:17">
      <c r="A1735" s="9">
        <v>22175</v>
      </c>
      <c r="B1735" s="9">
        <v>2</v>
      </c>
      <c r="C1735" s="9" t="s">
        <v>1589</v>
      </c>
      <c r="D1735" s="9" t="s">
        <v>1590</v>
      </c>
      <c r="E1735" s="9" t="s">
        <v>1591</v>
      </c>
      <c r="F1735" s="9" t="s">
        <v>1589</v>
      </c>
      <c r="G1735" s="9" t="s">
        <v>1606</v>
      </c>
      <c r="H1735" s="9" t="s">
        <v>170</v>
      </c>
      <c r="I1735" s="9" t="s">
        <v>3185</v>
      </c>
      <c r="J1735" s="9" t="s">
        <v>1605</v>
      </c>
      <c r="K1735" s="9">
        <v>1</v>
      </c>
      <c r="L1735" s="9">
        <v>25</v>
      </c>
      <c r="M1735" s="9">
        <v>1997</v>
      </c>
      <c r="O1735" s="9" t="str">
        <f t="shared" si="82"/>
        <v>NO</v>
      </c>
      <c r="P1735" s="9" t="str">
        <f t="shared" si="83"/>
        <v>YES</v>
      </c>
      <c r="Q1735" s="9" t="str">
        <f t="shared" si="84"/>
        <v>Unconditioned</v>
      </c>
    </row>
    <row r="1736" spans="1:17">
      <c r="A1736" s="9">
        <v>22176</v>
      </c>
      <c r="B1736" s="9">
        <v>1</v>
      </c>
      <c r="C1736" s="9" t="s">
        <v>1589</v>
      </c>
      <c r="D1736" s="9" t="s">
        <v>1603</v>
      </c>
      <c r="E1736" s="9" t="s">
        <v>1613</v>
      </c>
      <c r="F1736" s="9" t="s">
        <v>1603</v>
      </c>
      <c r="G1736" s="9" t="s">
        <v>1592</v>
      </c>
      <c r="H1736" s="9" t="s">
        <v>1017</v>
      </c>
      <c r="I1736" s="9" t="s">
        <v>3186</v>
      </c>
      <c r="J1736" s="9" t="s">
        <v>1597</v>
      </c>
      <c r="K1736" s="9">
        <v>1</v>
      </c>
      <c r="L1736" s="9">
        <v>27</v>
      </c>
      <c r="M1736" s="9">
        <v>2008</v>
      </c>
      <c r="O1736" s="9" t="str">
        <f t="shared" si="82"/>
        <v>NO</v>
      </c>
      <c r="P1736" s="9" t="str">
        <f t="shared" si="83"/>
        <v>NO</v>
      </c>
      <c r="Q1736" s="9" t="str">
        <f t="shared" si="84"/>
        <v>Conditioned</v>
      </c>
    </row>
    <row r="1737" spans="1:17">
      <c r="A1737" s="9">
        <v>22176</v>
      </c>
      <c r="B1737" s="9">
        <v>2</v>
      </c>
      <c r="C1737" s="9" t="s">
        <v>1589</v>
      </c>
      <c r="D1737" s="9" t="s">
        <v>1590</v>
      </c>
      <c r="E1737" s="9" t="s">
        <v>1613</v>
      </c>
      <c r="F1737" s="9" t="s">
        <v>1590</v>
      </c>
      <c r="G1737" s="9" t="s">
        <v>1606</v>
      </c>
      <c r="H1737" s="9" t="s">
        <v>1599</v>
      </c>
      <c r="I1737" s="9" t="s">
        <v>3187</v>
      </c>
      <c r="J1737" s="9" t="s">
        <v>1597</v>
      </c>
      <c r="K1737" s="9">
        <v>1</v>
      </c>
      <c r="L1737" s="9">
        <v>26</v>
      </c>
      <c r="M1737" s="9">
        <v>1993</v>
      </c>
      <c r="O1737" s="9" t="str">
        <f t="shared" si="82"/>
        <v>NO</v>
      </c>
      <c r="P1737" s="9" t="str">
        <f t="shared" si="83"/>
        <v>NO</v>
      </c>
      <c r="Q1737" s="9" t="str">
        <f t="shared" si="84"/>
        <v>Unconditioned</v>
      </c>
    </row>
    <row r="1738" spans="1:17">
      <c r="A1738" s="9">
        <v>22176</v>
      </c>
      <c r="B1738" s="9">
        <v>3</v>
      </c>
      <c r="C1738" s="9" t="s">
        <v>1589</v>
      </c>
      <c r="D1738" s="9" t="s">
        <v>1590</v>
      </c>
      <c r="E1738" s="9" t="s">
        <v>1591</v>
      </c>
      <c r="F1738" s="9" t="s">
        <v>1589</v>
      </c>
      <c r="G1738" s="9" t="s">
        <v>1606</v>
      </c>
      <c r="H1738" s="9" t="s">
        <v>1678</v>
      </c>
      <c r="I1738" s="9" t="s">
        <v>3188</v>
      </c>
      <c r="J1738" s="9" t="s">
        <v>1605</v>
      </c>
      <c r="K1738" s="9">
        <v>1</v>
      </c>
      <c r="L1738" s="9">
        <v>21</v>
      </c>
      <c r="O1738" s="9" t="str">
        <f t="shared" si="82"/>
        <v>NO</v>
      </c>
      <c r="P1738" s="9" t="str">
        <f t="shared" si="83"/>
        <v>YES</v>
      </c>
      <c r="Q1738" s="9" t="str">
        <f t="shared" si="84"/>
        <v>Unconditioned</v>
      </c>
    </row>
    <row r="1739" spans="1:17">
      <c r="A1739" s="9">
        <v>22177</v>
      </c>
      <c r="B1739" s="9">
        <v>1</v>
      </c>
      <c r="C1739" s="9" t="s">
        <v>1589</v>
      </c>
      <c r="D1739" s="9" t="s">
        <v>1590</v>
      </c>
      <c r="E1739" s="9" t="s">
        <v>1602</v>
      </c>
      <c r="F1739" s="9" t="s">
        <v>1603</v>
      </c>
      <c r="G1739" s="9" t="s">
        <v>1592</v>
      </c>
      <c r="H1739" s="9" t="s">
        <v>1638</v>
      </c>
      <c r="I1739" s="9" t="s">
        <v>2722</v>
      </c>
      <c r="J1739" s="9" t="s">
        <v>1601</v>
      </c>
      <c r="K1739" s="9">
        <v>1</v>
      </c>
      <c r="L1739" s="9">
        <v>25</v>
      </c>
      <c r="M1739" s="9">
        <v>2010</v>
      </c>
      <c r="O1739" s="9" t="str">
        <f t="shared" si="82"/>
        <v>NO</v>
      </c>
      <c r="P1739" s="9" t="str">
        <f t="shared" si="83"/>
        <v>NO</v>
      </c>
      <c r="Q1739" s="9" t="str">
        <f t="shared" si="84"/>
        <v>Conditioned</v>
      </c>
    </row>
    <row r="1740" spans="1:17">
      <c r="A1740" s="9">
        <v>22177</v>
      </c>
      <c r="B1740" s="9">
        <v>2</v>
      </c>
      <c r="C1740" s="9" t="s">
        <v>1589</v>
      </c>
      <c r="D1740" s="9" t="s">
        <v>1590</v>
      </c>
      <c r="E1740" s="9" t="s">
        <v>1591</v>
      </c>
      <c r="F1740" s="9" t="s">
        <v>1589</v>
      </c>
      <c r="G1740" s="9" t="s">
        <v>1592</v>
      </c>
      <c r="H1740" s="9" t="s">
        <v>170</v>
      </c>
      <c r="I1740" s="9" t="s">
        <v>3189</v>
      </c>
      <c r="J1740" s="9" t="s">
        <v>1587</v>
      </c>
      <c r="K1740" s="9">
        <v>1</v>
      </c>
      <c r="L1740" s="9">
        <v>16</v>
      </c>
      <c r="M1740" s="9">
        <v>2009</v>
      </c>
      <c r="O1740" s="9" t="str">
        <f t="shared" si="82"/>
        <v>NO</v>
      </c>
      <c r="P1740" s="9" t="str">
        <f t="shared" si="83"/>
        <v>YES</v>
      </c>
      <c r="Q1740" s="9" t="str">
        <f t="shared" si="84"/>
        <v>Conditioned</v>
      </c>
    </row>
    <row r="1741" spans="1:17">
      <c r="A1741" s="9">
        <v>22179</v>
      </c>
      <c r="B1741" s="9">
        <v>1</v>
      </c>
      <c r="C1741" s="9" t="s">
        <v>1589</v>
      </c>
      <c r="D1741" s="9" t="s">
        <v>1590</v>
      </c>
      <c r="E1741" s="9" t="s">
        <v>1591</v>
      </c>
      <c r="F1741" s="9" t="s">
        <v>1589</v>
      </c>
      <c r="G1741" s="9" t="s">
        <v>1592</v>
      </c>
      <c r="H1741" s="9" t="s">
        <v>169</v>
      </c>
      <c r="I1741" s="9" t="s">
        <v>3190</v>
      </c>
      <c r="J1741" s="9" t="s">
        <v>1597</v>
      </c>
      <c r="K1741" s="9">
        <v>1</v>
      </c>
      <c r="L1741" s="9">
        <v>21</v>
      </c>
      <c r="M1741" s="9">
        <v>2003</v>
      </c>
      <c r="O1741" s="9" t="str">
        <f t="shared" si="82"/>
        <v>NO</v>
      </c>
      <c r="P1741" s="9" t="str">
        <f t="shared" si="83"/>
        <v>NO</v>
      </c>
      <c r="Q1741" s="9" t="str">
        <f t="shared" si="84"/>
        <v>Conditioned</v>
      </c>
    </row>
    <row r="1742" spans="1:17">
      <c r="A1742" s="9">
        <v>22179</v>
      </c>
      <c r="B1742" s="9">
        <v>2</v>
      </c>
      <c r="C1742" s="9" t="s">
        <v>3191</v>
      </c>
      <c r="D1742" s="9" t="s">
        <v>1590</v>
      </c>
      <c r="E1742" s="9" t="s">
        <v>1591</v>
      </c>
      <c r="F1742" s="9" t="s">
        <v>1589</v>
      </c>
      <c r="G1742" s="9" t="s">
        <v>1592</v>
      </c>
      <c r="H1742" s="9" t="s">
        <v>170</v>
      </c>
      <c r="I1742" s="9" t="s">
        <v>1589</v>
      </c>
      <c r="J1742" s="9" t="s">
        <v>1587</v>
      </c>
      <c r="K1742" s="9">
        <v>1</v>
      </c>
      <c r="L1742" s="9">
        <v>12</v>
      </c>
      <c r="O1742" s="9" t="str">
        <f t="shared" si="82"/>
        <v>NO</v>
      </c>
      <c r="P1742" s="9" t="str">
        <f t="shared" si="83"/>
        <v>YES</v>
      </c>
      <c r="Q1742" s="9" t="str">
        <f t="shared" si="84"/>
        <v>Conditioned</v>
      </c>
    </row>
    <row r="1743" spans="1:17">
      <c r="A1743" s="9">
        <v>22180</v>
      </c>
      <c r="B1743" s="9">
        <v>1</v>
      </c>
      <c r="C1743" s="9" t="s">
        <v>1589</v>
      </c>
      <c r="D1743" s="9" t="s">
        <v>1590</v>
      </c>
      <c r="E1743" s="9" t="s">
        <v>1591</v>
      </c>
      <c r="F1743" s="9" t="s">
        <v>1589</v>
      </c>
      <c r="G1743" s="9" t="s">
        <v>1592</v>
      </c>
      <c r="H1743" s="9" t="s">
        <v>177</v>
      </c>
      <c r="I1743" s="9" t="s">
        <v>3192</v>
      </c>
      <c r="J1743" s="9" t="s">
        <v>1597</v>
      </c>
      <c r="K1743" s="9">
        <v>1</v>
      </c>
      <c r="L1743" s="9">
        <v>18</v>
      </c>
      <c r="M1743" s="9">
        <v>2004</v>
      </c>
      <c r="O1743" s="9" t="str">
        <f t="shared" si="82"/>
        <v>NO</v>
      </c>
      <c r="P1743" s="9" t="str">
        <f t="shared" si="83"/>
        <v>NO</v>
      </c>
      <c r="Q1743" s="9" t="str">
        <f t="shared" si="84"/>
        <v>Conditioned</v>
      </c>
    </row>
    <row r="1744" spans="1:17">
      <c r="A1744" s="9">
        <v>22181</v>
      </c>
      <c r="B1744" s="9">
        <v>1</v>
      </c>
      <c r="C1744" s="9" t="s">
        <v>1589</v>
      </c>
      <c r="D1744" s="9" t="s">
        <v>1590</v>
      </c>
      <c r="E1744" s="9" t="s">
        <v>1613</v>
      </c>
      <c r="F1744" s="9" t="s">
        <v>1590</v>
      </c>
      <c r="G1744" s="9" t="s">
        <v>1592</v>
      </c>
      <c r="H1744" s="9" t="s">
        <v>1766</v>
      </c>
      <c r="I1744" s="9" t="s">
        <v>3193</v>
      </c>
      <c r="J1744" s="9" t="s">
        <v>1597</v>
      </c>
      <c r="K1744" s="9">
        <v>1</v>
      </c>
      <c r="L1744" s="9">
        <v>18</v>
      </c>
      <c r="M1744" s="9">
        <v>1996</v>
      </c>
      <c r="O1744" s="9" t="str">
        <f t="shared" si="82"/>
        <v>NO</v>
      </c>
      <c r="P1744" s="9" t="str">
        <f t="shared" si="83"/>
        <v>NO</v>
      </c>
      <c r="Q1744" s="9" t="str">
        <f t="shared" si="84"/>
        <v>Conditioned</v>
      </c>
    </row>
    <row r="1745" spans="1:17">
      <c r="A1745" s="9">
        <v>22181</v>
      </c>
      <c r="B1745" s="9">
        <v>2</v>
      </c>
      <c r="C1745" s="9" t="s">
        <v>3194</v>
      </c>
      <c r="D1745" s="9" t="s">
        <v>1590</v>
      </c>
      <c r="E1745" s="9" t="s">
        <v>1591</v>
      </c>
      <c r="F1745" s="9" t="s">
        <v>1589</v>
      </c>
      <c r="G1745" s="9" t="s">
        <v>1592</v>
      </c>
      <c r="H1745" s="9" t="s">
        <v>170</v>
      </c>
      <c r="I1745" s="9" t="s">
        <v>1589</v>
      </c>
      <c r="J1745" s="9" t="s">
        <v>1605</v>
      </c>
      <c r="K1745" s="9">
        <v>1</v>
      </c>
      <c r="L1745" s="9">
        <v>13</v>
      </c>
      <c r="M1745" s="9">
        <v>1990</v>
      </c>
      <c r="O1745" s="9" t="str">
        <f t="shared" si="82"/>
        <v>NO</v>
      </c>
      <c r="P1745" s="9" t="str">
        <f t="shared" si="83"/>
        <v>YES</v>
      </c>
      <c r="Q1745" s="9" t="str">
        <f t="shared" si="84"/>
        <v>Conditioned</v>
      </c>
    </row>
    <row r="1746" spans="1:17">
      <c r="A1746" s="9">
        <v>22181</v>
      </c>
      <c r="B1746" s="9">
        <v>3</v>
      </c>
      <c r="C1746" s="9" t="s">
        <v>3194</v>
      </c>
      <c r="D1746" s="9" t="s">
        <v>1590</v>
      </c>
      <c r="E1746" s="9" t="s">
        <v>1591</v>
      </c>
      <c r="F1746" s="9" t="s">
        <v>1589</v>
      </c>
      <c r="G1746" s="9" t="s">
        <v>1606</v>
      </c>
      <c r="H1746" s="9" t="s">
        <v>3195</v>
      </c>
      <c r="I1746" s="9" t="s">
        <v>1589</v>
      </c>
      <c r="J1746" s="9" t="s">
        <v>1587</v>
      </c>
      <c r="K1746" s="9">
        <v>1</v>
      </c>
      <c r="L1746" s="9">
        <v>25</v>
      </c>
      <c r="M1746" s="9">
        <v>1970</v>
      </c>
      <c r="O1746" s="9" t="str">
        <f t="shared" si="82"/>
        <v>NO</v>
      </c>
      <c r="P1746" s="9" t="str">
        <f t="shared" si="83"/>
        <v>YES</v>
      </c>
      <c r="Q1746" s="9" t="str">
        <f t="shared" si="84"/>
        <v>Unconditioned</v>
      </c>
    </row>
    <row r="1747" spans="1:17">
      <c r="A1747" s="9">
        <v>22181</v>
      </c>
      <c r="B1747" s="9">
        <v>4</v>
      </c>
      <c r="C1747" s="9" t="s">
        <v>3196</v>
      </c>
      <c r="D1747" s="9" t="s">
        <v>1590</v>
      </c>
      <c r="E1747" s="9" t="s">
        <v>1591</v>
      </c>
      <c r="F1747" s="9" t="s">
        <v>1589</v>
      </c>
      <c r="G1747" s="9" t="s">
        <v>1592</v>
      </c>
      <c r="H1747" s="9" t="s">
        <v>181</v>
      </c>
      <c r="I1747" s="9" t="s">
        <v>1589</v>
      </c>
      <c r="J1747" s="9" t="s">
        <v>1589</v>
      </c>
      <c r="K1747" s="9">
        <v>1</v>
      </c>
      <c r="L1747" s="9">
        <v>5</v>
      </c>
      <c r="O1747" s="9" t="str">
        <f t="shared" si="82"/>
        <v>YES</v>
      </c>
      <c r="P1747" s="9" t="e">
        <f t="shared" si="83"/>
        <v>#N/A</v>
      </c>
      <c r="Q1747" s="9" t="str">
        <f t="shared" si="84"/>
        <v>Conditioned</v>
      </c>
    </row>
    <row r="1748" spans="1:17">
      <c r="A1748" s="9">
        <v>22186</v>
      </c>
      <c r="B1748" s="9">
        <v>1</v>
      </c>
      <c r="C1748" s="9" t="s">
        <v>1589</v>
      </c>
      <c r="D1748" s="9" t="s">
        <v>1590</v>
      </c>
      <c r="E1748" s="9" t="s">
        <v>1602</v>
      </c>
      <c r="F1748" s="9" t="s">
        <v>1603</v>
      </c>
      <c r="G1748" s="9" t="s">
        <v>1592</v>
      </c>
      <c r="H1748" s="9" t="s">
        <v>176</v>
      </c>
      <c r="I1748" s="9" t="s">
        <v>3197</v>
      </c>
      <c r="J1748" s="9" t="s">
        <v>1601</v>
      </c>
      <c r="K1748" s="9">
        <v>1</v>
      </c>
      <c r="L1748" s="9">
        <v>25</v>
      </c>
      <c r="M1748" s="9">
        <v>2008</v>
      </c>
      <c r="O1748" s="9" t="str">
        <f t="shared" si="82"/>
        <v>NO</v>
      </c>
      <c r="P1748" s="9" t="str">
        <f t="shared" si="83"/>
        <v>NO</v>
      </c>
      <c r="Q1748" s="9" t="str">
        <f t="shared" si="84"/>
        <v>Conditioned</v>
      </c>
    </row>
    <row r="1749" spans="1:17">
      <c r="A1749" s="9">
        <v>22187</v>
      </c>
      <c r="B1749" s="9">
        <v>1</v>
      </c>
      <c r="C1749" s="9" t="s">
        <v>1589</v>
      </c>
      <c r="D1749" s="9" t="s">
        <v>1590</v>
      </c>
      <c r="E1749" s="9" t="s">
        <v>1613</v>
      </c>
      <c r="F1749" s="9" t="s">
        <v>1590</v>
      </c>
      <c r="G1749" s="9" t="s">
        <v>1592</v>
      </c>
      <c r="H1749" s="9" t="s">
        <v>1871</v>
      </c>
      <c r="I1749" s="9" t="s">
        <v>3198</v>
      </c>
      <c r="J1749" s="9" t="s">
        <v>1597</v>
      </c>
      <c r="K1749" s="9">
        <v>1</v>
      </c>
      <c r="L1749" s="9">
        <v>22</v>
      </c>
      <c r="M1749" s="9">
        <v>1999</v>
      </c>
      <c r="O1749" s="9" t="str">
        <f t="shared" si="82"/>
        <v>NO</v>
      </c>
      <c r="P1749" s="9" t="str">
        <f t="shared" si="83"/>
        <v>NO</v>
      </c>
      <c r="Q1749" s="9" t="str">
        <f t="shared" si="84"/>
        <v>Conditioned</v>
      </c>
    </row>
    <row r="1750" spans="1:17">
      <c r="A1750" s="9">
        <v>22187</v>
      </c>
      <c r="B1750" s="9">
        <v>2</v>
      </c>
      <c r="C1750" s="9" t="s">
        <v>1589</v>
      </c>
      <c r="D1750" s="9" t="s">
        <v>1590</v>
      </c>
      <c r="E1750" s="9" t="s">
        <v>1591</v>
      </c>
      <c r="F1750" s="9" t="s">
        <v>1589</v>
      </c>
      <c r="G1750" s="9" t="s">
        <v>1592</v>
      </c>
      <c r="H1750" s="9" t="s">
        <v>520</v>
      </c>
      <c r="I1750" s="9" t="s">
        <v>3199</v>
      </c>
      <c r="J1750" s="9" t="s">
        <v>1605</v>
      </c>
      <c r="K1750" s="9">
        <v>0.25</v>
      </c>
      <c r="L1750" s="9">
        <v>10</v>
      </c>
      <c r="M1750" s="9">
        <v>1999</v>
      </c>
      <c r="O1750" s="9" t="str">
        <f t="shared" si="82"/>
        <v>NO</v>
      </c>
      <c r="P1750" s="9" t="str">
        <f t="shared" si="83"/>
        <v>YES</v>
      </c>
      <c r="Q1750" s="9" t="str">
        <f t="shared" si="84"/>
        <v>Conditioned</v>
      </c>
    </row>
    <row r="1751" spans="1:17">
      <c r="A1751" s="9">
        <v>22191</v>
      </c>
      <c r="B1751" s="9">
        <v>1</v>
      </c>
      <c r="C1751" s="9" t="s">
        <v>1589</v>
      </c>
      <c r="D1751" s="9" t="s">
        <v>1590</v>
      </c>
      <c r="E1751" s="9" t="s">
        <v>1591</v>
      </c>
      <c r="F1751" s="9" t="s">
        <v>1589</v>
      </c>
      <c r="G1751" s="9" t="s">
        <v>1592</v>
      </c>
      <c r="H1751" s="9" t="s">
        <v>172</v>
      </c>
      <c r="I1751" s="9" t="s">
        <v>3200</v>
      </c>
      <c r="J1751" s="9" t="s">
        <v>1597</v>
      </c>
      <c r="K1751" s="9">
        <v>1</v>
      </c>
      <c r="L1751" s="9">
        <v>20</v>
      </c>
      <c r="M1751" s="9">
        <v>1995</v>
      </c>
      <c r="O1751" s="9" t="str">
        <f t="shared" ref="O1751:O1814" si="85">IF(L1751&lt;7.75,"YES","NO")</f>
        <v>NO</v>
      </c>
      <c r="P1751" s="9" t="str">
        <f t="shared" ref="P1751:P1814" si="86">VLOOKUP(J1751,$Z$21:$AA$27,2,FALSE)</f>
        <v>NO</v>
      </c>
      <c r="Q1751" s="9" t="str">
        <f t="shared" ref="Q1751:Q1814" si="87">G1751</f>
        <v>Conditioned</v>
      </c>
    </row>
    <row r="1752" spans="1:17">
      <c r="A1752" s="9">
        <v>22198</v>
      </c>
      <c r="B1752" s="9">
        <v>1</v>
      </c>
      <c r="C1752" s="9" t="s">
        <v>3201</v>
      </c>
      <c r="D1752" s="9" t="s">
        <v>1590</v>
      </c>
      <c r="E1752" s="9" t="s">
        <v>1602</v>
      </c>
      <c r="F1752" s="9" t="s">
        <v>1603</v>
      </c>
      <c r="G1752" s="9" t="s">
        <v>1592</v>
      </c>
      <c r="H1752" s="9" t="s">
        <v>1638</v>
      </c>
      <c r="I1752" s="9" t="s">
        <v>3202</v>
      </c>
      <c r="J1752" s="9" t="s">
        <v>1601</v>
      </c>
      <c r="K1752" s="9">
        <v>1</v>
      </c>
      <c r="L1752" s="9">
        <v>17</v>
      </c>
      <c r="M1752" s="9">
        <v>1998</v>
      </c>
      <c r="O1752" s="9" t="str">
        <f t="shared" si="85"/>
        <v>NO</v>
      </c>
      <c r="P1752" s="9" t="str">
        <f t="shared" si="86"/>
        <v>NO</v>
      </c>
      <c r="Q1752" s="9" t="str">
        <f t="shared" si="87"/>
        <v>Conditioned</v>
      </c>
    </row>
    <row r="1753" spans="1:17">
      <c r="A1753" s="9">
        <v>22198</v>
      </c>
      <c r="B1753" s="9">
        <v>2</v>
      </c>
      <c r="C1753" s="9" t="s">
        <v>1589</v>
      </c>
      <c r="D1753" s="9" t="s">
        <v>1590</v>
      </c>
      <c r="E1753" s="9" t="s">
        <v>1591</v>
      </c>
      <c r="F1753" s="9" t="s">
        <v>1589</v>
      </c>
      <c r="G1753" s="9" t="s">
        <v>1606</v>
      </c>
      <c r="H1753" s="9" t="s">
        <v>169</v>
      </c>
      <c r="I1753" s="9" t="s">
        <v>3203</v>
      </c>
      <c r="J1753" s="9" t="s">
        <v>1597</v>
      </c>
      <c r="K1753" s="9">
        <v>1</v>
      </c>
      <c r="L1753" s="9">
        <v>13</v>
      </c>
      <c r="M1753" s="9">
        <v>2006</v>
      </c>
      <c r="O1753" s="9" t="str">
        <f t="shared" si="85"/>
        <v>NO</v>
      </c>
      <c r="P1753" s="9" t="str">
        <f t="shared" si="86"/>
        <v>NO</v>
      </c>
      <c r="Q1753" s="9" t="str">
        <f t="shared" si="87"/>
        <v>Unconditioned</v>
      </c>
    </row>
    <row r="1754" spans="1:17">
      <c r="A1754" s="9">
        <v>22198</v>
      </c>
      <c r="B1754" s="9">
        <v>3</v>
      </c>
      <c r="C1754" s="9" t="s">
        <v>1589</v>
      </c>
      <c r="D1754" s="9" t="s">
        <v>1590</v>
      </c>
      <c r="E1754" s="9" t="s">
        <v>1591</v>
      </c>
      <c r="F1754" s="9" t="s">
        <v>1589</v>
      </c>
      <c r="G1754" s="9" t="s">
        <v>1606</v>
      </c>
      <c r="H1754" s="9" t="s">
        <v>169</v>
      </c>
      <c r="I1754" s="9" t="s">
        <v>3204</v>
      </c>
      <c r="J1754" s="9" t="s">
        <v>1587</v>
      </c>
      <c r="K1754" s="9">
        <v>1</v>
      </c>
      <c r="L1754" s="9">
        <v>7</v>
      </c>
      <c r="M1754" s="9">
        <v>2004</v>
      </c>
      <c r="O1754" s="9" t="str">
        <f t="shared" si="85"/>
        <v>YES</v>
      </c>
      <c r="P1754" s="9" t="str">
        <f t="shared" si="86"/>
        <v>YES</v>
      </c>
      <c r="Q1754" s="9" t="str">
        <f t="shared" si="87"/>
        <v>Unconditioned</v>
      </c>
    </row>
    <row r="1755" spans="1:17">
      <c r="A1755" s="9">
        <v>22200</v>
      </c>
      <c r="B1755" s="9">
        <v>1</v>
      </c>
      <c r="C1755" s="9" t="s">
        <v>1589</v>
      </c>
      <c r="D1755" s="9" t="s">
        <v>1590</v>
      </c>
      <c r="E1755" s="9" t="s">
        <v>1591</v>
      </c>
      <c r="F1755" s="9" t="s">
        <v>1589</v>
      </c>
      <c r="G1755" s="9" t="s">
        <v>1592</v>
      </c>
      <c r="H1755" s="9" t="s">
        <v>173</v>
      </c>
      <c r="I1755" s="9" t="s">
        <v>3205</v>
      </c>
      <c r="J1755" s="9" t="s">
        <v>1608</v>
      </c>
      <c r="K1755" s="9">
        <v>1</v>
      </c>
      <c r="L1755" s="9">
        <v>22</v>
      </c>
      <c r="M1755" s="9">
        <v>2004</v>
      </c>
      <c r="O1755" s="9" t="str">
        <f t="shared" si="85"/>
        <v>NO</v>
      </c>
      <c r="P1755" s="9" t="str">
        <f t="shared" si="86"/>
        <v>NO</v>
      </c>
      <c r="Q1755" s="9" t="str">
        <f t="shared" si="87"/>
        <v>Conditioned</v>
      </c>
    </row>
    <row r="1756" spans="1:17">
      <c r="A1756" s="9">
        <v>22203</v>
      </c>
      <c r="B1756" s="9">
        <v>1</v>
      </c>
      <c r="C1756" s="9" t="s">
        <v>1589</v>
      </c>
      <c r="D1756" s="9" t="s">
        <v>1590</v>
      </c>
      <c r="E1756" s="9" t="s">
        <v>1602</v>
      </c>
      <c r="F1756" s="9" t="s">
        <v>1603</v>
      </c>
      <c r="G1756" s="9" t="s">
        <v>1592</v>
      </c>
      <c r="H1756" s="9" t="s">
        <v>170</v>
      </c>
      <c r="I1756" s="9" t="s">
        <v>3206</v>
      </c>
      <c r="J1756" s="9" t="s">
        <v>1601</v>
      </c>
      <c r="K1756" s="9">
        <v>1</v>
      </c>
      <c r="L1756" s="9">
        <v>22</v>
      </c>
      <c r="M1756" s="9">
        <v>1999</v>
      </c>
      <c r="O1756" s="9" t="str">
        <f t="shared" si="85"/>
        <v>NO</v>
      </c>
      <c r="P1756" s="9" t="str">
        <f t="shared" si="86"/>
        <v>NO</v>
      </c>
      <c r="Q1756" s="9" t="str">
        <f t="shared" si="87"/>
        <v>Conditioned</v>
      </c>
    </row>
    <row r="1757" spans="1:17">
      <c r="A1757" s="9">
        <v>22205</v>
      </c>
      <c r="B1757" s="9">
        <v>1</v>
      </c>
      <c r="C1757" s="9" t="s">
        <v>1589</v>
      </c>
      <c r="D1757" s="9" t="s">
        <v>1590</v>
      </c>
      <c r="E1757" s="9" t="s">
        <v>1591</v>
      </c>
      <c r="F1757" s="9" t="s">
        <v>1589</v>
      </c>
      <c r="G1757" s="9" t="s">
        <v>1592</v>
      </c>
      <c r="H1757" s="9" t="s">
        <v>169</v>
      </c>
      <c r="I1757" s="9" t="s">
        <v>3207</v>
      </c>
      <c r="J1757" s="9" t="s">
        <v>1597</v>
      </c>
      <c r="K1757" s="9">
        <v>1</v>
      </c>
      <c r="L1757" s="9">
        <v>18</v>
      </c>
      <c r="M1757" s="9">
        <v>2011</v>
      </c>
      <c r="O1757" s="9" t="str">
        <f t="shared" si="85"/>
        <v>NO</v>
      </c>
      <c r="P1757" s="9" t="str">
        <f t="shared" si="86"/>
        <v>NO</v>
      </c>
      <c r="Q1757" s="9" t="str">
        <f t="shared" si="87"/>
        <v>Conditioned</v>
      </c>
    </row>
    <row r="1758" spans="1:17">
      <c r="A1758" s="9">
        <v>22212</v>
      </c>
      <c r="B1758" s="9">
        <v>1</v>
      </c>
      <c r="C1758" s="9" t="s">
        <v>1589</v>
      </c>
      <c r="D1758" s="9" t="s">
        <v>1590</v>
      </c>
      <c r="E1758" s="9" t="s">
        <v>1591</v>
      </c>
      <c r="F1758" s="9" t="s">
        <v>1589</v>
      </c>
      <c r="G1758" s="9" t="s">
        <v>1606</v>
      </c>
      <c r="H1758" s="9" t="s">
        <v>1900</v>
      </c>
      <c r="I1758" s="9" t="s">
        <v>3208</v>
      </c>
      <c r="J1758" s="9" t="s">
        <v>1605</v>
      </c>
      <c r="K1758" s="9">
        <v>1</v>
      </c>
      <c r="L1758" s="9">
        <v>20</v>
      </c>
      <c r="M1758" s="9">
        <v>1976</v>
      </c>
      <c r="O1758" s="9" t="str">
        <f t="shared" si="85"/>
        <v>NO</v>
      </c>
      <c r="P1758" s="9" t="str">
        <f t="shared" si="86"/>
        <v>YES</v>
      </c>
      <c r="Q1758" s="9" t="str">
        <f t="shared" si="87"/>
        <v>Unconditioned</v>
      </c>
    </row>
    <row r="1759" spans="1:17">
      <c r="A1759" s="9">
        <v>22212</v>
      </c>
      <c r="B1759" s="9">
        <v>2</v>
      </c>
      <c r="C1759" s="9" t="s">
        <v>1589</v>
      </c>
      <c r="D1759" s="9" t="s">
        <v>1590</v>
      </c>
      <c r="E1759" s="9" t="s">
        <v>1591</v>
      </c>
      <c r="F1759" s="9" t="s">
        <v>1589</v>
      </c>
      <c r="G1759" s="9" t="s">
        <v>1592</v>
      </c>
      <c r="H1759" s="9" t="s">
        <v>170</v>
      </c>
      <c r="I1759" s="9" t="s">
        <v>3209</v>
      </c>
      <c r="J1759" s="9" t="s">
        <v>1597</v>
      </c>
      <c r="K1759" s="9">
        <v>1</v>
      </c>
      <c r="L1759" s="9">
        <v>20</v>
      </c>
      <c r="M1759" s="9">
        <v>1994</v>
      </c>
      <c r="O1759" s="9" t="str">
        <f t="shared" si="85"/>
        <v>NO</v>
      </c>
      <c r="P1759" s="9" t="str">
        <f t="shared" si="86"/>
        <v>NO</v>
      </c>
      <c r="Q1759" s="9" t="str">
        <f t="shared" si="87"/>
        <v>Conditioned</v>
      </c>
    </row>
    <row r="1760" spans="1:17">
      <c r="A1760" s="9">
        <v>22214</v>
      </c>
      <c r="B1760" s="9">
        <v>1</v>
      </c>
      <c r="C1760" s="9" t="s">
        <v>1589</v>
      </c>
      <c r="D1760" s="9" t="s">
        <v>1590</v>
      </c>
      <c r="E1760" s="9" t="s">
        <v>1591</v>
      </c>
      <c r="F1760" s="9" t="s">
        <v>1589</v>
      </c>
      <c r="G1760" s="9" t="s">
        <v>1592</v>
      </c>
      <c r="H1760" s="9" t="s">
        <v>174</v>
      </c>
      <c r="I1760" s="9" t="s">
        <v>3210</v>
      </c>
      <c r="J1760" s="9" t="s">
        <v>1597</v>
      </c>
      <c r="K1760" s="9">
        <v>1</v>
      </c>
      <c r="L1760" s="9">
        <v>22</v>
      </c>
      <c r="M1760" s="9">
        <v>1998</v>
      </c>
      <c r="O1760" s="9" t="str">
        <f t="shared" si="85"/>
        <v>NO</v>
      </c>
      <c r="P1760" s="9" t="str">
        <f t="shared" si="86"/>
        <v>NO</v>
      </c>
      <c r="Q1760" s="9" t="str">
        <f t="shared" si="87"/>
        <v>Conditioned</v>
      </c>
    </row>
    <row r="1761" spans="1:17">
      <c r="A1761" s="9">
        <v>22215</v>
      </c>
      <c r="B1761" s="9">
        <v>1</v>
      </c>
      <c r="C1761" s="9" t="s">
        <v>1589</v>
      </c>
      <c r="D1761" s="9" t="s">
        <v>1590</v>
      </c>
      <c r="E1761" s="9" t="s">
        <v>1602</v>
      </c>
      <c r="F1761" s="9" t="s">
        <v>1603</v>
      </c>
      <c r="G1761" s="9" t="s">
        <v>1592</v>
      </c>
      <c r="H1761" s="9" t="s">
        <v>1638</v>
      </c>
      <c r="I1761" s="9" t="s">
        <v>3211</v>
      </c>
      <c r="J1761" s="9" t="s">
        <v>1601</v>
      </c>
      <c r="K1761" s="9">
        <v>1</v>
      </c>
      <c r="L1761" s="9">
        <v>21</v>
      </c>
      <c r="M1761" s="9">
        <v>2007</v>
      </c>
      <c r="O1761" s="9" t="str">
        <f t="shared" si="85"/>
        <v>NO</v>
      </c>
      <c r="P1761" s="9" t="str">
        <f t="shared" si="86"/>
        <v>NO</v>
      </c>
      <c r="Q1761" s="9" t="str">
        <f t="shared" si="87"/>
        <v>Conditioned</v>
      </c>
    </row>
    <row r="1762" spans="1:17">
      <c r="A1762" s="9">
        <v>22215</v>
      </c>
      <c r="B1762" s="9">
        <v>2</v>
      </c>
      <c r="C1762" s="9" t="s">
        <v>1589</v>
      </c>
      <c r="D1762" s="9" t="s">
        <v>1590</v>
      </c>
      <c r="E1762" s="9" t="s">
        <v>1591</v>
      </c>
      <c r="F1762" s="9" t="s">
        <v>1589</v>
      </c>
      <c r="G1762" s="9" t="s">
        <v>1606</v>
      </c>
      <c r="H1762" s="9" t="s">
        <v>170</v>
      </c>
      <c r="I1762" s="9" t="s">
        <v>3212</v>
      </c>
      <c r="J1762" s="9" t="s">
        <v>1587</v>
      </c>
      <c r="K1762" s="9">
        <v>1</v>
      </c>
      <c r="L1762" s="9">
        <v>10</v>
      </c>
      <c r="M1762" s="9">
        <v>2005</v>
      </c>
      <c r="O1762" s="9" t="str">
        <f t="shared" si="85"/>
        <v>NO</v>
      </c>
      <c r="P1762" s="9" t="str">
        <f t="shared" si="86"/>
        <v>YES</v>
      </c>
      <c r="Q1762" s="9" t="str">
        <f t="shared" si="87"/>
        <v>Unconditioned</v>
      </c>
    </row>
    <row r="1763" spans="1:17">
      <c r="A1763" s="9">
        <v>22222</v>
      </c>
      <c r="B1763" s="9">
        <v>1</v>
      </c>
      <c r="C1763" s="9" t="s">
        <v>1589</v>
      </c>
      <c r="D1763" s="9" t="s">
        <v>1590</v>
      </c>
      <c r="E1763" s="9" t="s">
        <v>1591</v>
      </c>
      <c r="F1763" s="9" t="s">
        <v>1589</v>
      </c>
      <c r="G1763" s="9" t="s">
        <v>1592</v>
      </c>
      <c r="H1763" s="9" t="s">
        <v>170</v>
      </c>
      <c r="I1763" s="9" t="s">
        <v>3213</v>
      </c>
      <c r="J1763" s="9" t="s">
        <v>1597</v>
      </c>
      <c r="K1763" s="9">
        <v>1</v>
      </c>
      <c r="L1763" s="9">
        <v>21</v>
      </c>
      <c r="M1763" s="9">
        <v>1988</v>
      </c>
      <c r="O1763" s="9" t="str">
        <f t="shared" si="85"/>
        <v>NO</v>
      </c>
      <c r="P1763" s="9" t="str">
        <f t="shared" si="86"/>
        <v>NO</v>
      </c>
      <c r="Q1763" s="9" t="str">
        <f t="shared" si="87"/>
        <v>Conditioned</v>
      </c>
    </row>
    <row r="1764" spans="1:17">
      <c r="A1764" s="9">
        <v>22225</v>
      </c>
      <c r="B1764" s="9">
        <v>1</v>
      </c>
      <c r="C1764" s="9" t="s">
        <v>1589</v>
      </c>
      <c r="D1764" s="9" t="s">
        <v>1590</v>
      </c>
      <c r="E1764" s="9" t="s">
        <v>1591</v>
      </c>
      <c r="F1764" s="9" t="s">
        <v>1589</v>
      </c>
      <c r="G1764" s="9" t="s">
        <v>1592</v>
      </c>
      <c r="H1764" s="9" t="s">
        <v>170</v>
      </c>
      <c r="I1764" s="9" t="s">
        <v>3214</v>
      </c>
      <c r="J1764" s="9" t="s">
        <v>1597</v>
      </c>
      <c r="K1764" s="9">
        <v>1</v>
      </c>
      <c r="L1764" s="9">
        <v>17</v>
      </c>
      <c r="M1764" s="9">
        <v>1979</v>
      </c>
      <c r="O1764" s="9" t="str">
        <f t="shared" si="85"/>
        <v>NO</v>
      </c>
      <c r="P1764" s="9" t="str">
        <f t="shared" si="86"/>
        <v>NO</v>
      </c>
      <c r="Q1764" s="9" t="str">
        <f t="shared" si="87"/>
        <v>Conditioned</v>
      </c>
    </row>
    <row r="1765" spans="1:17">
      <c r="A1765" s="9">
        <v>22225</v>
      </c>
      <c r="B1765" s="9">
        <v>2</v>
      </c>
      <c r="C1765" s="9" t="s">
        <v>1589</v>
      </c>
      <c r="D1765" s="9" t="s">
        <v>1590</v>
      </c>
      <c r="E1765" s="9" t="s">
        <v>1591</v>
      </c>
      <c r="F1765" s="9" t="s">
        <v>1589</v>
      </c>
      <c r="G1765" s="9" t="s">
        <v>1606</v>
      </c>
      <c r="H1765" s="9" t="s">
        <v>1552</v>
      </c>
      <c r="I1765" s="9" t="s">
        <v>3215</v>
      </c>
      <c r="J1765" s="9" t="s">
        <v>1605</v>
      </c>
      <c r="K1765" s="9">
        <v>1</v>
      </c>
      <c r="L1765" s="9">
        <v>12</v>
      </c>
      <c r="M1765" s="9">
        <v>1998</v>
      </c>
      <c r="O1765" s="9" t="str">
        <f t="shared" si="85"/>
        <v>NO</v>
      </c>
      <c r="P1765" s="9" t="str">
        <f t="shared" si="86"/>
        <v>YES</v>
      </c>
      <c r="Q1765" s="9" t="str">
        <f t="shared" si="87"/>
        <v>Unconditioned</v>
      </c>
    </row>
    <row r="1766" spans="1:17">
      <c r="A1766" s="9">
        <v>22226</v>
      </c>
      <c r="B1766" s="9">
        <v>1</v>
      </c>
      <c r="C1766" s="9" t="s">
        <v>1589</v>
      </c>
      <c r="D1766" s="9" t="s">
        <v>1590</v>
      </c>
      <c r="E1766" s="9" t="s">
        <v>1591</v>
      </c>
      <c r="F1766" s="9" t="s">
        <v>1589</v>
      </c>
      <c r="G1766" s="9" t="s">
        <v>1592</v>
      </c>
      <c r="H1766" s="9" t="s">
        <v>173</v>
      </c>
      <c r="I1766" s="9" t="s">
        <v>3216</v>
      </c>
      <c r="J1766" s="9" t="s">
        <v>1601</v>
      </c>
      <c r="K1766" s="9">
        <v>1</v>
      </c>
      <c r="L1766" s="9">
        <v>21</v>
      </c>
      <c r="M1766" s="9">
        <v>1998</v>
      </c>
      <c r="O1766" s="9" t="str">
        <f t="shared" si="85"/>
        <v>NO</v>
      </c>
      <c r="P1766" s="9" t="str">
        <f t="shared" si="86"/>
        <v>NO</v>
      </c>
      <c r="Q1766" s="9" t="str">
        <f t="shared" si="87"/>
        <v>Conditioned</v>
      </c>
    </row>
    <row r="1767" spans="1:17">
      <c r="A1767" s="9">
        <v>22228</v>
      </c>
      <c r="B1767" s="9">
        <v>1</v>
      </c>
      <c r="C1767" s="9" t="s">
        <v>1589</v>
      </c>
      <c r="D1767" s="9" t="s">
        <v>1590</v>
      </c>
      <c r="E1767" s="9" t="s">
        <v>1602</v>
      </c>
      <c r="F1767" s="9" t="s">
        <v>1603</v>
      </c>
      <c r="G1767" s="9" t="s">
        <v>1592</v>
      </c>
      <c r="H1767" s="9" t="s">
        <v>1599</v>
      </c>
      <c r="I1767" s="9" t="s">
        <v>3217</v>
      </c>
      <c r="J1767" s="9" t="s">
        <v>1601</v>
      </c>
      <c r="K1767" s="9">
        <v>1</v>
      </c>
      <c r="L1767" s="9">
        <v>20</v>
      </c>
      <c r="M1767" s="9">
        <v>1995</v>
      </c>
      <c r="O1767" s="9" t="str">
        <f t="shared" si="85"/>
        <v>NO</v>
      </c>
      <c r="P1767" s="9" t="str">
        <f t="shared" si="86"/>
        <v>NO</v>
      </c>
      <c r="Q1767" s="9" t="str">
        <f t="shared" si="87"/>
        <v>Conditioned</v>
      </c>
    </row>
    <row r="1768" spans="1:17">
      <c r="A1768" s="9">
        <v>22228</v>
      </c>
      <c r="B1768" s="9">
        <v>2</v>
      </c>
      <c r="C1768" s="9" t="s">
        <v>1589</v>
      </c>
      <c r="D1768" s="9" t="s">
        <v>1590</v>
      </c>
      <c r="E1768" s="9" t="s">
        <v>1591</v>
      </c>
      <c r="F1768" s="9" t="s">
        <v>1589</v>
      </c>
      <c r="G1768" s="9" t="s">
        <v>1606</v>
      </c>
      <c r="H1768" s="9" t="s">
        <v>169</v>
      </c>
      <c r="I1768" s="9" t="s">
        <v>3066</v>
      </c>
      <c r="J1768" s="9" t="s">
        <v>1605</v>
      </c>
      <c r="K1768" s="9">
        <v>1</v>
      </c>
      <c r="L1768" s="9">
        <v>22</v>
      </c>
      <c r="M1768" s="9">
        <v>2000</v>
      </c>
      <c r="O1768" s="9" t="str">
        <f t="shared" si="85"/>
        <v>NO</v>
      </c>
      <c r="P1768" s="9" t="str">
        <f t="shared" si="86"/>
        <v>YES</v>
      </c>
      <c r="Q1768" s="9" t="str">
        <f t="shared" si="87"/>
        <v>Unconditioned</v>
      </c>
    </row>
    <row r="1769" spans="1:17">
      <c r="A1769" s="9">
        <v>22228</v>
      </c>
      <c r="B1769" s="9">
        <v>3</v>
      </c>
      <c r="C1769" s="9" t="s">
        <v>1589</v>
      </c>
      <c r="D1769" s="9" t="s">
        <v>1590</v>
      </c>
      <c r="E1769" s="9" t="s">
        <v>1591</v>
      </c>
      <c r="F1769" s="9" t="s">
        <v>1589</v>
      </c>
      <c r="G1769" s="9" t="s">
        <v>1592</v>
      </c>
      <c r="H1769" s="9" t="s">
        <v>174</v>
      </c>
      <c r="I1769" s="9" t="s">
        <v>3218</v>
      </c>
      <c r="J1769" s="9" t="s">
        <v>1605</v>
      </c>
      <c r="K1769" s="9">
        <v>1</v>
      </c>
      <c r="L1769" s="9">
        <v>20</v>
      </c>
      <c r="M1769" s="9">
        <v>1995</v>
      </c>
      <c r="O1769" s="9" t="str">
        <f t="shared" si="85"/>
        <v>NO</v>
      </c>
      <c r="P1769" s="9" t="str">
        <f t="shared" si="86"/>
        <v>YES</v>
      </c>
      <c r="Q1769" s="9" t="str">
        <f t="shared" si="87"/>
        <v>Conditioned</v>
      </c>
    </row>
    <row r="1770" spans="1:17">
      <c r="A1770" s="9">
        <v>22228</v>
      </c>
      <c r="B1770" s="9">
        <v>4</v>
      </c>
      <c r="C1770" s="9" t="s">
        <v>1589</v>
      </c>
      <c r="D1770" s="9" t="s">
        <v>1590</v>
      </c>
      <c r="E1770" s="9" t="s">
        <v>1591</v>
      </c>
      <c r="F1770" s="9" t="s">
        <v>1589</v>
      </c>
      <c r="G1770" s="9" t="s">
        <v>1606</v>
      </c>
      <c r="H1770" s="9" t="s">
        <v>1805</v>
      </c>
      <c r="I1770" s="9" t="s">
        <v>3219</v>
      </c>
      <c r="J1770" s="9" t="s">
        <v>1597</v>
      </c>
      <c r="K1770" s="9">
        <v>1</v>
      </c>
      <c r="L1770" s="9">
        <v>20</v>
      </c>
      <c r="M1770" s="9">
        <v>1999</v>
      </c>
      <c r="O1770" s="9" t="str">
        <f t="shared" si="85"/>
        <v>NO</v>
      </c>
      <c r="P1770" s="9" t="str">
        <f t="shared" si="86"/>
        <v>NO</v>
      </c>
      <c r="Q1770" s="9" t="str">
        <f t="shared" si="87"/>
        <v>Unconditioned</v>
      </c>
    </row>
    <row r="1771" spans="1:17">
      <c r="A1771" s="9">
        <v>22232</v>
      </c>
      <c r="B1771" s="9">
        <v>1</v>
      </c>
      <c r="C1771" s="9" t="s">
        <v>1589</v>
      </c>
      <c r="D1771" s="9" t="s">
        <v>1590</v>
      </c>
      <c r="E1771" s="9" t="s">
        <v>1591</v>
      </c>
      <c r="F1771" s="9" t="s">
        <v>1589</v>
      </c>
      <c r="G1771" s="9" t="s">
        <v>1592</v>
      </c>
      <c r="H1771" s="9" t="s">
        <v>1638</v>
      </c>
      <c r="I1771" s="9" t="s">
        <v>3220</v>
      </c>
      <c r="J1771" s="9" t="s">
        <v>1597</v>
      </c>
      <c r="K1771" s="9">
        <v>1</v>
      </c>
      <c r="L1771" s="9">
        <v>22</v>
      </c>
      <c r="M1771" s="9">
        <v>2006</v>
      </c>
      <c r="O1771" s="9" t="str">
        <f t="shared" si="85"/>
        <v>NO</v>
      </c>
      <c r="P1771" s="9" t="str">
        <f t="shared" si="86"/>
        <v>NO</v>
      </c>
      <c r="Q1771" s="9" t="str">
        <f t="shared" si="87"/>
        <v>Conditioned</v>
      </c>
    </row>
    <row r="1772" spans="1:17">
      <c r="A1772" s="9">
        <v>22232</v>
      </c>
      <c r="B1772" s="9">
        <v>2</v>
      </c>
      <c r="C1772" s="9" t="s">
        <v>1589</v>
      </c>
      <c r="D1772" s="9" t="s">
        <v>1590</v>
      </c>
      <c r="E1772" s="9" t="s">
        <v>1591</v>
      </c>
      <c r="F1772" s="9" t="s">
        <v>1589</v>
      </c>
      <c r="G1772" s="9" t="s">
        <v>1592</v>
      </c>
      <c r="H1772" s="9" t="s">
        <v>169</v>
      </c>
      <c r="I1772" s="9" t="s">
        <v>3221</v>
      </c>
      <c r="J1772" s="9" t="s">
        <v>1605</v>
      </c>
      <c r="K1772" s="9">
        <v>1</v>
      </c>
      <c r="L1772" s="9">
        <v>14</v>
      </c>
      <c r="M1772" s="9">
        <v>2004</v>
      </c>
      <c r="O1772" s="9" t="str">
        <f t="shared" si="85"/>
        <v>NO</v>
      </c>
      <c r="P1772" s="9" t="str">
        <f t="shared" si="86"/>
        <v>YES</v>
      </c>
      <c r="Q1772" s="9" t="str">
        <f t="shared" si="87"/>
        <v>Conditioned</v>
      </c>
    </row>
    <row r="1773" spans="1:17">
      <c r="A1773" s="9">
        <v>22233</v>
      </c>
      <c r="B1773" s="9">
        <v>1</v>
      </c>
      <c r="C1773" s="9" t="s">
        <v>1589</v>
      </c>
      <c r="D1773" s="9" t="s">
        <v>1590</v>
      </c>
      <c r="E1773" s="9" t="s">
        <v>1602</v>
      </c>
      <c r="F1773" s="9" t="s">
        <v>1590</v>
      </c>
      <c r="G1773" s="9" t="s">
        <v>1592</v>
      </c>
      <c r="H1773" s="9" t="s">
        <v>1805</v>
      </c>
      <c r="I1773" s="9" t="s">
        <v>3222</v>
      </c>
      <c r="J1773" s="9" t="s">
        <v>1601</v>
      </c>
      <c r="K1773" s="9">
        <v>1</v>
      </c>
      <c r="L1773" s="9">
        <v>22</v>
      </c>
      <c r="M1773" s="9">
        <v>1991</v>
      </c>
      <c r="O1773" s="9" t="str">
        <f t="shared" si="85"/>
        <v>NO</v>
      </c>
      <c r="P1773" s="9" t="str">
        <f t="shared" si="86"/>
        <v>NO</v>
      </c>
      <c r="Q1773" s="9" t="str">
        <f t="shared" si="87"/>
        <v>Conditioned</v>
      </c>
    </row>
    <row r="1774" spans="1:17">
      <c r="A1774" s="9">
        <v>22240</v>
      </c>
      <c r="B1774" s="9">
        <v>1</v>
      </c>
      <c r="C1774" s="9" t="s">
        <v>1589</v>
      </c>
      <c r="D1774" s="9" t="s">
        <v>1590</v>
      </c>
      <c r="E1774" s="9" t="s">
        <v>1591</v>
      </c>
      <c r="F1774" s="9" t="s">
        <v>1589</v>
      </c>
      <c r="G1774" s="9" t="s">
        <v>1592</v>
      </c>
      <c r="H1774" s="9" t="s">
        <v>1624</v>
      </c>
      <c r="I1774" s="9" t="s">
        <v>3223</v>
      </c>
      <c r="J1774" s="9" t="s">
        <v>1608</v>
      </c>
      <c r="K1774" s="9">
        <v>1</v>
      </c>
      <c r="L1774" s="9">
        <v>21</v>
      </c>
      <c r="M1774" s="9">
        <v>2003</v>
      </c>
      <c r="O1774" s="9" t="str">
        <f t="shared" si="85"/>
        <v>NO</v>
      </c>
      <c r="P1774" s="9" t="str">
        <f t="shared" si="86"/>
        <v>NO</v>
      </c>
      <c r="Q1774" s="9" t="str">
        <f t="shared" si="87"/>
        <v>Conditioned</v>
      </c>
    </row>
    <row r="1775" spans="1:17">
      <c r="A1775" s="9">
        <v>22240</v>
      </c>
      <c r="B1775" s="9">
        <v>2</v>
      </c>
      <c r="C1775" s="9" t="s">
        <v>1589</v>
      </c>
      <c r="D1775" s="9" t="s">
        <v>1590</v>
      </c>
      <c r="E1775" s="9" t="s">
        <v>1591</v>
      </c>
      <c r="F1775" s="9" t="s">
        <v>1589</v>
      </c>
      <c r="G1775" s="9" t="s">
        <v>1592</v>
      </c>
      <c r="H1775" s="9" t="s">
        <v>169</v>
      </c>
      <c r="I1775" s="9" t="s">
        <v>3224</v>
      </c>
      <c r="J1775" s="9" t="s">
        <v>1605</v>
      </c>
      <c r="K1775" s="9">
        <v>1</v>
      </c>
      <c r="L1775" s="9">
        <v>21</v>
      </c>
      <c r="M1775" s="9">
        <v>2006</v>
      </c>
      <c r="O1775" s="9" t="str">
        <f t="shared" si="85"/>
        <v>NO</v>
      </c>
      <c r="P1775" s="9" t="str">
        <f t="shared" si="86"/>
        <v>YES</v>
      </c>
      <c r="Q1775" s="9" t="str">
        <f t="shared" si="87"/>
        <v>Conditioned</v>
      </c>
    </row>
    <row r="1776" spans="1:17">
      <c r="A1776" s="9">
        <v>22240</v>
      </c>
      <c r="B1776" s="9">
        <v>3</v>
      </c>
      <c r="C1776" s="9" t="s">
        <v>1589</v>
      </c>
      <c r="D1776" s="9" t="s">
        <v>1590</v>
      </c>
      <c r="E1776" s="9" t="s">
        <v>1591</v>
      </c>
      <c r="F1776" s="9" t="s">
        <v>1589</v>
      </c>
      <c r="G1776" s="9" t="s">
        <v>1592</v>
      </c>
      <c r="H1776" s="9" t="s">
        <v>1638</v>
      </c>
      <c r="I1776" s="9" t="s">
        <v>3225</v>
      </c>
      <c r="J1776" s="9" t="s">
        <v>1587</v>
      </c>
      <c r="K1776" s="9">
        <v>1</v>
      </c>
      <c r="L1776" s="9">
        <v>25</v>
      </c>
      <c r="M1776" s="9">
        <v>2011</v>
      </c>
      <c r="O1776" s="9" t="str">
        <f t="shared" si="85"/>
        <v>NO</v>
      </c>
      <c r="P1776" s="9" t="str">
        <f t="shared" si="86"/>
        <v>YES</v>
      </c>
      <c r="Q1776" s="9" t="str">
        <f t="shared" si="87"/>
        <v>Conditioned</v>
      </c>
    </row>
    <row r="1777" spans="1:17">
      <c r="A1777" s="9">
        <v>22240</v>
      </c>
      <c r="B1777" s="9">
        <v>4</v>
      </c>
      <c r="C1777" s="9" t="s">
        <v>1589</v>
      </c>
      <c r="D1777" s="9" t="s">
        <v>1590</v>
      </c>
      <c r="E1777" s="9" t="s">
        <v>1591</v>
      </c>
      <c r="F1777" s="9" t="s">
        <v>1589</v>
      </c>
      <c r="G1777" s="9" t="s">
        <v>1606</v>
      </c>
      <c r="H1777" s="9" t="s">
        <v>170</v>
      </c>
      <c r="I1777" s="9" t="s">
        <v>3226</v>
      </c>
      <c r="J1777" s="9" t="s">
        <v>1587</v>
      </c>
      <c r="K1777" s="9">
        <v>1</v>
      </c>
      <c r="L1777" s="9">
        <v>15</v>
      </c>
      <c r="M1777" s="9">
        <v>1993</v>
      </c>
      <c r="O1777" s="9" t="str">
        <f t="shared" si="85"/>
        <v>NO</v>
      </c>
      <c r="P1777" s="9" t="str">
        <f t="shared" si="86"/>
        <v>YES</v>
      </c>
      <c r="Q1777" s="9" t="str">
        <f t="shared" si="87"/>
        <v>Unconditioned</v>
      </c>
    </row>
    <row r="1778" spans="1:17">
      <c r="A1778" s="9">
        <v>22240</v>
      </c>
      <c r="B1778" s="9">
        <v>5</v>
      </c>
      <c r="C1778" s="9" t="s">
        <v>1589</v>
      </c>
      <c r="D1778" s="9" t="s">
        <v>1590</v>
      </c>
      <c r="E1778" s="9" t="s">
        <v>1591</v>
      </c>
      <c r="F1778" s="9" t="s">
        <v>1589</v>
      </c>
      <c r="G1778" s="9" t="s">
        <v>1606</v>
      </c>
      <c r="H1778" s="9" t="s">
        <v>174</v>
      </c>
      <c r="I1778" s="9" t="s">
        <v>1589</v>
      </c>
      <c r="J1778" s="9" t="s">
        <v>1587</v>
      </c>
      <c r="K1778" s="9">
        <v>1</v>
      </c>
      <c r="L1778" s="9">
        <v>15</v>
      </c>
      <c r="M1778" s="9">
        <v>2001</v>
      </c>
      <c r="O1778" s="9" t="str">
        <f t="shared" si="85"/>
        <v>NO</v>
      </c>
      <c r="P1778" s="9" t="str">
        <f t="shared" si="86"/>
        <v>YES</v>
      </c>
      <c r="Q1778" s="9" t="str">
        <f t="shared" si="87"/>
        <v>Unconditioned</v>
      </c>
    </row>
    <row r="1779" spans="1:17">
      <c r="A1779" s="9">
        <v>22245</v>
      </c>
      <c r="B1779" s="9">
        <v>1</v>
      </c>
      <c r="C1779" s="9" t="s">
        <v>1589</v>
      </c>
      <c r="D1779" s="9" t="s">
        <v>1603</v>
      </c>
      <c r="E1779" s="9" t="s">
        <v>1602</v>
      </c>
      <c r="F1779" s="9" t="s">
        <v>1603</v>
      </c>
      <c r="G1779" s="9" t="s">
        <v>1592</v>
      </c>
      <c r="H1779" s="9" t="s">
        <v>173</v>
      </c>
      <c r="I1779" s="9" t="s">
        <v>3227</v>
      </c>
      <c r="J1779" s="9" t="s">
        <v>1601</v>
      </c>
      <c r="K1779" s="9">
        <v>1</v>
      </c>
      <c r="L1779" s="9">
        <v>27</v>
      </c>
      <c r="M1779" s="9">
        <v>2001</v>
      </c>
      <c r="O1779" s="9" t="str">
        <f t="shared" si="85"/>
        <v>NO</v>
      </c>
      <c r="P1779" s="9" t="str">
        <f t="shared" si="86"/>
        <v>NO</v>
      </c>
      <c r="Q1779" s="9" t="str">
        <f t="shared" si="87"/>
        <v>Conditioned</v>
      </c>
    </row>
    <row r="1780" spans="1:17">
      <c r="A1780" s="9">
        <v>22246</v>
      </c>
      <c r="B1780" s="9">
        <v>1</v>
      </c>
      <c r="C1780" s="9" t="s">
        <v>1589</v>
      </c>
      <c r="D1780" s="9" t="s">
        <v>1590</v>
      </c>
      <c r="E1780" s="9" t="s">
        <v>1613</v>
      </c>
      <c r="F1780" s="9" t="s">
        <v>1603</v>
      </c>
      <c r="G1780" s="9" t="s">
        <v>1592</v>
      </c>
      <c r="H1780" s="9" t="s">
        <v>169</v>
      </c>
      <c r="I1780" s="9" t="s">
        <v>3228</v>
      </c>
      <c r="J1780" s="9" t="s">
        <v>1597</v>
      </c>
      <c r="K1780" s="9">
        <v>1</v>
      </c>
      <c r="L1780" s="9">
        <v>16</v>
      </c>
      <c r="M1780" s="9">
        <v>2005</v>
      </c>
      <c r="O1780" s="9" t="str">
        <f t="shared" si="85"/>
        <v>NO</v>
      </c>
      <c r="P1780" s="9" t="str">
        <f t="shared" si="86"/>
        <v>NO</v>
      </c>
      <c r="Q1780" s="9" t="str">
        <f t="shared" si="87"/>
        <v>Conditioned</v>
      </c>
    </row>
    <row r="1781" spans="1:17">
      <c r="A1781" s="9">
        <v>22250</v>
      </c>
      <c r="B1781" s="9">
        <v>1</v>
      </c>
      <c r="C1781" s="9" t="s">
        <v>1589</v>
      </c>
      <c r="D1781" s="9" t="s">
        <v>1590</v>
      </c>
      <c r="E1781" s="9" t="s">
        <v>1591</v>
      </c>
      <c r="F1781" s="9" t="s">
        <v>1589</v>
      </c>
      <c r="G1781" s="9" t="s">
        <v>1592</v>
      </c>
      <c r="H1781" s="9" t="s">
        <v>172</v>
      </c>
      <c r="I1781" s="9" t="s">
        <v>3229</v>
      </c>
      <c r="J1781" s="9" t="s">
        <v>1597</v>
      </c>
      <c r="K1781" s="9">
        <v>1</v>
      </c>
      <c r="L1781" s="9">
        <v>14</v>
      </c>
      <c r="M1781" s="9">
        <v>1991</v>
      </c>
      <c r="O1781" s="9" t="str">
        <f t="shared" si="85"/>
        <v>NO</v>
      </c>
      <c r="P1781" s="9" t="str">
        <f t="shared" si="86"/>
        <v>NO</v>
      </c>
      <c r="Q1781" s="9" t="str">
        <f t="shared" si="87"/>
        <v>Conditioned</v>
      </c>
    </row>
    <row r="1782" spans="1:17">
      <c r="A1782" s="9">
        <v>22250</v>
      </c>
      <c r="B1782" s="9">
        <v>2</v>
      </c>
      <c r="C1782" s="9" t="s">
        <v>3230</v>
      </c>
      <c r="D1782" s="9" t="s">
        <v>1590</v>
      </c>
      <c r="E1782" s="9" t="s">
        <v>1591</v>
      </c>
      <c r="F1782" s="9" t="s">
        <v>1589</v>
      </c>
      <c r="G1782" s="9" t="s">
        <v>1606</v>
      </c>
      <c r="H1782" s="9" t="s">
        <v>1589</v>
      </c>
      <c r="I1782" s="9" t="s">
        <v>1589</v>
      </c>
      <c r="J1782" s="9" t="s">
        <v>1587</v>
      </c>
      <c r="K1782" s="9">
        <v>1</v>
      </c>
      <c r="L1782" s="9">
        <v>15</v>
      </c>
      <c r="O1782" s="9" t="str">
        <f t="shared" si="85"/>
        <v>NO</v>
      </c>
      <c r="P1782" s="9" t="str">
        <f t="shared" si="86"/>
        <v>YES</v>
      </c>
      <c r="Q1782" s="9" t="str">
        <f t="shared" si="87"/>
        <v>Unconditioned</v>
      </c>
    </row>
    <row r="1783" spans="1:17">
      <c r="A1783" s="9">
        <v>22273</v>
      </c>
      <c r="B1783" s="9">
        <v>1</v>
      </c>
      <c r="C1783" s="9" t="s">
        <v>3231</v>
      </c>
      <c r="D1783" s="9" t="s">
        <v>1590</v>
      </c>
      <c r="E1783" s="9" t="s">
        <v>1591</v>
      </c>
      <c r="F1783" s="9" t="s">
        <v>1589</v>
      </c>
      <c r="G1783" s="9" t="s">
        <v>1592</v>
      </c>
      <c r="H1783" s="9" t="s">
        <v>169</v>
      </c>
      <c r="I1783" s="9" t="s">
        <v>1589</v>
      </c>
      <c r="J1783" s="9" t="s">
        <v>1597</v>
      </c>
      <c r="K1783" s="9">
        <v>1</v>
      </c>
      <c r="L1783" s="9">
        <v>10</v>
      </c>
      <c r="O1783" s="9" t="str">
        <f t="shared" si="85"/>
        <v>NO</v>
      </c>
      <c r="P1783" s="9" t="str">
        <f t="shared" si="86"/>
        <v>NO</v>
      </c>
      <c r="Q1783" s="9" t="str">
        <f t="shared" si="87"/>
        <v>Conditioned</v>
      </c>
    </row>
    <row r="1784" spans="1:17">
      <c r="A1784" s="9">
        <v>22273</v>
      </c>
      <c r="B1784" s="9">
        <v>2</v>
      </c>
      <c r="C1784" s="9" t="s">
        <v>1589</v>
      </c>
      <c r="D1784" s="9" t="s">
        <v>1590</v>
      </c>
      <c r="E1784" s="9" t="s">
        <v>1591</v>
      </c>
      <c r="F1784" s="9" t="s">
        <v>1589</v>
      </c>
      <c r="G1784" s="9" t="s">
        <v>1592</v>
      </c>
      <c r="H1784" s="9" t="s">
        <v>173</v>
      </c>
      <c r="I1784" s="9" t="s">
        <v>3232</v>
      </c>
      <c r="J1784" s="9" t="s">
        <v>1597</v>
      </c>
      <c r="K1784" s="9">
        <v>1</v>
      </c>
      <c r="L1784" s="9">
        <v>22</v>
      </c>
      <c r="M1784" s="9">
        <v>1994</v>
      </c>
      <c r="O1784" s="9" t="str">
        <f t="shared" si="85"/>
        <v>NO</v>
      </c>
      <c r="P1784" s="9" t="str">
        <f t="shared" si="86"/>
        <v>NO</v>
      </c>
      <c r="Q1784" s="9" t="str">
        <f t="shared" si="87"/>
        <v>Conditioned</v>
      </c>
    </row>
    <row r="1785" spans="1:17">
      <c r="A1785" s="9">
        <v>22273</v>
      </c>
      <c r="B1785" s="9">
        <v>3</v>
      </c>
      <c r="C1785" s="9" t="s">
        <v>1589</v>
      </c>
      <c r="D1785" s="9" t="s">
        <v>1590</v>
      </c>
      <c r="E1785" s="9" t="s">
        <v>1591</v>
      </c>
      <c r="F1785" s="9" t="s">
        <v>1589</v>
      </c>
      <c r="G1785" s="9" t="s">
        <v>1592</v>
      </c>
      <c r="H1785" s="9" t="s">
        <v>170</v>
      </c>
      <c r="I1785" s="9" t="s">
        <v>3233</v>
      </c>
      <c r="J1785" s="9" t="s">
        <v>1597</v>
      </c>
      <c r="K1785" s="9">
        <v>1</v>
      </c>
      <c r="L1785" s="9">
        <v>22</v>
      </c>
      <c r="M1785" s="9">
        <v>1980</v>
      </c>
      <c r="O1785" s="9" t="str">
        <f t="shared" si="85"/>
        <v>NO</v>
      </c>
      <c r="P1785" s="9" t="str">
        <f t="shared" si="86"/>
        <v>NO</v>
      </c>
      <c r="Q1785" s="9" t="str">
        <f t="shared" si="87"/>
        <v>Conditioned</v>
      </c>
    </row>
    <row r="1786" spans="1:17">
      <c r="A1786" s="9">
        <v>22273</v>
      </c>
      <c r="B1786" s="9">
        <v>4</v>
      </c>
      <c r="C1786" s="9" t="s">
        <v>1589</v>
      </c>
      <c r="D1786" s="9" t="s">
        <v>1590</v>
      </c>
      <c r="E1786" s="9" t="s">
        <v>1591</v>
      </c>
      <c r="F1786" s="9" t="s">
        <v>1589</v>
      </c>
      <c r="G1786" s="9" t="s">
        <v>1592</v>
      </c>
      <c r="H1786" s="9" t="s">
        <v>1678</v>
      </c>
      <c r="I1786" s="9" t="s">
        <v>3234</v>
      </c>
      <c r="J1786" s="9" t="s">
        <v>1605</v>
      </c>
      <c r="K1786" s="9">
        <v>1</v>
      </c>
      <c r="L1786" s="9">
        <v>15</v>
      </c>
      <c r="M1786" s="9">
        <v>1991</v>
      </c>
      <c r="O1786" s="9" t="str">
        <f t="shared" si="85"/>
        <v>NO</v>
      </c>
      <c r="P1786" s="9" t="str">
        <f t="shared" si="86"/>
        <v>YES</v>
      </c>
      <c r="Q1786" s="9" t="str">
        <f t="shared" si="87"/>
        <v>Conditioned</v>
      </c>
    </row>
    <row r="1787" spans="1:17">
      <c r="A1787" s="9">
        <v>22280</v>
      </c>
      <c r="B1787" s="9">
        <v>1</v>
      </c>
      <c r="C1787" s="9" t="s">
        <v>1589</v>
      </c>
      <c r="D1787" s="9" t="s">
        <v>1590</v>
      </c>
      <c r="E1787" s="9" t="s">
        <v>1613</v>
      </c>
      <c r="F1787" s="9" t="s">
        <v>1590</v>
      </c>
      <c r="G1787" s="9" t="s">
        <v>1592</v>
      </c>
      <c r="H1787" s="9" t="s">
        <v>177</v>
      </c>
      <c r="I1787" s="9" t="s">
        <v>3235</v>
      </c>
      <c r="J1787" s="9" t="s">
        <v>1601</v>
      </c>
      <c r="K1787" s="9">
        <v>1</v>
      </c>
      <c r="L1787" s="9">
        <v>25</v>
      </c>
      <c r="M1787" s="9">
        <v>2003</v>
      </c>
      <c r="O1787" s="9" t="str">
        <f t="shared" si="85"/>
        <v>NO</v>
      </c>
      <c r="P1787" s="9" t="str">
        <f t="shared" si="86"/>
        <v>NO</v>
      </c>
      <c r="Q1787" s="9" t="str">
        <f t="shared" si="87"/>
        <v>Conditioned</v>
      </c>
    </row>
    <row r="1788" spans="1:17">
      <c r="A1788" s="9">
        <v>22280</v>
      </c>
      <c r="B1788" s="9">
        <v>2</v>
      </c>
      <c r="C1788" s="9" t="s">
        <v>3236</v>
      </c>
      <c r="D1788" s="9" t="s">
        <v>1590</v>
      </c>
      <c r="E1788" s="9" t="s">
        <v>1591</v>
      </c>
      <c r="F1788" s="9" t="s">
        <v>1589</v>
      </c>
      <c r="G1788" s="9" t="s">
        <v>1592</v>
      </c>
      <c r="H1788" s="9" t="s">
        <v>169</v>
      </c>
      <c r="I1788" s="9" t="s">
        <v>1589</v>
      </c>
      <c r="J1788" s="9" t="s">
        <v>1587</v>
      </c>
      <c r="K1788" s="9">
        <v>1</v>
      </c>
      <c r="L1788" s="9">
        <v>14</v>
      </c>
      <c r="M1788" s="9">
        <v>1998</v>
      </c>
      <c r="O1788" s="9" t="str">
        <f t="shared" si="85"/>
        <v>NO</v>
      </c>
      <c r="P1788" s="9" t="str">
        <f t="shared" si="86"/>
        <v>YES</v>
      </c>
      <c r="Q1788" s="9" t="str">
        <f t="shared" si="87"/>
        <v>Conditioned</v>
      </c>
    </row>
    <row r="1789" spans="1:17">
      <c r="A1789" s="9">
        <v>22284</v>
      </c>
      <c r="B1789" s="9">
        <v>1</v>
      </c>
      <c r="C1789" s="9" t="s">
        <v>1589</v>
      </c>
      <c r="D1789" s="9" t="s">
        <v>1590</v>
      </c>
      <c r="E1789" s="9" t="s">
        <v>1602</v>
      </c>
      <c r="F1789" s="9" t="s">
        <v>1603</v>
      </c>
      <c r="G1789" s="9" t="s">
        <v>1592</v>
      </c>
      <c r="H1789" s="9" t="s">
        <v>177</v>
      </c>
      <c r="I1789" s="9" t="s">
        <v>3237</v>
      </c>
      <c r="J1789" s="9" t="s">
        <v>1601</v>
      </c>
      <c r="K1789" s="9">
        <v>1</v>
      </c>
      <c r="L1789" s="9">
        <v>25</v>
      </c>
      <c r="M1789" s="9">
        <v>2009</v>
      </c>
      <c r="O1789" s="9" t="str">
        <f t="shared" si="85"/>
        <v>NO</v>
      </c>
      <c r="P1789" s="9" t="str">
        <f t="shared" si="86"/>
        <v>NO</v>
      </c>
      <c r="Q1789" s="9" t="str">
        <f t="shared" si="87"/>
        <v>Conditioned</v>
      </c>
    </row>
    <row r="1790" spans="1:17">
      <c r="A1790" s="9">
        <v>22288</v>
      </c>
      <c r="B1790" s="9">
        <v>1</v>
      </c>
      <c r="C1790" s="9" t="s">
        <v>1589</v>
      </c>
      <c r="D1790" s="9" t="s">
        <v>1590</v>
      </c>
      <c r="E1790" s="9" t="s">
        <v>1613</v>
      </c>
      <c r="F1790" s="9" t="s">
        <v>1603</v>
      </c>
      <c r="G1790" s="9" t="s">
        <v>1592</v>
      </c>
      <c r="H1790" s="9" t="s">
        <v>1599</v>
      </c>
      <c r="I1790" s="9" t="s">
        <v>3238</v>
      </c>
      <c r="J1790" s="9" t="s">
        <v>1608</v>
      </c>
      <c r="K1790" s="9">
        <v>1</v>
      </c>
      <c r="L1790" s="9">
        <v>26</v>
      </c>
      <c r="M1790" s="9">
        <v>1995</v>
      </c>
      <c r="O1790" s="9" t="str">
        <f t="shared" si="85"/>
        <v>NO</v>
      </c>
      <c r="P1790" s="9" t="str">
        <f t="shared" si="86"/>
        <v>NO</v>
      </c>
      <c r="Q1790" s="9" t="str">
        <f t="shared" si="87"/>
        <v>Conditioned</v>
      </c>
    </row>
    <row r="1791" spans="1:17">
      <c r="A1791" s="9">
        <v>22288</v>
      </c>
      <c r="B1791" s="9">
        <v>2</v>
      </c>
      <c r="C1791" s="9" t="s">
        <v>3239</v>
      </c>
      <c r="D1791" s="9" t="s">
        <v>1590</v>
      </c>
      <c r="E1791" s="9" t="s">
        <v>1589</v>
      </c>
      <c r="F1791" s="9" t="s">
        <v>1589</v>
      </c>
      <c r="G1791" s="9" t="s">
        <v>1592</v>
      </c>
      <c r="H1791" s="9" t="s">
        <v>2380</v>
      </c>
      <c r="I1791" s="9" t="s">
        <v>3240</v>
      </c>
      <c r="J1791" s="9" t="s">
        <v>1612</v>
      </c>
      <c r="K1791" s="9">
        <v>1</v>
      </c>
      <c r="L1791" s="9">
        <v>8</v>
      </c>
      <c r="O1791" s="9" t="str">
        <f t="shared" si="85"/>
        <v>NO</v>
      </c>
      <c r="P1791" s="9" t="str">
        <f t="shared" si="86"/>
        <v>NO</v>
      </c>
      <c r="Q1791" s="9" t="str">
        <f t="shared" si="87"/>
        <v>Conditioned</v>
      </c>
    </row>
    <row r="1792" spans="1:17">
      <c r="A1792" s="9">
        <v>22288</v>
      </c>
      <c r="B1792" s="9">
        <v>3</v>
      </c>
      <c r="C1792" s="9" t="s">
        <v>1589</v>
      </c>
      <c r="D1792" s="9" t="s">
        <v>1590</v>
      </c>
      <c r="E1792" s="9" t="s">
        <v>1591</v>
      </c>
      <c r="F1792" s="9" t="s">
        <v>1589</v>
      </c>
      <c r="G1792" s="9" t="s">
        <v>1606</v>
      </c>
      <c r="H1792" s="9" t="s">
        <v>177</v>
      </c>
      <c r="I1792" s="9" t="s">
        <v>3241</v>
      </c>
      <c r="J1792" s="9" t="s">
        <v>1605</v>
      </c>
      <c r="K1792" s="9">
        <v>1</v>
      </c>
      <c r="L1792" s="9">
        <v>22</v>
      </c>
      <c r="M1792" s="9">
        <v>2003</v>
      </c>
      <c r="O1792" s="9" t="str">
        <f t="shared" si="85"/>
        <v>NO</v>
      </c>
      <c r="P1792" s="9" t="str">
        <f t="shared" si="86"/>
        <v>YES</v>
      </c>
      <c r="Q1792" s="9" t="str">
        <f t="shared" si="87"/>
        <v>Unconditioned</v>
      </c>
    </row>
    <row r="1793" spans="1:17">
      <c r="A1793" s="9">
        <v>22289</v>
      </c>
      <c r="B1793" s="9">
        <v>1</v>
      </c>
      <c r="C1793" s="9" t="s">
        <v>1589</v>
      </c>
      <c r="D1793" s="9" t="s">
        <v>1590</v>
      </c>
      <c r="E1793" s="9" t="s">
        <v>1613</v>
      </c>
      <c r="F1793" s="9" t="s">
        <v>1603</v>
      </c>
      <c r="G1793" s="9" t="s">
        <v>1606</v>
      </c>
      <c r="H1793" s="9" t="s">
        <v>1552</v>
      </c>
      <c r="I1793" s="9" t="s">
        <v>3242</v>
      </c>
      <c r="J1793" s="9" t="s">
        <v>1601</v>
      </c>
      <c r="K1793" s="9">
        <v>1</v>
      </c>
      <c r="L1793" s="9">
        <v>17</v>
      </c>
      <c r="M1793" s="9">
        <v>1983</v>
      </c>
      <c r="O1793" s="9" t="str">
        <f t="shared" si="85"/>
        <v>NO</v>
      </c>
      <c r="P1793" s="9" t="str">
        <f t="shared" si="86"/>
        <v>NO</v>
      </c>
      <c r="Q1793" s="9" t="str">
        <f t="shared" si="87"/>
        <v>Unconditioned</v>
      </c>
    </row>
    <row r="1794" spans="1:17">
      <c r="A1794" s="9">
        <v>22289</v>
      </c>
      <c r="B1794" s="9">
        <v>2</v>
      </c>
      <c r="C1794" s="9" t="s">
        <v>1589</v>
      </c>
      <c r="D1794" s="9" t="s">
        <v>1590</v>
      </c>
      <c r="E1794" s="9" t="s">
        <v>1613</v>
      </c>
      <c r="F1794" s="9" t="s">
        <v>1590</v>
      </c>
      <c r="G1794" s="9" t="s">
        <v>1592</v>
      </c>
      <c r="H1794" s="9" t="s">
        <v>1017</v>
      </c>
      <c r="I1794" s="9" t="s">
        <v>3243</v>
      </c>
      <c r="J1794" s="9" t="s">
        <v>1608</v>
      </c>
      <c r="K1794" s="9">
        <v>1</v>
      </c>
      <c r="L1794" s="9">
        <v>23</v>
      </c>
      <c r="M1794" s="9">
        <v>2009</v>
      </c>
      <c r="O1794" s="9" t="str">
        <f t="shared" si="85"/>
        <v>NO</v>
      </c>
      <c r="P1794" s="9" t="str">
        <f t="shared" si="86"/>
        <v>NO</v>
      </c>
      <c r="Q1794" s="9" t="str">
        <f t="shared" si="87"/>
        <v>Conditioned</v>
      </c>
    </row>
    <row r="1795" spans="1:17">
      <c r="A1795" s="9">
        <v>22289</v>
      </c>
      <c r="B1795" s="9">
        <v>3</v>
      </c>
      <c r="C1795" s="9" t="s">
        <v>3244</v>
      </c>
      <c r="D1795" s="9" t="s">
        <v>1590</v>
      </c>
      <c r="E1795" s="9" t="s">
        <v>1591</v>
      </c>
      <c r="F1795" s="9" t="s">
        <v>1589</v>
      </c>
      <c r="G1795" s="9" t="s">
        <v>1606</v>
      </c>
      <c r="H1795" s="9" t="s">
        <v>2121</v>
      </c>
      <c r="I1795" s="9" t="s">
        <v>3245</v>
      </c>
      <c r="J1795" s="9" t="s">
        <v>1605</v>
      </c>
      <c r="K1795" s="9">
        <v>1</v>
      </c>
      <c r="L1795" s="9">
        <v>18</v>
      </c>
      <c r="O1795" s="9" t="str">
        <f t="shared" si="85"/>
        <v>NO</v>
      </c>
      <c r="P1795" s="9" t="str">
        <f t="shared" si="86"/>
        <v>YES</v>
      </c>
      <c r="Q1795" s="9" t="str">
        <f t="shared" si="87"/>
        <v>Unconditioned</v>
      </c>
    </row>
    <row r="1796" spans="1:17">
      <c r="A1796" s="9">
        <v>22291</v>
      </c>
      <c r="B1796" s="9">
        <v>1</v>
      </c>
      <c r="C1796" s="9" t="s">
        <v>1589</v>
      </c>
      <c r="D1796" s="9" t="s">
        <v>1590</v>
      </c>
      <c r="E1796" s="9" t="s">
        <v>1602</v>
      </c>
      <c r="F1796" s="9" t="s">
        <v>1603</v>
      </c>
      <c r="G1796" s="9" t="s">
        <v>1592</v>
      </c>
      <c r="H1796" s="9" t="s">
        <v>1638</v>
      </c>
      <c r="I1796" s="9" t="s">
        <v>3246</v>
      </c>
      <c r="J1796" s="9" t="s">
        <v>1601</v>
      </c>
      <c r="K1796" s="9">
        <v>1</v>
      </c>
      <c r="L1796" s="9">
        <v>25</v>
      </c>
      <c r="M1796" s="9">
        <v>2008</v>
      </c>
      <c r="O1796" s="9" t="str">
        <f t="shared" si="85"/>
        <v>NO</v>
      </c>
      <c r="P1796" s="9" t="str">
        <f t="shared" si="86"/>
        <v>NO</v>
      </c>
      <c r="Q1796" s="9" t="str">
        <f t="shared" si="87"/>
        <v>Conditioned</v>
      </c>
    </row>
    <row r="1797" spans="1:17">
      <c r="A1797" s="9">
        <v>22291</v>
      </c>
      <c r="B1797" s="9">
        <v>2</v>
      </c>
      <c r="C1797" s="9" t="s">
        <v>1589</v>
      </c>
      <c r="D1797" s="9" t="s">
        <v>1590</v>
      </c>
      <c r="E1797" s="9" t="s">
        <v>1591</v>
      </c>
      <c r="F1797" s="9" t="s">
        <v>1589</v>
      </c>
      <c r="G1797" s="9" t="s">
        <v>1592</v>
      </c>
      <c r="H1797" s="9" t="s">
        <v>170</v>
      </c>
      <c r="I1797" s="9" t="s">
        <v>3247</v>
      </c>
      <c r="J1797" s="9" t="s">
        <v>1605</v>
      </c>
      <c r="K1797" s="9">
        <v>1</v>
      </c>
      <c r="L1797" s="9">
        <v>13</v>
      </c>
      <c r="M1797" s="9">
        <v>1995</v>
      </c>
      <c r="O1797" s="9" t="str">
        <f t="shared" si="85"/>
        <v>NO</v>
      </c>
      <c r="P1797" s="9" t="str">
        <f t="shared" si="86"/>
        <v>YES</v>
      </c>
      <c r="Q1797" s="9" t="str">
        <f t="shared" si="87"/>
        <v>Conditioned</v>
      </c>
    </row>
    <row r="1798" spans="1:17">
      <c r="A1798" s="9">
        <v>22291</v>
      </c>
      <c r="B1798" s="9">
        <v>3</v>
      </c>
      <c r="C1798" s="9" t="s">
        <v>1589</v>
      </c>
      <c r="D1798" s="9" t="s">
        <v>1590</v>
      </c>
      <c r="E1798" s="9" t="s">
        <v>1589</v>
      </c>
      <c r="F1798" s="9" t="s">
        <v>1589</v>
      </c>
      <c r="G1798" s="9" t="s">
        <v>1606</v>
      </c>
      <c r="H1798" s="9" t="s">
        <v>1632</v>
      </c>
      <c r="I1798" s="9" t="s">
        <v>1589</v>
      </c>
      <c r="J1798" s="9" t="s">
        <v>1612</v>
      </c>
      <c r="K1798" s="9">
        <v>1</v>
      </c>
      <c r="L1798" s="9">
        <v>12</v>
      </c>
      <c r="M1798" s="9">
        <v>2006</v>
      </c>
      <c r="O1798" s="9" t="str">
        <f t="shared" si="85"/>
        <v>NO</v>
      </c>
      <c r="P1798" s="9" t="str">
        <f t="shared" si="86"/>
        <v>NO</v>
      </c>
      <c r="Q1798" s="9" t="str">
        <f t="shared" si="87"/>
        <v>Unconditioned</v>
      </c>
    </row>
    <row r="1799" spans="1:17">
      <c r="A1799" s="9">
        <v>22293</v>
      </c>
      <c r="B1799" s="9">
        <v>1</v>
      </c>
      <c r="C1799" s="9" t="s">
        <v>1589</v>
      </c>
      <c r="D1799" s="9" t="s">
        <v>1590</v>
      </c>
      <c r="E1799" s="9" t="s">
        <v>1613</v>
      </c>
      <c r="F1799" s="9" t="s">
        <v>1590</v>
      </c>
      <c r="G1799" s="9" t="s">
        <v>1592</v>
      </c>
      <c r="H1799" s="9" t="s">
        <v>170</v>
      </c>
      <c r="I1799" s="9" t="s">
        <v>3248</v>
      </c>
      <c r="J1799" s="9" t="s">
        <v>1597</v>
      </c>
      <c r="K1799" s="9">
        <v>1</v>
      </c>
      <c r="L1799" s="9">
        <v>18</v>
      </c>
      <c r="M1799" s="9">
        <v>1976</v>
      </c>
      <c r="O1799" s="9" t="str">
        <f t="shared" si="85"/>
        <v>NO</v>
      </c>
      <c r="P1799" s="9" t="str">
        <f t="shared" si="86"/>
        <v>NO</v>
      </c>
      <c r="Q1799" s="9" t="str">
        <f t="shared" si="87"/>
        <v>Conditioned</v>
      </c>
    </row>
    <row r="1800" spans="1:17">
      <c r="A1800" s="9">
        <v>22293</v>
      </c>
      <c r="B1800" s="9">
        <v>2</v>
      </c>
      <c r="C1800" s="9" t="s">
        <v>1589</v>
      </c>
      <c r="D1800" s="9" t="s">
        <v>1590</v>
      </c>
      <c r="E1800" s="9" t="s">
        <v>1591</v>
      </c>
      <c r="F1800" s="9" t="s">
        <v>1589</v>
      </c>
      <c r="G1800" s="9" t="s">
        <v>1592</v>
      </c>
      <c r="H1800" s="9" t="s">
        <v>1638</v>
      </c>
      <c r="I1800" s="9" t="s">
        <v>3249</v>
      </c>
      <c r="J1800" s="9" t="s">
        <v>1605</v>
      </c>
      <c r="K1800" s="9">
        <v>1</v>
      </c>
      <c r="L1800" s="9">
        <v>25</v>
      </c>
      <c r="M1800" s="9">
        <v>1998</v>
      </c>
      <c r="O1800" s="9" t="str">
        <f t="shared" si="85"/>
        <v>NO</v>
      </c>
      <c r="P1800" s="9" t="str">
        <f t="shared" si="86"/>
        <v>YES</v>
      </c>
      <c r="Q1800" s="9" t="str">
        <f t="shared" si="87"/>
        <v>Conditioned</v>
      </c>
    </row>
    <row r="1801" spans="1:17">
      <c r="A1801" s="9">
        <v>22293</v>
      </c>
      <c r="B1801" s="9">
        <v>3</v>
      </c>
      <c r="C1801" s="9" t="s">
        <v>1589</v>
      </c>
      <c r="D1801" s="9" t="s">
        <v>1590</v>
      </c>
      <c r="E1801" s="9" t="s">
        <v>1591</v>
      </c>
      <c r="F1801" s="9" t="s">
        <v>1589</v>
      </c>
      <c r="G1801" s="9" t="s">
        <v>1592</v>
      </c>
      <c r="H1801" s="9" t="s">
        <v>181</v>
      </c>
      <c r="I1801" s="9" t="s">
        <v>1589</v>
      </c>
      <c r="J1801" s="9" t="s">
        <v>1612</v>
      </c>
      <c r="K1801" s="9">
        <v>1</v>
      </c>
      <c r="L1801" s="9">
        <v>8</v>
      </c>
      <c r="O1801" s="9" t="str">
        <f t="shared" si="85"/>
        <v>NO</v>
      </c>
      <c r="P1801" s="9" t="str">
        <f t="shared" si="86"/>
        <v>NO</v>
      </c>
      <c r="Q1801" s="9" t="str">
        <f t="shared" si="87"/>
        <v>Conditioned</v>
      </c>
    </row>
    <row r="1802" spans="1:17">
      <c r="A1802" s="9">
        <v>22293</v>
      </c>
      <c r="B1802" s="9">
        <v>4</v>
      </c>
      <c r="C1802" s="9" t="s">
        <v>1589</v>
      </c>
      <c r="D1802" s="9" t="s">
        <v>1590</v>
      </c>
      <c r="E1802" s="9" t="s">
        <v>1591</v>
      </c>
      <c r="F1802" s="9" t="s">
        <v>1589</v>
      </c>
      <c r="G1802" s="9" t="s">
        <v>1592</v>
      </c>
      <c r="H1802" s="9" t="s">
        <v>170</v>
      </c>
      <c r="I1802" s="9" t="s">
        <v>1589</v>
      </c>
      <c r="J1802" s="9" t="s">
        <v>1612</v>
      </c>
      <c r="K1802" s="9">
        <v>1</v>
      </c>
      <c r="L1802" s="9">
        <v>6</v>
      </c>
      <c r="O1802" s="9" t="str">
        <f t="shared" si="85"/>
        <v>YES</v>
      </c>
      <c r="P1802" s="9" t="str">
        <f t="shared" si="86"/>
        <v>NO</v>
      </c>
      <c r="Q1802" s="9" t="str">
        <f t="shared" si="87"/>
        <v>Conditioned</v>
      </c>
    </row>
    <row r="1803" spans="1:17">
      <c r="A1803" s="9">
        <v>22295</v>
      </c>
      <c r="B1803" s="9">
        <v>1</v>
      </c>
      <c r="C1803" s="9" t="s">
        <v>1589</v>
      </c>
      <c r="D1803" s="9" t="s">
        <v>1590</v>
      </c>
      <c r="E1803" s="9" t="s">
        <v>1602</v>
      </c>
      <c r="F1803" s="9" t="s">
        <v>1603</v>
      </c>
      <c r="G1803" s="9" t="s">
        <v>1592</v>
      </c>
      <c r="H1803" s="9" t="s">
        <v>177</v>
      </c>
      <c r="I1803" s="9" t="s">
        <v>3250</v>
      </c>
      <c r="J1803" s="9" t="s">
        <v>1601</v>
      </c>
      <c r="K1803" s="9">
        <v>1</v>
      </c>
      <c r="L1803" s="9">
        <v>22</v>
      </c>
      <c r="M1803" s="9">
        <v>2006</v>
      </c>
      <c r="O1803" s="9" t="str">
        <f t="shared" si="85"/>
        <v>NO</v>
      </c>
      <c r="P1803" s="9" t="str">
        <f t="shared" si="86"/>
        <v>NO</v>
      </c>
      <c r="Q1803" s="9" t="str">
        <f t="shared" si="87"/>
        <v>Conditioned</v>
      </c>
    </row>
    <row r="1804" spans="1:17">
      <c r="A1804" s="9">
        <v>22302</v>
      </c>
      <c r="B1804" s="9">
        <v>1</v>
      </c>
      <c r="C1804" s="9" t="s">
        <v>1589</v>
      </c>
      <c r="D1804" s="9" t="s">
        <v>1603</v>
      </c>
      <c r="E1804" s="9" t="s">
        <v>1613</v>
      </c>
      <c r="F1804" s="9" t="s">
        <v>1603</v>
      </c>
      <c r="G1804" s="9" t="s">
        <v>1592</v>
      </c>
      <c r="H1804" s="9" t="s">
        <v>170</v>
      </c>
      <c r="I1804" s="9" t="s">
        <v>3251</v>
      </c>
      <c r="J1804" s="9" t="s">
        <v>1601</v>
      </c>
      <c r="K1804" s="9">
        <v>1</v>
      </c>
      <c r="L1804" s="9">
        <v>22</v>
      </c>
      <c r="M1804" s="9">
        <v>2001</v>
      </c>
      <c r="O1804" s="9" t="str">
        <f t="shared" si="85"/>
        <v>NO</v>
      </c>
      <c r="P1804" s="9" t="str">
        <f t="shared" si="86"/>
        <v>NO</v>
      </c>
      <c r="Q1804" s="9" t="str">
        <f t="shared" si="87"/>
        <v>Conditioned</v>
      </c>
    </row>
    <row r="1805" spans="1:17">
      <c r="A1805" s="9">
        <v>22306</v>
      </c>
      <c r="B1805" s="9">
        <v>1</v>
      </c>
      <c r="C1805" s="9" t="s">
        <v>1589</v>
      </c>
      <c r="D1805" s="9" t="s">
        <v>1590</v>
      </c>
      <c r="E1805" s="9" t="s">
        <v>1591</v>
      </c>
      <c r="F1805" s="9" t="s">
        <v>1589</v>
      </c>
      <c r="G1805" s="9" t="s">
        <v>1592</v>
      </c>
      <c r="H1805" s="9" t="s">
        <v>172</v>
      </c>
      <c r="I1805" s="9" t="s">
        <v>3252</v>
      </c>
      <c r="J1805" s="9" t="s">
        <v>1597</v>
      </c>
      <c r="K1805" s="9">
        <v>1</v>
      </c>
      <c r="L1805" s="9">
        <v>25</v>
      </c>
      <c r="M1805" s="9">
        <v>1991</v>
      </c>
      <c r="O1805" s="9" t="str">
        <f t="shared" si="85"/>
        <v>NO</v>
      </c>
      <c r="P1805" s="9" t="str">
        <f t="shared" si="86"/>
        <v>NO</v>
      </c>
      <c r="Q1805" s="9" t="str">
        <f t="shared" si="87"/>
        <v>Conditioned</v>
      </c>
    </row>
    <row r="1806" spans="1:17">
      <c r="A1806" s="9">
        <v>22306</v>
      </c>
      <c r="B1806" s="9">
        <v>2</v>
      </c>
      <c r="C1806" s="9" t="s">
        <v>1589</v>
      </c>
      <c r="D1806" s="9" t="s">
        <v>1590</v>
      </c>
      <c r="E1806" s="9" t="s">
        <v>1591</v>
      </c>
      <c r="F1806" s="9" t="s">
        <v>1589</v>
      </c>
      <c r="G1806" s="9" t="s">
        <v>1592</v>
      </c>
      <c r="H1806" s="9" t="s">
        <v>168</v>
      </c>
      <c r="I1806" s="9" t="s">
        <v>3253</v>
      </c>
      <c r="J1806" s="9" t="s">
        <v>1587</v>
      </c>
      <c r="K1806" s="9">
        <v>1</v>
      </c>
      <c r="L1806" s="9">
        <v>16</v>
      </c>
      <c r="M1806" s="9">
        <v>2005</v>
      </c>
      <c r="O1806" s="9" t="str">
        <f t="shared" si="85"/>
        <v>NO</v>
      </c>
      <c r="P1806" s="9" t="str">
        <f t="shared" si="86"/>
        <v>YES</v>
      </c>
      <c r="Q1806" s="9" t="str">
        <f t="shared" si="87"/>
        <v>Conditioned</v>
      </c>
    </row>
    <row r="1807" spans="1:17">
      <c r="A1807" s="9">
        <v>22306</v>
      </c>
      <c r="B1807" s="9">
        <v>3</v>
      </c>
      <c r="C1807" s="9" t="s">
        <v>1589</v>
      </c>
      <c r="D1807" s="9" t="s">
        <v>1590</v>
      </c>
      <c r="E1807" s="9" t="s">
        <v>1591</v>
      </c>
      <c r="F1807" s="9" t="s">
        <v>1589</v>
      </c>
      <c r="G1807" s="9" t="s">
        <v>1592</v>
      </c>
      <c r="H1807" s="9" t="s">
        <v>1638</v>
      </c>
      <c r="I1807" s="9" t="s">
        <v>3254</v>
      </c>
      <c r="J1807" s="9" t="s">
        <v>1587</v>
      </c>
      <c r="K1807" s="9">
        <v>1</v>
      </c>
      <c r="L1807" s="9">
        <v>12</v>
      </c>
      <c r="M1807" s="9">
        <v>2003</v>
      </c>
      <c r="O1807" s="9" t="str">
        <f t="shared" si="85"/>
        <v>NO</v>
      </c>
      <c r="P1807" s="9" t="str">
        <f t="shared" si="86"/>
        <v>YES</v>
      </c>
      <c r="Q1807" s="9" t="str">
        <f t="shared" si="87"/>
        <v>Conditioned</v>
      </c>
    </row>
    <row r="1808" spans="1:17">
      <c r="A1808" s="9">
        <v>22312</v>
      </c>
      <c r="B1808" s="9">
        <v>1</v>
      </c>
      <c r="C1808" s="9" t="s">
        <v>1589</v>
      </c>
      <c r="D1808" s="9" t="s">
        <v>1590</v>
      </c>
      <c r="E1808" s="9" t="s">
        <v>1602</v>
      </c>
      <c r="F1808" s="9" t="s">
        <v>1603</v>
      </c>
      <c r="G1808" s="9" t="s">
        <v>1592</v>
      </c>
      <c r="H1808" s="9" t="s">
        <v>170</v>
      </c>
      <c r="I1808" s="9" t="s">
        <v>3255</v>
      </c>
      <c r="J1808" s="9" t="s">
        <v>1601</v>
      </c>
      <c r="K1808" s="9">
        <v>1</v>
      </c>
      <c r="L1808" s="9">
        <v>23</v>
      </c>
      <c r="M1808" s="9">
        <v>2007</v>
      </c>
      <c r="O1808" s="9" t="str">
        <f t="shared" si="85"/>
        <v>NO</v>
      </c>
      <c r="P1808" s="9" t="str">
        <f t="shared" si="86"/>
        <v>NO</v>
      </c>
      <c r="Q1808" s="9" t="str">
        <f t="shared" si="87"/>
        <v>Conditioned</v>
      </c>
    </row>
    <row r="1809" spans="1:17">
      <c r="A1809" s="9">
        <v>22312</v>
      </c>
      <c r="B1809" s="9">
        <v>2</v>
      </c>
      <c r="C1809" s="9" t="s">
        <v>1589</v>
      </c>
      <c r="D1809" s="9" t="s">
        <v>1590</v>
      </c>
      <c r="E1809" s="9" t="s">
        <v>1591</v>
      </c>
      <c r="F1809" s="9" t="s">
        <v>1589</v>
      </c>
      <c r="G1809" s="9" t="s">
        <v>1592</v>
      </c>
      <c r="H1809" s="9" t="s">
        <v>170</v>
      </c>
      <c r="I1809" s="9" t="s">
        <v>3256</v>
      </c>
      <c r="J1809" s="9" t="s">
        <v>1587</v>
      </c>
      <c r="K1809" s="9">
        <v>1</v>
      </c>
      <c r="L1809" s="9">
        <v>17</v>
      </c>
      <c r="M1809" s="9">
        <v>2007</v>
      </c>
      <c r="O1809" s="9" t="str">
        <f t="shared" si="85"/>
        <v>NO</v>
      </c>
      <c r="P1809" s="9" t="str">
        <f t="shared" si="86"/>
        <v>YES</v>
      </c>
      <c r="Q1809" s="9" t="str">
        <f t="shared" si="87"/>
        <v>Conditioned</v>
      </c>
    </row>
    <row r="1810" spans="1:17">
      <c r="A1810" s="9">
        <v>22312</v>
      </c>
      <c r="B1810" s="9">
        <v>3</v>
      </c>
      <c r="C1810" s="9" t="s">
        <v>1589</v>
      </c>
      <c r="D1810" s="9" t="s">
        <v>1590</v>
      </c>
      <c r="E1810" s="9" t="s">
        <v>1591</v>
      </c>
      <c r="F1810" s="9" t="s">
        <v>1589</v>
      </c>
      <c r="G1810" s="9" t="s">
        <v>1606</v>
      </c>
      <c r="H1810" s="9" t="s">
        <v>177</v>
      </c>
      <c r="I1810" s="9" t="s">
        <v>3257</v>
      </c>
      <c r="J1810" s="9" t="s">
        <v>1597</v>
      </c>
      <c r="K1810" s="9">
        <v>1</v>
      </c>
      <c r="L1810" s="9">
        <v>18</v>
      </c>
      <c r="M1810" s="9">
        <v>1995</v>
      </c>
      <c r="O1810" s="9" t="str">
        <f t="shared" si="85"/>
        <v>NO</v>
      </c>
      <c r="P1810" s="9" t="str">
        <f t="shared" si="86"/>
        <v>NO</v>
      </c>
      <c r="Q1810" s="9" t="str">
        <f t="shared" si="87"/>
        <v>Unconditioned</v>
      </c>
    </row>
    <row r="1811" spans="1:17">
      <c r="A1811" s="9">
        <v>22319</v>
      </c>
      <c r="B1811" s="9">
        <v>1</v>
      </c>
      <c r="C1811" s="9" t="s">
        <v>1589</v>
      </c>
      <c r="D1811" s="9" t="s">
        <v>1590</v>
      </c>
      <c r="E1811" s="9" t="s">
        <v>1591</v>
      </c>
      <c r="F1811" s="9" t="s">
        <v>1589</v>
      </c>
      <c r="G1811" s="9" t="s">
        <v>1592</v>
      </c>
      <c r="H1811" s="9" t="s">
        <v>174</v>
      </c>
      <c r="I1811" s="9" t="s">
        <v>3258</v>
      </c>
      <c r="J1811" s="9" t="s">
        <v>1597</v>
      </c>
      <c r="K1811" s="9">
        <v>1</v>
      </c>
      <c r="L1811" s="9">
        <v>20</v>
      </c>
      <c r="M1811" s="9">
        <v>2006</v>
      </c>
      <c r="O1811" s="9" t="str">
        <f t="shared" si="85"/>
        <v>NO</v>
      </c>
      <c r="P1811" s="9" t="str">
        <f t="shared" si="86"/>
        <v>NO</v>
      </c>
      <c r="Q1811" s="9" t="str">
        <f t="shared" si="87"/>
        <v>Conditioned</v>
      </c>
    </row>
    <row r="1812" spans="1:17">
      <c r="A1812" s="9">
        <v>22319</v>
      </c>
      <c r="B1812" s="9">
        <v>2</v>
      </c>
      <c r="C1812" s="9" t="s">
        <v>1589</v>
      </c>
      <c r="D1812" s="9" t="s">
        <v>1590</v>
      </c>
      <c r="E1812" s="9" t="s">
        <v>1613</v>
      </c>
      <c r="F1812" s="9" t="s">
        <v>1603</v>
      </c>
      <c r="G1812" s="9" t="s">
        <v>1592</v>
      </c>
      <c r="H1812" s="9" t="s">
        <v>1632</v>
      </c>
      <c r="I1812" s="9" t="s">
        <v>1589</v>
      </c>
      <c r="J1812" s="9" t="s">
        <v>1589</v>
      </c>
      <c r="K1812" s="9">
        <v>1</v>
      </c>
      <c r="L1812" s="9">
        <v>5</v>
      </c>
      <c r="O1812" s="9" t="str">
        <f t="shared" si="85"/>
        <v>YES</v>
      </c>
      <c r="P1812" s="9" t="e">
        <f t="shared" si="86"/>
        <v>#N/A</v>
      </c>
      <c r="Q1812" s="9" t="str">
        <f t="shared" si="87"/>
        <v>Conditioned</v>
      </c>
    </row>
    <row r="1813" spans="1:17">
      <c r="A1813" s="9">
        <v>22319</v>
      </c>
      <c r="B1813" s="9">
        <v>3</v>
      </c>
      <c r="C1813" s="9" t="s">
        <v>1589</v>
      </c>
      <c r="D1813" s="9" t="s">
        <v>1590</v>
      </c>
      <c r="E1813" s="9" t="s">
        <v>1591</v>
      </c>
      <c r="F1813" s="9" t="s">
        <v>1589</v>
      </c>
      <c r="G1813" s="9" t="s">
        <v>1592</v>
      </c>
      <c r="H1813" s="9" t="s">
        <v>2235</v>
      </c>
      <c r="I1813" s="9" t="s">
        <v>1589</v>
      </c>
      <c r="J1813" s="9" t="s">
        <v>1597</v>
      </c>
      <c r="K1813" s="9">
        <v>1</v>
      </c>
      <c r="L1813" s="9">
        <v>20</v>
      </c>
      <c r="O1813" s="9" t="str">
        <f t="shared" si="85"/>
        <v>NO</v>
      </c>
      <c r="P1813" s="9" t="str">
        <f t="shared" si="86"/>
        <v>NO</v>
      </c>
      <c r="Q1813" s="9" t="str">
        <f t="shared" si="87"/>
        <v>Conditioned</v>
      </c>
    </row>
    <row r="1814" spans="1:17">
      <c r="A1814" s="9">
        <v>22319</v>
      </c>
      <c r="B1814" s="9">
        <v>4</v>
      </c>
      <c r="C1814" s="9" t="s">
        <v>1589</v>
      </c>
      <c r="D1814" s="9" t="s">
        <v>1590</v>
      </c>
      <c r="E1814" s="9" t="s">
        <v>1591</v>
      </c>
      <c r="F1814" s="9" t="s">
        <v>1589</v>
      </c>
      <c r="G1814" s="9" t="s">
        <v>1606</v>
      </c>
      <c r="H1814" s="9" t="s">
        <v>170</v>
      </c>
      <c r="I1814" s="9" t="s">
        <v>1589</v>
      </c>
      <c r="J1814" s="9" t="s">
        <v>1605</v>
      </c>
      <c r="K1814" s="9">
        <v>1</v>
      </c>
      <c r="L1814" s="9">
        <v>18</v>
      </c>
      <c r="O1814" s="9" t="str">
        <f t="shared" si="85"/>
        <v>NO</v>
      </c>
      <c r="P1814" s="9" t="str">
        <f t="shared" si="86"/>
        <v>YES</v>
      </c>
      <c r="Q1814" s="9" t="str">
        <f t="shared" si="87"/>
        <v>Unconditioned</v>
      </c>
    </row>
    <row r="1815" spans="1:17">
      <c r="A1815" s="9">
        <v>22322</v>
      </c>
      <c r="B1815" s="9">
        <v>1</v>
      </c>
      <c r="C1815" s="9" t="s">
        <v>1589</v>
      </c>
      <c r="D1815" s="9" t="s">
        <v>1590</v>
      </c>
      <c r="E1815" s="9" t="s">
        <v>1613</v>
      </c>
      <c r="F1815" s="9" t="s">
        <v>1603</v>
      </c>
      <c r="G1815" s="9" t="s">
        <v>1592</v>
      </c>
      <c r="H1815" s="9" t="s">
        <v>174</v>
      </c>
      <c r="I1815" s="9" t="s">
        <v>3259</v>
      </c>
      <c r="J1815" s="9" t="s">
        <v>1608</v>
      </c>
      <c r="K1815" s="9">
        <v>1</v>
      </c>
      <c r="L1815" s="9">
        <v>20</v>
      </c>
      <c r="M1815" s="9">
        <v>2005</v>
      </c>
      <c r="O1815" s="9" t="str">
        <f t="shared" ref="O1815:O1878" si="88">IF(L1815&lt;7.75,"YES","NO")</f>
        <v>NO</v>
      </c>
      <c r="P1815" s="9" t="str">
        <f t="shared" ref="P1815:P1878" si="89">VLOOKUP(J1815,$Z$21:$AA$27,2,FALSE)</f>
        <v>NO</v>
      </c>
      <c r="Q1815" s="9" t="str">
        <f t="shared" ref="Q1815:Q1878" si="90">G1815</f>
        <v>Conditioned</v>
      </c>
    </row>
    <row r="1816" spans="1:17">
      <c r="A1816" s="9">
        <v>22322</v>
      </c>
      <c r="B1816" s="9">
        <v>2</v>
      </c>
      <c r="C1816" s="9" t="s">
        <v>1589</v>
      </c>
      <c r="D1816" s="9" t="s">
        <v>1590</v>
      </c>
      <c r="E1816" s="9" t="s">
        <v>1591</v>
      </c>
      <c r="F1816" s="9" t="s">
        <v>1589</v>
      </c>
      <c r="G1816" s="9" t="s">
        <v>1606</v>
      </c>
      <c r="H1816" s="9" t="s">
        <v>177</v>
      </c>
      <c r="I1816" s="9" t="s">
        <v>3260</v>
      </c>
      <c r="J1816" s="9" t="s">
        <v>1597</v>
      </c>
      <c r="K1816" s="9">
        <v>1</v>
      </c>
      <c r="L1816" s="9">
        <v>17</v>
      </c>
      <c r="M1816" s="9">
        <v>1987</v>
      </c>
      <c r="O1816" s="9" t="str">
        <f t="shared" si="88"/>
        <v>NO</v>
      </c>
      <c r="P1816" s="9" t="str">
        <f t="shared" si="89"/>
        <v>NO</v>
      </c>
      <c r="Q1816" s="9" t="str">
        <f t="shared" si="90"/>
        <v>Unconditioned</v>
      </c>
    </row>
    <row r="1817" spans="1:17">
      <c r="A1817" s="9">
        <v>22333</v>
      </c>
      <c r="B1817" s="9">
        <v>1</v>
      </c>
      <c r="C1817" s="9" t="s">
        <v>1589</v>
      </c>
      <c r="D1817" s="9" t="s">
        <v>1590</v>
      </c>
      <c r="E1817" s="9" t="s">
        <v>1613</v>
      </c>
      <c r="F1817" s="9" t="s">
        <v>1603</v>
      </c>
      <c r="G1817" s="9" t="s">
        <v>1592</v>
      </c>
      <c r="H1817" s="9" t="s">
        <v>177</v>
      </c>
      <c r="I1817" s="9" t="s">
        <v>3261</v>
      </c>
      <c r="J1817" s="9" t="s">
        <v>1597</v>
      </c>
      <c r="K1817" s="9">
        <v>1</v>
      </c>
      <c r="L1817" s="9">
        <v>22</v>
      </c>
      <c r="M1817" s="9">
        <v>2011</v>
      </c>
      <c r="O1817" s="9" t="str">
        <f t="shared" si="88"/>
        <v>NO</v>
      </c>
      <c r="P1817" s="9" t="str">
        <f t="shared" si="89"/>
        <v>NO</v>
      </c>
      <c r="Q1817" s="9" t="str">
        <f t="shared" si="90"/>
        <v>Conditioned</v>
      </c>
    </row>
    <row r="1818" spans="1:17">
      <c r="A1818" s="9">
        <v>22333</v>
      </c>
      <c r="B1818" s="9">
        <v>2</v>
      </c>
      <c r="C1818" s="9" t="s">
        <v>1589</v>
      </c>
      <c r="D1818" s="9" t="s">
        <v>1590</v>
      </c>
      <c r="E1818" s="9" t="s">
        <v>1591</v>
      </c>
      <c r="F1818" s="9" t="s">
        <v>1589</v>
      </c>
      <c r="G1818" s="9" t="s">
        <v>1606</v>
      </c>
      <c r="H1818" s="9" t="s">
        <v>1766</v>
      </c>
      <c r="I1818" s="9" t="s">
        <v>3262</v>
      </c>
      <c r="J1818" s="9" t="s">
        <v>1605</v>
      </c>
      <c r="K1818" s="9">
        <v>1</v>
      </c>
      <c r="L1818" s="9">
        <v>21</v>
      </c>
      <c r="O1818" s="9" t="str">
        <f t="shared" si="88"/>
        <v>NO</v>
      </c>
      <c r="P1818" s="9" t="str">
        <f t="shared" si="89"/>
        <v>YES</v>
      </c>
      <c r="Q1818" s="9" t="str">
        <f t="shared" si="90"/>
        <v>Unconditioned</v>
      </c>
    </row>
    <row r="1819" spans="1:17">
      <c r="A1819" s="9">
        <v>22333</v>
      </c>
      <c r="B1819" s="9">
        <v>3</v>
      </c>
      <c r="C1819" s="9" t="s">
        <v>1589</v>
      </c>
      <c r="D1819" s="9" t="s">
        <v>1590</v>
      </c>
      <c r="E1819" s="9" t="s">
        <v>1591</v>
      </c>
      <c r="F1819" s="9" t="s">
        <v>1589</v>
      </c>
      <c r="G1819" s="9" t="s">
        <v>1606</v>
      </c>
      <c r="H1819" s="9" t="s">
        <v>3195</v>
      </c>
      <c r="I1819" s="9" t="s">
        <v>3263</v>
      </c>
      <c r="J1819" s="9" t="s">
        <v>1605</v>
      </c>
      <c r="K1819" s="9">
        <v>1</v>
      </c>
      <c r="L1819" s="9">
        <v>12</v>
      </c>
      <c r="O1819" s="9" t="str">
        <f t="shared" si="88"/>
        <v>NO</v>
      </c>
      <c r="P1819" s="9" t="str">
        <f t="shared" si="89"/>
        <v>YES</v>
      </c>
      <c r="Q1819" s="9" t="str">
        <f t="shared" si="90"/>
        <v>Unconditioned</v>
      </c>
    </row>
    <row r="1820" spans="1:17">
      <c r="A1820" s="9">
        <v>22352</v>
      </c>
      <c r="B1820" s="9">
        <v>1</v>
      </c>
      <c r="C1820" s="9" t="s">
        <v>1589</v>
      </c>
      <c r="D1820" s="9" t="s">
        <v>1590</v>
      </c>
      <c r="E1820" s="9" t="s">
        <v>1591</v>
      </c>
      <c r="F1820" s="9" t="s">
        <v>1589</v>
      </c>
      <c r="G1820" s="9" t="s">
        <v>1592</v>
      </c>
      <c r="H1820" s="9" t="s">
        <v>172</v>
      </c>
      <c r="I1820" s="9" t="s">
        <v>3264</v>
      </c>
      <c r="J1820" s="9" t="s">
        <v>1597</v>
      </c>
      <c r="K1820" s="9">
        <v>1</v>
      </c>
      <c r="L1820" s="9">
        <v>18</v>
      </c>
      <c r="M1820" s="9">
        <v>1998</v>
      </c>
      <c r="O1820" s="9" t="str">
        <f t="shared" si="88"/>
        <v>NO</v>
      </c>
      <c r="P1820" s="9" t="str">
        <f t="shared" si="89"/>
        <v>NO</v>
      </c>
      <c r="Q1820" s="9" t="str">
        <f t="shared" si="90"/>
        <v>Conditioned</v>
      </c>
    </row>
    <row r="1821" spans="1:17">
      <c r="A1821" s="9">
        <v>22369</v>
      </c>
      <c r="B1821" s="9">
        <v>1</v>
      </c>
      <c r="C1821" s="9" t="s">
        <v>1589</v>
      </c>
      <c r="D1821" s="9" t="s">
        <v>1590</v>
      </c>
      <c r="E1821" s="9" t="s">
        <v>1602</v>
      </c>
      <c r="F1821" s="9" t="s">
        <v>1603</v>
      </c>
      <c r="G1821" s="9" t="s">
        <v>1592</v>
      </c>
      <c r="H1821" s="9" t="s">
        <v>173</v>
      </c>
      <c r="I1821" s="9" t="s">
        <v>3265</v>
      </c>
      <c r="J1821" s="9" t="s">
        <v>1601</v>
      </c>
      <c r="K1821" s="9">
        <v>1</v>
      </c>
      <c r="L1821" s="9">
        <v>24</v>
      </c>
      <c r="M1821" s="9">
        <v>2006</v>
      </c>
      <c r="O1821" s="9" t="str">
        <f t="shared" si="88"/>
        <v>NO</v>
      </c>
      <c r="P1821" s="9" t="str">
        <f t="shared" si="89"/>
        <v>NO</v>
      </c>
      <c r="Q1821" s="9" t="str">
        <f t="shared" si="90"/>
        <v>Conditioned</v>
      </c>
    </row>
    <row r="1822" spans="1:17">
      <c r="A1822" s="9">
        <v>22369</v>
      </c>
      <c r="B1822" s="9">
        <v>2</v>
      </c>
      <c r="C1822" s="9" t="s">
        <v>1589</v>
      </c>
      <c r="D1822" s="9" t="s">
        <v>1590</v>
      </c>
      <c r="E1822" s="9" t="s">
        <v>1591</v>
      </c>
      <c r="F1822" s="9" t="s">
        <v>1589</v>
      </c>
      <c r="G1822" s="9" t="s">
        <v>1606</v>
      </c>
      <c r="H1822" s="9" t="s">
        <v>174</v>
      </c>
      <c r="I1822" s="9" t="s">
        <v>3266</v>
      </c>
      <c r="J1822" s="9" t="s">
        <v>1605</v>
      </c>
      <c r="K1822" s="9">
        <v>1</v>
      </c>
      <c r="L1822" s="9">
        <v>19</v>
      </c>
      <c r="M1822" s="9">
        <v>2002</v>
      </c>
      <c r="O1822" s="9" t="str">
        <f t="shared" si="88"/>
        <v>NO</v>
      </c>
      <c r="P1822" s="9" t="str">
        <f t="shared" si="89"/>
        <v>YES</v>
      </c>
      <c r="Q1822" s="9" t="str">
        <f t="shared" si="90"/>
        <v>Unconditioned</v>
      </c>
    </row>
    <row r="1823" spans="1:17">
      <c r="A1823" s="9">
        <v>22375</v>
      </c>
      <c r="B1823" s="9">
        <v>1</v>
      </c>
      <c r="C1823" s="9" t="s">
        <v>1589</v>
      </c>
      <c r="D1823" s="9" t="s">
        <v>1590</v>
      </c>
      <c r="E1823" s="9" t="s">
        <v>1613</v>
      </c>
      <c r="F1823" s="9" t="s">
        <v>1603</v>
      </c>
      <c r="G1823" s="9" t="s">
        <v>1592</v>
      </c>
      <c r="H1823" s="9" t="s">
        <v>174</v>
      </c>
      <c r="I1823" s="9" t="s">
        <v>3267</v>
      </c>
      <c r="J1823" s="9" t="s">
        <v>1608</v>
      </c>
      <c r="K1823" s="9">
        <v>1</v>
      </c>
      <c r="L1823" s="9">
        <v>25</v>
      </c>
      <c r="M1823" s="9">
        <v>1996</v>
      </c>
      <c r="O1823" s="9" t="str">
        <f t="shared" si="88"/>
        <v>NO</v>
      </c>
      <c r="P1823" s="9" t="str">
        <f t="shared" si="89"/>
        <v>NO</v>
      </c>
      <c r="Q1823" s="9" t="str">
        <f t="shared" si="90"/>
        <v>Conditioned</v>
      </c>
    </row>
    <row r="1824" spans="1:17">
      <c r="A1824" s="9">
        <v>22375</v>
      </c>
      <c r="B1824" s="9">
        <v>2</v>
      </c>
      <c r="C1824" s="9" t="s">
        <v>1589</v>
      </c>
      <c r="D1824" s="9" t="s">
        <v>1590</v>
      </c>
      <c r="E1824" s="9" t="s">
        <v>1591</v>
      </c>
      <c r="F1824" s="9" t="s">
        <v>1589</v>
      </c>
      <c r="G1824" s="9" t="s">
        <v>1606</v>
      </c>
      <c r="H1824" s="9" t="s">
        <v>1624</v>
      </c>
      <c r="I1824" s="9" t="s">
        <v>3268</v>
      </c>
      <c r="J1824" s="9" t="s">
        <v>1605</v>
      </c>
      <c r="K1824" s="9">
        <v>1</v>
      </c>
      <c r="L1824" s="9">
        <v>16</v>
      </c>
      <c r="M1824" s="9">
        <v>1973</v>
      </c>
      <c r="O1824" s="9" t="str">
        <f t="shared" si="88"/>
        <v>NO</v>
      </c>
      <c r="P1824" s="9" t="str">
        <f t="shared" si="89"/>
        <v>YES</v>
      </c>
      <c r="Q1824" s="9" t="str">
        <f t="shared" si="90"/>
        <v>Unconditioned</v>
      </c>
    </row>
    <row r="1825" spans="1:17">
      <c r="A1825" s="9">
        <v>22375</v>
      </c>
      <c r="B1825" s="9">
        <v>3</v>
      </c>
      <c r="C1825" s="9" t="s">
        <v>1589</v>
      </c>
      <c r="D1825" s="9" t="s">
        <v>1590</v>
      </c>
      <c r="E1825" s="9" t="s">
        <v>1591</v>
      </c>
      <c r="F1825" s="9" t="s">
        <v>1589</v>
      </c>
      <c r="G1825" s="9" t="s">
        <v>1606</v>
      </c>
      <c r="H1825" s="9" t="s">
        <v>170</v>
      </c>
      <c r="I1825" s="9" t="s">
        <v>3269</v>
      </c>
      <c r="J1825" s="9" t="s">
        <v>1605</v>
      </c>
      <c r="K1825" s="9">
        <v>1</v>
      </c>
      <c r="L1825" s="9">
        <v>16</v>
      </c>
      <c r="M1825" s="9">
        <v>1999</v>
      </c>
      <c r="O1825" s="9" t="str">
        <f t="shared" si="88"/>
        <v>NO</v>
      </c>
      <c r="P1825" s="9" t="str">
        <f t="shared" si="89"/>
        <v>YES</v>
      </c>
      <c r="Q1825" s="9" t="str">
        <f t="shared" si="90"/>
        <v>Unconditioned</v>
      </c>
    </row>
    <row r="1826" spans="1:17">
      <c r="A1826" s="9">
        <v>22398</v>
      </c>
      <c r="B1826" s="9">
        <v>1</v>
      </c>
      <c r="C1826" s="9" t="s">
        <v>1589</v>
      </c>
      <c r="D1826" s="9" t="s">
        <v>1590</v>
      </c>
      <c r="E1826" s="9" t="s">
        <v>1602</v>
      </c>
      <c r="F1826" s="9" t="s">
        <v>1603</v>
      </c>
      <c r="G1826" s="9" t="s">
        <v>1606</v>
      </c>
      <c r="H1826" s="9" t="s">
        <v>1638</v>
      </c>
      <c r="I1826" s="9" t="s">
        <v>3270</v>
      </c>
      <c r="J1826" s="9" t="s">
        <v>1601</v>
      </c>
      <c r="K1826" s="9">
        <v>1</v>
      </c>
      <c r="L1826" s="9">
        <v>26</v>
      </c>
      <c r="M1826" s="9">
        <v>2005</v>
      </c>
      <c r="O1826" s="9" t="str">
        <f t="shared" si="88"/>
        <v>NO</v>
      </c>
      <c r="P1826" s="9" t="str">
        <f t="shared" si="89"/>
        <v>NO</v>
      </c>
      <c r="Q1826" s="9" t="str">
        <f t="shared" si="90"/>
        <v>Unconditioned</v>
      </c>
    </row>
    <row r="1827" spans="1:17">
      <c r="A1827" s="9">
        <v>22404</v>
      </c>
      <c r="B1827" s="9">
        <v>1</v>
      </c>
      <c r="C1827" s="9" t="s">
        <v>1589</v>
      </c>
      <c r="D1827" s="9" t="s">
        <v>1603</v>
      </c>
      <c r="E1827" s="9" t="s">
        <v>1591</v>
      </c>
      <c r="F1827" s="9" t="s">
        <v>1589</v>
      </c>
      <c r="G1827" s="9" t="s">
        <v>1592</v>
      </c>
      <c r="H1827" s="9" t="s">
        <v>170</v>
      </c>
      <c r="I1827" s="9" t="s">
        <v>3271</v>
      </c>
      <c r="J1827" s="9" t="s">
        <v>1597</v>
      </c>
      <c r="K1827" s="9">
        <v>1</v>
      </c>
      <c r="L1827" s="9">
        <v>22</v>
      </c>
      <c r="M1827" s="9">
        <v>1998</v>
      </c>
      <c r="O1827" s="9" t="str">
        <f t="shared" si="88"/>
        <v>NO</v>
      </c>
      <c r="P1827" s="9" t="str">
        <f t="shared" si="89"/>
        <v>NO</v>
      </c>
      <c r="Q1827" s="9" t="str">
        <f t="shared" si="90"/>
        <v>Conditioned</v>
      </c>
    </row>
    <row r="1828" spans="1:17">
      <c r="A1828" s="9">
        <v>22411</v>
      </c>
      <c r="B1828" s="9">
        <v>1</v>
      </c>
      <c r="C1828" s="9" t="s">
        <v>1589</v>
      </c>
      <c r="D1828" s="9" t="s">
        <v>1590</v>
      </c>
      <c r="E1828" s="9" t="s">
        <v>1591</v>
      </c>
      <c r="F1828" s="9" t="s">
        <v>1589</v>
      </c>
      <c r="G1828" s="9" t="s">
        <v>1592</v>
      </c>
      <c r="H1828" s="9" t="s">
        <v>1463</v>
      </c>
      <c r="I1828" s="9" t="s">
        <v>3272</v>
      </c>
      <c r="J1828" s="9" t="s">
        <v>1597</v>
      </c>
      <c r="K1828" s="9">
        <v>1</v>
      </c>
      <c r="L1828" s="9">
        <v>18</v>
      </c>
      <c r="M1828" s="9">
        <v>2001</v>
      </c>
      <c r="O1828" s="9" t="str">
        <f t="shared" si="88"/>
        <v>NO</v>
      </c>
      <c r="P1828" s="9" t="str">
        <f t="shared" si="89"/>
        <v>NO</v>
      </c>
      <c r="Q1828" s="9" t="str">
        <f t="shared" si="90"/>
        <v>Conditioned</v>
      </c>
    </row>
    <row r="1829" spans="1:17">
      <c r="A1829" s="9">
        <v>22411</v>
      </c>
      <c r="B1829" s="9">
        <v>2</v>
      </c>
      <c r="C1829" s="9" t="s">
        <v>1589</v>
      </c>
      <c r="D1829" s="9" t="s">
        <v>1590</v>
      </c>
      <c r="E1829" s="9" t="s">
        <v>1591</v>
      </c>
      <c r="F1829" s="9" t="s">
        <v>1589</v>
      </c>
      <c r="G1829" s="9" t="s">
        <v>1606</v>
      </c>
      <c r="H1829" s="9" t="s">
        <v>170</v>
      </c>
      <c r="I1829" s="9" t="s">
        <v>1914</v>
      </c>
      <c r="J1829" s="9" t="s">
        <v>1587</v>
      </c>
      <c r="K1829" s="9">
        <v>1</v>
      </c>
      <c r="L1829" s="9">
        <v>24</v>
      </c>
      <c r="M1829" s="9">
        <v>1995</v>
      </c>
      <c r="O1829" s="9" t="str">
        <f t="shared" si="88"/>
        <v>NO</v>
      </c>
      <c r="P1829" s="9" t="str">
        <f t="shared" si="89"/>
        <v>YES</v>
      </c>
      <c r="Q1829" s="9" t="str">
        <f t="shared" si="90"/>
        <v>Unconditioned</v>
      </c>
    </row>
    <row r="1830" spans="1:17">
      <c r="A1830" s="9">
        <v>22413</v>
      </c>
      <c r="B1830" s="9">
        <v>1</v>
      </c>
      <c r="C1830" s="9" t="s">
        <v>1589</v>
      </c>
      <c r="D1830" s="9" t="s">
        <v>1590</v>
      </c>
      <c r="E1830" s="9" t="s">
        <v>1602</v>
      </c>
      <c r="F1830" s="9" t="s">
        <v>1590</v>
      </c>
      <c r="G1830" s="9" t="s">
        <v>1592</v>
      </c>
      <c r="H1830" s="9" t="s">
        <v>170</v>
      </c>
      <c r="I1830" s="9" t="s">
        <v>3273</v>
      </c>
      <c r="J1830" s="9" t="s">
        <v>1601</v>
      </c>
      <c r="K1830" s="9">
        <v>1</v>
      </c>
      <c r="L1830" s="9">
        <v>22</v>
      </c>
      <c r="M1830" s="9">
        <v>2000</v>
      </c>
      <c r="O1830" s="9" t="str">
        <f t="shared" si="88"/>
        <v>NO</v>
      </c>
      <c r="P1830" s="9" t="str">
        <f t="shared" si="89"/>
        <v>NO</v>
      </c>
      <c r="Q1830" s="9" t="str">
        <f t="shared" si="90"/>
        <v>Conditioned</v>
      </c>
    </row>
    <row r="1831" spans="1:17">
      <c r="A1831" s="9">
        <v>22413</v>
      </c>
      <c r="B1831" s="9">
        <v>2</v>
      </c>
      <c r="C1831" s="9" t="s">
        <v>3274</v>
      </c>
      <c r="D1831" s="9" t="s">
        <v>1590</v>
      </c>
      <c r="E1831" s="9" t="s">
        <v>1591</v>
      </c>
      <c r="F1831" s="9" t="s">
        <v>1589</v>
      </c>
      <c r="G1831" s="9" t="s">
        <v>1592</v>
      </c>
      <c r="H1831" s="9" t="s">
        <v>1638</v>
      </c>
      <c r="I1831" s="9" t="s">
        <v>3275</v>
      </c>
      <c r="J1831" s="9" t="s">
        <v>1587</v>
      </c>
      <c r="K1831" s="9">
        <v>1</v>
      </c>
      <c r="L1831" s="9">
        <v>7</v>
      </c>
      <c r="M1831" s="9">
        <v>1997</v>
      </c>
      <c r="O1831" s="9" t="str">
        <f t="shared" si="88"/>
        <v>YES</v>
      </c>
      <c r="P1831" s="9" t="str">
        <f t="shared" si="89"/>
        <v>YES</v>
      </c>
      <c r="Q1831" s="9" t="str">
        <f t="shared" si="90"/>
        <v>Conditioned</v>
      </c>
    </row>
    <row r="1832" spans="1:17">
      <c r="A1832" s="9">
        <v>22425</v>
      </c>
      <c r="B1832" s="9">
        <v>1</v>
      </c>
      <c r="C1832" s="9" t="s">
        <v>1589</v>
      </c>
      <c r="D1832" s="9" t="s">
        <v>1590</v>
      </c>
      <c r="E1832" s="9" t="s">
        <v>1591</v>
      </c>
      <c r="F1832" s="9" t="s">
        <v>1589</v>
      </c>
      <c r="G1832" s="9" t="s">
        <v>1592</v>
      </c>
      <c r="H1832" s="9" t="s">
        <v>170</v>
      </c>
      <c r="I1832" s="9" t="s">
        <v>3276</v>
      </c>
      <c r="J1832" s="9" t="s">
        <v>1597</v>
      </c>
      <c r="K1832" s="9">
        <v>1</v>
      </c>
      <c r="L1832" s="9">
        <v>18</v>
      </c>
      <c r="M1832" s="9">
        <v>1996</v>
      </c>
      <c r="O1832" s="9" t="str">
        <f t="shared" si="88"/>
        <v>NO</v>
      </c>
      <c r="P1832" s="9" t="str">
        <f t="shared" si="89"/>
        <v>NO</v>
      </c>
      <c r="Q1832" s="9" t="str">
        <f t="shared" si="90"/>
        <v>Conditioned</v>
      </c>
    </row>
    <row r="1833" spans="1:17">
      <c r="A1833" s="9">
        <v>22425</v>
      </c>
      <c r="B1833" s="9">
        <v>2</v>
      </c>
      <c r="C1833" s="9" t="s">
        <v>1589</v>
      </c>
      <c r="D1833" s="9" t="s">
        <v>1590</v>
      </c>
      <c r="E1833" s="9" t="s">
        <v>1591</v>
      </c>
      <c r="F1833" s="9" t="s">
        <v>1589</v>
      </c>
      <c r="G1833" s="9" t="s">
        <v>1606</v>
      </c>
      <c r="H1833" s="9" t="s">
        <v>1599</v>
      </c>
      <c r="I1833" s="9" t="s">
        <v>3277</v>
      </c>
      <c r="J1833" s="9" t="s">
        <v>1597</v>
      </c>
      <c r="K1833" s="9">
        <v>1</v>
      </c>
      <c r="L1833" s="9">
        <v>25</v>
      </c>
      <c r="M1833" s="9">
        <v>1990</v>
      </c>
      <c r="O1833" s="9" t="str">
        <f t="shared" si="88"/>
        <v>NO</v>
      </c>
      <c r="P1833" s="9" t="str">
        <f t="shared" si="89"/>
        <v>NO</v>
      </c>
      <c r="Q1833" s="9" t="str">
        <f t="shared" si="90"/>
        <v>Unconditioned</v>
      </c>
    </row>
    <row r="1834" spans="1:17">
      <c r="A1834" s="9">
        <v>22425</v>
      </c>
      <c r="B1834" s="9">
        <v>3</v>
      </c>
      <c r="C1834" s="9" t="s">
        <v>1589</v>
      </c>
      <c r="D1834" s="9" t="s">
        <v>1590</v>
      </c>
      <c r="E1834" s="9" t="s">
        <v>1591</v>
      </c>
      <c r="F1834" s="9" t="s">
        <v>1589</v>
      </c>
      <c r="G1834" s="9" t="s">
        <v>1606</v>
      </c>
      <c r="H1834" s="9" t="s">
        <v>170</v>
      </c>
      <c r="I1834" s="9" t="s">
        <v>3278</v>
      </c>
      <c r="J1834" s="9" t="s">
        <v>1601</v>
      </c>
      <c r="K1834" s="9">
        <v>1</v>
      </c>
      <c r="L1834" s="9">
        <v>24</v>
      </c>
      <c r="M1834" s="9">
        <v>1994</v>
      </c>
      <c r="O1834" s="9" t="str">
        <f t="shared" si="88"/>
        <v>NO</v>
      </c>
      <c r="P1834" s="9" t="str">
        <f t="shared" si="89"/>
        <v>NO</v>
      </c>
      <c r="Q1834" s="9" t="str">
        <f t="shared" si="90"/>
        <v>Unconditioned</v>
      </c>
    </row>
    <row r="1835" spans="1:17">
      <c r="A1835" s="9">
        <v>22425</v>
      </c>
      <c r="B1835" s="9">
        <v>4</v>
      </c>
      <c r="C1835" s="9" t="s">
        <v>1589</v>
      </c>
      <c r="D1835" s="9" t="s">
        <v>1590</v>
      </c>
      <c r="E1835" s="9" t="s">
        <v>1591</v>
      </c>
      <c r="F1835" s="9" t="s">
        <v>1589</v>
      </c>
      <c r="G1835" s="9" t="s">
        <v>1606</v>
      </c>
      <c r="H1835" s="9" t="s">
        <v>174</v>
      </c>
      <c r="I1835" s="9" t="s">
        <v>1589</v>
      </c>
      <c r="J1835" s="9" t="s">
        <v>1587</v>
      </c>
      <c r="K1835" s="9">
        <v>1</v>
      </c>
      <c r="L1835" s="9">
        <v>20</v>
      </c>
      <c r="M1835" s="9">
        <v>1970</v>
      </c>
      <c r="O1835" s="9" t="str">
        <f t="shared" si="88"/>
        <v>NO</v>
      </c>
      <c r="P1835" s="9" t="str">
        <f t="shared" si="89"/>
        <v>YES</v>
      </c>
      <c r="Q1835" s="9" t="str">
        <f t="shared" si="90"/>
        <v>Unconditioned</v>
      </c>
    </row>
    <row r="1836" spans="1:17">
      <c r="A1836" s="9">
        <v>22432</v>
      </c>
      <c r="B1836" s="9">
        <v>1</v>
      </c>
      <c r="C1836" s="9" t="s">
        <v>1589</v>
      </c>
      <c r="D1836" s="9" t="s">
        <v>1590</v>
      </c>
      <c r="E1836" s="9" t="s">
        <v>1602</v>
      </c>
      <c r="F1836" s="9" t="s">
        <v>1603</v>
      </c>
      <c r="G1836" s="9" t="s">
        <v>1592</v>
      </c>
      <c r="H1836" s="9" t="s">
        <v>1638</v>
      </c>
      <c r="I1836" s="9" t="s">
        <v>3279</v>
      </c>
      <c r="J1836" s="9" t="s">
        <v>1601</v>
      </c>
      <c r="K1836" s="9">
        <v>1</v>
      </c>
      <c r="L1836" s="9">
        <v>25</v>
      </c>
      <c r="M1836" s="9">
        <v>2005</v>
      </c>
      <c r="O1836" s="9" t="str">
        <f t="shared" si="88"/>
        <v>NO</v>
      </c>
      <c r="P1836" s="9" t="str">
        <f t="shared" si="89"/>
        <v>NO</v>
      </c>
      <c r="Q1836" s="9" t="str">
        <f t="shared" si="90"/>
        <v>Conditioned</v>
      </c>
    </row>
    <row r="1837" spans="1:17">
      <c r="A1837" s="9">
        <v>22432</v>
      </c>
      <c r="B1837" s="9">
        <v>2</v>
      </c>
      <c r="C1837" s="9" t="s">
        <v>1589</v>
      </c>
      <c r="D1837" s="9" t="s">
        <v>1590</v>
      </c>
      <c r="E1837" s="9" t="s">
        <v>1591</v>
      </c>
      <c r="F1837" s="9" t="s">
        <v>1589</v>
      </c>
      <c r="G1837" s="9" t="s">
        <v>1592</v>
      </c>
      <c r="H1837" s="9" t="s">
        <v>1638</v>
      </c>
      <c r="I1837" s="9" t="s">
        <v>3280</v>
      </c>
      <c r="J1837" s="9" t="s">
        <v>1605</v>
      </c>
      <c r="K1837" s="9">
        <v>1</v>
      </c>
      <c r="L1837" s="9">
        <v>16</v>
      </c>
      <c r="M1837" s="9">
        <v>1986</v>
      </c>
      <c r="O1837" s="9" t="str">
        <f t="shared" si="88"/>
        <v>NO</v>
      </c>
      <c r="P1837" s="9" t="str">
        <f t="shared" si="89"/>
        <v>YES</v>
      </c>
      <c r="Q1837" s="9" t="str">
        <f t="shared" si="90"/>
        <v>Conditioned</v>
      </c>
    </row>
    <row r="1838" spans="1:17">
      <c r="A1838" s="9">
        <v>22432</v>
      </c>
      <c r="B1838" s="9">
        <v>3</v>
      </c>
      <c r="C1838" s="9" t="s">
        <v>1589</v>
      </c>
      <c r="D1838" s="9" t="s">
        <v>1590</v>
      </c>
      <c r="E1838" s="9" t="s">
        <v>1591</v>
      </c>
      <c r="F1838" s="9" t="s">
        <v>1589</v>
      </c>
      <c r="G1838" s="9" t="s">
        <v>1592</v>
      </c>
      <c r="H1838" s="9" t="s">
        <v>1754</v>
      </c>
      <c r="I1838" s="9" t="s">
        <v>2598</v>
      </c>
      <c r="J1838" s="9" t="s">
        <v>1597</v>
      </c>
      <c r="K1838" s="9">
        <v>1</v>
      </c>
      <c r="L1838" s="9">
        <v>19</v>
      </c>
      <c r="M1838" s="9">
        <v>2005</v>
      </c>
      <c r="O1838" s="9" t="str">
        <f t="shared" si="88"/>
        <v>NO</v>
      </c>
      <c r="P1838" s="9" t="str">
        <f t="shared" si="89"/>
        <v>NO</v>
      </c>
      <c r="Q1838" s="9" t="str">
        <f t="shared" si="90"/>
        <v>Conditioned</v>
      </c>
    </row>
    <row r="1839" spans="1:17">
      <c r="A1839" s="9">
        <v>22439</v>
      </c>
      <c r="B1839" s="9">
        <v>1</v>
      </c>
      <c r="C1839" s="9" t="s">
        <v>1589</v>
      </c>
      <c r="D1839" s="9" t="s">
        <v>1590</v>
      </c>
      <c r="E1839" s="9" t="s">
        <v>1602</v>
      </c>
      <c r="F1839" s="9" t="s">
        <v>1603</v>
      </c>
      <c r="G1839" s="9" t="s">
        <v>1592</v>
      </c>
      <c r="H1839" s="9" t="s">
        <v>170</v>
      </c>
      <c r="I1839" s="9" t="s">
        <v>3281</v>
      </c>
      <c r="J1839" s="9" t="s">
        <v>1601</v>
      </c>
      <c r="K1839" s="9">
        <v>1</v>
      </c>
      <c r="L1839" s="9">
        <v>20</v>
      </c>
      <c r="M1839" s="9">
        <v>2004</v>
      </c>
      <c r="O1839" s="9" t="str">
        <f t="shared" si="88"/>
        <v>NO</v>
      </c>
      <c r="P1839" s="9" t="str">
        <f t="shared" si="89"/>
        <v>NO</v>
      </c>
      <c r="Q1839" s="9" t="str">
        <f t="shared" si="90"/>
        <v>Conditioned</v>
      </c>
    </row>
    <row r="1840" spans="1:17">
      <c r="A1840" s="9">
        <v>22445</v>
      </c>
      <c r="B1840" s="9">
        <v>1</v>
      </c>
      <c r="C1840" s="9" t="s">
        <v>1589</v>
      </c>
      <c r="D1840" s="9" t="s">
        <v>1590</v>
      </c>
      <c r="E1840" s="9" t="s">
        <v>1613</v>
      </c>
      <c r="F1840" s="9" t="s">
        <v>1590</v>
      </c>
      <c r="G1840" s="9" t="s">
        <v>1592</v>
      </c>
      <c r="H1840" s="9" t="s">
        <v>1017</v>
      </c>
      <c r="I1840" s="9" t="s">
        <v>3282</v>
      </c>
      <c r="J1840" s="9" t="s">
        <v>1608</v>
      </c>
      <c r="K1840" s="9">
        <v>1</v>
      </c>
      <c r="L1840" s="9">
        <v>25</v>
      </c>
      <c r="M1840" s="9">
        <v>2008</v>
      </c>
      <c r="O1840" s="9" t="str">
        <f t="shared" si="88"/>
        <v>NO</v>
      </c>
      <c r="P1840" s="9" t="str">
        <f t="shared" si="89"/>
        <v>NO</v>
      </c>
      <c r="Q1840" s="9" t="str">
        <f t="shared" si="90"/>
        <v>Conditioned</v>
      </c>
    </row>
    <row r="1841" spans="1:17">
      <c r="A1841" s="9">
        <v>22458</v>
      </c>
      <c r="B1841" s="9">
        <v>1</v>
      </c>
      <c r="C1841" s="9" t="s">
        <v>1589</v>
      </c>
      <c r="D1841" s="9" t="s">
        <v>1590</v>
      </c>
      <c r="E1841" s="9" t="s">
        <v>1591</v>
      </c>
      <c r="F1841" s="9" t="s">
        <v>1589</v>
      </c>
      <c r="G1841" s="9" t="s">
        <v>1592</v>
      </c>
      <c r="H1841" s="9" t="s">
        <v>172</v>
      </c>
      <c r="I1841" s="9" t="s">
        <v>1589</v>
      </c>
      <c r="J1841" s="9" t="s">
        <v>1601</v>
      </c>
      <c r="K1841" s="9">
        <v>1</v>
      </c>
      <c r="L1841" s="9">
        <v>25</v>
      </c>
      <c r="M1841" s="9">
        <v>1986</v>
      </c>
      <c r="O1841" s="9" t="str">
        <f t="shared" si="88"/>
        <v>NO</v>
      </c>
      <c r="P1841" s="9" t="str">
        <f t="shared" si="89"/>
        <v>NO</v>
      </c>
      <c r="Q1841" s="9" t="str">
        <f t="shared" si="90"/>
        <v>Conditioned</v>
      </c>
    </row>
    <row r="1842" spans="1:17">
      <c r="A1842" s="9">
        <v>22458</v>
      </c>
      <c r="B1842" s="9">
        <v>2</v>
      </c>
      <c r="C1842" s="9" t="s">
        <v>1589</v>
      </c>
      <c r="D1842" s="9" t="s">
        <v>1590</v>
      </c>
      <c r="E1842" s="9" t="s">
        <v>1591</v>
      </c>
      <c r="F1842" s="9" t="s">
        <v>1589</v>
      </c>
      <c r="G1842" s="9" t="s">
        <v>1606</v>
      </c>
      <c r="H1842" s="9" t="s">
        <v>1638</v>
      </c>
      <c r="I1842" s="9" t="s">
        <v>1999</v>
      </c>
      <c r="J1842" s="9" t="s">
        <v>1597</v>
      </c>
      <c r="K1842" s="9">
        <v>1</v>
      </c>
      <c r="L1842" s="9">
        <v>22</v>
      </c>
      <c r="M1842" s="9">
        <v>2003</v>
      </c>
      <c r="O1842" s="9" t="str">
        <f t="shared" si="88"/>
        <v>NO</v>
      </c>
      <c r="P1842" s="9" t="str">
        <f t="shared" si="89"/>
        <v>NO</v>
      </c>
      <c r="Q1842" s="9" t="str">
        <f t="shared" si="90"/>
        <v>Unconditioned</v>
      </c>
    </row>
    <row r="1843" spans="1:17">
      <c r="A1843" s="9">
        <v>22458</v>
      </c>
      <c r="B1843" s="9">
        <v>3</v>
      </c>
      <c r="C1843" s="9" t="s">
        <v>1589</v>
      </c>
      <c r="D1843" s="9" t="s">
        <v>1590</v>
      </c>
      <c r="E1843" s="9" t="s">
        <v>1591</v>
      </c>
      <c r="F1843" s="9" t="s">
        <v>1589</v>
      </c>
      <c r="G1843" s="9" t="s">
        <v>1606</v>
      </c>
      <c r="H1843" s="9" t="s">
        <v>1638</v>
      </c>
      <c r="I1843" s="9" t="s">
        <v>3283</v>
      </c>
      <c r="J1843" s="9" t="s">
        <v>1605</v>
      </c>
      <c r="K1843" s="9">
        <v>1</v>
      </c>
      <c r="L1843" s="9">
        <v>18</v>
      </c>
      <c r="M1843" s="9">
        <v>1977</v>
      </c>
      <c r="O1843" s="9" t="str">
        <f t="shared" si="88"/>
        <v>NO</v>
      </c>
      <c r="P1843" s="9" t="str">
        <f t="shared" si="89"/>
        <v>YES</v>
      </c>
      <c r="Q1843" s="9" t="str">
        <f t="shared" si="90"/>
        <v>Unconditioned</v>
      </c>
    </row>
    <row r="1844" spans="1:17">
      <c r="A1844" s="9">
        <v>22458</v>
      </c>
      <c r="B1844" s="9">
        <v>4</v>
      </c>
      <c r="C1844" s="9" t="s">
        <v>1589</v>
      </c>
      <c r="D1844" s="9" t="s">
        <v>1590</v>
      </c>
      <c r="E1844" s="9" t="s">
        <v>1591</v>
      </c>
      <c r="F1844" s="9" t="s">
        <v>1589</v>
      </c>
      <c r="G1844" s="9" t="s">
        <v>1606</v>
      </c>
      <c r="H1844" s="9" t="s">
        <v>1624</v>
      </c>
      <c r="I1844" s="9" t="s">
        <v>3284</v>
      </c>
      <c r="J1844" s="9" t="s">
        <v>1587</v>
      </c>
      <c r="K1844" s="9">
        <v>1</v>
      </c>
      <c r="L1844" s="9">
        <v>30</v>
      </c>
      <c r="M1844" s="9">
        <v>1981</v>
      </c>
      <c r="O1844" s="9" t="str">
        <f t="shared" si="88"/>
        <v>NO</v>
      </c>
      <c r="P1844" s="9" t="str">
        <f t="shared" si="89"/>
        <v>YES</v>
      </c>
      <c r="Q1844" s="9" t="str">
        <f t="shared" si="90"/>
        <v>Unconditioned</v>
      </c>
    </row>
    <row r="1845" spans="1:17">
      <c r="A1845" s="9">
        <v>22460</v>
      </c>
      <c r="B1845" s="9">
        <v>1</v>
      </c>
      <c r="C1845" s="9" t="s">
        <v>1589</v>
      </c>
      <c r="D1845" s="9" t="s">
        <v>1590</v>
      </c>
      <c r="E1845" s="9" t="s">
        <v>1602</v>
      </c>
      <c r="F1845" s="9" t="s">
        <v>1603</v>
      </c>
      <c r="G1845" s="9" t="s">
        <v>1592</v>
      </c>
      <c r="H1845" s="9" t="s">
        <v>177</v>
      </c>
      <c r="I1845" s="9" t="s">
        <v>3285</v>
      </c>
      <c r="J1845" s="9" t="s">
        <v>1601</v>
      </c>
      <c r="K1845" s="9">
        <v>1</v>
      </c>
      <c r="L1845" s="9">
        <v>25</v>
      </c>
      <c r="M1845" s="9">
        <v>2002</v>
      </c>
      <c r="O1845" s="9" t="str">
        <f t="shared" si="88"/>
        <v>NO</v>
      </c>
      <c r="P1845" s="9" t="str">
        <f t="shared" si="89"/>
        <v>NO</v>
      </c>
      <c r="Q1845" s="9" t="str">
        <f t="shared" si="90"/>
        <v>Conditioned</v>
      </c>
    </row>
    <row r="1846" spans="1:17">
      <c r="A1846" s="9">
        <v>22460</v>
      </c>
      <c r="B1846" s="9">
        <v>2</v>
      </c>
      <c r="C1846" s="9" t="s">
        <v>1589</v>
      </c>
      <c r="D1846" s="9" t="s">
        <v>1590</v>
      </c>
      <c r="E1846" s="9" t="s">
        <v>1591</v>
      </c>
      <c r="F1846" s="9" t="s">
        <v>1589</v>
      </c>
      <c r="G1846" s="9" t="s">
        <v>1606</v>
      </c>
      <c r="H1846" s="9" t="s">
        <v>1638</v>
      </c>
      <c r="I1846" s="9" t="s">
        <v>3286</v>
      </c>
      <c r="J1846" s="9" t="s">
        <v>1605</v>
      </c>
      <c r="K1846" s="9">
        <v>1</v>
      </c>
      <c r="L1846" s="9">
        <v>10</v>
      </c>
      <c r="M1846" s="9">
        <v>1985</v>
      </c>
      <c r="O1846" s="9" t="str">
        <f t="shared" si="88"/>
        <v>NO</v>
      </c>
      <c r="P1846" s="9" t="str">
        <f t="shared" si="89"/>
        <v>YES</v>
      </c>
      <c r="Q1846" s="9" t="str">
        <f t="shared" si="90"/>
        <v>Unconditioned</v>
      </c>
    </row>
    <row r="1847" spans="1:17">
      <c r="A1847" s="9">
        <v>22474</v>
      </c>
      <c r="B1847" s="9">
        <v>1</v>
      </c>
      <c r="C1847" s="9" t="s">
        <v>1589</v>
      </c>
      <c r="D1847" s="9" t="s">
        <v>1590</v>
      </c>
      <c r="E1847" s="9" t="s">
        <v>1602</v>
      </c>
      <c r="F1847" s="9" t="s">
        <v>1603</v>
      </c>
      <c r="G1847" s="9" t="s">
        <v>1592</v>
      </c>
      <c r="H1847" s="9" t="s">
        <v>173</v>
      </c>
      <c r="I1847" s="9" t="s">
        <v>3287</v>
      </c>
      <c r="J1847" s="9" t="s">
        <v>1601</v>
      </c>
      <c r="K1847" s="9">
        <v>1</v>
      </c>
      <c r="L1847" s="9">
        <v>21</v>
      </c>
      <c r="M1847" s="9">
        <v>2005</v>
      </c>
      <c r="O1847" s="9" t="str">
        <f t="shared" si="88"/>
        <v>NO</v>
      </c>
      <c r="P1847" s="9" t="str">
        <f t="shared" si="89"/>
        <v>NO</v>
      </c>
      <c r="Q1847" s="9" t="str">
        <f t="shared" si="90"/>
        <v>Conditioned</v>
      </c>
    </row>
    <row r="1848" spans="1:17">
      <c r="A1848" s="9">
        <v>22475</v>
      </c>
      <c r="B1848" s="9">
        <v>1</v>
      </c>
      <c r="C1848" s="9" t="s">
        <v>1589</v>
      </c>
      <c r="D1848" s="9" t="s">
        <v>1590</v>
      </c>
      <c r="E1848" s="9" t="s">
        <v>1591</v>
      </c>
      <c r="F1848" s="9" t="s">
        <v>1589</v>
      </c>
      <c r="G1848" s="9" t="s">
        <v>1592</v>
      </c>
      <c r="H1848" s="9" t="s">
        <v>173</v>
      </c>
      <c r="I1848" s="9" t="s">
        <v>3288</v>
      </c>
      <c r="J1848" s="9" t="s">
        <v>1608</v>
      </c>
      <c r="K1848" s="9">
        <v>1</v>
      </c>
      <c r="L1848" s="9">
        <v>23</v>
      </c>
      <c r="M1848" s="9">
        <v>2004</v>
      </c>
      <c r="O1848" s="9" t="str">
        <f t="shared" si="88"/>
        <v>NO</v>
      </c>
      <c r="P1848" s="9" t="str">
        <f t="shared" si="89"/>
        <v>NO</v>
      </c>
      <c r="Q1848" s="9" t="str">
        <f t="shared" si="90"/>
        <v>Conditioned</v>
      </c>
    </row>
    <row r="1849" spans="1:17">
      <c r="A1849" s="9">
        <v>22475</v>
      </c>
      <c r="B1849" s="9">
        <v>2</v>
      </c>
      <c r="C1849" s="9" t="s">
        <v>3289</v>
      </c>
      <c r="D1849" s="9" t="s">
        <v>1590</v>
      </c>
      <c r="E1849" s="9" t="s">
        <v>1591</v>
      </c>
      <c r="F1849" s="9" t="s">
        <v>1589</v>
      </c>
      <c r="G1849" s="9" t="s">
        <v>1592</v>
      </c>
      <c r="H1849" s="9" t="s">
        <v>173</v>
      </c>
      <c r="I1849" s="9" t="s">
        <v>1589</v>
      </c>
      <c r="J1849" s="9" t="s">
        <v>1587</v>
      </c>
      <c r="K1849" s="9">
        <v>1</v>
      </c>
      <c r="L1849" s="9">
        <v>12</v>
      </c>
      <c r="M1849" s="9">
        <v>2005</v>
      </c>
      <c r="O1849" s="9" t="str">
        <f t="shared" si="88"/>
        <v>NO</v>
      </c>
      <c r="P1849" s="9" t="str">
        <f t="shared" si="89"/>
        <v>YES</v>
      </c>
      <c r="Q1849" s="9" t="str">
        <f t="shared" si="90"/>
        <v>Conditioned</v>
      </c>
    </row>
    <row r="1850" spans="1:17">
      <c r="A1850" s="9">
        <v>22479</v>
      </c>
      <c r="B1850" s="9">
        <v>1</v>
      </c>
      <c r="C1850" s="9" t="s">
        <v>1589</v>
      </c>
      <c r="D1850" s="9" t="s">
        <v>1590</v>
      </c>
      <c r="E1850" s="9" t="s">
        <v>1602</v>
      </c>
      <c r="F1850" s="9" t="s">
        <v>1603</v>
      </c>
      <c r="G1850" s="9" t="s">
        <v>1592</v>
      </c>
      <c r="H1850" s="9" t="s">
        <v>170</v>
      </c>
      <c r="I1850" s="9" t="s">
        <v>3290</v>
      </c>
      <c r="J1850" s="9" t="s">
        <v>1601</v>
      </c>
      <c r="K1850" s="9">
        <v>1</v>
      </c>
      <c r="L1850" s="9">
        <v>25</v>
      </c>
      <c r="M1850" s="9">
        <v>1998</v>
      </c>
      <c r="O1850" s="9" t="str">
        <f t="shared" si="88"/>
        <v>NO</v>
      </c>
      <c r="P1850" s="9" t="str">
        <f t="shared" si="89"/>
        <v>NO</v>
      </c>
      <c r="Q1850" s="9" t="str">
        <f t="shared" si="90"/>
        <v>Conditioned</v>
      </c>
    </row>
    <row r="1851" spans="1:17">
      <c r="A1851" s="9">
        <v>22479</v>
      </c>
      <c r="B1851" s="9">
        <v>2</v>
      </c>
      <c r="C1851" s="9" t="s">
        <v>1589</v>
      </c>
      <c r="D1851" s="9" t="s">
        <v>1590</v>
      </c>
      <c r="E1851" s="9" t="s">
        <v>1591</v>
      </c>
      <c r="F1851" s="9" t="s">
        <v>1589</v>
      </c>
      <c r="G1851" s="9" t="s">
        <v>1592</v>
      </c>
      <c r="H1851" s="9" t="s">
        <v>170</v>
      </c>
      <c r="I1851" s="9" t="s">
        <v>3291</v>
      </c>
      <c r="J1851" s="9" t="s">
        <v>1605</v>
      </c>
      <c r="K1851" s="9">
        <v>1</v>
      </c>
      <c r="L1851" s="9">
        <v>20</v>
      </c>
      <c r="M1851" s="9">
        <v>1999</v>
      </c>
      <c r="O1851" s="9" t="str">
        <f t="shared" si="88"/>
        <v>NO</v>
      </c>
      <c r="P1851" s="9" t="str">
        <f t="shared" si="89"/>
        <v>YES</v>
      </c>
      <c r="Q1851" s="9" t="str">
        <f t="shared" si="90"/>
        <v>Conditioned</v>
      </c>
    </row>
    <row r="1852" spans="1:17">
      <c r="A1852" s="9">
        <v>22493</v>
      </c>
      <c r="B1852" s="9">
        <v>1</v>
      </c>
      <c r="C1852" s="9" t="s">
        <v>1589</v>
      </c>
      <c r="D1852" s="9" t="s">
        <v>1590</v>
      </c>
      <c r="E1852" s="9" t="s">
        <v>1613</v>
      </c>
      <c r="F1852" s="9" t="s">
        <v>1603</v>
      </c>
      <c r="G1852" s="9" t="s">
        <v>1592</v>
      </c>
      <c r="H1852" s="9" t="s">
        <v>775</v>
      </c>
      <c r="I1852" s="9" t="s">
        <v>3292</v>
      </c>
      <c r="J1852" s="9" t="s">
        <v>1608</v>
      </c>
      <c r="K1852" s="9">
        <v>1</v>
      </c>
      <c r="L1852" s="9">
        <v>22</v>
      </c>
      <c r="O1852" s="9" t="str">
        <f t="shared" si="88"/>
        <v>NO</v>
      </c>
      <c r="P1852" s="9" t="str">
        <f t="shared" si="89"/>
        <v>NO</v>
      </c>
      <c r="Q1852" s="9" t="str">
        <f t="shared" si="90"/>
        <v>Conditioned</v>
      </c>
    </row>
    <row r="1853" spans="1:17">
      <c r="A1853" s="9">
        <v>22493</v>
      </c>
      <c r="B1853" s="9">
        <v>2</v>
      </c>
      <c r="C1853" s="9" t="s">
        <v>1589</v>
      </c>
      <c r="D1853" s="9" t="s">
        <v>1590</v>
      </c>
      <c r="E1853" s="9" t="s">
        <v>1591</v>
      </c>
      <c r="F1853" s="9" t="s">
        <v>1589</v>
      </c>
      <c r="G1853" s="9" t="s">
        <v>1592</v>
      </c>
      <c r="H1853" s="9" t="s">
        <v>3293</v>
      </c>
      <c r="I1853" s="9" t="s">
        <v>3294</v>
      </c>
      <c r="J1853" s="9" t="s">
        <v>1605</v>
      </c>
      <c r="K1853" s="9">
        <v>1</v>
      </c>
      <c r="L1853" s="9">
        <v>16</v>
      </c>
      <c r="O1853" s="9" t="str">
        <f t="shared" si="88"/>
        <v>NO</v>
      </c>
      <c r="P1853" s="9" t="str">
        <f t="shared" si="89"/>
        <v>YES</v>
      </c>
      <c r="Q1853" s="9" t="str">
        <f t="shared" si="90"/>
        <v>Conditioned</v>
      </c>
    </row>
    <row r="1854" spans="1:17">
      <c r="A1854" s="9">
        <v>22493</v>
      </c>
      <c r="B1854" s="9">
        <v>3</v>
      </c>
      <c r="C1854" s="9" t="s">
        <v>1589</v>
      </c>
      <c r="D1854" s="9" t="s">
        <v>1590</v>
      </c>
      <c r="E1854" s="9" t="s">
        <v>1591</v>
      </c>
      <c r="F1854" s="9" t="s">
        <v>1589</v>
      </c>
      <c r="G1854" s="9" t="s">
        <v>1592</v>
      </c>
      <c r="H1854" s="9" t="s">
        <v>1632</v>
      </c>
      <c r="I1854" s="9" t="s">
        <v>3295</v>
      </c>
      <c r="J1854" s="9" t="s">
        <v>1612</v>
      </c>
      <c r="K1854" s="9">
        <v>1</v>
      </c>
      <c r="L1854" s="9">
        <v>4</v>
      </c>
      <c r="O1854" s="9" t="str">
        <f t="shared" si="88"/>
        <v>YES</v>
      </c>
      <c r="P1854" s="9" t="str">
        <f t="shared" si="89"/>
        <v>NO</v>
      </c>
      <c r="Q1854" s="9" t="str">
        <f t="shared" si="90"/>
        <v>Conditioned</v>
      </c>
    </row>
    <row r="1855" spans="1:17">
      <c r="A1855" s="9">
        <v>22509</v>
      </c>
      <c r="B1855" s="9">
        <v>1</v>
      </c>
      <c r="C1855" s="9" t="s">
        <v>1589</v>
      </c>
      <c r="D1855" s="9" t="s">
        <v>1590</v>
      </c>
      <c r="E1855" s="9" t="s">
        <v>1613</v>
      </c>
      <c r="F1855" s="9" t="s">
        <v>1590</v>
      </c>
      <c r="G1855" s="9" t="s">
        <v>1592</v>
      </c>
      <c r="H1855" s="9" t="s">
        <v>170</v>
      </c>
      <c r="I1855" s="9" t="s">
        <v>3296</v>
      </c>
      <c r="J1855" s="9" t="s">
        <v>1597</v>
      </c>
      <c r="K1855" s="9">
        <v>1</v>
      </c>
      <c r="L1855" s="9">
        <v>21</v>
      </c>
      <c r="M1855" s="9">
        <v>2009</v>
      </c>
      <c r="O1855" s="9" t="str">
        <f t="shared" si="88"/>
        <v>NO</v>
      </c>
      <c r="P1855" s="9" t="str">
        <f t="shared" si="89"/>
        <v>NO</v>
      </c>
      <c r="Q1855" s="9" t="str">
        <f t="shared" si="90"/>
        <v>Conditioned</v>
      </c>
    </row>
    <row r="1856" spans="1:17">
      <c r="A1856" s="9">
        <v>22509</v>
      </c>
      <c r="B1856" s="9">
        <v>2</v>
      </c>
      <c r="C1856" s="9" t="s">
        <v>1589</v>
      </c>
      <c r="D1856" s="9" t="s">
        <v>1590</v>
      </c>
      <c r="E1856" s="9" t="s">
        <v>1591</v>
      </c>
      <c r="F1856" s="9" t="s">
        <v>1589</v>
      </c>
      <c r="G1856" s="9" t="s">
        <v>1606</v>
      </c>
      <c r="H1856" s="9" t="s">
        <v>177</v>
      </c>
      <c r="I1856" s="9" t="s">
        <v>3297</v>
      </c>
      <c r="J1856" s="9" t="s">
        <v>1605</v>
      </c>
      <c r="K1856" s="9">
        <v>1</v>
      </c>
      <c r="L1856" s="9">
        <v>12</v>
      </c>
      <c r="M1856" s="9">
        <v>1991</v>
      </c>
      <c r="O1856" s="9" t="str">
        <f t="shared" si="88"/>
        <v>NO</v>
      </c>
      <c r="P1856" s="9" t="str">
        <f t="shared" si="89"/>
        <v>YES</v>
      </c>
      <c r="Q1856" s="9" t="str">
        <f t="shared" si="90"/>
        <v>Unconditioned</v>
      </c>
    </row>
    <row r="1857" spans="1:17">
      <c r="A1857" s="9">
        <v>22509</v>
      </c>
      <c r="B1857" s="9">
        <v>3</v>
      </c>
      <c r="C1857" s="9" t="s">
        <v>1589</v>
      </c>
      <c r="D1857" s="9" t="s">
        <v>1590</v>
      </c>
      <c r="E1857" s="9" t="s">
        <v>1591</v>
      </c>
      <c r="F1857" s="9" t="s">
        <v>1589</v>
      </c>
      <c r="G1857" s="9" t="s">
        <v>1606</v>
      </c>
      <c r="H1857" s="9" t="s">
        <v>170</v>
      </c>
      <c r="I1857" s="9" t="s">
        <v>3298</v>
      </c>
      <c r="J1857" s="9" t="s">
        <v>1597</v>
      </c>
      <c r="K1857" s="9">
        <v>1</v>
      </c>
      <c r="L1857" s="9">
        <v>13</v>
      </c>
      <c r="M1857" s="9">
        <v>2004</v>
      </c>
      <c r="O1857" s="9" t="str">
        <f t="shared" si="88"/>
        <v>NO</v>
      </c>
      <c r="P1857" s="9" t="str">
        <f t="shared" si="89"/>
        <v>NO</v>
      </c>
      <c r="Q1857" s="9" t="str">
        <f t="shared" si="90"/>
        <v>Unconditioned</v>
      </c>
    </row>
    <row r="1858" spans="1:17">
      <c r="A1858" s="9">
        <v>22514</v>
      </c>
      <c r="B1858" s="9">
        <v>1</v>
      </c>
      <c r="C1858" s="9" t="s">
        <v>1589</v>
      </c>
      <c r="D1858" s="9" t="s">
        <v>1590</v>
      </c>
      <c r="E1858" s="9" t="s">
        <v>1602</v>
      </c>
      <c r="F1858" s="9" t="s">
        <v>1603</v>
      </c>
      <c r="G1858" s="9" t="s">
        <v>1592</v>
      </c>
      <c r="H1858" s="9" t="s">
        <v>170</v>
      </c>
      <c r="I1858" s="9" t="s">
        <v>3299</v>
      </c>
      <c r="J1858" s="9" t="s">
        <v>1601</v>
      </c>
      <c r="K1858" s="9">
        <v>1</v>
      </c>
      <c r="L1858" s="9">
        <v>21</v>
      </c>
      <c r="M1858" s="9">
        <v>2000</v>
      </c>
      <c r="O1858" s="9" t="str">
        <f t="shared" si="88"/>
        <v>NO</v>
      </c>
      <c r="P1858" s="9" t="str">
        <f t="shared" si="89"/>
        <v>NO</v>
      </c>
      <c r="Q1858" s="9" t="str">
        <f t="shared" si="90"/>
        <v>Conditioned</v>
      </c>
    </row>
    <row r="1859" spans="1:17">
      <c r="A1859" s="9">
        <v>22514</v>
      </c>
      <c r="B1859" s="9">
        <v>2</v>
      </c>
      <c r="C1859" s="9" t="s">
        <v>3300</v>
      </c>
      <c r="D1859" s="9" t="s">
        <v>1590</v>
      </c>
      <c r="E1859" s="9" t="s">
        <v>1591</v>
      </c>
      <c r="F1859" s="9" t="s">
        <v>1589</v>
      </c>
      <c r="G1859" s="9" t="s">
        <v>1606</v>
      </c>
      <c r="H1859" s="9" t="s">
        <v>170</v>
      </c>
      <c r="I1859" s="9" t="s">
        <v>1589</v>
      </c>
      <c r="J1859" s="9" t="s">
        <v>1587</v>
      </c>
      <c r="K1859" s="9">
        <v>1</v>
      </c>
      <c r="L1859" s="9">
        <v>13</v>
      </c>
      <c r="O1859" s="9" t="str">
        <f t="shared" si="88"/>
        <v>NO</v>
      </c>
      <c r="P1859" s="9" t="str">
        <f t="shared" si="89"/>
        <v>YES</v>
      </c>
      <c r="Q1859" s="9" t="str">
        <f t="shared" si="90"/>
        <v>Unconditioned</v>
      </c>
    </row>
    <row r="1860" spans="1:17">
      <c r="A1860" s="9">
        <v>22515</v>
      </c>
      <c r="B1860" s="9">
        <v>1</v>
      </c>
      <c r="C1860" s="9" t="s">
        <v>1589</v>
      </c>
      <c r="D1860" s="9" t="s">
        <v>1590</v>
      </c>
      <c r="E1860" s="9" t="s">
        <v>1591</v>
      </c>
      <c r="F1860" s="9" t="s">
        <v>1589</v>
      </c>
      <c r="G1860" s="9" t="s">
        <v>1606</v>
      </c>
      <c r="H1860" s="9" t="s">
        <v>1766</v>
      </c>
      <c r="I1860" s="9" t="s">
        <v>3301</v>
      </c>
      <c r="J1860" s="9" t="s">
        <v>1597</v>
      </c>
      <c r="K1860" s="9">
        <v>1</v>
      </c>
      <c r="L1860" s="9">
        <v>21</v>
      </c>
      <c r="M1860" s="9">
        <v>1981</v>
      </c>
      <c r="O1860" s="9" t="str">
        <f t="shared" si="88"/>
        <v>NO</v>
      </c>
      <c r="P1860" s="9" t="str">
        <f t="shared" si="89"/>
        <v>NO</v>
      </c>
      <c r="Q1860" s="9" t="str">
        <f t="shared" si="90"/>
        <v>Unconditioned</v>
      </c>
    </row>
    <row r="1861" spans="1:17">
      <c r="A1861" s="9">
        <v>22515</v>
      </c>
      <c r="B1861" s="9">
        <v>2</v>
      </c>
      <c r="C1861" s="9" t="s">
        <v>1589</v>
      </c>
      <c r="D1861" s="9" t="s">
        <v>1590</v>
      </c>
      <c r="E1861" s="9" t="s">
        <v>1602</v>
      </c>
      <c r="F1861" s="9" t="s">
        <v>1590</v>
      </c>
      <c r="G1861" s="9" t="s">
        <v>1592</v>
      </c>
      <c r="H1861" s="9" t="s">
        <v>170</v>
      </c>
      <c r="I1861" s="9" t="s">
        <v>3302</v>
      </c>
      <c r="J1861" s="9" t="s">
        <v>1597</v>
      </c>
      <c r="K1861" s="9">
        <v>1</v>
      </c>
      <c r="L1861" s="9">
        <v>24</v>
      </c>
      <c r="O1861" s="9" t="str">
        <f t="shared" si="88"/>
        <v>NO</v>
      </c>
      <c r="P1861" s="9" t="str">
        <f t="shared" si="89"/>
        <v>NO</v>
      </c>
      <c r="Q1861" s="9" t="str">
        <f t="shared" si="90"/>
        <v>Conditioned</v>
      </c>
    </row>
    <row r="1862" spans="1:17">
      <c r="A1862" s="9">
        <v>22519</v>
      </c>
      <c r="B1862" s="9">
        <v>1</v>
      </c>
      <c r="C1862" s="9" t="s">
        <v>1589</v>
      </c>
      <c r="D1862" s="9" t="s">
        <v>1590</v>
      </c>
      <c r="E1862" s="9" t="s">
        <v>1591</v>
      </c>
      <c r="F1862" s="9" t="s">
        <v>1589</v>
      </c>
      <c r="G1862" s="9" t="s">
        <v>1592</v>
      </c>
      <c r="H1862" s="9" t="s">
        <v>170</v>
      </c>
      <c r="I1862" s="9" t="s">
        <v>3303</v>
      </c>
      <c r="J1862" s="9" t="s">
        <v>1597</v>
      </c>
      <c r="K1862" s="9">
        <v>1</v>
      </c>
      <c r="L1862" s="9">
        <v>19</v>
      </c>
      <c r="M1862" s="9">
        <v>2003</v>
      </c>
      <c r="O1862" s="9" t="str">
        <f t="shared" si="88"/>
        <v>NO</v>
      </c>
      <c r="P1862" s="9" t="str">
        <f t="shared" si="89"/>
        <v>NO</v>
      </c>
      <c r="Q1862" s="9" t="str">
        <f t="shared" si="90"/>
        <v>Conditioned</v>
      </c>
    </row>
    <row r="1863" spans="1:17">
      <c r="A1863" s="9">
        <v>22521</v>
      </c>
      <c r="B1863" s="9">
        <v>1</v>
      </c>
      <c r="C1863" s="9" t="s">
        <v>1589</v>
      </c>
      <c r="D1863" s="9" t="s">
        <v>1603</v>
      </c>
      <c r="E1863" s="9" t="s">
        <v>1602</v>
      </c>
      <c r="F1863" s="9" t="s">
        <v>1603</v>
      </c>
      <c r="G1863" s="9" t="s">
        <v>1592</v>
      </c>
      <c r="H1863" s="9" t="s">
        <v>177</v>
      </c>
      <c r="I1863" s="9" t="s">
        <v>3304</v>
      </c>
      <c r="J1863" s="9" t="s">
        <v>1601</v>
      </c>
      <c r="K1863" s="9">
        <v>1</v>
      </c>
      <c r="L1863" s="9">
        <v>22</v>
      </c>
      <c r="M1863" s="9">
        <v>2011</v>
      </c>
      <c r="O1863" s="9" t="str">
        <f t="shared" si="88"/>
        <v>NO</v>
      </c>
      <c r="P1863" s="9" t="str">
        <f t="shared" si="89"/>
        <v>NO</v>
      </c>
      <c r="Q1863" s="9" t="str">
        <f t="shared" si="90"/>
        <v>Conditioned</v>
      </c>
    </row>
    <row r="1864" spans="1:17">
      <c r="A1864" s="9">
        <v>22530</v>
      </c>
      <c r="B1864" s="9">
        <v>1</v>
      </c>
      <c r="C1864" s="9" t="s">
        <v>1589</v>
      </c>
      <c r="D1864" s="9" t="s">
        <v>1590</v>
      </c>
      <c r="E1864" s="9" t="s">
        <v>1613</v>
      </c>
      <c r="F1864" s="9" t="s">
        <v>1590</v>
      </c>
      <c r="G1864" s="9" t="s">
        <v>1592</v>
      </c>
      <c r="H1864" s="9" t="s">
        <v>1599</v>
      </c>
      <c r="I1864" s="9" t="s">
        <v>3305</v>
      </c>
      <c r="J1864" s="9" t="s">
        <v>1597</v>
      </c>
      <c r="K1864" s="9">
        <v>1</v>
      </c>
      <c r="L1864" s="9">
        <v>20</v>
      </c>
      <c r="M1864" s="9">
        <v>1994</v>
      </c>
      <c r="O1864" s="9" t="str">
        <f t="shared" si="88"/>
        <v>NO</v>
      </c>
      <c r="P1864" s="9" t="str">
        <f t="shared" si="89"/>
        <v>NO</v>
      </c>
      <c r="Q1864" s="9" t="str">
        <f t="shared" si="90"/>
        <v>Conditioned</v>
      </c>
    </row>
    <row r="1865" spans="1:17">
      <c r="A1865" s="9">
        <v>22533</v>
      </c>
      <c r="B1865" s="9">
        <v>1</v>
      </c>
      <c r="C1865" s="9" t="s">
        <v>1589</v>
      </c>
      <c r="D1865" s="9" t="s">
        <v>1590</v>
      </c>
      <c r="E1865" s="9" t="s">
        <v>1591</v>
      </c>
      <c r="F1865" s="9" t="s">
        <v>1589</v>
      </c>
      <c r="G1865" s="9" t="s">
        <v>1592</v>
      </c>
      <c r="H1865" s="9" t="s">
        <v>1678</v>
      </c>
      <c r="I1865" s="9" t="s">
        <v>3306</v>
      </c>
      <c r="J1865" s="9" t="s">
        <v>1597</v>
      </c>
      <c r="K1865" s="9">
        <v>1</v>
      </c>
      <c r="L1865" s="9">
        <v>16</v>
      </c>
      <c r="M1865" s="9">
        <v>1982</v>
      </c>
      <c r="O1865" s="9" t="str">
        <f t="shared" si="88"/>
        <v>NO</v>
      </c>
      <c r="P1865" s="9" t="str">
        <f t="shared" si="89"/>
        <v>NO</v>
      </c>
      <c r="Q1865" s="9" t="str">
        <f t="shared" si="90"/>
        <v>Conditioned</v>
      </c>
    </row>
    <row r="1866" spans="1:17">
      <c r="A1866" s="9">
        <v>22546</v>
      </c>
      <c r="B1866" s="9">
        <v>1</v>
      </c>
      <c r="C1866" s="9" t="s">
        <v>1589</v>
      </c>
      <c r="D1866" s="9" t="s">
        <v>1590</v>
      </c>
      <c r="E1866" s="9" t="s">
        <v>1591</v>
      </c>
      <c r="F1866" s="9" t="s">
        <v>1589</v>
      </c>
      <c r="G1866" s="9" t="s">
        <v>1592</v>
      </c>
      <c r="H1866" s="9" t="s">
        <v>174</v>
      </c>
      <c r="I1866" s="9" t="s">
        <v>3307</v>
      </c>
      <c r="J1866" s="9" t="s">
        <v>1597</v>
      </c>
      <c r="K1866" s="9">
        <v>1</v>
      </c>
      <c r="L1866" s="9">
        <v>18</v>
      </c>
      <c r="O1866" s="9" t="str">
        <f t="shared" si="88"/>
        <v>NO</v>
      </c>
      <c r="P1866" s="9" t="str">
        <f t="shared" si="89"/>
        <v>NO</v>
      </c>
      <c r="Q1866" s="9" t="str">
        <f t="shared" si="90"/>
        <v>Conditioned</v>
      </c>
    </row>
    <row r="1867" spans="1:17">
      <c r="A1867" s="9">
        <v>22557</v>
      </c>
      <c r="B1867" s="9">
        <v>1</v>
      </c>
      <c r="C1867" s="9" t="s">
        <v>1589</v>
      </c>
      <c r="D1867" s="9" t="s">
        <v>1590</v>
      </c>
      <c r="E1867" s="9" t="s">
        <v>1591</v>
      </c>
      <c r="F1867" s="9" t="s">
        <v>1589</v>
      </c>
      <c r="G1867" s="9" t="s">
        <v>1592</v>
      </c>
      <c r="H1867" s="9" t="s">
        <v>174</v>
      </c>
      <c r="I1867" s="9" t="s">
        <v>3308</v>
      </c>
      <c r="J1867" s="9" t="s">
        <v>1597</v>
      </c>
      <c r="K1867" s="9">
        <v>1</v>
      </c>
      <c r="L1867" s="9">
        <v>16</v>
      </c>
      <c r="M1867" s="9">
        <v>2007</v>
      </c>
      <c r="O1867" s="9" t="str">
        <f t="shared" si="88"/>
        <v>NO</v>
      </c>
      <c r="P1867" s="9" t="str">
        <f t="shared" si="89"/>
        <v>NO</v>
      </c>
      <c r="Q1867" s="9" t="str">
        <f t="shared" si="90"/>
        <v>Conditioned</v>
      </c>
    </row>
    <row r="1868" spans="1:17">
      <c r="A1868" s="9">
        <v>22559</v>
      </c>
      <c r="B1868" s="9">
        <v>1</v>
      </c>
      <c r="C1868" s="9" t="s">
        <v>1589</v>
      </c>
      <c r="D1868" s="9" t="s">
        <v>1590</v>
      </c>
      <c r="E1868" s="9" t="s">
        <v>1591</v>
      </c>
      <c r="F1868" s="9" t="s">
        <v>1589</v>
      </c>
      <c r="G1868" s="9" t="s">
        <v>1592</v>
      </c>
      <c r="H1868" s="9" t="s">
        <v>174</v>
      </c>
      <c r="I1868" s="9" t="s">
        <v>3309</v>
      </c>
      <c r="J1868" s="9" t="s">
        <v>1597</v>
      </c>
      <c r="K1868" s="9">
        <v>1</v>
      </c>
      <c r="L1868" s="9">
        <v>18</v>
      </c>
      <c r="M1868" s="9">
        <v>2007</v>
      </c>
      <c r="O1868" s="9" t="str">
        <f t="shared" si="88"/>
        <v>NO</v>
      </c>
      <c r="P1868" s="9" t="str">
        <f t="shared" si="89"/>
        <v>NO</v>
      </c>
      <c r="Q1868" s="9" t="str">
        <f t="shared" si="90"/>
        <v>Conditioned</v>
      </c>
    </row>
    <row r="1869" spans="1:17">
      <c r="A1869" s="9">
        <v>22559</v>
      </c>
      <c r="B1869" s="9">
        <v>2</v>
      </c>
      <c r="C1869" s="9" t="s">
        <v>1589</v>
      </c>
      <c r="D1869" s="9" t="s">
        <v>1590</v>
      </c>
      <c r="E1869" s="9" t="s">
        <v>1591</v>
      </c>
      <c r="F1869" s="9" t="s">
        <v>1589</v>
      </c>
      <c r="G1869" s="9" t="s">
        <v>1592</v>
      </c>
      <c r="H1869" s="9" t="s">
        <v>177</v>
      </c>
      <c r="I1869" s="9" t="s">
        <v>3310</v>
      </c>
      <c r="J1869" s="9" t="s">
        <v>1597</v>
      </c>
      <c r="K1869" s="9">
        <v>1</v>
      </c>
      <c r="L1869" s="9">
        <v>18</v>
      </c>
      <c r="M1869" s="9">
        <v>1999</v>
      </c>
      <c r="O1869" s="9" t="str">
        <f t="shared" si="88"/>
        <v>NO</v>
      </c>
      <c r="P1869" s="9" t="str">
        <f t="shared" si="89"/>
        <v>NO</v>
      </c>
      <c r="Q1869" s="9" t="str">
        <f t="shared" si="90"/>
        <v>Conditioned</v>
      </c>
    </row>
    <row r="1870" spans="1:17">
      <c r="A1870" s="9">
        <v>22566</v>
      </c>
      <c r="B1870" s="9">
        <v>1</v>
      </c>
      <c r="C1870" s="9" t="s">
        <v>1589</v>
      </c>
      <c r="D1870" s="9" t="s">
        <v>1590</v>
      </c>
      <c r="E1870" s="9" t="s">
        <v>1591</v>
      </c>
      <c r="F1870" s="9" t="s">
        <v>1589</v>
      </c>
      <c r="G1870" s="9" t="s">
        <v>1592</v>
      </c>
      <c r="H1870" s="9" t="s">
        <v>169</v>
      </c>
      <c r="I1870" s="9" t="s">
        <v>3311</v>
      </c>
      <c r="J1870" s="9" t="s">
        <v>1597</v>
      </c>
      <c r="K1870" s="9">
        <v>1</v>
      </c>
      <c r="L1870" s="9">
        <v>19</v>
      </c>
      <c r="M1870" s="9">
        <v>2007</v>
      </c>
      <c r="O1870" s="9" t="str">
        <f t="shared" si="88"/>
        <v>NO</v>
      </c>
      <c r="P1870" s="9" t="str">
        <f t="shared" si="89"/>
        <v>NO</v>
      </c>
      <c r="Q1870" s="9" t="str">
        <f t="shared" si="90"/>
        <v>Conditioned</v>
      </c>
    </row>
    <row r="1871" spans="1:17">
      <c r="A1871" s="9">
        <v>22566</v>
      </c>
      <c r="B1871" s="9">
        <v>2</v>
      </c>
      <c r="C1871" s="9" t="s">
        <v>1589</v>
      </c>
      <c r="D1871" s="9" t="s">
        <v>1590</v>
      </c>
      <c r="E1871" s="9" t="s">
        <v>1591</v>
      </c>
      <c r="F1871" s="9" t="s">
        <v>1589</v>
      </c>
      <c r="G1871" s="9" t="s">
        <v>1592</v>
      </c>
      <c r="H1871" s="9" t="s">
        <v>172</v>
      </c>
      <c r="I1871" s="9" t="s">
        <v>3312</v>
      </c>
      <c r="J1871" s="9" t="s">
        <v>1587</v>
      </c>
      <c r="K1871" s="9">
        <v>1</v>
      </c>
      <c r="L1871" s="9">
        <v>12</v>
      </c>
      <c r="O1871" s="9" t="str">
        <f t="shared" si="88"/>
        <v>NO</v>
      </c>
      <c r="P1871" s="9" t="str">
        <f t="shared" si="89"/>
        <v>YES</v>
      </c>
      <c r="Q1871" s="9" t="str">
        <f t="shared" si="90"/>
        <v>Conditioned</v>
      </c>
    </row>
    <row r="1872" spans="1:17">
      <c r="A1872" s="9">
        <v>22570</v>
      </c>
      <c r="B1872" s="9">
        <v>1</v>
      </c>
      <c r="C1872" s="9" t="s">
        <v>1589</v>
      </c>
      <c r="D1872" s="9" t="s">
        <v>1590</v>
      </c>
      <c r="E1872" s="9" t="s">
        <v>1591</v>
      </c>
      <c r="F1872" s="9" t="s">
        <v>1589</v>
      </c>
      <c r="G1872" s="9" t="s">
        <v>1592</v>
      </c>
      <c r="H1872" s="9" t="s">
        <v>177</v>
      </c>
      <c r="I1872" s="9" t="s">
        <v>3313</v>
      </c>
      <c r="J1872" s="9" t="s">
        <v>1597</v>
      </c>
      <c r="K1872" s="9">
        <v>1</v>
      </c>
      <c r="L1872" s="9">
        <v>21</v>
      </c>
      <c r="M1872" s="9">
        <v>2001</v>
      </c>
      <c r="O1872" s="9" t="str">
        <f t="shared" si="88"/>
        <v>NO</v>
      </c>
      <c r="P1872" s="9" t="str">
        <f t="shared" si="89"/>
        <v>NO</v>
      </c>
      <c r="Q1872" s="9" t="str">
        <f t="shared" si="90"/>
        <v>Conditioned</v>
      </c>
    </row>
    <row r="1873" spans="1:17">
      <c r="A1873" s="9">
        <v>22571</v>
      </c>
      <c r="B1873" s="9">
        <v>1</v>
      </c>
      <c r="C1873" s="9" t="s">
        <v>1589</v>
      </c>
      <c r="D1873" s="9" t="s">
        <v>1590</v>
      </c>
      <c r="E1873" s="9" t="s">
        <v>1613</v>
      </c>
      <c r="F1873" s="9" t="s">
        <v>1603</v>
      </c>
      <c r="G1873" s="9" t="s">
        <v>1592</v>
      </c>
      <c r="H1873" s="9" t="s">
        <v>170</v>
      </c>
      <c r="I1873" s="9" t="s">
        <v>3314</v>
      </c>
      <c r="J1873" s="9" t="s">
        <v>1597</v>
      </c>
      <c r="K1873" s="9">
        <v>1</v>
      </c>
      <c r="L1873" s="9">
        <v>18</v>
      </c>
      <c r="M1873" s="9">
        <v>2005</v>
      </c>
      <c r="O1873" s="9" t="str">
        <f t="shared" si="88"/>
        <v>NO</v>
      </c>
      <c r="P1873" s="9" t="str">
        <f t="shared" si="89"/>
        <v>NO</v>
      </c>
      <c r="Q1873" s="9" t="str">
        <f t="shared" si="90"/>
        <v>Conditioned</v>
      </c>
    </row>
    <row r="1874" spans="1:17">
      <c r="A1874" s="9">
        <v>22576</v>
      </c>
      <c r="B1874" s="9">
        <v>1</v>
      </c>
      <c r="C1874" s="9" t="s">
        <v>1589</v>
      </c>
      <c r="D1874" s="9" t="s">
        <v>1590</v>
      </c>
      <c r="E1874" s="9" t="s">
        <v>1602</v>
      </c>
      <c r="F1874" s="9" t="s">
        <v>1603</v>
      </c>
      <c r="G1874" s="9" t="s">
        <v>1592</v>
      </c>
      <c r="H1874" s="9" t="s">
        <v>170</v>
      </c>
      <c r="I1874" s="9" t="s">
        <v>3315</v>
      </c>
      <c r="J1874" s="9" t="s">
        <v>1601</v>
      </c>
      <c r="K1874" s="9">
        <v>1</v>
      </c>
      <c r="L1874" s="9">
        <v>22</v>
      </c>
      <c r="M1874" s="9">
        <v>2001</v>
      </c>
      <c r="O1874" s="9" t="str">
        <f t="shared" si="88"/>
        <v>NO</v>
      </c>
      <c r="P1874" s="9" t="str">
        <f t="shared" si="89"/>
        <v>NO</v>
      </c>
      <c r="Q1874" s="9" t="str">
        <f t="shared" si="90"/>
        <v>Conditioned</v>
      </c>
    </row>
    <row r="1875" spans="1:17">
      <c r="A1875" s="9">
        <v>22577</v>
      </c>
      <c r="B1875" s="9">
        <v>1</v>
      </c>
      <c r="C1875" s="9" t="s">
        <v>1589</v>
      </c>
      <c r="D1875" s="9" t="s">
        <v>1590</v>
      </c>
      <c r="E1875" s="9" t="s">
        <v>1602</v>
      </c>
      <c r="F1875" s="9" t="s">
        <v>1603</v>
      </c>
      <c r="G1875" s="9" t="s">
        <v>1592</v>
      </c>
      <c r="H1875" s="9" t="s">
        <v>177</v>
      </c>
      <c r="I1875" s="9" t="s">
        <v>3316</v>
      </c>
      <c r="J1875" s="9" t="s">
        <v>1601</v>
      </c>
      <c r="K1875" s="9">
        <v>1</v>
      </c>
      <c r="L1875" s="9">
        <v>18</v>
      </c>
      <c r="M1875" s="9">
        <v>2004</v>
      </c>
      <c r="O1875" s="9" t="str">
        <f t="shared" si="88"/>
        <v>NO</v>
      </c>
      <c r="P1875" s="9" t="str">
        <f t="shared" si="89"/>
        <v>NO</v>
      </c>
      <c r="Q1875" s="9" t="str">
        <f t="shared" si="90"/>
        <v>Conditioned</v>
      </c>
    </row>
    <row r="1876" spans="1:17">
      <c r="A1876" s="9">
        <v>22577</v>
      </c>
      <c r="B1876" s="9">
        <v>2</v>
      </c>
      <c r="C1876" s="9" t="s">
        <v>1589</v>
      </c>
      <c r="D1876" s="9" t="s">
        <v>1590</v>
      </c>
      <c r="E1876" s="9" t="s">
        <v>1591</v>
      </c>
      <c r="F1876" s="9" t="s">
        <v>1589</v>
      </c>
      <c r="G1876" s="9" t="s">
        <v>1592</v>
      </c>
      <c r="H1876" s="9" t="s">
        <v>170</v>
      </c>
      <c r="I1876" s="9" t="s">
        <v>3317</v>
      </c>
      <c r="J1876" s="9" t="s">
        <v>1587</v>
      </c>
      <c r="K1876" s="9">
        <v>1</v>
      </c>
      <c r="L1876" s="9">
        <v>10</v>
      </c>
      <c r="O1876" s="9" t="str">
        <f t="shared" si="88"/>
        <v>NO</v>
      </c>
      <c r="P1876" s="9" t="str">
        <f t="shared" si="89"/>
        <v>YES</v>
      </c>
      <c r="Q1876" s="9" t="str">
        <f t="shared" si="90"/>
        <v>Conditioned</v>
      </c>
    </row>
    <row r="1877" spans="1:17">
      <c r="A1877" s="9">
        <v>22577</v>
      </c>
      <c r="B1877" s="9">
        <v>3</v>
      </c>
      <c r="C1877" s="9" t="s">
        <v>1589</v>
      </c>
      <c r="D1877" s="9" t="s">
        <v>1590</v>
      </c>
      <c r="E1877" s="9" t="s">
        <v>1591</v>
      </c>
      <c r="F1877" s="9" t="s">
        <v>1589</v>
      </c>
      <c r="G1877" s="9" t="s">
        <v>1606</v>
      </c>
      <c r="H1877" s="9" t="s">
        <v>1589</v>
      </c>
      <c r="I1877" s="9" t="s">
        <v>1589</v>
      </c>
      <c r="J1877" s="9" t="s">
        <v>1597</v>
      </c>
      <c r="K1877" s="9">
        <v>1</v>
      </c>
      <c r="L1877" s="9">
        <v>17</v>
      </c>
      <c r="O1877" s="9" t="str">
        <f t="shared" si="88"/>
        <v>NO</v>
      </c>
      <c r="P1877" s="9" t="str">
        <f t="shared" si="89"/>
        <v>NO</v>
      </c>
      <c r="Q1877" s="9" t="str">
        <f t="shared" si="90"/>
        <v>Unconditioned</v>
      </c>
    </row>
    <row r="1878" spans="1:17">
      <c r="A1878" s="9">
        <v>22580</v>
      </c>
      <c r="B1878" s="9">
        <v>1</v>
      </c>
      <c r="C1878" s="9" t="s">
        <v>1589</v>
      </c>
      <c r="D1878" s="9" t="s">
        <v>1590</v>
      </c>
      <c r="E1878" s="9" t="s">
        <v>1602</v>
      </c>
      <c r="F1878" s="9" t="s">
        <v>1603</v>
      </c>
      <c r="G1878" s="9" t="s">
        <v>1592</v>
      </c>
      <c r="H1878" s="9" t="s">
        <v>169</v>
      </c>
      <c r="I1878" s="9" t="s">
        <v>3318</v>
      </c>
      <c r="J1878" s="9" t="s">
        <v>1601</v>
      </c>
      <c r="K1878" s="9">
        <v>1</v>
      </c>
      <c r="L1878" s="9">
        <v>22</v>
      </c>
      <c r="M1878" s="9">
        <v>2006</v>
      </c>
      <c r="O1878" s="9" t="str">
        <f t="shared" si="88"/>
        <v>NO</v>
      </c>
      <c r="P1878" s="9" t="str">
        <f t="shared" si="89"/>
        <v>NO</v>
      </c>
      <c r="Q1878" s="9" t="str">
        <f t="shared" si="90"/>
        <v>Conditioned</v>
      </c>
    </row>
    <row r="1879" spans="1:17">
      <c r="A1879" s="9">
        <v>22580</v>
      </c>
      <c r="B1879" s="9">
        <v>2</v>
      </c>
      <c r="C1879" s="9" t="s">
        <v>1589</v>
      </c>
      <c r="D1879" s="9" t="s">
        <v>1590</v>
      </c>
      <c r="E1879" s="9" t="s">
        <v>1602</v>
      </c>
      <c r="F1879" s="9" t="s">
        <v>1590</v>
      </c>
      <c r="G1879" s="9" t="s">
        <v>1606</v>
      </c>
      <c r="H1879" s="9" t="s">
        <v>170</v>
      </c>
      <c r="I1879" s="9" t="s">
        <v>3319</v>
      </c>
      <c r="J1879" s="9" t="s">
        <v>1601</v>
      </c>
      <c r="K1879" s="9">
        <v>1</v>
      </c>
      <c r="L1879" s="9">
        <v>21</v>
      </c>
      <c r="M1879" s="9">
        <v>1989</v>
      </c>
      <c r="O1879" s="9" t="str">
        <f t="shared" ref="O1879:O1942" si="91">IF(L1879&lt;7.75,"YES","NO")</f>
        <v>NO</v>
      </c>
      <c r="P1879" s="9" t="str">
        <f t="shared" ref="P1879:P1942" si="92">VLOOKUP(J1879,$Z$21:$AA$27,2,FALSE)</f>
        <v>NO</v>
      </c>
      <c r="Q1879" s="9" t="str">
        <f t="shared" ref="Q1879:Q1942" si="93">G1879</f>
        <v>Unconditioned</v>
      </c>
    </row>
    <row r="1880" spans="1:17">
      <c r="A1880" s="9">
        <v>22583</v>
      </c>
      <c r="B1880" s="9">
        <v>1</v>
      </c>
      <c r="C1880" s="9" t="s">
        <v>1589</v>
      </c>
      <c r="D1880" s="9" t="s">
        <v>1590</v>
      </c>
      <c r="E1880" s="9" t="s">
        <v>1591</v>
      </c>
      <c r="F1880" s="9" t="s">
        <v>1589</v>
      </c>
      <c r="G1880" s="9" t="s">
        <v>1592</v>
      </c>
      <c r="H1880" s="9" t="s">
        <v>174</v>
      </c>
      <c r="I1880" s="9" t="s">
        <v>3320</v>
      </c>
      <c r="J1880" s="9" t="s">
        <v>1608</v>
      </c>
      <c r="K1880" s="9">
        <v>1</v>
      </c>
      <c r="L1880" s="9">
        <v>25</v>
      </c>
      <c r="M1880" s="9">
        <v>2009</v>
      </c>
      <c r="O1880" s="9" t="str">
        <f t="shared" si="91"/>
        <v>NO</v>
      </c>
      <c r="P1880" s="9" t="str">
        <f t="shared" si="92"/>
        <v>NO</v>
      </c>
      <c r="Q1880" s="9" t="str">
        <f t="shared" si="93"/>
        <v>Conditioned</v>
      </c>
    </row>
    <row r="1881" spans="1:17">
      <c r="A1881" s="9">
        <v>22590</v>
      </c>
      <c r="B1881" s="9">
        <v>1</v>
      </c>
      <c r="C1881" s="9" t="s">
        <v>1589</v>
      </c>
      <c r="D1881" s="9" t="s">
        <v>1590</v>
      </c>
      <c r="E1881" s="9" t="s">
        <v>1602</v>
      </c>
      <c r="F1881" s="9" t="s">
        <v>1603</v>
      </c>
      <c r="G1881" s="9" t="s">
        <v>1592</v>
      </c>
      <c r="H1881" s="9" t="s">
        <v>1638</v>
      </c>
      <c r="I1881" s="9" t="s">
        <v>3321</v>
      </c>
      <c r="J1881" s="9" t="s">
        <v>1601</v>
      </c>
      <c r="K1881" s="9">
        <v>1</v>
      </c>
      <c r="L1881" s="9">
        <v>22</v>
      </c>
      <c r="M1881" s="9">
        <v>1997</v>
      </c>
      <c r="O1881" s="9" t="str">
        <f t="shared" si="91"/>
        <v>NO</v>
      </c>
      <c r="P1881" s="9" t="str">
        <f t="shared" si="92"/>
        <v>NO</v>
      </c>
      <c r="Q1881" s="9" t="str">
        <f t="shared" si="93"/>
        <v>Conditioned</v>
      </c>
    </row>
    <row r="1882" spans="1:17">
      <c r="A1882" s="9">
        <v>22590</v>
      </c>
      <c r="B1882" s="9">
        <v>2</v>
      </c>
      <c r="C1882" s="9" t="s">
        <v>1589</v>
      </c>
      <c r="D1882" s="9" t="s">
        <v>1590</v>
      </c>
      <c r="E1882" s="9" t="s">
        <v>1591</v>
      </c>
      <c r="F1882" s="9" t="s">
        <v>1589</v>
      </c>
      <c r="G1882" s="9" t="s">
        <v>1606</v>
      </c>
      <c r="H1882" s="9" t="s">
        <v>1638</v>
      </c>
      <c r="I1882" s="9" t="s">
        <v>1589</v>
      </c>
      <c r="J1882" s="9" t="s">
        <v>1605</v>
      </c>
      <c r="K1882" s="9">
        <v>1</v>
      </c>
      <c r="L1882" s="9">
        <v>25</v>
      </c>
      <c r="O1882" s="9" t="str">
        <f t="shared" si="91"/>
        <v>NO</v>
      </c>
      <c r="P1882" s="9" t="str">
        <f t="shared" si="92"/>
        <v>YES</v>
      </c>
      <c r="Q1882" s="9" t="str">
        <f t="shared" si="93"/>
        <v>Unconditioned</v>
      </c>
    </row>
    <row r="1883" spans="1:17">
      <c r="A1883" s="9">
        <v>22590</v>
      </c>
      <c r="B1883" s="9">
        <v>3</v>
      </c>
      <c r="C1883" s="9" t="s">
        <v>1589</v>
      </c>
      <c r="D1883" s="9" t="s">
        <v>1590</v>
      </c>
      <c r="E1883" s="9" t="s">
        <v>1591</v>
      </c>
      <c r="F1883" s="9" t="s">
        <v>1589</v>
      </c>
      <c r="G1883" s="9" t="s">
        <v>1592</v>
      </c>
      <c r="H1883" s="9" t="s">
        <v>177</v>
      </c>
      <c r="I1883" s="9" t="s">
        <v>3322</v>
      </c>
      <c r="J1883" s="9" t="s">
        <v>1605</v>
      </c>
      <c r="K1883" s="9">
        <v>1</v>
      </c>
      <c r="L1883" s="9">
        <v>25</v>
      </c>
      <c r="M1883" s="9">
        <v>2005</v>
      </c>
      <c r="O1883" s="9" t="str">
        <f t="shared" si="91"/>
        <v>NO</v>
      </c>
      <c r="P1883" s="9" t="str">
        <f t="shared" si="92"/>
        <v>YES</v>
      </c>
      <c r="Q1883" s="9" t="str">
        <f t="shared" si="93"/>
        <v>Conditioned</v>
      </c>
    </row>
    <row r="1884" spans="1:17">
      <c r="A1884" s="9">
        <v>22590</v>
      </c>
      <c r="B1884" s="9">
        <v>4</v>
      </c>
      <c r="C1884" s="9" t="s">
        <v>1589</v>
      </c>
      <c r="D1884" s="9" t="s">
        <v>1590</v>
      </c>
      <c r="E1884" s="9" t="s">
        <v>1602</v>
      </c>
      <c r="F1884" s="9" t="s">
        <v>1590</v>
      </c>
      <c r="G1884" s="9" t="s">
        <v>1606</v>
      </c>
      <c r="H1884" s="9" t="s">
        <v>1638</v>
      </c>
      <c r="I1884" s="9" t="s">
        <v>3323</v>
      </c>
      <c r="J1884" s="9" t="s">
        <v>1601</v>
      </c>
      <c r="K1884" s="9">
        <v>1</v>
      </c>
      <c r="L1884" s="9">
        <v>24</v>
      </c>
      <c r="M1884" s="9">
        <v>1977</v>
      </c>
      <c r="O1884" s="9" t="str">
        <f t="shared" si="91"/>
        <v>NO</v>
      </c>
      <c r="P1884" s="9" t="str">
        <f t="shared" si="92"/>
        <v>NO</v>
      </c>
      <c r="Q1884" s="9" t="str">
        <f t="shared" si="93"/>
        <v>Unconditioned</v>
      </c>
    </row>
    <row r="1885" spans="1:17">
      <c r="A1885" s="9">
        <v>22597</v>
      </c>
      <c r="B1885" s="9">
        <v>1</v>
      </c>
      <c r="C1885" s="9" t="s">
        <v>1589</v>
      </c>
      <c r="D1885" s="9" t="s">
        <v>1590</v>
      </c>
      <c r="E1885" s="9" t="s">
        <v>1613</v>
      </c>
      <c r="F1885" s="9" t="s">
        <v>1590</v>
      </c>
      <c r="G1885" s="9" t="s">
        <v>1592</v>
      </c>
      <c r="H1885" s="9" t="s">
        <v>1599</v>
      </c>
      <c r="I1885" s="9" t="s">
        <v>3324</v>
      </c>
      <c r="J1885" s="9" t="s">
        <v>1597</v>
      </c>
      <c r="K1885" s="9">
        <v>1</v>
      </c>
      <c r="L1885" s="9">
        <v>22</v>
      </c>
      <c r="M1885" s="9">
        <v>1994</v>
      </c>
      <c r="O1885" s="9" t="str">
        <f t="shared" si="91"/>
        <v>NO</v>
      </c>
      <c r="P1885" s="9" t="str">
        <f t="shared" si="92"/>
        <v>NO</v>
      </c>
      <c r="Q1885" s="9" t="str">
        <f t="shared" si="93"/>
        <v>Conditioned</v>
      </c>
    </row>
    <row r="1886" spans="1:17">
      <c r="A1886" s="9">
        <v>22598</v>
      </c>
      <c r="B1886" s="9">
        <v>1</v>
      </c>
      <c r="C1886" s="9" t="s">
        <v>1589</v>
      </c>
      <c r="D1886" s="9" t="s">
        <v>1590</v>
      </c>
      <c r="E1886" s="9" t="s">
        <v>1589</v>
      </c>
      <c r="F1886" s="9" t="s">
        <v>1589</v>
      </c>
      <c r="G1886" s="9" t="s">
        <v>1592</v>
      </c>
      <c r="H1886" s="9" t="s">
        <v>1463</v>
      </c>
      <c r="I1886" s="9" t="s">
        <v>3325</v>
      </c>
      <c r="J1886" s="9" t="s">
        <v>1612</v>
      </c>
      <c r="K1886" s="9">
        <v>1</v>
      </c>
      <c r="L1886" s="9">
        <v>28</v>
      </c>
      <c r="M1886" s="9">
        <v>1995</v>
      </c>
      <c r="O1886" s="9" t="str">
        <f t="shared" si="91"/>
        <v>NO</v>
      </c>
      <c r="P1886" s="9" t="str">
        <f t="shared" si="92"/>
        <v>NO</v>
      </c>
      <c r="Q1886" s="9" t="str">
        <f t="shared" si="93"/>
        <v>Conditioned</v>
      </c>
    </row>
    <row r="1887" spans="1:17">
      <c r="A1887" s="9">
        <v>22602</v>
      </c>
      <c r="B1887" s="9">
        <v>1</v>
      </c>
      <c r="C1887" s="9" t="s">
        <v>1589</v>
      </c>
      <c r="D1887" s="9" t="s">
        <v>1590</v>
      </c>
      <c r="E1887" s="9" t="s">
        <v>1591</v>
      </c>
      <c r="F1887" s="9" t="s">
        <v>1589</v>
      </c>
      <c r="G1887" s="9" t="s">
        <v>1592</v>
      </c>
      <c r="H1887" s="9" t="s">
        <v>1599</v>
      </c>
      <c r="I1887" s="9" t="s">
        <v>3326</v>
      </c>
      <c r="J1887" s="9" t="s">
        <v>1597</v>
      </c>
      <c r="K1887" s="9">
        <v>1</v>
      </c>
      <c r="L1887" s="9">
        <v>20</v>
      </c>
      <c r="M1887" s="9">
        <v>1994</v>
      </c>
      <c r="O1887" s="9" t="str">
        <f t="shared" si="91"/>
        <v>NO</v>
      </c>
      <c r="P1887" s="9" t="str">
        <f t="shared" si="92"/>
        <v>NO</v>
      </c>
      <c r="Q1887" s="9" t="str">
        <f t="shared" si="93"/>
        <v>Conditioned</v>
      </c>
    </row>
    <row r="1888" spans="1:17">
      <c r="A1888" s="9">
        <v>22602</v>
      </c>
      <c r="B1888" s="9">
        <v>2</v>
      </c>
      <c r="C1888" s="9" t="s">
        <v>1589</v>
      </c>
      <c r="D1888" s="9" t="s">
        <v>1590</v>
      </c>
      <c r="E1888" s="9" t="s">
        <v>1591</v>
      </c>
      <c r="F1888" s="9" t="s">
        <v>1589</v>
      </c>
      <c r="G1888" s="9" t="s">
        <v>1606</v>
      </c>
      <c r="H1888" s="9" t="s">
        <v>177</v>
      </c>
      <c r="I1888" s="9" t="s">
        <v>3327</v>
      </c>
      <c r="J1888" s="9" t="s">
        <v>1597</v>
      </c>
      <c r="K1888" s="9">
        <v>1</v>
      </c>
      <c r="L1888" s="9">
        <v>20</v>
      </c>
      <c r="M1888" s="9">
        <v>2006</v>
      </c>
      <c r="O1888" s="9" t="str">
        <f t="shared" si="91"/>
        <v>NO</v>
      </c>
      <c r="P1888" s="9" t="str">
        <f t="shared" si="92"/>
        <v>NO</v>
      </c>
      <c r="Q1888" s="9" t="str">
        <f t="shared" si="93"/>
        <v>Unconditioned</v>
      </c>
    </row>
    <row r="1889" spans="1:17">
      <c r="A1889" s="9">
        <v>22602</v>
      </c>
      <c r="B1889" s="9">
        <v>3</v>
      </c>
      <c r="C1889" s="9" t="s">
        <v>1589</v>
      </c>
      <c r="D1889" s="9" t="s">
        <v>1590</v>
      </c>
      <c r="E1889" s="9" t="s">
        <v>1591</v>
      </c>
      <c r="F1889" s="9" t="s">
        <v>1589</v>
      </c>
      <c r="G1889" s="9" t="s">
        <v>1606</v>
      </c>
      <c r="H1889" s="9" t="s">
        <v>170</v>
      </c>
      <c r="I1889" s="9" t="s">
        <v>3328</v>
      </c>
      <c r="J1889" s="9" t="s">
        <v>1605</v>
      </c>
      <c r="K1889" s="9">
        <v>1</v>
      </c>
      <c r="L1889" s="9">
        <v>21</v>
      </c>
      <c r="M1889" s="9">
        <v>2009</v>
      </c>
      <c r="O1889" s="9" t="str">
        <f t="shared" si="91"/>
        <v>NO</v>
      </c>
      <c r="P1889" s="9" t="str">
        <f t="shared" si="92"/>
        <v>YES</v>
      </c>
      <c r="Q1889" s="9" t="str">
        <f t="shared" si="93"/>
        <v>Unconditioned</v>
      </c>
    </row>
    <row r="1890" spans="1:17">
      <c r="A1890" s="9">
        <v>22607</v>
      </c>
      <c r="B1890" s="9">
        <v>1</v>
      </c>
      <c r="C1890" s="9" t="s">
        <v>1589</v>
      </c>
      <c r="D1890" s="9" t="s">
        <v>1590</v>
      </c>
      <c r="E1890" s="9" t="s">
        <v>1591</v>
      </c>
      <c r="F1890" s="9" t="s">
        <v>1589</v>
      </c>
      <c r="G1890" s="9" t="s">
        <v>1606</v>
      </c>
      <c r="H1890" s="9" t="s">
        <v>170</v>
      </c>
      <c r="I1890" s="9" t="s">
        <v>3329</v>
      </c>
      <c r="J1890" s="9" t="s">
        <v>1597</v>
      </c>
      <c r="K1890" s="9">
        <v>1</v>
      </c>
      <c r="L1890" s="9">
        <v>18</v>
      </c>
      <c r="M1890" s="9">
        <v>2008</v>
      </c>
      <c r="O1890" s="9" t="str">
        <f t="shared" si="91"/>
        <v>NO</v>
      </c>
      <c r="P1890" s="9" t="str">
        <f t="shared" si="92"/>
        <v>NO</v>
      </c>
      <c r="Q1890" s="9" t="str">
        <f t="shared" si="93"/>
        <v>Unconditioned</v>
      </c>
    </row>
    <row r="1891" spans="1:17">
      <c r="A1891" s="9">
        <v>22607</v>
      </c>
      <c r="B1891" s="9">
        <v>2</v>
      </c>
      <c r="C1891" s="9" t="s">
        <v>1589</v>
      </c>
      <c r="D1891" s="9" t="s">
        <v>1590</v>
      </c>
      <c r="E1891" s="9" t="s">
        <v>1602</v>
      </c>
      <c r="F1891" s="9" t="s">
        <v>1603</v>
      </c>
      <c r="G1891" s="9" t="s">
        <v>1592</v>
      </c>
      <c r="H1891" s="9" t="s">
        <v>170</v>
      </c>
      <c r="I1891" s="9" t="s">
        <v>3330</v>
      </c>
      <c r="J1891" s="9" t="s">
        <v>1601</v>
      </c>
      <c r="K1891" s="9">
        <v>1</v>
      </c>
      <c r="L1891" s="9">
        <v>20</v>
      </c>
      <c r="M1891" s="9">
        <v>1994</v>
      </c>
      <c r="O1891" s="9" t="str">
        <f t="shared" si="91"/>
        <v>NO</v>
      </c>
      <c r="P1891" s="9" t="str">
        <f t="shared" si="92"/>
        <v>NO</v>
      </c>
      <c r="Q1891" s="9" t="str">
        <f t="shared" si="93"/>
        <v>Conditioned</v>
      </c>
    </row>
    <row r="1892" spans="1:17">
      <c r="A1892" s="9">
        <v>22612</v>
      </c>
      <c r="B1892" s="9">
        <v>1</v>
      </c>
      <c r="C1892" s="9" t="s">
        <v>1589</v>
      </c>
      <c r="D1892" s="9" t="s">
        <v>1590</v>
      </c>
      <c r="E1892" s="9" t="s">
        <v>1602</v>
      </c>
      <c r="F1892" s="9" t="s">
        <v>1603</v>
      </c>
      <c r="G1892" s="9" t="s">
        <v>1592</v>
      </c>
      <c r="H1892" s="9" t="s">
        <v>174</v>
      </c>
      <c r="I1892" s="9" t="s">
        <v>3331</v>
      </c>
      <c r="J1892" s="9" t="s">
        <v>1601</v>
      </c>
      <c r="K1892" s="9">
        <v>1</v>
      </c>
      <c r="L1892" s="9">
        <v>21</v>
      </c>
      <c r="M1892" s="9">
        <v>1999</v>
      </c>
      <c r="O1892" s="9" t="str">
        <f t="shared" si="91"/>
        <v>NO</v>
      </c>
      <c r="P1892" s="9" t="str">
        <f t="shared" si="92"/>
        <v>NO</v>
      </c>
      <c r="Q1892" s="9" t="str">
        <f t="shared" si="93"/>
        <v>Conditioned</v>
      </c>
    </row>
    <row r="1893" spans="1:17">
      <c r="A1893" s="9">
        <v>22612</v>
      </c>
      <c r="B1893" s="9">
        <v>2</v>
      </c>
      <c r="C1893" s="9" t="s">
        <v>1589</v>
      </c>
      <c r="D1893" s="9" t="s">
        <v>1590</v>
      </c>
      <c r="E1893" s="9" t="s">
        <v>1591</v>
      </c>
      <c r="F1893" s="9" t="s">
        <v>1589</v>
      </c>
      <c r="G1893" s="9" t="s">
        <v>1606</v>
      </c>
      <c r="H1893" s="9" t="s">
        <v>174</v>
      </c>
      <c r="I1893" s="9" t="s">
        <v>3332</v>
      </c>
      <c r="J1893" s="9" t="s">
        <v>1605</v>
      </c>
      <c r="K1893" s="9">
        <v>1</v>
      </c>
      <c r="L1893" s="9">
        <v>21</v>
      </c>
      <c r="M1893" s="9">
        <v>2009</v>
      </c>
      <c r="O1893" s="9" t="str">
        <f t="shared" si="91"/>
        <v>NO</v>
      </c>
      <c r="P1893" s="9" t="str">
        <f t="shared" si="92"/>
        <v>YES</v>
      </c>
      <c r="Q1893" s="9" t="str">
        <f t="shared" si="93"/>
        <v>Unconditioned</v>
      </c>
    </row>
    <row r="1894" spans="1:17">
      <c r="A1894" s="9">
        <v>22615</v>
      </c>
      <c r="B1894" s="9">
        <v>1</v>
      </c>
      <c r="C1894" s="9" t="s">
        <v>1589</v>
      </c>
      <c r="D1894" s="9" t="s">
        <v>1590</v>
      </c>
      <c r="E1894" s="9" t="s">
        <v>1602</v>
      </c>
      <c r="F1894" s="9" t="s">
        <v>1603</v>
      </c>
      <c r="G1894" s="9" t="s">
        <v>1592</v>
      </c>
      <c r="H1894" s="9" t="s">
        <v>174</v>
      </c>
      <c r="I1894" s="9" t="s">
        <v>3333</v>
      </c>
      <c r="J1894" s="9" t="s">
        <v>1601</v>
      </c>
      <c r="K1894" s="9">
        <v>1</v>
      </c>
      <c r="L1894" s="9">
        <v>26</v>
      </c>
      <c r="M1894" s="9">
        <v>2002</v>
      </c>
      <c r="O1894" s="9" t="str">
        <f t="shared" si="91"/>
        <v>NO</v>
      </c>
      <c r="P1894" s="9" t="str">
        <f t="shared" si="92"/>
        <v>NO</v>
      </c>
      <c r="Q1894" s="9" t="str">
        <f t="shared" si="93"/>
        <v>Conditioned</v>
      </c>
    </row>
    <row r="1895" spans="1:17">
      <c r="A1895" s="9">
        <v>22618</v>
      </c>
      <c r="B1895" s="9">
        <v>1</v>
      </c>
      <c r="C1895" s="9" t="s">
        <v>1589</v>
      </c>
      <c r="D1895" s="9" t="s">
        <v>1590</v>
      </c>
      <c r="E1895" s="9" t="s">
        <v>1591</v>
      </c>
      <c r="F1895" s="9" t="s">
        <v>1589</v>
      </c>
      <c r="G1895" s="9" t="s">
        <v>1592</v>
      </c>
      <c r="H1895" s="9" t="s">
        <v>173</v>
      </c>
      <c r="I1895" s="9" t="s">
        <v>3334</v>
      </c>
      <c r="J1895" s="9" t="s">
        <v>1597</v>
      </c>
      <c r="K1895" s="9">
        <v>1</v>
      </c>
      <c r="L1895" s="9">
        <v>25</v>
      </c>
      <c r="M1895" s="9">
        <v>1995</v>
      </c>
      <c r="O1895" s="9" t="str">
        <f t="shared" si="91"/>
        <v>NO</v>
      </c>
      <c r="P1895" s="9" t="str">
        <f t="shared" si="92"/>
        <v>NO</v>
      </c>
      <c r="Q1895" s="9" t="str">
        <f t="shared" si="93"/>
        <v>Conditioned</v>
      </c>
    </row>
    <row r="1896" spans="1:17">
      <c r="A1896" s="9">
        <v>22618</v>
      </c>
      <c r="B1896" s="9">
        <v>2</v>
      </c>
      <c r="C1896" s="9" t="s">
        <v>1589</v>
      </c>
      <c r="D1896" s="9" t="s">
        <v>1590</v>
      </c>
      <c r="E1896" s="9" t="s">
        <v>1591</v>
      </c>
      <c r="F1896" s="9" t="s">
        <v>1589</v>
      </c>
      <c r="G1896" s="9" t="s">
        <v>1592</v>
      </c>
      <c r="H1896" s="9" t="s">
        <v>173</v>
      </c>
      <c r="I1896" s="9" t="s">
        <v>3335</v>
      </c>
      <c r="J1896" s="9" t="s">
        <v>1605</v>
      </c>
      <c r="K1896" s="9">
        <v>1</v>
      </c>
      <c r="L1896" s="9">
        <v>13</v>
      </c>
      <c r="M1896" s="9">
        <v>2009</v>
      </c>
      <c r="O1896" s="9" t="str">
        <f t="shared" si="91"/>
        <v>NO</v>
      </c>
      <c r="P1896" s="9" t="str">
        <f t="shared" si="92"/>
        <v>YES</v>
      </c>
      <c r="Q1896" s="9" t="str">
        <f t="shared" si="93"/>
        <v>Conditioned</v>
      </c>
    </row>
    <row r="1897" spans="1:17">
      <c r="A1897" s="9">
        <v>22620</v>
      </c>
      <c r="B1897" s="9">
        <v>1</v>
      </c>
      <c r="C1897" s="9" t="s">
        <v>1589</v>
      </c>
      <c r="D1897" s="9" t="s">
        <v>1590</v>
      </c>
      <c r="E1897" s="9" t="s">
        <v>1602</v>
      </c>
      <c r="F1897" s="9" t="s">
        <v>1603</v>
      </c>
      <c r="G1897" s="9" t="s">
        <v>1592</v>
      </c>
      <c r="H1897" s="9" t="s">
        <v>1599</v>
      </c>
      <c r="I1897" s="9" t="s">
        <v>3336</v>
      </c>
      <c r="J1897" s="9" t="s">
        <v>1601</v>
      </c>
      <c r="K1897" s="9">
        <v>1</v>
      </c>
      <c r="L1897" s="9">
        <v>25</v>
      </c>
      <c r="M1897" s="9">
        <v>2005</v>
      </c>
      <c r="O1897" s="9" t="str">
        <f t="shared" si="91"/>
        <v>NO</v>
      </c>
      <c r="P1897" s="9" t="str">
        <f t="shared" si="92"/>
        <v>NO</v>
      </c>
      <c r="Q1897" s="9" t="str">
        <f t="shared" si="93"/>
        <v>Conditioned</v>
      </c>
    </row>
    <row r="1898" spans="1:17">
      <c r="A1898" s="9">
        <v>22620</v>
      </c>
      <c r="B1898" s="9">
        <v>2</v>
      </c>
      <c r="C1898" s="9" t="s">
        <v>1589</v>
      </c>
      <c r="D1898" s="9" t="s">
        <v>1590</v>
      </c>
      <c r="E1898" s="9" t="s">
        <v>1602</v>
      </c>
      <c r="F1898" s="9" t="s">
        <v>1590</v>
      </c>
      <c r="G1898" s="9" t="s">
        <v>1606</v>
      </c>
      <c r="H1898" s="9" t="s">
        <v>1871</v>
      </c>
      <c r="I1898" s="9" t="s">
        <v>3337</v>
      </c>
      <c r="J1898" s="9" t="s">
        <v>1601</v>
      </c>
      <c r="K1898" s="9">
        <v>1</v>
      </c>
      <c r="L1898" s="9">
        <v>25</v>
      </c>
      <c r="M1898" s="9">
        <v>1997</v>
      </c>
      <c r="O1898" s="9" t="str">
        <f t="shared" si="91"/>
        <v>NO</v>
      </c>
      <c r="P1898" s="9" t="str">
        <f t="shared" si="92"/>
        <v>NO</v>
      </c>
      <c r="Q1898" s="9" t="str">
        <f t="shared" si="93"/>
        <v>Unconditioned</v>
      </c>
    </row>
    <row r="1899" spans="1:17">
      <c r="A1899" s="9">
        <v>22620</v>
      </c>
      <c r="B1899" s="9">
        <v>3</v>
      </c>
      <c r="C1899" s="9" t="s">
        <v>1589</v>
      </c>
      <c r="D1899" s="9" t="s">
        <v>1590</v>
      </c>
      <c r="E1899" s="9" t="s">
        <v>1591</v>
      </c>
      <c r="F1899" s="9" t="s">
        <v>1589</v>
      </c>
      <c r="G1899" s="9" t="s">
        <v>1606</v>
      </c>
      <c r="H1899" s="9" t="s">
        <v>1638</v>
      </c>
      <c r="I1899" s="9" t="s">
        <v>3338</v>
      </c>
      <c r="J1899" s="9" t="s">
        <v>1605</v>
      </c>
      <c r="K1899" s="9">
        <v>1</v>
      </c>
      <c r="L1899" s="9">
        <v>25</v>
      </c>
      <c r="M1899" s="9">
        <v>2001</v>
      </c>
      <c r="O1899" s="9" t="str">
        <f t="shared" si="91"/>
        <v>NO</v>
      </c>
      <c r="P1899" s="9" t="str">
        <f t="shared" si="92"/>
        <v>YES</v>
      </c>
      <c r="Q1899" s="9" t="str">
        <f t="shared" si="93"/>
        <v>Unconditioned</v>
      </c>
    </row>
    <row r="1900" spans="1:17">
      <c r="A1900" s="9">
        <v>22625</v>
      </c>
      <c r="B1900" s="9">
        <v>1</v>
      </c>
      <c r="C1900" s="9" t="s">
        <v>1589</v>
      </c>
      <c r="D1900" s="9" t="s">
        <v>1590</v>
      </c>
      <c r="E1900" s="9" t="s">
        <v>1602</v>
      </c>
      <c r="F1900" s="9" t="s">
        <v>1590</v>
      </c>
      <c r="G1900" s="9" t="s">
        <v>1606</v>
      </c>
      <c r="H1900" s="9" t="s">
        <v>170</v>
      </c>
      <c r="I1900" s="9" t="s">
        <v>3339</v>
      </c>
      <c r="J1900" s="9" t="s">
        <v>1601</v>
      </c>
      <c r="K1900" s="9">
        <v>1</v>
      </c>
      <c r="L1900" s="9">
        <v>20</v>
      </c>
      <c r="M1900" s="9">
        <v>1999</v>
      </c>
      <c r="O1900" s="9" t="str">
        <f t="shared" si="91"/>
        <v>NO</v>
      </c>
      <c r="P1900" s="9" t="str">
        <f t="shared" si="92"/>
        <v>NO</v>
      </c>
      <c r="Q1900" s="9" t="str">
        <f t="shared" si="93"/>
        <v>Unconditioned</v>
      </c>
    </row>
    <row r="1901" spans="1:17">
      <c r="A1901" s="9">
        <v>22625</v>
      </c>
      <c r="B1901" s="9">
        <v>2</v>
      </c>
      <c r="C1901" s="9" t="s">
        <v>1589</v>
      </c>
      <c r="D1901" s="9" t="s">
        <v>1590</v>
      </c>
      <c r="E1901" s="9" t="s">
        <v>1591</v>
      </c>
      <c r="F1901" s="9" t="s">
        <v>1589</v>
      </c>
      <c r="G1901" s="9" t="s">
        <v>1606</v>
      </c>
      <c r="H1901" s="9" t="s">
        <v>1552</v>
      </c>
      <c r="I1901" s="9" t="s">
        <v>3340</v>
      </c>
      <c r="J1901" s="9" t="s">
        <v>1605</v>
      </c>
      <c r="K1901" s="9">
        <v>1</v>
      </c>
      <c r="L1901" s="9">
        <v>15</v>
      </c>
      <c r="M1901" s="9">
        <v>1985</v>
      </c>
      <c r="O1901" s="9" t="str">
        <f t="shared" si="91"/>
        <v>NO</v>
      </c>
      <c r="P1901" s="9" t="str">
        <f t="shared" si="92"/>
        <v>YES</v>
      </c>
      <c r="Q1901" s="9" t="str">
        <f t="shared" si="93"/>
        <v>Unconditioned</v>
      </c>
    </row>
    <row r="1902" spans="1:17">
      <c r="A1902" s="9">
        <v>22625</v>
      </c>
      <c r="B1902" s="9">
        <v>3</v>
      </c>
      <c r="C1902" s="9" t="s">
        <v>1589</v>
      </c>
      <c r="D1902" s="9" t="s">
        <v>1590</v>
      </c>
      <c r="E1902" s="9" t="s">
        <v>1602</v>
      </c>
      <c r="F1902" s="9" t="s">
        <v>1603</v>
      </c>
      <c r="G1902" s="9" t="s">
        <v>1592</v>
      </c>
      <c r="H1902" s="9" t="s">
        <v>169</v>
      </c>
      <c r="I1902" s="9" t="s">
        <v>3341</v>
      </c>
      <c r="J1902" s="9" t="s">
        <v>1601</v>
      </c>
      <c r="K1902" s="9">
        <v>1</v>
      </c>
      <c r="L1902" s="9">
        <v>22</v>
      </c>
      <c r="M1902" s="9">
        <v>2003</v>
      </c>
      <c r="O1902" s="9" t="str">
        <f t="shared" si="91"/>
        <v>NO</v>
      </c>
      <c r="P1902" s="9" t="str">
        <f t="shared" si="92"/>
        <v>NO</v>
      </c>
      <c r="Q1902" s="9" t="str">
        <f t="shared" si="93"/>
        <v>Conditioned</v>
      </c>
    </row>
    <row r="1903" spans="1:17">
      <c r="A1903" s="9">
        <v>22627</v>
      </c>
      <c r="B1903" s="9">
        <v>1</v>
      </c>
      <c r="C1903" s="9" t="s">
        <v>1589</v>
      </c>
      <c r="D1903" s="9" t="s">
        <v>1590</v>
      </c>
      <c r="E1903" s="9" t="s">
        <v>1591</v>
      </c>
      <c r="F1903" s="9" t="s">
        <v>1589</v>
      </c>
      <c r="G1903" s="9" t="s">
        <v>1592</v>
      </c>
      <c r="H1903" s="9" t="s">
        <v>177</v>
      </c>
      <c r="I1903" s="9" t="s">
        <v>3342</v>
      </c>
      <c r="J1903" s="9" t="s">
        <v>1608</v>
      </c>
      <c r="K1903" s="9">
        <v>1</v>
      </c>
      <c r="L1903" s="9">
        <v>26</v>
      </c>
      <c r="M1903" s="9">
        <v>1992</v>
      </c>
      <c r="O1903" s="9" t="str">
        <f t="shared" si="91"/>
        <v>NO</v>
      </c>
      <c r="P1903" s="9" t="str">
        <f t="shared" si="92"/>
        <v>NO</v>
      </c>
      <c r="Q1903" s="9" t="str">
        <f t="shared" si="93"/>
        <v>Conditioned</v>
      </c>
    </row>
    <row r="1904" spans="1:17">
      <c r="A1904" s="9">
        <v>22632</v>
      </c>
      <c r="B1904" s="9">
        <v>1</v>
      </c>
      <c r="C1904" s="9" t="s">
        <v>1589</v>
      </c>
      <c r="D1904" s="9" t="s">
        <v>1590</v>
      </c>
      <c r="E1904" s="9" t="s">
        <v>1602</v>
      </c>
      <c r="F1904" s="9" t="s">
        <v>1603</v>
      </c>
      <c r="G1904" s="9" t="s">
        <v>1592</v>
      </c>
      <c r="H1904" s="9" t="s">
        <v>1871</v>
      </c>
      <c r="I1904" s="9" t="s">
        <v>3343</v>
      </c>
      <c r="J1904" s="9" t="s">
        <v>1597</v>
      </c>
      <c r="K1904" s="9">
        <v>1</v>
      </c>
      <c r="L1904" s="9">
        <v>22</v>
      </c>
      <c r="M1904" s="9">
        <v>1996</v>
      </c>
      <c r="O1904" s="9" t="str">
        <f t="shared" si="91"/>
        <v>NO</v>
      </c>
      <c r="P1904" s="9" t="str">
        <f t="shared" si="92"/>
        <v>NO</v>
      </c>
      <c r="Q1904" s="9" t="str">
        <f t="shared" si="93"/>
        <v>Conditioned</v>
      </c>
    </row>
    <row r="1905" spans="1:17">
      <c r="A1905" s="9">
        <v>22641</v>
      </c>
      <c r="B1905" s="9">
        <v>1</v>
      </c>
      <c r="C1905" s="9" t="s">
        <v>1589</v>
      </c>
      <c r="D1905" s="9" t="s">
        <v>1590</v>
      </c>
      <c r="E1905" s="9" t="s">
        <v>1602</v>
      </c>
      <c r="F1905" s="9" t="s">
        <v>1603</v>
      </c>
      <c r="G1905" s="9" t="s">
        <v>1592</v>
      </c>
      <c r="H1905" s="9" t="s">
        <v>1017</v>
      </c>
      <c r="I1905" s="9" t="s">
        <v>3344</v>
      </c>
      <c r="J1905" s="9" t="s">
        <v>1601</v>
      </c>
      <c r="K1905" s="9">
        <v>1</v>
      </c>
      <c r="L1905" s="9">
        <v>30</v>
      </c>
      <c r="M1905" s="9">
        <v>2008</v>
      </c>
      <c r="O1905" s="9" t="str">
        <f t="shared" si="91"/>
        <v>NO</v>
      </c>
      <c r="P1905" s="9" t="str">
        <f t="shared" si="92"/>
        <v>NO</v>
      </c>
      <c r="Q1905" s="9" t="str">
        <f t="shared" si="93"/>
        <v>Conditioned</v>
      </c>
    </row>
    <row r="1906" spans="1:17">
      <c r="A1906" s="9">
        <v>22641</v>
      </c>
      <c r="B1906" s="9">
        <v>2</v>
      </c>
      <c r="C1906" s="9" t="s">
        <v>1589</v>
      </c>
      <c r="D1906" s="9" t="s">
        <v>1590</v>
      </c>
      <c r="E1906" s="9" t="s">
        <v>1591</v>
      </c>
      <c r="F1906" s="9" t="s">
        <v>1589</v>
      </c>
      <c r="G1906" s="9" t="s">
        <v>1592</v>
      </c>
      <c r="H1906" s="9" t="s">
        <v>170</v>
      </c>
      <c r="I1906" s="9" t="s">
        <v>3345</v>
      </c>
      <c r="J1906" s="9" t="s">
        <v>1605</v>
      </c>
      <c r="K1906" s="9">
        <v>1</v>
      </c>
      <c r="L1906" s="9">
        <v>20</v>
      </c>
      <c r="M1906" s="9">
        <v>2002</v>
      </c>
      <c r="O1906" s="9" t="str">
        <f t="shared" si="91"/>
        <v>NO</v>
      </c>
      <c r="P1906" s="9" t="str">
        <f t="shared" si="92"/>
        <v>YES</v>
      </c>
      <c r="Q1906" s="9" t="str">
        <f t="shared" si="93"/>
        <v>Conditioned</v>
      </c>
    </row>
    <row r="1907" spans="1:17">
      <c r="A1907" s="9">
        <v>22649</v>
      </c>
      <c r="B1907" s="9">
        <v>1</v>
      </c>
      <c r="C1907" s="9" t="s">
        <v>1589</v>
      </c>
      <c r="D1907" s="9" t="s">
        <v>1590</v>
      </c>
      <c r="E1907" s="9" t="s">
        <v>1602</v>
      </c>
      <c r="F1907" s="9" t="s">
        <v>1590</v>
      </c>
      <c r="G1907" s="9" t="s">
        <v>1592</v>
      </c>
      <c r="H1907" s="9" t="s">
        <v>775</v>
      </c>
      <c r="I1907" s="9" t="s">
        <v>3346</v>
      </c>
      <c r="J1907" s="9" t="s">
        <v>1608</v>
      </c>
      <c r="K1907" s="9">
        <v>1</v>
      </c>
      <c r="L1907" s="9">
        <v>22</v>
      </c>
      <c r="M1907" s="9">
        <v>2008</v>
      </c>
      <c r="O1907" s="9" t="str">
        <f t="shared" si="91"/>
        <v>NO</v>
      </c>
      <c r="P1907" s="9" t="str">
        <f t="shared" si="92"/>
        <v>NO</v>
      </c>
      <c r="Q1907" s="9" t="str">
        <f t="shared" si="93"/>
        <v>Conditioned</v>
      </c>
    </row>
    <row r="1908" spans="1:17">
      <c r="A1908" s="9">
        <v>22649</v>
      </c>
      <c r="B1908" s="9">
        <v>2</v>
      </c>
      <c r="C1908" s="9" t="s">
        <v>1589</v>
      </c>
      <c r="D1908" s="9" t="s">
        <v>1590</v>
      </c>
      <c r="E1908" s="9" t="s">
        <v>1591</v>
      </c>
      <c r="F1908" s="9" t="s">
        <v>1589</v>
      </c>
      <c r="G1908" s="9" t="s">
        <v>1606</v>
      </c>
      <c r="H1908" s="9" t="s">
        <v>1638</v>
      </c>
      <c r="I1908" s="9" t="s">
        <v>3347</v>
      </c>
      <c r="J1908" s="9" t="s">
        <v>1605</v>
      </c>
      <c r="K1908" s="9">
        <v>1</v>
      </c>
      <c r="L1908" s="9">
        <v>15</v>
      </c>
      <c r="M1908" s="9">
        <v>2002</v>
      </c>
      <c r="O1908" s="9" t="str">
        <f t="shared" si="91"/>
        <v>NO</v>
      </c>
      <c r="P1908" s="9" t="str">
        <f t="shared" si="92"/>
        <v>YES</v>
      </c>
      <c r="Q1908" s="9" t="str">
        <f t="shared" si="93"/>
        <v>Unconditioned</v>
      </c>
    </row>
    <row r="1909" spans="1:17">
      <c r="A1909" s="9">
        <v>22652</v>
      </c>
      <c r="B1909" s="9">
        <v>1</v>
      </c>
      <c r="C1909" s="9" t="s">
        <v>1589</v>
      </c>
      <c r="D1909" s="9" t="s">
        <v>1590</v>
      </c>
      <c r="E1909" s="9" t="s">
        <v>1602</v>
      </c>
      <c r="F1909" s="9" t="s">
        <v>1603</v>
      </c>
      <c r="G1909" s="9" t="s">
        <v>1592</v>
      </c>
      <c r="H1909" s="9" t="s">
        <v>173</v>
      </c>
      <c r="I1909" s="9" t="s">
        <v>3348</v>
      </c>
      <c r="J1909" s="9" t="s">
        <v>1601</v>
      </c>
      <c r="K1909" s="9">
        <v>1</v>
      </c>
      <c r="L1909" s="9">
        <v>24</v>
      </c>
      <c r="M1909" s="9">
        <v>1990</v>
      </c>
      <c r="O1909" s="9" t="str">
        <f t="shared" si="91"/>
        <v>NO</v>
      </c>
      <c r="P1909" s="9" t="str">
        <f t="shared" si="92"/>
        <v>NO</v>
      </c>
      <c r="Q1909" s="9" t="str">
        <f t="shared" si="93"/>
        <v>Conditioned</v>
      </c>
    </row>
    <row r="1910" spans="1:17">
      <c r="A1910" s="9">
        <v>22652</v>
      </c>
      <c r="B1910" s="9">
        <v>2</v>
      </c>
      <c r="C1910" s="9" t="s">
        <v>1589</v>
      </c>
      <c r="D1910" s="9" t="s">
        <v>1603</v>
      </c>
      <c r="E1910" s="9" t="s">
        <v>1591</v>
      </c>
      <c r="F1910" s="9" t="s">
        <v>1589</v>
      </c>
      <c r="G1910" s="9" t="s">
        <v>1592</v>
      </c>
      <c r="H1910" s="9" t="s">
        <v>169</v>
      </c>
      <c r="I1910" s="9" t="s">
        <v>3349</v>
      </c>
      <c r="J1910" s="9" t="s">
        <v>1605</v>
      </c>
      <c r="K1910" s="9">
        <v>1</v>
      </c>
      <c r="L1910" s="9">
        <v>18</v>
      </c>
      <c r="M1910" s="9">
        <v>1999</v>
      </c>
      <c r="O1910" s="9" t="str">
        <f t="shared" si="91"/>
        <v>NO</v>
      </c>
      <c r="P1910" s="9" t="str">
        <f t="shared" si="92"/>
        <v>YES</v>
      </c>
      <c r="Q1910" s="9" t="str">
        <f t="shared" si="93"/>
        <v>Conditioned</v>
      </c>
    </row>
    <row r="1911" spans="1:17">
      <c r="A1911" s="9">
        <v>22663</v>
      </c>
      <c r="B1911" s="9">
        <v>1</v>
      </c>
      <c r="C1911" s="9" t="s">
        <v>1589</v>
      </c>
      <c r="D1911" s="9" t="s">
        <v>1590</v>
      </c>
      <c r="E1911" s="9" t="s">
        <v>1591</v>
      </c>
      <c r="F1911" s="9" t="s">
        <v>1589</v>
      </c>
      <c r="G1911" s="9" t="s">
        <v>1592</v>
      </c>
      <c r="H1911" s="9" t="s">
        <v>1766</v>
      </c>
      <c r="I1911" s="9" t="s">
        <v>3350</v>
      </c>
      <c r="J1911" s="9" t="s">
        <v>1597</v>
      </c>
      <c r="K1911" s="9">
        <v>1</v>
      </c>
      <c r="L1911" s="9">
        <v>17</v>
      </c>
      <c r="M1911" s="9">
        <v>1989</v>
      </c>
      <c r="O1911" s="9" t="str">
        <f t="shared" si="91"/>
        <v>NO</v>
      </c>
      <c r="P1911" s="9" t="str">
        <f t="shared" si="92"/>
        <v>NO</v>
      </c>
      <c r="Q1911" s="9" t="str">
        <f t="shared" si="93"/>
        <v>Conditioned</v>
      </c>
    </row>
    <row r="1912" spans="1:17">
      <c r="A1912" s="9">
        <v>22671</v>
      </c>
      <c r="B1912" s="9">
        <v>1</v>
      </c>
      <c r="C1912" s="9" t="s">
        <v>1589</v>
      </c>
      <c r="D1912" s="9" t="s">
        <v>1590</v>
      </c>
      <c r="E1912" s="9" t="s">
        <v>1591</v>
      </c>
      <c r="F1912" s="9" t="s">
        <v>1589</v>
      </c>
      <c r="G1912" s="9" t="s">
        <v>1592</v>
      </c>
      <c r="H1912" s="9" t="s">
        <v>170</v>
      </c>
      <c r="I1912" s="9" t="s">
        <v>3351</v>
      </c>
      <c r="J1912" s="9" t="s">
        <v>1597</v>
      </c>
      <c r="K1912" s="9">
        <v>1</v>
      </c>
      <c r="L1912" s="9">
        <v>20</v>
      </c>
      <c r="M1912" s="9">
        <v>1992</v>
      </c>
      <c r="O1912" s="9" t="str">
        <f t="shared" si="91"/>
        <v>NO</v>
      </c>
      <c r="P1912" s="9" t="str">
        <f t="shared" si="92"/>
        <v>NO</v>
      </c>
      <c r="Q1912" s="9" t="str">
        <f t="shared" si="93"/>
        <v>Conditioned</v>
      </c>
    </row>
    <row r="1913" spans="1:17">
      <c r="A1913" s="9">
        <v>22673</v>
      </c>
      <c r="B1913" s="9">
        <v>1</v>
      </c>
      <c r="C1913" s="9" t="s">
        <v>1589</v>
      </c>
      <c r="D1913" s="9" t="s">
        <v>1590</v>
      </c>
      <c r="E1913" s="9" t="s">
        <v>1591</v>
      </c>
      <c r="F1913" s="9" t="s">
        <v>1589</v>
      </c>
      <c r="G1913" s="9" t="s">
        <v>1592</v>
      </c>
      <c r="H1913" s="9" t="s">
        <v>170</v>
      </c>
      <c r="I1913" s="9" t="s">
        <v>3352</v>
      </c>
      <c r="J1913" s="9" t="s">
        <v>1608</v>
      </c>
      <c r="K1913" s="9">
        <v>1</v>
      </c>
      <c r="L1913" s="9">
        <v>22</v>
      </c>
      <c r="M1913" s="9">
        <v>2000</v>
      </c>
      <c r="O1913" s="9" t="str">
        <f t="shared" si="91"/>
        <v>NO</v>
      </c>
      <c r="P1913" s="9" t="str">
        <f t="shared" si="92"/>
        <v>NO</v>
      </c>
      <c r="Q1913" s="9" t="str">
        <f t="shared" si="93"/>
        <v>Conditioned</v>
      </c>
    </row>
    <row r="1914" spans="1:17">
      <c r="A1914" s="9">
        <v>22679</v>
      </c>
      <c r="B1914" s="9">
        <v>1</v>
      </c>
      <c r="C1914" s="9" t="s">
        <v>1589</v>
      </c>
      <c r="D1914" s="9" t="s">
        <v>1590</v>
      </c>
      <c r="E1914" s="9" t="s">
        <v>1591</v>
      </c>
      <c r="F1914" s="9" t="s">
        <v>1589</v>
      </c>
      <c r="G1914" s="9" t="s">
        <v>1592</v>
      </c>
      <c r="H1914" s="9" t="s">
        <v>177</v>
      </c>
      <c r="I1914" s="9" t="s">
        <v>3353</v>
      </c>
      <c r="J1914" s="9" t="s">
        <v>1597</v>
      </c>
      <c r="K1914" s="9">
        <v>1</v>
      </c>
      <c r="L1914" s="9">
        <v>24</v>
      </c>
      <c r="M1914" s="9">
        <v>1995</v>
      </c>
      <c r="O1914" s="9" t="str">
        <f t="shared" si="91"/>
        <v>NO</v>
      </c>
      <c r="P1914" s="9" t="str">
        <f t="shared" si="92"/>
        <v>NO</v>
      </c>
      <c r="Q1914" s="9" t="str">
        <f t="shared" si="93"/>
        <v>Conditioned</v>
      </c>
    </row>
    <row r="1915" spans="1:17">
      <c r="A1915" s="9">
        <v>22681</v>
      </c>
      <c r="B1915" s="9">
        <v>1</v>
      </c>
      <c r="C1915" s="9" t="s">
        <v>1589</v>
      </c>
      <c r="D1915" s="9" t="s">
        <v>1590</v>
      </c>
      <c r="E1915" s="9" t="s">
        <v>1591</v>
      </c>
      <c r="F1915" s="9" t="s">
        <v>1589</v>
      </c>
      <c r="G1915" s="9" t="s">
        <v>1592</v>
      </c>
      <c r="H1915" s="9" t="s">
        <v>173</v>
      </c>
      <c r="I1915" s="9" t="s">
        <v>3354</v>
      </c>
      <c r="J1915" s="9" t="s">
        <v>1608</v>
      </c>
      <c r="K1915" s="9">
        <v>1</v>
      </c>
      <c r="L1915" s="9">
        <v>22</v>
      </c>
      <c r="M1915" s="9">
        <v>2007</v>
      </c>
      <c r="O1915" s="9" t="str">
        <f t="shared" si="91"/>
        <v>NO</v>
      </c>
      <c r="P1915" s="9" t="str">
        <f t="shared" si="92"/>
        <v>NO</v>
      </c>
      <c r="Q1915" s="9" t="str">
        <f t="shared" si="93"/>
        <v>Conditioned</v>
      </c>
    </row>
    <row r="1916" spans="1:17">
      <c r="A1916" s="9">
        <v>22683</v>
      </c>
      <c r="B1916" s="9">
        <v>1</v>
      </c>
      <c r="C1916" s="9" t="s">
        <v>1589</v>
      </c>
      <c r="D1916" s="9" t="s">
        <v>1590</v>
      </c>
      <c r="E1916" s="9" t="s">
        <v>1591</v>
      </c>
      <c r="F1916" s="9" t="s">
        <v>1589</v>
      </c>
      <c r="G1916" s="9" t="s">
        <v>1592</v>
      </c>
      <c r="H1916" s="9" t="s">
        <v>172</v>
      </c>
      <c r="I1916" s="9" t="s">
        <v>3355</v>
      </c>
      <c r="J1916" s="9" t="s">
        <v>1597</v>
      </c>
      <c r="K1916" s="9">
        <v>1</v>
      </c>
      <c r="L1916" s="9">
        <v>18</v>
      </c>
      <c r="M1916" s="9">
        <v>2007</v>
      </c>
      <c r="O1916" s="9" t="str">
        <f t="shared" si="91"/>
        <v>NO</v>
      </c>
      <c r="P1916" s="9" t="str">
        <f t="shared" si="92"/>
        <v>NO</v>
      </c>
      <c r="Q1916" s="9" t="str">
        <f t="shared" si="93"/>
        <v>Conditioned</v>
      </c>
    </row>
    <row r="1917" spans="1:17">
      <c r="A1917" s="9">
        <v>22688</v>
      </c>
      <c r="B1917" s="9">
        <v>1</v>
      </c>
      <c r="C1917" s="9" t="s">
        <v>1589</v>
      </c>
      <c r="D1917" s="9" t="s">
        <v>1590</v>
      </c>
      <c r="E1917" s="9" t="s">
        <v>1602</v>
      </c>
      <c r="F1917" s="9" t="s">
        <v>1590</v>
      </c>
      <c r="G1917" s="9" t="s">
        <v>1592</v>
      </c>
      <c r="H1917" s="9" t="s">
        <v>1805</v>
      </c>
      <c r="I1917" s="9" t="s">
        <v>3356</v>
      </c>
      <c r="J1917" s="9" t="s">
        <v>1601</v>
      </c>
      <c r="K1917" s="9">
        <v>1</v>
      </c>
      <c r="L1917" s="9">
        <v>20</v>
      </c>
      <c r="M1917" s="9">
        <v>1993</v>
      </c>
      <c r="O1917" s="9" t="str">
        <f t="shared" si="91"/>
        <v>NO</v>
      </c>
      <c r="P1917" s="9" t="str">
        <f t="shared" si="92"/>
        <v>NO</v>
      </c>
      <c r="Q1917" s="9" t="str">
        <f t="shared" si="93"/>
        <v>Conditioned</v>
      </c>
    </row>
    <row r="1918" spans="1:17">
      <c r="A1918" s="9">
        <v>22688</v>
      </c>
      <c r="B1918" s="9">
        <v>2</v>
      </c>
      <c r="C1918" s="9" t="s">
        <v>1589</v>
      </c>
      <c r="D1918" s="9" t="s">
        <v>1590</v>
      </c>
      <c r="E1918" s="9" t="s">
        <v>1591</v>
      </c>
      <c r="F1918" s="9" t="s">
        <v>1589</v>
      </c>
      <c r="G1918" s="9" t="s">
        <v>1606</v>
      </c>
      <c r="H1918" s="9" t="s">
        <v>174</v>
      </c>
      <c r="I1918" s="9" t="s">
        <v>3357</v>
      </c>
      <c r="J1918" s="9" t="s">
        <v>1608</v>
      </c>
      <c r="K1918" s="9">
        <v>1</v>
      </c>
      <c r="L1918" s="9">
        <v>22</v>
      </c>
      <c r="M1918" s="9">
        <v>1986</v>
      </c>
      <c r="O1918" s="9" t="str">
        <f t="shared" si="91"/>
        <v>NO</v>
      </c>
      <c r="P1918" s="9" t="str">
        <f t="shared" si="92"/>
        <v>NO</v>
      </c>
      <c r="Q1918" s="9" t="str">
        <f t="shared" si="93"/>
        <v>Unconditioned</v>
      </c>
    </row>
    <row r="1919" spans="1:17">
      <c r="A1919" s="9">
        <v>22688</v>
      </c>
      <c r="B1919" s="9">
        <v>3</v>
      </c>
      <c r="C1919" s="9" t="s">
        <v>1589</v>
      </c>
      <c r="D1919" s="9" t="s">
        <v>1590</v>
      </c>
      <c r="E1919" s="9" t="s">
        <v>1591</v>
      </c>
      <c r="F1919" s="9" t="s">
        <v>1589</v>
      </c>
      <c r="G1919" s="9" t="s">
        <v>1606</v>
      </c>
      <c r="H1919" s="9" t="s">
        <v>170</v>
      </c>
      <c r="I1919" s="9" t="s">
        <v>3358</v>
      </c>
      <c r="J1919" s="9" t="s">
        <v>1587</v>
      </c>
      <c r="K1919" s="9">
        <v>1</v>
      </c>
      <c r="L1919" s="9">
        <v>22</v>
      </c>
      <c r="M1919" s="9">
        <v>2011</v>
      </c>
      <c r="O1919" s="9" t="str">
        <f t="shared" si="91"/>
        <v>NO</v>
      </c>
      <c r="P1919" s="9" t="str">
        <f t="shared" si="92"/>
        <v>YES</v>
      </c>
      <c r="Q1919" s="9" t="str">
        <f t="shared" si="93"/>
        <v>Unconditioned</v>
      </c>
    </row>
    <row r="1920" spans="1:17">
      <c r="A1920" s="9">
        <v>22693</v>
      </c>
      <c r="B1920" s="9">
        <v>1</v>
      </c>
      <c r="C1920" s="9" t="s">
        <v>1589</v>
      </c>
      <c r="D1920" s="9" t="s">
        <v>1590</v>
      </c>
      <c r="E1920" s="9" t="s">
        <v>1602</v>
      </c>
      <c r="F1920" s="9" t="s">
        <v>1590</v>
      </c>
      <c r="G1920" s="9" t="s">
        <v>1592</v>
      </c>
      <c r="H1920" s="9" t="s">
        <v>170</v>
      </c>
      <c r="I1920" s="9" t="s">
        <v>3359</v>
      </c>
      <c r="J1920" s="9" t="s">
        <v>1601</v>
      </c>
      <c r="K1920" s="9">
        <v>1</v>
      </c>
      <c r="L1920" s="9">
        <v>22</v>
      </c>
      <c r="M1920" s="9">
        <v>1992</v>
      </c>
      <c r="O1920" s="9" t="str">
        <f t="shared" si="91"/>
        <v>NO</v>
      </c>
      <c r="P1920" s="9" t="str">
        <f t="shared" si="92"/>
        <v>NO</v>
      </c>
      <c r="Q1920" s="9" t="str">
        <f t="shared" si="93"/>
        <v>Conditioned</v>
      </c>
    </row>
    <row r="1921" spans="1:17">
      <c r="A1921" s="9">
        <v>22694</v>
      </c>
      <c r="B1921" s="9">
        <v>1</v>
      </c>
      <c r="C1921" s="9" t="s">
        <v>1589</v>
      </c>
      <c r="D1921" s="9" t="s">
        <v>1590</v>
      </c>
      <c r="E1921" s="9" t="s">
        <v>1591</v>
      </c>
      <c r="F1921" s="9" t="s">
        <v>1589</v>
      </c>
      <c r="G1921" s="9" t="s">
        <v>1592</v>
      </c>
      <c r="H1921" s="9" t="s">
        <v>1638</v>
      </c>
      <c r="I1921" s="9" t="s">
        <v>3360</v>
      </c>
      <c r="J1921" s="9" t="s">
        <v>1597</v>
      </c>
      <c r="K1921" s="9">
        <v>1</v>
      </c>
      <c r="L1921" s="9">
        <v>18</v>
      </c>
      <c r="M1921" s="9">
        <v>2002</v>
      </c>
      <c r="O1921" s="9" t="str">
        <f t="shared" si="91"/>
        <v>NO</v>
      </c>
      <c r="P1921" s="9" t="str">
        <f t="shared" si="92"/>
        <v>NO</v>
      </c>
      <c r="Q1921" s="9" t="str">
        <f t="shared" si="93"/>
        <v>Conditioned</v>
      </c>
    </row>
    <row r="1922" spans="1:17">
      <c r="A1922" s="9">
        <v>22694</v>
      </c>
      <c r="B1922" s="9">
        <v>2</v>
      </c>
      <c r="C1922" s="9" t="s">
        <v>1589</v>
      </c>
      <c r="D1922" s="9" t="s">
        <v>1590</v>
      </c>
      <c r="E1922" s="9" t="s">
        <v>1591</v>
      </c>
      <c r="F1922" s="9" t="s">
        <v>1589</v>
      </c>
      <c r="G1922" s="9" t="s">
        <v>1606</v>
      </c>
      <c r="H1922" s="9" t="s">
        <v>174</v>
      </c>
      <c r="I1922" s="9" t="s">
        <v>3361</v>
      </c>
      <c r="J1922" s="9" t="s">
        <v>1597</v>
      </c>
      <c r="K1922" s="9">
        <v>1</v>
      </c>
      <c r="L1922" s="9">
        <v>19</v>
      </c>
      <c r="M1922" s="9">
        <v>1993</v>
      </c>
      <c r="O1922" s="9" t="str">
        <f t="shared" si="91"/>
        <v>NO</v>
      </c>
      <c r="P1922" s="9" t="str">
        <f t="shared" si="92"/>
        <v>NO</v>
      </c>
      <c r="Q1922" s="9" t="str">
        <f t="shared" si="93"/>
        <v>Unconditioned</v>
      </c>
    </row>
    <row r="1923" spans="1:17">
      <c r="A1923" s="9">
        <v>22699</v>
      </c>
      <c r="B1923" s="9">
        <v>1</v>
      </c>
      <c r="C1923" s="9" t="s">
        <v>1589</v>
      </c>
      <c r="D1923" s="9" t="s">
        <v>1590</v>
      </c>
      <c r="E1923" s="9" t="s">
        <v>1591</v>
      </c>
      <c r="F1923" s="9" t="s">
        <v>1589</v>
      </c>
      <c r="G1923" s="9" t="s">
        <v>1592</v>
      </c>
      <c r="H1923" s="9" t="s">
        <v>169</v>
      </c>
      <c r="I1923" s="9" t="s">
        <v>3362</v>
      </c>
      <c r="J1923" s="9" t="s">
        <v>1601</v>
      </c>
      <c r="K1923" s="9">
        <v>1</v>
      </c>
      <c r="L1923" s="9">
        <v>20</v>
      </c>
      <c r="M1923" s="9">
        <v>2005</v>
      </c>
      <c r="O1923" s="9" t="str">
        <f t="shared" si="91"/>
        <v>NO</v>
      </c>
      <c r="P1923" s="9" t="str">
        <f t="shared" si="92"/>
        <v>NO</v>
      </c>
      <c r="Q1923" s="9" t="str">
        <f t="shared" si="93"/>
        <v>Conditioned</v>
      </c>
    </row>
    <row r="1924" spans="1:17">
      <c r="A1924" s="9">
        <v>22699</v>
      </c>
      <c r="B1924" s="9">
        <v>2</v>
      </c>
      <c r="C1924" s="9" t="s">
        <v>1589</v>
      </c>
      <c r="D1924" s="9" t="s">
        <v>1590</v>
      </c>
      <c r="E1924" s="9" t="s">
        <v>1591</v>
      </c>
      <c r="F1924" s="9" t="s">
        <v>1589</v>
      </c>
      <c r="G1924" s="9" t="s">
        <v>1592</v>
      </c>
      <c r="H1924" s="9" t="s">
        <v>1900</v>
      </c>
      <c r="I1924" s="9" t="s">
        <v>1589</v>
      </c>
      <c r="J1924" s="9" t="s">
        <v>1605</v>
      </c>
      <c r="K1924" s="9">
        <v>1</v>
      </c>
      <c r="L1924" s="9">
        <v>10</v>
      </c>
      <c r="O1924" s="9" t="str">
        <f t="shared" si="91"/>
        <v>NO</v>
      </c>
      <c r="P1924" s="9" t="str">
        <f t="shared" si="92"/>
        <v>YES</v>
      </c>
      <c r="Q1924" s="9" t="str">
        <f t="shared" si="93"/>
        <v>Conditioned</v>
      </c>
    </row>
    <row r="1925" spans="1:17">
      <c r="A1925" s="9">
        <v>22699</v>
      </c>
      <c r="B1925" s="9">
        <v>3</v>
      </c>
      <c r="C1925" s="9" t="s">
        <v>1589</v>
      </c>
      <c r="D1925" s="9" t="s">
        <v>1590</v>
      </c>
      <c r="E1925" s="9" t="s">
        <v>1591</v>
      </c>
      <c r="F1925" s="9" t="s">
        <v>1589</v>
      </c>
      <c r="G1925" s="9" t="s">
        <v>1592</v>
      </c>
      <c r="H1925" s="9" t="s">
        <v>170</v>
      </c>
      <c r="I1925" s="9" t="s">
        <v>3363</v>
      </c>
      <c r="J1925" s="9" t="s">
        <v>1605</v>
      </c>
      <c r="K1925" s="9">
        <v>1</v>
      </c>
      <c r="L1925" s="9">
        <v>15</v>
      </c>
      <c r="M1925" s="9">
        <v>2008</v>
      </c>
      <c r="O1925" s="9" t="str">
        <f t="shared" si="91"/>
        <v>NO</v>
      </c>
      <c r="P1925" s="9" t="str">
        <f t="shared" si="92"/>
        <v>YES</v>
      </c>
      <c r="Q1925" s="9" t="str">
        <f t="shared" si="93"/>
        <v>Conditioned</v>
      </c>
    </row>
    <row r="1926" spans="1:17">
      <c r="A1926" s="9">
        <v>22701</v>
      </c>
      <c r="B1926" s="9">
        <v>1</v>
      </c>
      <c r="C1926" s="9" t="s">
        <v>1589</v>
      </c>
      <c r="D1926" s="9" t="s">
        <v>1590</v>
      </c>
      <c r="E1926" s="9" t="s">
        <v>1613</v>
      </c>
      <c r="F1926" s="9" t="s">
        <v>1603</v>
      </c>
      <c r="G1926" s="9" t="s">
        <v>1592</v>
      </c>
      <c r="H1926" s="9" t="s">
        <v>177</v>
      </c>
      <c r="I1926" s="9" t="s">
        <v>3364</v>
      </c>
      <c r="J1926" s="9" t="s">
        <v>1597</v>
      </c>
      <c r="K1926" s="9">
        <v>1</v>
      </c>
      <c r="L1926" s="9">
        <v>20</v>
      </c>
      <c r="M1926" s="9">
        <v>2003</v>
      </c>
      <c r="O1926" s="9" t="str">
        <f t="shared" si="91"/>
        <v>NO</v>
      </c>
      <c r="P1926" s="9" t="str">
        <f t="shared" si="92"/>
        <v>NO</v>
      </c>
      <c r="Q1926" s="9" t="str">
        <f t="shared" si="93"/>
        <v>Conditioned</v>
      </c>
    </row>
    <row r="1927" spans="1:17">
      <c r="A1927" s="9">
        <v>22701</v>
      </c>
      <c r="B1927" s="9">
        <v>2</v>
      </c>
      <c r="C1927" s="9" t="s">
        <v>1589</v>
      </c>
      <c r="D1927" s="9" t="s">
        <v>1590</v>
      </c>
      <c r="E1927" s="9" t="s">
        <v>1591</v>
      </c>
      <c r="F1927" s="9" t="s">
        <v>1589</v>
      </c>
      <c r="G1927" s="9" t="s">
        <v>1606</v>
      </c>
      <c r="H1927" s="9" t="s">
        <v>169</v>
      </c>
      <c r="I1927" s="9" t="s">
        <v>3365</v>
      </c>
      <c r="J1927" s="9" t="s">
        <v>1587</v>
      </c>
      <c r="K1927" s="9">
        <v>1</v>
      </c>
      <c r="L1927" s="9">
        <v>22</v>
      </c>
      <c r="M1927" s="9">
        <v>2007</v>
      </c>
      <c r="O1927" s="9" t="str">
        <f t="shared" si="91"/>
        <v>NO</v>
      </c>
      <c r="P1927" s="9" t="str">
        <f t="shared" si="92"/>
        <v>YES</v>
      </c>
      <c r="Q1927" s="9" t="str">
        <f t="shared" si="93"/>
        <v>Unconditioned</v>
      </c>
    </row>
    <row r="1928" spans="1:17">
      <c r="A1928" s="9">
        <v>22702</v>
      </c>
      <c r="B1928" s="9">
        <v>1</v>
      </c>
      <c r="C1928" s="9" t="s">
        <v>1589</v>
      </c>
      <c r="D1928" s="9" t="s">
        <v>1590</v>
      </c>
      <c r="E1928" s="9" t="s">
        <v>1602</v>
      </c>
      <c r="F1928" s="9" t="s">
        <v>1603</v>
      </c>
      <c r="G1928" s="9" t="s">
        <v>1592</v>
      </c>
      <c r="H1928" s="9" t="s">
        <v>177</v>
      </c>
      <c r="I1928" s="9" t="s">
        <v>3366</v>
      </c>
      <c r="J1928" s="9" t="s">
        <v>1601</v>
      </c>
      <c r="K1928" s="9">
        <v>1</v>
      </c>
      <c r="L1928" s="9">
        <v>25</v>
      </c>
      <c r="M1928" s="9">
        <v>2002</v>
      </c>
      <c r="O1928" s="9" t="str">
        <f t="shared" si="91"/>
        <v>NO</v>
      </c>
      <c r="P1928" s="9" t="str">
        <f t="shared" si="92"/>
        <v>NO</v>
      </c>
      <c r="Q1928" s="9" t="str">
        <f t="shared" si="93"/>
        <v>Conditioned</v>
      </c>
    </row>
    <row r="1929" spans="1:17">
      <c r="A1929" s="9">
        <v>22703</v>
      </c>
      <c r="B1929" s="9">
        <v>1</v>
      </c>
      <c r="C1929" s="9" t="s">
        <v>1589</v>
      </c>
      <c r="D1929" s="9" t="s">
        <v>1603</v>
      </c>
      <c r="E1929" s="9" t="s">
        <v>1602</v>
      </c>
      <c r="F1929" s="9" t="s">
        <v>1603</v>
      </c>
      <c r="G1929" s="9" t="s">
        <v>1592</v>
      </c>
      <c r="H1929" s="9" t="s">
        <v>1017</v>
      </c>
      <c r="I1929" s="9" t="s">
        <v>3367</v>
      </c>
      <c r="J1929" s="9" t="s">
        <v>1608</v>
      </c>
      <c r="K1929" s="9">
        <v>1</v>
      </c>
      <c r="L1929" s="9">
        <v>26</v>
      </c>
      <c r="M1929" s="9">
        <v>2010</v>
      </c>
      <c r="O1929" s="9" t="str">
        <f t="shared" si="91"/>
        <v>NO</v>
      </c>
      <c r="P1929" s="9" t="str">
        <f t="shared" si="92"/>
        <v>NO</v>
      </c>
      <c r="Q1929" s="9" t="str">
        <f t="shared" si="93"/>
        <v>Conditioned</v>
      </c>
    </row>
    <row r="1930" spans="1:17">
      <c r="A1930" s="9">
        <v>22703</v>
      </c>
      <c r="B1930" s="9">
        <v>2</v>
      </c>
      <c r="C1930" s="9" t="s">
        <v>1589</v>
      </c>
      <c r="D1930" s="9" t="s">
        <v>1590</v>
      </c>
      <c r="E1930" s="9" t="s">
        <v>1591</v>
      </c>
      <c r="F1930" s="9" t="s">
        <v>1589</v>
      </c>
      <c r="G1930" s="9" t="s">
        <v>1606</v>
      </c>
      <c r="H1930" s="9" t="s">
        <v>169</v>
      </c>
      <c r="I1930" s="9" t="s">
        <v>3368</v>
      </c>
      <c r="J1930" s="9" t="s">
        <v>1605</v>
      </c>
      <c r="K1930" s="9">
        <v>1</v>
      </c>
      <c r="L1930" s="9">
        <v>16</v>
      </c>
      <c r="M1930" s="9">
        <v>2009</v>
      </c>
      <c r="O1930" s="9" t="str">
        <f t="shared" si="91"/>
        <v>NO</v>
      </c>
      <c r="P1930" s="9" t="str">
        <f t="shared" si="92"/>
        <v>YES</v>
      </c>
      <c r="Q1930" s="9" t="str">
        <f t="shared" si="93"/>
        <v>Unconditioned</v>
      </c>
    </row>
    <row r="1931" spans="1:17">
      <c r="A1931" s="9">
        <v>22705</v>
      </c>
      <c r="B1931" s="9">
        <v>1</v>
      </c>
      <c r="C1931" s="9" t="s">
        <v>1589</v>
      </c>
      <c r="D1931" s="9" t="s">
        <v>1590</v>
      </c>
      <c r="E1931" s="9" t="s">
        <v>1591</v>
      </c>
      <c r="F1931" s="9" t="s">
        <v>1589</v>
      </c>
      <c r="G1931" s="9" t="s">
        <v>1592</v>
      </c>
      <c r="H1931" s="9" t="s">
        <v>1638</v>
      </c>
      <c r="I1931" s="9" t="s">
        <v>3369</v>
      </c>
      <c r="J1931" s="9" t="s">
        <v>1597</v>
      </c>
      <c r="K1931" s="9">
        <v>1</v>
      </c>
      <c r="L1931" s="9">
        <v>23</v>
      </c>
      <c r="M1931" s="9">
        <v>2010</v>
      </c>
      <c r="O1931" s="9" t="str">
        <f t="shared" si="91"/>
        <v>NO</v>
      </c>
      <c r="P1931" s="9" t="str">
        <f t="shared" si="92"/>
        <v>NO</v>
      </c>
      <c r="Q1931" s="9" t="str">
        <f t="shared" si="93"/>
        <v>Conditioned</v>
      </c>
    </row>
    <row r="1932" spans="1:17">
      <c r="A1932" s="9">
        <v>22705</v>
      </c>
      <c r="B1932" s="9">
        <v>2</v>
      </c>
      <c r="C1932" s="9" t="s">
        <v>1589</v>
      </c>
      <c r="D1932" s="9" t="s">
        <v>1590</v>
      </c>
      <c r="E1932" s="9" t="s">
        <v>1591</v>
      </c>
      <c r="F1932" s="9" t="s">
        <v>1589</v>
      </c>
      <c r="G1932" s="9" t="s">
        <v>1592</v>
      </c>
      <c r="H1932" s="9" t="s">
        <v>170</v>
      </c>
      <c r="I1932" s="9" t="s">
        <v>3370</v>
      </c>
      <c r="J1932" s="9" t="s">
        <v>1597</v>
      </c>
      <c r="K1932" s="9">
        <v>1</v>
      </c>
      <c r="L1932" s="9">
        <v>18</v>
      </c>
      <c r="M1932" s="9">
        <v>1987</v>
      </c>
      <c r="O1932" s="9" t="str">
        <f t="shared" si="91"/>
        <v>NO</v>
      </c>
      <c r="P1932" s="9" t="str">
        <f t="shared" si="92"/>
        <v>NO</v>
      </c>
      <c r="Q1932" s="9" t="str">
        <f t="shared" si="93"/>
        <v>Conditioned</v>
      </c>
    </row>
    <row r="1933" spans="1:17">
      <c r="A1933" s="9">
        <v>22705</v>
      </c>
      <c r="B1933" s="9">
        <v>3</v>
      </c>
      <c r="C1933" s="9" t="s">
        <v>1589</v>
      </c>
      <c r="D1933" s="9" t="s">
        <v>1590</v>
      </c>
      <c r="E1933" s="9" t="s">
        <v>1591</v>
      </c>
      <c r="F1933" s="9" t="s">
        <v>1589</v>
      </c>
      <c r="G1933" s="9" t="s">
        <v>1592</v>
      </c>
      <c r="H1933" s="9" t="s">
        <v>169</v>
      </c>
      <c r="I1933" s="9" t="s">
        <v>3371</v>
      </c>
      <c r="J1933" s="9" t="s">
        <v>1605</v>
      </c>
      <c r="K1933" s="9">
        <v>1</v>
      </c>
      <c r="L1933" s="9">
        <v>20</v>
      </c>
      <c r="M1933" s="9">
        <v>2007</v>
      </c>
      <c r="O1933" s="9" t="str">
        <f t="shared" si="91"/>
        <v>NO</v>
      </c>
      <c r="P1933" s="9" t="str">
        <f t="shared" si="92"/>
        <v>YES</v>
      </c>
      <c r="Q1933" s="9" t="str">
        <f t="shared" si="93"/>
        <v>Conditioned</v>
      </c>
    </row>
    <row r="1934" spans="1:17">
      <c r="A1934" s="9">
        <v>22705</v>
      </c>
      <c r="B1934" s="9">
        <v>4</v>
      </c>
      <c r="C1934" s="9" t="s">
        <v>1589</v>
      </c>
      <c r="D1934" s="9" t="s">
        <v>1590</v>
      </c>
      <c r="E1934" s="9" t="s">
        <v>1591</v>
      </c>
      <c r="F1934" s="9" t="s">
        <v>1589</v>
      </c>
      <c r="G1934" s="9" t="s">
        <v>1592</v>
      </c>
      <c r="H1934" s="9" t="s">
        <v>169</v>
      </c>
      <c r="I1934" s="9" t="s">
        <v>3372</v>
      </c>
      <c r="J1934" s="9" t="s">
        <v>1605</v>
      </c>
      <c r="K1934" s="9">
        <v>1</v>
      </c>
      <c r="L1934" s="9">
        <v>15</v>
      </c>
      <c r="M1934" s="9">
        <v>2008</v>
      </c>
      <c r="O1934" s="9" t="str">
        <f t="shared" si="91"/>
        <v>NO</v>
      </c>
      <c r="P1934" s="9" t="str">
        <f t="shared" si="92"/>
        <v>YES</v>
      </c>
      <c r="Q1934" s="9" t="str">
        <f t="shared" si="93"/>
        <v>Conditioned</v>
      </c>
    </row>
    <row r="1935" spans="1:17">
      <c r="A1935" s="9">
        <v>22705</v>
      </c>
      <c r="B1935" s="9">
        <v>5</v>
      </c>
      <c r="C1935" s="9" t="s">
        <v>1589</v>
      </c>
      <c r="D1935" s="9" t="s">
        <v>1590</v>
      </c>
      <c r="E1935" s="9" t="s">
        <v>1591</v>
      </c>
      <c r="F1935" s="9" t="s">
        <v>1589</v>
      </c>
      <c r="G1935" s="9" t="s">
        <v>1592</v>
      </c>
      <c r="H1935" s="9" t="s">
        <v>1766</v>
      </c>
      <c r="I1935" s="9" t="s">
        <v>3373</v>
      </c>
      <c r="J1935" s="9" t="s">
        <v>1605</v>
      </c>
      <c r="K1935" s="9">
        <v>1</v>
      </c>
      <c r="L1935" s="9">
        <v>10</v>
      </c>
      <c r="M1935" s="9">
        <v>1995</v>
      </c>
      <c r="O1935" s="9" t="str">
        <f t="shared" si="91"/>
        <v>NO</v>
      </c>
      <c r="P1935" s="9" t="str">
        <f t="shared" si="92"/>
        <v>YES</v>
      </c>
      <c r="Q1935" s="9" t="str">
        <f t="shared" si="93"/>
        <v>Conditioned</v>
      </c>
    </row>
    <row r="1936" spans="1:17">
      <c r="A1936" s="9">
        <v>22721</v>
      </c>
      <c r="B1936" s="9">
        <v>1</v>
      </c>
      <c r="C1936" s="9" t="s">
        <v>1589</v>
      </c>
      <c r="D1936" s="9" t="s">
        <v>1590</v>
      </c>
      <c r="E1936" s="9" t="s">
        <v>1591</v>
      </c>
      <c r="F1936" s="9" t="s">
        <v>1589</v>
      </c>
      <c r="G1936" s="9" t="s">
        <v>1592</v>
      </c>
      <c r="H1936" s="9" t="s">
        <v>177</v>
      </c>
      <c r="I1936" s="9" t="s">
        <v>3374</v>
      </c>
      <c r="J1936" s="9" t="s">
        <v>1597</v>
      </c>
      <c r="K1936" s="9">
        <v>1</v>
      </c>
      <c r="L1936" s="9">
        <v>19</v>
      </c>
      <c r="M1936" s="9">
        <v>2006</v>
      </c>
      <c r="O1936" s="9" t="str">
        <f t="shared" si="91"/>
        <v>NO</v>
      </c>
      <c r="P1936" s="9" t="str">
        <f t="shared" si="92"/>
        <v>NO</v>
      </c>
      <c r="Q1936" s="9" t="str">
        <f t="shared" si="93"/>
        <v>Conditioned</v>
      </c>
    </row>
    <row r="1937" spans="1:17">
      <c r="A1937" s="9">
        <v>22724</v>
      </c>
      <c r="B1937" s="9">
        <v>1</v>
      </c>
      <c r="C1937" s="9" t="s">
        <v>1589</v>
      </c>
      <c r="D1937" s="9" t="s">
        <v>1590</v>
      </c>
      <c r="E1937" s="9" t="s">
        <v>1591</v>
      </c>
      <c r="F1937" s="9" t="s">
        <v>1589</v>
      </c>
      <c r="G1937" s="9" t="s">
        <v>1592</v>
      </c>
      <c r="H1937" s="9" t="s">
        <v>172</v>
      </c>
      <c r="I1937" s="9" t="s">
        <v>3375</v>
      </c>
      <c r="J1937" s="9" t="s">
        <v>1597</v>
      </c>
      <c r="K1937" s="9">
        <v>1</v>
      </c>
      <c r="L1937" s="9">
        <v>17</v>
      </c>
      <c r="M1937" s="9">
        <v>2007</v>
      </c>
      <c r="O1937" s="9" t="str">
        <f t="shared" si="91"/>
        <v>NO</v>
      </c>
      <c r="P1937" s="9" t="str">
        <f t="shared" si="92"/>
        <v>NO</v>
      </c>
      <c r="Q1937" s="9" t="str">
        <f t="shared" si="93"/>
        <v>Conditioned</v>
      </c>
    </row>
    <row r="1938" spans="1:17">
      <c r="A1938" s="9">
        <v>22724</v>
      </c>
      <c r="B1938" s="9">
        <v>2</v>
      </c>
      <c r="C1938" s="9" t="s">
        <v>1589</v>
      </c>
      <c r="D1938" s="9" t="s">
        <v>1590</v>
      </c>
      <c r="E1938" s="9" t="s">
        <v>1591</v>
      </c>
      <c r="F1938" s="9" t="s">
        <v>1589</v>
      </c>
      <c r="G1938" s="9" t="s">
        <v>1592</v>
      </c>
      <c r="H1938" s="9" t="s">
        <v>170</v>
      </c>
      <c r="I1938" s="9" t="s">
        <v>3376</v>
      </c>
      <c r="J1938" s="9" t="s">
        <v>1587</v>
      </c>
      <c r="K1938" s="9">
        <v>1</v>
      </c>
      <c r="L1938" s="9">
        <v>8</v>
      </c>
      <c r="O1938" s="9" t="str">
        <f t="shared" si="91"/>
        <v>NO</v>
      </c>
      <c r="P1938" s="9" t="str">
        <f t="shared" si="92"/>
        <v>YES</v>
      </c>
      <c r="Q1938" s="9" t="str">
        <f t="shared" si="93"/>
        <v>Conditioned</v>
      </c>
    </row>
    <row r="1939" spans="1:17">
      <c r="A1939" s="9">
        <v>22728</v>
      </c>
      <c r="B1939" s="9">
        <v>1</v>
      </c>
      <c r="C1939" s="9" t="s">
        <v>1589</v>
      </c>
      <c r="D1939" s="9" t="s">
        <v>1590</v>
      </c>
      <c r="E1939" s="9" t="s">
        <v>1613</v>
      </c>
      <c r="F1939" s="9" t="s">
        <v>1603</v>
      </c>
      <c r="G1939" s="9" t="s">
        <v>1592</v>
      </c>
      <c r="H1939" s="9" t="s">
        <v>177</v>
      </c>
      <c r="I1939" s="9" t="s">
        <v>3377</v>
      </c>
      <c r="J1939" s="9" t="s">
        <v>1597</v>
      </c>
      <c r="K1939" s="9">
        <v>1</v>
      </c>
      <c r="L1939" s="9">
        <v>21</v>
      </c>
      <c r="M1939" s="9">
        <v>2007</v>
      </c>
      <c r="O1939" s="9" t="str">
        <f t="shared" si="91"/>
        <v>NO</v>
      </c>
      <c r="P1939" s="9" t="str">
        <f t="shared" si="92"/>
        <v>NO</v>
      </c>
      <c r="Q1939" s="9" t="str">
        <f t="shared" si="93"/>
        <v>Conditioned</v>
      </c>
    </row>
    <row r="1940" spans="1:17">
      <c r="A1940" s="9">
        <v>22733</v>
      </c>
      <c r="B1940" s="9">
        <v>1</v>
      </c>
      <c r="C1940" s="9" t="s">
        <v>1589</v>
      </c>
      <c r="D1940" s="9" t="s">
        <v>1590</v>
      </c>
      <c r="E1940" s="9" t="s">
        <v>1613</v>
      </c>
      <c r="F1940" s="9" t="s">
        <v>1603</v>
      </c>
      <c r="G1940" s="9" t="s">
        <v>1592</v>
      </c>
      <c r="H1940" s="9" t="s">
        <v>170</v>
      </c>
      <c r="I1940" s="9" t="s">
        <v>3378</v>
      </c>
      <c r="J1940" s="9" t="s">
        <v>1597</v>
      </c>
      <c r="K1940" s="9">
        <v>1</v>
      </c>
      <c r="L1940" s="9">
        <v>21</v>
      </c>
      <c r="M1940" s="9">
        <v>1989</v>
      </c>
      <c r="O1940" s="9" t="str">
        <f t="shared" si="91"/>
        <v>NO</v>
      </c>
      <c r="P1940" s="9" t="str">
        <f t="shared" si="92"/>
        <v>NO</v>
      </c>
      <c r="Q1940" s="9" t="str">
        <f t="shared" si="93"/>
        <v>Conditioned</v>
      </c>
    </row>
    <row r="1941" spans="1:17">
      <c r="A1941" s="9">
        <v>22733</v>
      </c>
      <c r="B1941" s="9">
        <v>2</v>
      </c>
      <c r="C1941" s="9" t="s">
        <v>1589</v>
      </c>
      <c r="D1941" s="9" t="s">
        <v>1590</v>
      </c>
      <c r="E1941" s="9" t="s">
        <v>1591</v>
      </c>
      <c r="F1941" s="9" t="s">
        <v>1589</v>
      </c>
      <c r="G1941" s="9" t="s">
        <v>1592</v>
      </c>
      <c r="H1941" s="9" t="s">
        <v>1552</v>
      </c>
      <c r="I1941" s="9" t="s">
        <v>3379</v>
      </c>
      <c r="J1941" s="9" t="s">
        <v>1605</v>
      </c>
      <c r="K1941" s="9">
        <v>1</v>
      </c>
      <c r="L1941" s="9">
        <v>21</v>
      </c>
      <c r="M1941" s="9">
        <v>1985</v>
      </c>
      <c r="O1941" s="9" t="str">
        <f t="shared" si="91"/>
        <v>NO</v>
      </c>
      <c r="P1941" s="9" t="str">
        <f t="shared" si="92"/>
        <v>YES</v>
      </c>
      <c r="Q1941" s="9" t="str">
        <f t="shared" si="93"/>
        <v>Conditioned</v>
      </c>
    </row>
    <row r="1942" spans="1:17">
      <c r="A1942" s="9">
        <v>22739</v>
      </c>
      <c r="B1942" s="9">
        <v>1</v>
      </c>
      <c r="C1942" s="9" t="s">
        <v>1589</v>
      </c>
      <c r="D1942" s="9" t="s">
        <v>1590</v>
      </c>
      <c r="E1942" s="9" t="s">
        <v>1602</v>
      </c>
      <c r="F1942" s="9" t="s">
        <v>1603</v>
      </c>
      <c r="G1942" s="9" t="s">
        <v>1592</v>
      </c>
      <c r="H1942" s="9" t="s">
        <v>174</v>
      </c>
      <c r="I1942" s="9" t="s">
        <v>3380</v>
      </c>
      <c r="J1942" s="9" t="s">
        <v>1601</v>
      </c>
      <c r="K1942" s="9">
        <v>1</v>
      </c>
      <c r="L1942" s="9">
        <v>19</v>
      </c>
      <c r="M1942" s="9">
        <v>1994</v>
      </c>
      <c r="O1942" s="9" t="str">
        <f t="shared" si="91"/>
        <v>NO</v>
      </c>
      <c r="P1942" s="9" t="str">
        <f t="shared" si="92"/>
        <v>NO</v>
      </c>
      <c r="Q1942" s="9" t="str">
        <f t="shared" si="93"/>
        <v>Conditioned</v>
      </c>
    </row>
    <row r="1943" spans="1:17">
      <c r="A1943" s="9">
        <v>22739</v>
      </c>
      <c r="B1943" s="9">
        <v>2</v>
      </c>
      <c r="C1943" s="9" t="s">
        <v>1589</v>
      </c>
      <c r="D1943" s="9" t="s">
        <v>1590</v>
      </c>
      <c r="E1943" s="9" t="s">
        <v>1591</v>
      </c>
      <c r="F1943" s="9" t="s">
        <v>1589</v>
      </c>
      <c r="G1943" s="9" t="s">
        <v>1592</v>
      </c>
      <c r="H1943" s="9" t="s">
        <v>1624</v>
      </c>
      <c r="I1943" s="9" t="s">
        <v>3381</v>
      </c>
      <c r="J1943" s="9" t="s">
        <v>1597</v>
      </c>
      <c r="K1943" s="9">
        <v>1</v>
      </c>
      <c r="L1943" s="9">
        <v>18</v>
      </c>
      <c r="M1943" s="9">
        <v>1991</v>
      </c>
      <c r="O1943" s="9" t="str">
        <f t="shared" ref="O1943:O2006" si="94">IF(L1943&lt;7.75,"YES","NO")</f>
        <v>NO</v>
      </c>
      <c r="P1943" s="9" t="str">
        <f t="shared" ref="P1943:P2006" si="95">VLOOKUP(J1943,$Z$21:$AA$27,2,FALSE)</f>
        <v>NO</v>
      </c>
      <c r="Q1943" s="9" t="str">
        <f t="shared" ref="Q1943:Q2006" si="96">G1943</f>
        <v>Conditioned</v>
      </c>
    </row>
    <row r="1944" spans="1:17">
      <c r="A1944" s="9">
        <v>22743</v>
      </c>
      <c r="B1944" s="9">
        <v>1</v>
      </c>
      <c r="C1944" s="9" t="s">
        <v>1589</v>
      </c>
      <c r="D1944" s="9" t="s">
        <v>1590</v>
      </c>
      <c r="E1944" s="9" t="s">
        <v>1591</v>
      </c>
      <c r="F1944" s="9" t="s">
        <v>1589</v>
      </c>
      <c r="G1944" s="9" t="s">
        <v>1592</v>
      </c>
      <c r="H1944" s="9" t="s">
        <v>170</v>
      </c>
      <c r="I1944" s="9" t="s">
        <v>3382</v>
      </c>
      <c r="J1944" s="9" t="s">
        <v>1587</v>
      </c>
      <c r="K1944" s="9">
        <v>1</v>
      </c>
      <c r="L1944" s="9">
        <v>10</v>
      </c>
      <c r="M1944" s="9">
        <v>1991</v>
      </c>
      <c r="O1944" s="9" t="str">
        <f t="shared" si="94"/>
        <v>NO</v>
      </c>
      <c r="P1944" s="9" t="str">
        <f t="shared" si="95"/>
        <v>YES</v>
      </c>
      <c r="Q1944" s="9" t="str">
        <f t="shared" si="96"/>
        <v>Conditioned</v>
      </c>
    </row>
    <row r="1945" spans="1:17">
      <c r="A1945" s="9">
        <v>22743</v>
      </c>
      <c r="B1945" s="9">
        <v>2</v>
      </c>
      <c r="C1945" s="9" t="s">
        <v>1589</v>
      </c>
      <c r="D1945" s="9" t="s">
        <v>1590</v>
      </c>
      <c r="E1945" s="9" t="s">
        <v>1591</v>
      </c>
      <c r="F1945" s="9" t="s">
        <v>1589</v>
      </c>
      <c r="G1945" s="9" t="s">
        <v>1592</v>
      </c>
      <c r="H1945" s="9" t="s">
        <v>174</v>
      </c>
      <c r="I1945" s="9" t="s">
        <v>1837</v>
      </c>
      <c r="J1945" s="9" t="s">
        <v>1597</v>
      </c>
      <c r="K1945" s="9">
        <v>1</v>
      </c>
      <c r="L1945" s="9">
        <v>18</v>
      </c>
      <c r="M1945" s="9">
        <v>1985</v>
      </c>
      <c r="O1945" s="9" t="str">
        <f t="shared" si="94"/>
        <v>NO</v>
      </c>
      <c r="P1945" s="9" t="str">
        <f t="shared" si="95"/>
        <v>NO</v>
      </c>
      <c r="Q1945" s="9" t="str">
        <f t="shared" si="96"/>
        <v>Conditioned</v>
      </c>
    </row>
    <row r="1946" spans="1:17">
      <c r="A1946" s="9">
        <v>22751</v>
      </c>
      <c r="B1946" s="9">
        <v>1</v>
      </c>
      <c r="C1946" s="9" t="s">
        <v>1589</v>
      </c>
      <c r="D1946" s="9" t="s">
        <v>1590</v>
      </c>
      <c r="E1946" s="9" t="s">
        <v>1613</v>
      </c>
      <c r="F1946" s="9" t="s">
        <v>1590</v>
      </c>
      <c r="G1946" s="9" t="s">
        <v>1592</v>
      </c>
      <c r="H1946" s="9" t="s">
        <v>177</v>
      </c>
      <c r="I1946" s="9" t="s">
        <v>3383</v>
      </c>
      <c r="J1946" s="9" t="s">
        <v>1597</v>
      </c>
      <c r="K1946" s="9">
        <v>1</v>
      </c>
      <c r="L1946" s="9">
        <v>22</v>
      </c>
      <c r="M1946" s="9">
        <v>1995</v>
      </c>
      <c r="O1946" s="9" t="str">
        <f t="shared" si="94"/>
        <v>NO</v>
      </c>
      <c r="P1946" s="9" t="str">
        <f t="shared" si="95"/>
        <v>NO</v>
      </c>
      <c r="Q1946" s="9" t="str">
        <f t="shared" si="96"/>
        <v>Conditioned</v>
      </c>
    </row>
    <row r="1947" spans="1:17">
      <c r="A1947" s="9">
        <v>22756</v>
      </c>
      <c r="B1947" s="9">
        <v>1</v>
      </c>
      <c r="C1947" s="9" t="s">
        <v>1589</v>
      </c>
      <c r="D1947" s="9" t="s">
        <v>1590</v>
      </c>
      <c r="E1947" s="9" t="s">
        <v>1602</v>
      </c>
      <c r="F1947" s="9" t="s">
        <v>1603</v>
      </c>
      <c r="G1947" s="9" t="s">
        <v>1592</v>
      </c>
      <c r="H1947" s="9" t="s">
        <v>170</v>
      </c>
      <c r="I1947" s="9" t="s">
        <v>3384</v>
      </c>
      <c r="J1947" s="9" t="s">
        <v>1601</v>
      </c>
      <c r="K1947" s="9">
        <v>1</v>
      </c>
      <c r="L1947" s="9">
        <v>22</v>
      </c>
      <c r="M1947" s="9">
        <v>1994</v>
      </c>
      <c r="O1947" s="9" t="str">
        <f t="shared" si="94"/>
        <v>NO</v>
      </c>
      <c r="P1947" s="9" t="str">
        <f t="shared" si="95"/>
        <v>NO</v>
      </c>
      <c r="Q1947" s="9" t="str">
        <f t="shared" si="96"/>
        <v>Conditioned</v>
      </c>
    </row>
    <row r="1948" spans="1:17">
      <c r="A1948" s="9">
        <v>22767</v>
      </c>
      <c r="B1948" s="9">
        <v>1</v>
      </c>
      <c r="C1948" s="9" t="s">
        <v>1589</v>
      </c>
      <c r="D1948" s="9" t="s">
        <v>1590</v>
      </c>
      <c r="E1948" s="9" t="s">
        <v>1602</v>
      </c>
      <c r="F1948" s="9" t="s">
        <v>1603</v>
      </c>
      <c r="G1948" s="9" t="s">
        <v>1592</v>
      </c>
      <c r="H1948" s="9" t="s">
        <v>170</v>
      </c>
      <c r="I1948" s="9" t="s">
        <v>3385</v>
      </c>
      <c r="J1948" s="9" t="s">
        <v>1601</v>
      </c>
      <c r="K1948" s="9">
        <v>1</v>
      </c>
      <c r="L1948" s="9">
        <v>22</v>
      </c>
      <c r="M1948" s="9">
        <v>2002</v>
      </c>
      <c r="O1948" s="9" t="str">
        <f t="shared" si="94"/>
        <v>NO</v>
      </c>
      <c r="P1948" s="9" t="str">
        <f t="shared" si="95"/>
        <v>NO</v>
      </c>
      <c r="Q1948" s="9" t="str">
        <f t="shared" si="96"/>
        <v>Conditioned</v>
      </c>
    </row>
    <row r="1949" spans="1:17">
      <c r="A1949" s="9">
        <v>22767</v>
      </c>
      <c r="B1949" s="9">
        <v>2</v>
      </c>
      <c r="C1949" s="9" t="s">
        <v>3386</v>
      </c>
      <c r="D1949" s="9" t="s">
        <v>1590</v>
      </c>
      <c r="E1949" s="9" t="s">
        <v>1591</v>
      </c>
      <c r="F1949" s="9" t="s">
        <v>1589</v>
      </c>
      <c r="G1949" s="9" t="s">
        <v>1606</v>
      </c>
      <c r="H1949" s="9" t="s">
        <v>1900</v>
      </c>
      <c r="I1949" s="9" t="s">
        <v>1589</v>
      </c>
      <c r="J1949" s="9" t="s">
        <v>1587</v>
      </c>
      <c r="K1949" s="9">
        <v>1</v>
      </c>
      <c r="L1949" s="9">
        <v>23</v>
      </c>
      <c r="O1949" s="9" t="str">
        <f t="shared" si="94"/>
        <v>NO</v>
      </c>
      <c r="P1949" s="9" t="str">
        <f t="shared" si="95"/>
        <v>YES</v>
      </c>
      <c r="Q1949" s="9" t="str">
        <f t="shared" si="96"/>
        <v>Unconditioned</v>
      </c>
    </row>
    <row r="1950" spans="1:17">
      <c r="A1950" s="9">
        <v>22767</v>
      </c>
      <c r="B1950" s="9">
        <v>3</v>
      </c>
      <c r="C1950" s="9" t="s">
        <v>1589</v>
      </c>
      <c r="D1950" s="9" t="s">
        <v>1590</v>
      </c>
      <c r="E1950" s="9" t="s">
        <v>1591</v>
      </c>
      <c r="F1950" s="9" t="s">
        <v>1589</v>
      </c>
      <c r="G1950" s="9" t="s">
        <v>1592</v>
      </c>
      <c r="H1950" s="9" t="s">
        <v>169</v>
      </c>
      <c r="I1950" s="9" t="s">
        <v>3387</v>
      </c>
      <c r="J1950" s="9" t="s">
        <v>1597</v>
      </c>
      <c r="K1950" s="9">
        <v>1</v>
      </c>
      <c r="L1950" s="9">
        <v>22</v>
      </c>
      <c r="M1950" s="9">
        <v>2008</v>
      </c>
      <c r="O1950" s="9" t="str">
        <f t="shared" si="94"/>
        <v>NO</v>
      </c>
      <c r="P1950" s="9" t="str">
        <f t="shared" si="95"/>
        <v>NO</v>
      </c>
      <c r="Q1950" s="9" t="str">
        <f t="shared" si="96"/>
        <v>Conditioned</v>
      </c>
    </row>
    <row r="1951" spans="1:17">
      <c r="A1951" s="9">
        <v>22774</v>
      </c>
      <c r="B1951" s="9">
        <v>1</v>
      </c>
      <c r="C1951" s="9" t="s">
        <v>1589</v>
      </c>
      <c r="D1951" s="9" t="s">
        <v>1603</v>
      </c>
      <c r="E1951" s="9" t="s">
        <v>1591</v>
      </c>
      <c r="F1951" s="9" t="s">
        <v>1589</v>
      </c>
      <c r="G1951" s="9" t="s">
        <v>1592</v>
      </c>
      <c r="H1951" s="9" t="s">
        <v>1638</v>
      </c>
      <c r="I1951" s="9" t="s">
        <v>3388</v>
      </c>
      <c r="J1951" s="9" t="s">
        <v>1610</v>
      </c>
      <c r="K1951" s="9">
        <v>1</v>
      </c>
      <c r="L1951" s="9">
        <v>26</v>
      </c>
      <c r="M1951" s="9">
        <v>2003</v>
      </c>
      <c r="O1951" s="9" t="str">
        <f t="shared" si="94"/>
        <v>NO</v>
      </c>
      <c r="P1951" s="9" t="str">
        <f t="shared" si="95"/>
        <v>NO</v>
      </c>
      <c r="Q1951" s="9" t="str">
        <f t="shared" si="96"/>
        <v>Conditioned</v>
      </c>
    </row>
    <row r="1952" spans="1:17">
      <c r="A1952" s="9">
        <v>22785</v>
      </c>
      <c r="B1952" s="9">
        <v>1</v>
      </c>
      <c r="C1952" s="9" t="s">
        <v>1589</v>
      </c>
      <c r="D1952" s="9" t="s">
        <v>1590</v>
      </c>
      <c r="E1952" s="9" t="s">
        <v>1591</v>
      </c>
      <c r="F1952" s="9" t="s">
        <v>1589</v>
      </c>
      <c r="G1952" s="9" t="s">
        <v>1592</v>
      </c>
      <c r="H1952" s="9" t="s">
        <v>174</v>
      </c>
      <c r="I1952" s="9" t="s">
        <v>3389</v>
      </c>
      <c r="J1952" s="9" t="s">
        <v>1608</v>
      </c>
      <c r="K1952" s="9">
        <v>1</v>
      </c>
      <c r="L1952" s="9">
        <v>22</v>
      </c>
      <c r="M1952" s="9">
        <v>1997</v>
      </c>
      <c r="O1952" s="9" t="str">
        <f t="shared" si="94"/>
        <v>NO</v>
      </c>
      <c r="P1952" s="9" t="str">
        <f t="shared" si="95"/>
        <v>NO</v>
      </c>
      <c r="Q1952" s="9" t="str">
        <f t="shared" si="96"/>
        <v>Conditioned</v>
      </c>
    </row>
    <row r="1953" spans="1:17">
      <c r="A1953" s="9">
        <v>22787</v>
      </c>
      <c r="B1953" s="9">
        <v>1</v>
      </c>
      <c r="C1953" s="9" t="s">
        <v>1589</v>
      </c>
      <c r="D1953" s="9" t="s">
        <v>1590</v>
      </c>
      <c r="E1953" s="9" t="s">
        <v>1591</v>
      </c>
      <c r="F1953" s="9" t="s">
        <v>1589</v>
      </c>
      <c r="G1953" s="9" t="s">
        <v>1592</v>
      </c>
      <c r="H1953" s="9" t="s">
        <v>169</v>
      </c>
      <c r="I1953" s="9" t="s">
        <v>3390</v>
      </c>
      <c r="J1953" s="9" t="s">
        <v>1597</v>
      </c>
      <c r="K1953" s="9">
        <v>1</v>
      </c>
      <c r="L1953" s="9">
        <v>18</v>
      </c>
      <c r="M1953" s="9">
        <v>2008</v>
      </c>
      <c r="O1953" s="9" t="str">
        <f t="shared" si="94"/>
        <v>NO</v>
      </c>
      <c r="P1953" s="9" t="str">
        <f t="shared" si="95"/>
        <v>NO</v>
      </c>
      <c r="Q1953" s="9" t="str">
        <f t="shared" si="96"/>
        <v>Conditioned</v>
      </c>
    </row>
    <row r="1954" spans="1:17">
      <c r="A1954" s="9">
        <v>22787</v>
      </c>
      <c r="B1954" s="9">
        <v>2</v>
      </c>
      <c r="C1954" s="9" t="s">
        <v>1589</v>
      </c>
      <c r="D1954" s="9" t="s">
        <v>1590</v>
      </c>
      <c r="E1954" s="9" t="s">
        <v>1591</v>
      </c>
      <c r="F1954" s="9" t="s">
        <v>1589</v>
      </c>
      <c r="G1954" s="9" t="s">
        <v>1606</v>
      </c>
      <c r="H1954" s="9" t="s">
        <v>1638</v>
      </c>
      <c r="I1954" s="9" t="s">
        <v>3391</v>
      </c>
      <c r="J1954" s="9" t="s">
        <v>1597</v>
      </c>
      <c r="K1954" s="9">
        <v>1</v>
      </c>
      <c r="L1954" s="9">
        <v>18</v>
      </c>
      <c r="M1954" s="9">
        <v>1991</v>
      </c>
      <c r="O1954" s="9" t="str">
        <f t="shared" si="94"/>
        <v>NO</v>
      </c>
      <c r="P1954" s="9" t="str">
        <f t="shared" si="95"/>
        <v>NO</v>
      </c>
      <c r="Q1954" s="9" t="str">
        <f t="shared" si="96"/>
        <v>Unconditioned</v>
      </c>
    </row>
    <row r="1955" spans="1:17">
      <c r="A1955" s="9">
        <v>22787</v>
      </c>
      <c r="B1955" s="9">
        <v>3</v>
      </c>
      <c r="C1955" s="9" t="s">
        <v>1589</v>
      </c>
      <c r="D1955" s="9" t="s">
        <v>1590</v>
      </c>
      <c r="E1955" s="9" t="s">
        <v>1591</v>
      </c>
      <c r="F1955" s="9" t="s">
        <v>1589</v>
      </c>
      <c r="G1955" s="9" t="s">
        <v>1606</v>
      </c>
      <c r="H1955" s="9" t="s">
        <v>181</v>
      </c>
      <c r="I1955" s="9" t="s">
        <v>1589</v>
      </c>
      <c r="J1955" s="9" t="s">
        <v>1587</v>
      </c>
      <c r="K1955" s="9">
        <v>1</v>
      </c>
      <c r="L1955" s="9">
        <v>8</v>
      </c>
      <c r="O1955" s="9" t="str">
        <f t="shared" si="94"/>
        <v>NO</v>
      </c>
      <c r="P1955" s="9" t="str">
        <f t="shared" si="95"/>
        <v>YES</v>
      </c>
      <c r="Q1955" s="9" t="str">
        <f t="shared" si="96"/>
        <v>Unconditioned</v>
      </c>
    </row>
    <row r="1956" spans="1:17">
      <c r="A1956" s="9">
        <v>22787</v>
      </c>
      <c r="B1956" s="9">
        <v>4</v>
      </c>
      <c r="C1956" s="9" t="s">
        <v>1589</v>
      </c>
      <c r="D1956" s="9" t="s">
        <v>1590</v>
      </c>
      <c r="E1956" s="9" t="s">
        <v>1591</v>
      </c>
      <c r="F1956" s="9" t="s">
        <v>1589</v>
      </c>
      <c r="G1956" s="9" t="s">
        <v>1606</v>
      </c>
      <c r="H1956" s="9" t="s">
        <v>169</v>
      </c>
      <c r="I1956" s="9" t="s">
        <v>1589</v>
      </c>
      <c r="J1956" s="9" t="s">
        <v>1587</v>
      </c>
      <c r="K1956" s="9">
        <v>1</v>
      </c>
      <c r="L1956" s="9">
        <v>18</v>
      </c>
      <c r="M1956" s="9">
        <v>2006</v>
      </c>
      <c r="O1956" s="9" t="str">
        <f t="shared" si="94"/>
        <v>NO</v>
      </c>
      <c r="P1956" s="9" t="str">
        <f t="shared" si="95"/>
        <v>YES</v>
      </c>
      <c r="Q1956" s="9" t="str">
        <f t="shared" si="96"/>
        <v>Unconditioned</v>
      </c>
    </row>
    <row r="1957" spans="1:17">
      <c r="A1957" s="9">
        <v>22822</v>
      </c>
      <c r="B1957" s="9">
        <v>1</v>
      </c>
      <c r="C1957" s="9" t="s">
        <v>1589</v>
      </c>
      <c r="D1957" s="9" t="s">
        <v>1590</v>
      </c>
      <c r="E1957" s="9" t="s">
        <v>1591</v>
      </c>
      <c r="F1957" s="9" t="s">
        <v>1589</v>
      </c>
      <c r="G1957" s="9" t="s">
        <v>1592</v>
      </c>
      <c r="H1957" s="9" t="s">
        <v>169</v>
      </c>
      <c r="I1957" s="9" t="s">
        <v>3392</v>
      </c>
      <c r="J1957" s="9" t="s">
        <v>1597</v>
      </c>
      <c r="K1957" s="9">
        <v>1</v>
      </c>
      <c r="L1957" s="9">
        <v>15</v>
      </c>
      <c r="M1957" s="9">
        <v>2004</v>
      </c>
      <c r="O1957" s="9" t="str">
        <f t="shared" si="94"/>
        <v>NO</v>
      </c>
      <c r="P1957" s="9" t="str">
        <f t="shared" si="95"/>
        <v>NO</v>
      </c>
      <c r="Q1957" s="9" t="str">
        <f t="shared" si="96"/>
        <v>Conditioned</v>
      </c>
    </row>
    <row r="1958" spans="1:17">
      <c r="A1958" s="9">
        <v>22832</v>
      </c>
      <c r="B1958" s="9">
        <v>1</v>
      </c>
      <c r="C1958" s="9" t="s">
        <v>1589</v>
      </c>
      <c r="D1958" s="9" t="s">
        <v>1590</v>
      </c>
      <c r="E1958" s="9" t="s">
        <v>1591</v>
      </c>
      <c r="F1958" s="9" t="s">
        <v>1589</v>
      </c>
      <c r="G1958" s="9" t="s">
        <v>1592</v>
      </c>
      <c r="H1958" s="9" t="s">
        <v>177</v>
      </c>
      <c r="I1958" s="9" t="s">
        <v>3393</v>
      </c>
      <c r="J1958" s="9" t="s">
        <v>1597</v>
      </c>
      <c r="K1958" s="9">
        <v>1</v>
      </c>
      <c r="L1958" s="9">
        <v>16</v>
      </c>
      <c r="M1958" s="9">
        <v>1987</v>
      </c>
      <c r="O1958" s="9" t="str">
        <f t="shared" si="94"/>
        <v>NO</v>
      </c>
      <c r="P1958" s="9" t="str">
        <f t="shared" si="95"/>
        <v>NO</v>
      </c>
      <c r="Q1958" s="9" t="str">
        <f t="shared" si="96"/>
        <v>Conditioned</v>
      </c>
    </row>
    <row r="1959" spans="1:17">
      <c r="A1959" s="9">
        <v>22832</v>
      </c>
      <c r="B1959" s="9">
        <v>2</v>
      </c>
      <c r="C1959" s="9" t="s">
        <v>1589</v>
      </c>
      <c r="D1959" s="9" t="s">
        <v>1590</v>
      </c>
      <c r="E1959" s="9" t="s">
        <v>1591</v>
      </c>
      <c r="F1959" s="9" t="s">
        <v>1589</v>
      </c>
      <c r="G1959" s="9" t="s">
        <v>1592</v>
      </c>
      <c r="H1959" s="9" t="s">
        <v>177</v>
      </c>
      <c r="I1959" s="9" t="s">
        <v>3394</v>
      </c>
      <c r="J1959" s="9" t="s">
        <v>1605</v>
      </c>
      <c r="K1959" s="9">
        <v>1</v>
      </c>
      <c r="L1959" s="9">
        <v>17</v>
      </c>
      <c r="M1959" s="9">
        <v>1987</v>
      </c>
      <c r="O1959" s="9" t="str">
        <f t="shared" si="94"/>
        <v>NO</v>
      </c>
      <c r="P1959" s="9" t="str">
        <f t="shared" si="95"/>
        <v>YES</v>
      </c>
      <c r="Q1959" s="9" t="str">
        <f t="shared" si="96"/>
        <v>Conditioned</v>
      </c>
    </row>
    <row r="1960" spans="1:17">
      <c r="A1960" s="9">
        <v>22833</v>
      </c>
      <c r="B1960" s="9">
        <v>1</v>
      </c>
      <c r="C1960" s="9" t="s">
        <v>1589</v>
      </c>
      <c r="D1960" s="9" t="s">
        <v>1590</v>
      </c>
      <c r="E1960" s="9" t="s">
        <v>1613</v>
      </c>
      <c r="F1960" s="9" t="s">
        <v>1603</v>
      </c>
      <c r="G1960" s="9" t="s">
        <v>1592</v>
      </c>
      <c r="H1960" s="9" t="s">
        <v>1632</v>
      </c>
      <c r="I1960" s="9" t="s">
        <v>3395</v>
      </c>
      <c r="J1960" s="9" t="s">
        <v>1597</v>
      </c>
      <c r="K1960" s="9">
        <v>1</v>
      </c>
      <c r="L1960" s="9">
        <v>20</v>
      </c>
      <c r="M1960" s="9">
        <v>1996</v>
      </c>
      <c r="O1960" s="9" t="str">
        <f t="shared" si="94"/>
        <v>NO</v>
      </c>
      <c r="P1960" s="9" t="str">
        <f t="shared" si="95"/>
        <v>NO</v>
      </c>
      <c r="Q1960" s="9" t="str">
        <f t="shared" si="96"/>
        <v>Conditioned</v>
      </c>
    </row>
    <row r="1961" spans="1:17">
      <c r="A1961" s="9">
        <v>22845</v>
      </c>
      <c r="B1961" s="9">
        <v>1</v>
      </c>
      <c r="C1961" s="9" t="s">
        <v>1589</v>
      </c>
      <c r="D1961" s="9" t="s">
        <v>1590</v>
      </c>
      <c r="E1961" s="9" t="s">
        <v>1613</v>
      </c>
      <c r="F1961" s="9" t="s">
        <v>1603</v>
      </c>
      <c r="G1961" s="9" t="s">
        <v>1592</v>
      </c>
      <c r="H1961" s="9" t="s">
        <v>177</v>
      </c>
      <c r="I1961" s="9" t="s">
        <v>3396</v>
      </c>
      <c r="J1961" s="9" t="s">
        <v>1601</v>
      </c>
      <c r="K1961" s="9">
        <v>1</v>
      </c>
      <c r="L1961" s="9">
        <v>26</v>
      </c>
      <c r="M1961" s="9">
        <v>1994</v>
      </c>
      <c r="O1961" s="9" t="str">
        <f t="shared" si="94"/>
        <v>NO</v>
      </c>
      <c r="P1961" s="9" t="str">
        <f t="shared" si="95"/>
        <v>NO</v>
      </c>
      <c r="Q1961" s="9" t="str">
        <f t="shared" si="96"/>
        <v>Conditioned</v>
      </c>
    </row>
    <row r="1962" spans="1:17">
      <c r="A1962" s="9">
        <v>22845</v>
      </c>
      <c r="B1962" s="9">
        <v>2</v>
      </c>
      <c r="C1962" s="9" t="s">
        <v>1589</v>
      </c>
      <c r="D1962" s="9" t="s">
        <v>1590</v>
      </c>
      <c r="E1962" s="9" t="s">
        <v>1591</v>
      </c>
      <c r="F1962" s="9" t="s">
        <v>1589</v>
      </c>
      <c r="G1962" s="9" t="s">
        <v>1606</v>
      </c>
      <c r="H1962" s="9" t="s">
        <v>2235</v>
      </c>
      <c r="I1962" s="9" t="s">
        <v>3397</v>
      </c>
      <c r="J1962" s="9" t="s">
        <v>1587</v>
      </c>
      <c r="K1962" s="9">
        <v>1</v>
      </c>
      <c r="L1962" s="9">
        <v>30</v>
      </c>
      <c r="O1962" s="9" t="str">
        <f t="shared" si="94"/>
        <v>NO</v>
      </c>
      <c r="P1962" s="9" t="str">
        <f t="shared" si="95"/>
        <v>YES</v>
      </c>
      <c r="Q1962" s="9" t="str">
        <f t="shared" si="96"/>
        <v>Unconditioned</v>
      </c>
    </row>
    <row r="1963" spans="1:17">
      <c r="A1963" s="9">
        <v>22854</v>
      </c>
      <c r="B1963" s="9">
        <v>1</v>
      </c>
      <c r="C1963" s="9" t="s">
        <v>1589</v>
      </c>
      <c r="D1963" s="9" t="s">
        <v>1603</v>
      </c>
      <c r="E1963" s="9" t="s">
        <v>1613</v>
      </c>
      <c r="F1963" s="9" t="s">
        <v>1603</v>
      </c>
      <c r="G1963" s="9" t="s">
        <v>1592</v>
      </c>
      <c r="H1963" s="9" t="s">
        <v>1638</v>
      </c>
      <c r="I1963" s="9" t="s">
        <v>3398</v>
      </c>
      <c r="J1963" s="9" t="s">
        <v>1608</v>
      </c>
      <c r="K1963" s="9">
        <v>1</v>
      </c>
      <c r="L1963" s="9">
        <v>23</v>
      </c>
      <c r="M1963" s="9">
        <v>2006</v>
      </c>
      <c r="O1963" s="9" t="str">
        <f t="shared" si="94"/>
        <v>NO</v>
      </c>
      <c r="P1963" s="9" t="str">
        <f t="shared" si="95"/>
        <v>NO</v>
      </c>
      <c r="Q1963" s="9" t="str">
        <f t="shared" si="96"/>
        <v>Conditioned</v>
      </c>
    </row>
    <row r="1964" spans="1:17">
      <c r="A1964" s="9">
        <v>22855</v>
      </c>
      <c r="B1964" s="9">
        <v>1</v>
      </c>
      <c r="C1964" s="9" t="s">
        <v>1589</v>
      </c>
      <c r="D1964" s="9" t="s">
        <v>1590</v>
      </c>
      <c r="E1964" s="9" t="s">
        <v>1591</v>
      </c>
      <c r="F1964" s="9" t="s">
        <v>1589</v>
      </c>
      <c r="G1964" s="9" t="s">
        <v>1592</v>
      </c>
      <c r="H1964" s="9" t="s">
        <v>170</v>
      </c>
      <c r="I1964" s="9" t="s">
        <v>3399</v>
      </c>
      <c r="J1964" s="9" t="s">
        <v>1608</v>
      </c>
      <c r="K1964" s="9">
        <v>1</v>
      </c>
      <c r="L1964" s="9">
        <v>20</v>
      </c>
      <c r="M1964" s="9">
        <v>2009</v>
      </c>
      <c r="O1964" s="9" t="str">
        <f t="shared" si="94"/>
        <v>NO</v>
      </c>
      <c r="P1964" s="9" t="str">
        <f t="shared" si="95"/>
        <v>NO</v>
      </c>
      <c r="Q1964" s="9" t="str">
        <f t="shared" si="96"/>
        <v>Conditioned</v>
      </c>
    </row>
    <row r="1965" spans="1:17">
      <c r="A1965" s="9">
        <v>22855</v>
      </c>
      <c r="B1965" s="9">
        <v>2</v>
      </c>
      <c r="C1965" s="9" t="s">
        <v>1589</v>
      </c>
      <c r="D1965" s="9" t="s">
        <v>1590</v>
      </c>
      <c r="E1965" s="9" t="s">
        <v>1591</v>
      </c>
      <c r="F1965" s="9" t="s">
        <v>1589</v>
      </c>
      <c r="G1965" s="9" t="s">
        <v>1606</v>
      </c>
      <c r="H1965" s="9" t="s">
        <v>174</v>
      </c>
      <c r="I1965" s="9" t="s">
        <v>3400</v>
      </c>
      <c r="J1965" s="9" t="s">
        <v>1605</v>
      </c>
      <c r="K1965" s="9">
        <v>1</v>
      </c>
      <c r="L1965" s="9">
        <v>20</v>
      </c>
      <c r="M1965" s="9">
        <v>1995</v>
      </c>
      <c r="O1965" s="9" t="str">
        <f t="shared" si="94"/>
        <v>NO</v>
      </c>
      <c r="P1965" s="9" t="str">
        <f t="shared" si="95"/>
        <v>YES</v>
      </c>
      <c r="Q1965" s="9" t="str">
        <f t="shared" si="96"/>
        <v>Unconditioned</v>
      </c>
    </row>
    <row r="1966" spans="1:17">
      <c r="A1966" s="9">
        <v>22869</v>
      </c>
      <c r="B1966" s="9">
        <v>1</v>
      </c>
      <c r="C1966" s="9" t="s">
        <v>1589</v>
      </c>
      <c r="D1966" s="9" t="s">
        <v>1590</v>
      </c>
      <c r="E1966" s="9" t="s">
        <v>1613</v>
      </c>
      <c r="F1966" s="9" t="s">
        <v>1603</v>
      </c>
      <c r="G1966" s="9" t="s">
        <v>1592</v>
      </c>
      <c r="H1966" s="9" t="s">
        <v>174</v>
      </c>
      <c r="I1966" s="9" t="s">
        <v>3401</v>
      </c>
      <c r="J1966" s="9" t="s">
        <v>1608</v>
      </c>
      <c r="K1966" s="9">
        <v>1</v>
      </c>
      <c r="L1966" s="9">
        <v>24</v>
      </c>
      <c r="M1966" s="9">
        <v>2010</v>
      </c>
      <c r="O1966" s="9" t="str">
        <f t="shared" si="94"/>
        <v>NO</v>
      </c>
      <c r="P1966" s="9" t="str">
        <f t="shared" si="95"/>
        <v>NO</v>
      </c>
      <c r="Q1966" s="9" t="str">
        <f t="shared" si="96"/>
        <v>Conditioned</v>
      </c>
    </row>
    <row r="1967" spans="1:17">
      <c r="A1967" s="9">
        <v>22869</v>
      </c>
      <c r="B1967" s="9">
        <v>2</v>
      </c>
      <c r="C1967" s="9" t="s">
        <v>1589</v>
      </c>
      <c r="D1967" s="9" t="s">
        <v>1590</v>
      </c>
      <c r="E1967" s="9" t="s">
        <v>1591</v>
      </c>
      <c r="F1967" s="9" t="s">
        <v>1589</v>
      </c>
      <c r="G1967" s="9" t="s">
        <v>1606</v>
      </c>
      <c r="H1967" s="9" t="s">
        <v>169</v>
      </c>
      <c r="I1967" s="9" t="s">
        <v>3402</v>
      </c>
      <c r="J1967" s="9" t="s">
        <v>1605</v>
      </c>
      <c r="K1967" s="9">
        <v>1</v>
      </c>
      <c r="L1967" s="9">
        <v>18</v>
      </c>
      <c r="M1967" s="9">
        <v>2006</v>
      </c>
      <c r="O1967" s="9" t="str">
        <f t="shared" si="94"/>
        <v>NO</v>
      </c>
      <c r="P1967" s="9" t="str">
        <f t="shared" si="95"/>
        <v>YES</v>
      </c>
      <c r="Q1967" s="9" t="str">
        <f t="shared" si="96"/>
        <v>Unconditioned</v>
      </c>
    </row>
    <row r="1968" spans="1:17">
      <c r="A1968" s="9">
        <v>22872</v>
      </c>
      <c r="B1968" s="9">
        <v>1</v>
      </c>
      <c r="C1968" s="9" t="s">
        <v>1589</v>
      </c>
      <c r="D1968" s="9" t="s">
        <v>1590</v>
      </c>
      <c r="E1968" s="9" t="s">
        <v>1613</v>
      </c>
      <c r="F1968" s="9" t="s">
        <v>1603</v>
      </c>
      <c r="G1968" s="9" t="s">
        <v>1592</v>
      </c>
      <c r="H1968" s="9" t="s">
        <v>1638</v>
      </c>
      <c r="I1968" s="9" t="s">
        <v>3403</v>
      </c>
      <c r="J1968" s="9" t="s">
        <v>1597</v>
      </c>
      <c r="K1968" s="9">
        <v>1</v>
      </c>
      <c r="L1968" s="9">
        <v>22</v>
      </c>
      <c r="M1968" s="9">
        <v>2002</v>
      </c>
      <c r="O1968" s="9" t="str">
        <f t="shared" si="94"/>
        <v>NO</v>
      </c>
      <c r="P1968" s="9" t="str">
        <f t="shared" si="95"/>
        <v>NO</v>
      </c>
      <c r="Q1968" s="9" t="str">
        <f t="shared" si="96"/>
        <v>Conditioned</v>
      </c>
    </row>
    <row r="1969" spans="1:17">
      <c r="A1969" s="9">
        <v>22878</v>
      </c>
      <c r="B1969" s="9">
        <v>1</v>
      </c>
      <c r="C1969" s="9" t="s">
        <v>1589</v>
      </c>
      <c r="D1969" s="9" t="s">
        <v>1590</v>
      </c>
      <c r="E1969" s="9" t="s">
        <v>1613</v>
      </c>
      <c r="F1969" s="9" t="s">
        <v>1603</v>
      </c>
      <c r="G1969" s="9" t="s">
        <v>1606</v>
      </c>
      <c r="H1969" s="9" t="s">
        <v>170</v>
      </c>
      <c r="I1969" s="9" t="s">
        <v>3404</v>
      </c>
      <c r="J1969" s="9" t="s">
        <v>1608</v>
      </c>
      <c r="K1969" s="9">
        <v>1</v>
      </c>
      <c r="L1969" s="9">
        <v>30</v>
      </c>
      <c r="M1969" s="9">
        <v>1990</v>
      </c>
      <c r="O1969" s="9" t="str">
        <f t="shared" si="94"/>
        <v>NO</v>
      </c>
      <c r="P1969" s="9" t="str">
        <f t="shared" si="95"/>
        <v>NO</v>
      </c>
      <c r="Q1969" s="9" t="str">
        <f t="shared" si="96"/>
        <v>Unconditioned</v>
      </c>
    </row>
    <row r="1970" spans="1:17">
      <c r="A1970" s="9">
        <v>22880</v>
      </c>
      <c r="B1970" s="9">
        <v>1</v>
      </c>
      <c r="C1970" s="9" t="s">
        <v>1589</v>
      </c>
      <c r="D1970" s="9" t="s">
        <v>1590</v>
      </c>
      <c r="E1970" s="9" t="s">
        <v>1602</v>
      </c>
      <c r="F1970" s="9" t="s">
        <v>1603</v>
      </c>
      <c r="G1970" s="9" t="s">
        <v>1592</v>
      </c>
      <c r="H1970" s="9" t="s">
        <v>172</v>
      </c>
      <c r="I1970" s="9" t="s">
        <v>3405</v>
      </c>
      <c r="J1970" s="9" t="s">
        <v>1601</v>
      </c>
      <c r="K1970" s="9">
        <v>1</v>
      </c>
      <c r="L1970" s="9">
        <v>25</v>
      </c>
      <c r="M1970" s="9">
        <v>1995</v>
      </c>
      <c r="O1970" s="9" t="str">
        <f t="shared" si="94"/>
        <v>NO</v>
      </c>
      <c r="P1970" s="9" t="str">
        <f t="shared" si="95"/>
        <v>NO</v>
      </c>
      <c r="Q1970" s="9" t="str">
        <f t="shared" si="96"/>
        <v>Conditioned</v>
      </c>
    </row>
    <row r="1971" spans="1:17">
      <c r="A1971" s="9">
        <v>22890</v>
      </c>
      <c r="B1971" s="9">
        <v>1</v>
      </c>
      <c r="C1971" s="9" t="s">
        <v>1589</v>
      </c>
      <c r="D1971" s="9" t="s">
        <v>1590</v>
      </c>
      <c r="E1971" s="9" t="s">
        <v>1602</v>
      </c>
      <c r="F1971" s="9" t="s">
        <v>1590</v>
      </c>
      <c r="G1971" s="9" t="s">
        <v>1592</v>
      </c>
      <c r="H1971" s="9" t="s">
        <v>170</v>
      </c>
      <c r="I1971" s="9" t="s">
        <v>3406</v>
      </c>
      <c r="J1971" s="9" t="s">
        <v>1601</v>
      </c>
      <c r="K1971" s="9">
        <v>1</v>
      </c>
      <c r="L1971" s="9">
        <v>26</v>
      </c>
      <c r="M1971" s="9">
        <v>2009</v>
      </c>
      <c r="O1971" s="9" t="str">
        <f t="shared" si="94"/>
        <v>NO</v>
      </c>
      <c r="P1971" s="9" t="str">
        <f t="shared" si="95"/>
        <v>NO</v>
      </c>
      <c r="Q1971" s="9" t="str">
        <f t="shared" si="96"/>
        <v>Conditioned</v>
      </c>
    </row>
    <row r="1972" spans="1:17">
      <c r="A1972" s="9">
        <v>22890</v>
      </c>
      <c r="B1972" s="9">
        <v>2</v>
      </c>
      <c r="C1972" s="9" t="s">
        <v>1589</v>
      </c>
      <c r="D1972" s="9" t="s">
        <v>1590</v>
      </c>
      <c r="E1972" s="9" t="s">
        <v>1591</v>
      </c>
      <c r="F1972" s="9" t="s">
        <v>1589</v>
      </c>
      <c r="G1972" s="9" t="s">
        <v>1592</v>
      </c>
      <c r="H1972" s="9" t="s">
        <v>1638</v>
      </c>
      <c r="I1972" s="9" t="s">
        <v>3407</v>
      </c>
      <c r="J1972" s="9" t="s">
        <v>1612</v>
      </c>
      <c r="K1972" s="9">
        <v>1</v>
      </c>
      <c r="L1972" s="9">
        <v>18</v>
      </c>
      <c r="M1972" s="9">
        <v>1972</v>
      </c>
      <c r="O1972" s="9" t="str">
        <f t="shared" si="94"/>
        <v>NO</v>
      </c>
      <c r="P1972" s="9" t="str">
        <f t="shared" si="95"/>
        <v>NO</v>
      </c>
      <c r="Q1972" s="9" t="str">
        <f t="shared" si="96"/>
        <v>Conditioned</v>
      </c>
    </row>
    <row r="1973" spans="1:17">
      <c r="A1973" s="9">
        <v>22891</v>
      </c>
      <c r="B1973" s="9">
        <v>1</v>
      </c>
      <c r="C1973" s="9" t="s">
        <v>1589</v>
      </c>
      <c r="D1973" s="9" t="s">
        <v>1590</v>
      </c>
      <c r="E1973" s="9" t="s">
        <v>1591</v>
      </c>
      <c r="F1973" s="9" t="s">
        <v>1589</v>
      </c>
      <c r="G1973" s="9" t="s">
        <v>1592</v>
      </c>
      <c r="H1973" s="9" t="s">
        <v>1638</v>
      </c>
      <c r="I1973" s="9" t="s">
        <v>3408</v>
      </c>
      <c r="J1973" s="9" t="s">
        <v>1597</v>
      </c>
      <c r="K1973" s="9">
        <v>1</v>
      </c>
      <c r="L1973" s="9">
        <v>25</v>
      </c>
      <c r="M1973" s="9">
        <v>1997</v>
      </c>
      <c r="O1973" s="9" t="str">
        <f t="shared" si="94"/>
        <v>NO</v>
      </c>
      <c r="P1973" s="9" t="str">
        <f t="shared" si="95"/>
        <v>NO</v>
      </c>
      <c r="Q1973" s="9" t="str">
        <f t="shared" si="96"/>
        <v>Conditioned</v>
      </c>
    </row>
    <row r="1974" spans="1:17">
      <c r="A1974" s="9">
        <v>22891</v>
      </c>
      <c r="B1974" s="9">
        <v>2</v>
      </c>
      <c r="C1974" s="9" t="s">
        <v>1589</v>
      </c>
      <c r="D1974" s="9" t="s">
        <v>1590</v>
      </c>
      <c r="E1974" s="9" t="s">
        <v>1591</v>
      </c>
      <c r="F1974" s="9" t="s">
        <v>1589</v>
      </c>
      <c r="G1974" s="9" t="s">
        <v>1592</v>
      </c>
      <c r="H1974" s="9" t="s">
        <v>1900</v>
      </c>
      <c r="I1974" s="9" t="s">
        <v>1589</v>
      </c>
      <c r="J1974" s="9" t="s">
        <v>1587</v>
      </c>
      <c r="K1974" s="9">
        <v>1</v>
      </c>
      <c r="L1974" s="9">
        <v>8</v>
      </c>
      <c r="M1974" s="9">
        <v>1980</v>
      </c>
      <c r="O1974" s="9" t="str">
        <f t="shared" si="94"/>
        <v>NO</v>
      </c>
      <c r="P1974" s="9" t="str">
        <f t="shared" si="95"/>
        <v>YES</v>
      </c>
      <c r="Q1974" s="9" t="str">
        <f t="shared" si="96"/>
        <v>Conditioned</v>
      </c>
    </row>
    <row r="1975" spans="1:17">
      <c r="A1975" s="9">
        <v>22897</v>
      </c>
      <c r="B1975" s="9">
        <v>1</v>
      </c>
      <c r="C1975" s="9" t="s">
        <v>1589</v>
      </c>
      <c r="D1975" s="9" t="s">
        <v>1590</v>
      </c>
      <c r="E1975" s="9" t="s">
        <v>1591</v>
      </c>
      <c r="F1975" s="9" t="s">
        <v>1589</v>
      </c>
      <c r="G1975" s="9" t="s">
        <v>1606</v>
      </c>
      <c r="H1975" s="9" t="s">
        <v>170</v>
      </c>
      <c r="I1975" s="9" t="s">
        <v>3409</v>
      </c>
      <c r="J1975" s="9" t="s">
        <v>1587</v>
      </c>
      <c r="K1975" s="9">
        <v>1</v>
      </c>
      <c r="L1975" s="9">
        <v>46</v>
      </c>
      <c r="M1975" s="9">
        <v>1994</v>
      </c>
      <c r="O1975" s="9" t="str">
        <f t="shared" si="94"/>
        <v>NO</v>
      </c>
      <c r="P1975" s="9" t="str">
        <f t="shared" si="95"/>
        <v>YES</v>
      </c>
      <c r="Q1975" s="9" t="str">
        <f t="shared" si="96"/>
        <v>Unconditioned</v>
      </c>
    </row>
    <row r="1976" spans="1:17">
      <c r="A1976" s="9">
        <v>22897</v>
      </c>
      <c r="B1976" s="9">
        <v>2</v>
      </c>
      <c r="C1976" s="9" t="s">
        <v>1589</v>
      </c>
      <c r="D1976" s="9" t="s">
        <v>1590</v>
      </c>
      <c r="E1976" s="9" t="s">
        <v>1602</v>
      </c>
      <c r="F1976" s="9" t="s">
        <v>1603</v>
      </c>
      <c r="G1976" s="9" t="s">
        <v>1592</v>
      </c>
      <c r="H1976" s="9" t="s">
        <v>174</v>
      </c>
      <c r="I1976" s="9" t="s">
        <v>1589</v>
      </c>
      <c r="J1976" s="9" t="s">
        <v>1601</v>
      </c>
      <c r="K1976" s="9">
        <v>1</v>
      </c>
      <c r="L1976" s="9">
        <v>24</v>
      </c>
      <c r="M1976" s="9">
        <v>1995</v>
      </c>
      <c r="O1976" s="9" t="str">
        <f t="shared" si="94"/>
        <v>NO</v>
      </c>
      <c r="P1976" s="9" t="str">
        <f t="shared" si="95"/>
        <v>NO</v>
      </c>
      <c r="Q1976" s="9" t="str">
        <f t="shared" si="96"/>
        <v>Conditioned</v>
      </c>
    </row>
    <row r="1977" spans="1:17">
      <c r="A1977" s="9">
        <v>22897</v>
      </c>
      <c r="B1977" s="9">
        <v>3</v>
      </c>
      <c r="C1977" s="9" t="s">
        <v>1589</v>
      </c>
      <c r="D1977" s="9" t="s">
        <v>1590</v>
      </c>
      <c r="E1977" s="9" t="s">
        <v>1591</v>
      </c>
      <c r="F1977" s="9" t="s">
        <v>1589</v>
      </c>
      <c r="G1977" s="9" t="s">
        <v>1606</v>
      </c>
      <c r="H1977" s="9" t="s">
        <v>1589</v>
      </c>
      <c r="I1977" s="9" t="s">
        <v>1589</v>
      </c>
      <c r="J1977" s="9" t="s">
        <v>1587</v>
      </c>
      <c r="K1977" s="9">
        <v>0.25</v>
      </c>
      <c r="L1977" s="9">
        <v>15</v>
      </c>
      <c r="M1977" s="9">
        <v>1980</v>
      </c>
      <c r="O1977" s="9" t="str">
        <f t="shared" si="94"/>
        <v>NO</v>
      </c>
      <c r="P1977" s="9" t="str">
        <f t="shared" si="95"/>
        <v>YES</v>
      </c>
      <c r="Q1977" s="9" t="str">
        <f t="shared" si="96"/>
        <v>Unconditioned</v>
      </c>
    </row>
    <row r="1978" spans="1:17">
      <c r="A1978" s="9">
        <v>22897</v>
      </c>
      <c r="B1978" s="9">
        <v>4</v>
      </c>
      <c r="C1978" s="9" t="s">
        <v>1589</v>
      </c>
      <c r="D1978" s="9" t="s">
        <v>1590</v>
      </c>
      <c r="E1978" s="9" t="s">
        <v>1591</v>
      </c>
      <c r="F1978" s="9" t="s">
        <v>1589</v>
      </c>
      <c r="G1978" s="9" t="s">
        <v>1606</v>
      </c>
      <c r="H1978" s="9" t="s">
        <v>1589</v>
      </c>
      <c r="I1978" s="9" t="s">
        <v>3410</v>
      </c>
      <c r="J1978" s="9" t="s">
        <v>1597</v>
      </c>
      <c r="K1978" s="9">
        <v>1</v>
      </c>
      <c r="L1978" s="9">
        <v>20</v>
      </c>
      <c r="M1978" s="9">
        <v>2002</v>
      </c>
      <c r="O1978" s="9" t="str">
        <f t="shared" si="94"/>
        <v>NO</v>
      </c>
      <c r="P1978" s="9" t="str">
        <f t="shared" si="95"/>
        <v>NO</v>
      </c>
      <c r="Q1978" s="9" t="str">
        <f t="shared" si="96"/>
        <v>Unconditioned</v>
      </c>
    </row>
    <row r="1979" spans="1:17">
      <c r="A1979" s="9">
        <v>22902</v>
      </c>
      <c r="B1979" s="9">
        <v>1</v>
      </c>
      <c r="C1979" s="9" t="s">
        <v>1589</v>
      </c>
      <c r="D1979" s="9" t="s">
        <v>1590</v>
      </c>
      <c r="E1979" s="9" t="s">
        <v>1591</v>
      </c>
      <c r="F1979" s="9" t="s">
        <v>1589</v>
      </c>
      <c r="G1979" s="9" t="s">
        <v>1592</v>
      </c>
      <c r="H1979" s="9" t="s">
        <v>173</v>
      </c>
      <c r="I1979" s="9" t="s">
        <v>3411</v>
      </c>
      <c r="J1979" s="9" t="s">
        <v>1597</v>
      </c>
      <c r="K1979" s="9">
        <v>1</v>
      </c>
      <c r="L1979" s="9">
        <v>26</v>
      </c>
      <c r="M1979" s="9">
        <v>1990</v>
      </c>
      <c r="O1979" s="9" t="str">
        <f t="shared" si="94"/>
        <v>NO</v>
      </c>
      <c r="P1979" s="9" t="str">
        <f t="shared" si="95"/>
        <v>NO</v>
      </c>
      <c r="Q1979" s="9" t="str">
        <f t="shared" si="96"/>
        <v>Conditioned</v>
      </c>
    </row>
    <row r="1980" spans="1:17">
      <c r="A1980" s="9">
        <v>22902</v>
      </c>
      <c r="B1980" s="9">
        <v>2</v>
      </c>
      <c r="C1980" s="9" t="s">
        <v>1589</v>
      </c>
      <c r="D1980" s="9" t="s">
        <v>1590</v>
      </c>
      <c r="E1980" s="9" t="s">
        <v>1591</v>
      </c>
      <c r="F1980" s="9" t="s">
        <v>1589</v>
      </c>
      <c r="G1980" s="9" t="s">
        <v>1592</v>
      </c>
      <c r="H1980" s="9" t="s">
        <v>3195</v>
      </c>
      <c r="I1980" s="9" t="s">
        <v>1589</v>
      </c>
      <c r="J1980" s="9" t="s">
        <v>1587</v>
      </c>
      <c r="K1980" s="9">
        <v>1</v>
      </c>
      <c r="L1980" s="9">
        <v>26</v>
      </c>
      <c r="O1980" s="9" t="str">
        <f t="shared" si="94"/>
        <v>NO</v>
      </c>
      <c r="P1980" s="9" t="str">
        <f t="shared" si="95"/>
        <v>YES</v>
      </c>
      <c r="Q1980" s="9" t="str">
        <f t="shared" si="96"/>
        <v>Conditioned</v>
      </c>
    </row>
    <row r="1981" spans="1:17">
      <c r="A1981" s="9">
        <v>22902</v>
      </c>
      <c r="B1981" s="9">
        <v>3</v>
      </c>
      <c r="C1981" s="9" t="s">
        <v>1589</v>
      </c>
      <c r="D1981" s="9" t="s">
        <v>1590</v>
      </c>
      <c r="E1981" s="9" t="s">
        <v>1591</v>
      </c>
      <c r="F1981" s="9" t="s">
        <v>1589</v>
      </c>
      <c r="G1981" s="9" t="s">
        <v>1592</v>
      </c>
      <c r="H1981" s="9" t="s">
        <v>1638</v>
      </c>
      <c r="I1981" s="9" t="s">
        <v>1589</v>
      </c>
      <c r="J1981" s="9" t="s">
        <v>1597</v>
      </c>
      <c r="K1981" s="9">
        <v>1</v>
      </c>
      <c r="L1981" s="9">
        <v>24</v>
      </c>
      <c r="O1981" s="9" t="str">
        <f t="shared" si="94"/>
        <v>NO</v>
      </c>
      <c r="P1981" s="9" t="str">
        <f t="shared" si="95"/>
        <v>NO</v>
      </c>
      <c r="Q1981" s="9" t="str">
        <f t="shared" si="96"/>
        <v>Conditioned</v>
      </c>
    </row>
    <row r="1982" spans="1:17">
      <c r="A1982" s="9">
        <v>22903</v>
      </c>
      <c r="B1982" s="9">
        <v>1</v>
      </c>
      <c r="C1982" s="9" t="s">
        <v>1589</v>
      </c>
      <c r="D1982" s="9" t="s">
        <v>1603</v>
      </c>
      <c r="E1982" s="9" t="s">
        <v>1602</v>
      </c>
      <c r="F1982" s="9" t="s">
        <v>1603</v>
      </c>
      <c r="G1982" s="9" t="s">
        <v>1592</v>
      </c>
      <c r="H1982" s="9" t="s">
        <v>169</v>
      </c>
      <c r="I1982" s="9" t="s">
        <v>3412</v>
      </c>
      <c r="J1982" s="9" t="s">
        <v>1601</v>
      </c>
      <c r="K1982" s="9">
        <v>1</v>
      </c>
      <c r="L1982" s="9">
        <v>23</v>
      </c>
      <c r="M1982" s="9">
        <v>2007</v>
      </c>
      <c r="O1982" s="9" t="str">
        <f t="shared" si="94"/>
        <v>NO</v>
      </c>
      <c r="P1982" s="9" t="str">
        <f t="shared" si="95"/>
        <v>NO</v>
      </c>
      <c r="Q1982" s="9" t="str">
        <f t="shared" si="96"/>
        <v>Conditioned</v>
      </c>
    </row>
    <row r="1983" spans="1:17">
      <c r="A1983" s="9">
        <v>22903</v>
      </c>
      <c r="B1983" s="9">
        <v>2</v>
      </c>
      <c r="C1983" s="9" t="s">
        <v>1589</v>
      </c>
      <c r="D1983" s="9" t="s">
        <v>1590</v>
      </c>
      <c r="E1983" s="9" t="s">
        <v>1591</v>
      </c>
      <c r="F1983" s="9" t="s">
        <v>1589</v>
      </c>
      <c r="G1983" s="9" t="s">
        <v>1606</v>
      </c>
      <c r="H1983" s="9" t="s">
        <v>177</v>
      </c>
      <c r="I1983" s="9" t="s">
        <v>3413</v>
      </c>
      <c r="J1983" s="9" t="s">
        <v>1597</v>
      </c>
      <c r="K1983" s="9">
        <v>1</v>
      </c>
      <c r="L1983" s="9">
        <v>18</v>
      </c>
      <c r="M1983" s="9">
        <v>2009</v>
      </c>
      <c r="O1983" s="9" t="str">
        <f t="shared" si="94"/>
        <v>NO</v>
      </c>
      <c r="P1983" s="9" t="str">
        <f t="shared" si="95"/>
        <v>NO</v>
      </c>
      <c r="Q1983" s="9" t="str">
        <f t="shared" si="96"/>
        <v>Unconditioned</v>
      </c>
    </row>
    <row r="1984" spans="1:17">
      <c r="A1984" s="9">
        <v>22904</v>
      </c>
      <c r="B1984" s="9">
        <v>1</v>
      </c>
      <c r="C1984" s="9" t="s">
        <v>1589</v>
      </c>
      <c r="D1984" s="9" t="s">
        <v>1590</v>
      </c>
      <c r="E1984" s="9" t="s">
        <v>1591</v>
      </c>
      <c r="F1984" s="9" t="s">
        <v>1589</v>
      </c>
      <c r="G1984" s="9" t="s">
        <v>1592</v>
      </c>
      <c r="H1984" s="9" t="s">
        <v>173</v>
      </c>
      <c r="I1984" s="9" t="s">
        <v>3414</v>
      </c>
      <c r="J1984" s="9" t="s">
        <v>1597</v>
      </c>
      <c r="K1984" s="9">
        <v>1</v>
      </c>
      <c r="L1984" s="9">
        <v>22</v>
      </c>
      <c r="M1984" s="9">
        <v>1991</v>
      </c>
      <c r="O1984" s="9" t="str">
        <f t="shared" si="94"/>
        <v>NO</v>
      </c>
      <c r="P1984" s="9" t="str">
        <f t="shared" si="95"/>
        <v>NO</v>
      </c>
      <c r="Q1984" s="9" t="str">
        <f t="shared" si="96"/>
        <v>Conditioned</v>
      </c>
    </row>
    <row r="1985" spans="1:17">
      <c r="A1985" s="9">
        <v>22909</v>
      </c>
      <c r="B1985" s="9">
        <v>1</v>
      </c>
      <c r="C1985" s="9" t="s">
        <v>1589</v>
      </c>
      <c r="D1985" s="9" t="s">
        <v>1590</v>
      </c>
      <c r="E1985" s="9" t="s">
        <v>1602</v>
      </c>
      <c r="F1985" s="9" t="s">
        <v>1603</v>
      </c>
      <c r="G1985" s="9" t="s">
        <v>1592</v>
      </c>
      <c r="H1985" s="9" t="s">
        <v>173</v>
      </c>
      <c r="I1985" s="9" t="s">
        <v>2614</v>
      </c>
      <c r="J1985" s="9" t="s">
        <v>1601</v>
      </c>
      <c r="K1985" s="9">
        <v>1</v>
      </c>
      <c r="L1985" s="9">
        <v>24</v>
      </c>
      <c r="M1985" s="9">
        <v>2001</v>
      </c>
      <c r="O1985" s="9" t="str">
        <f t="shared" si="94"/>
        <v>NO</v>
      </c>
      <c r="P1985" s="9" t="str">
        <f t="shared" si="95"/>
        <v>NO</v>
      </c>
      <c r="Q1985" s="9" t="str">
        <f t="shared" si="96"/>
        <v>Conditioned</v>
      </c>
    </row>
    <row r="1986" spans="1:17">
      <c r="A1986" s="9">
        <v>22909</v>
      </c>
      <c r="B1986" s="9">
        <v>2</v>
      </c>
      <c r="C1986" s="9" t="s">
        <v>1589</v>
      </c>
      <c r="D1986" s="9" t="s">
        <v>1590</v>
      </c>
      <c r="E1986" s="9" t="s">
        <v>1591</v>
      </c>
      <c r="F1986" s="9" t="s">
        <v>1589</v>
      </c>
      <c r="G1986" s="9" t="s">
        <v>1606</v>
      </c>
      <c r="H1986" s="9" t="s">
        <v>170</v>
      </c>
      <c r="I1986" s="9" t="s">
        <v>3415</v>
      </c>
      <c r="J1986" s="9" t="s">
        <v>1605</v>
      </c>
      <c r="K1986" s="9">
        <v>1</v>
      </c>
      <c r="L1986" s="9">
        <v>18</v>
      </c>
      <c r="M1986" s="9">
        <v>1980</v>
      </c>
      <c r="O1986" s="9" t="str">
        <f t="shared" si="94"/>
        <v>NO</v>
      </c>
      <c r="P1986" s="9" t="str">
        <f t="shared" si="95"/>
        <v>YES</v>
      </c>
      <c r="Q1986" s="9" t="str">
        <f t="shared" si="96"/>
        <v>Unconditioned</v>
      </c>
    </row>
    <row r="1987" spans="1:17">
      <c r="A1987" s="9">
        <v>22909</v>
      </c>
      <c r="B1987" s="9">
        <v>3</v>
      </c>
      <c r="C1987" s="9" t="s">
        <v>1589</v>
      </c>
      <c r="D1987" s="9" t="s">
        <v>1590</v>
      </c>
      <c r="E1987" s="9" t="s">
        <v>1591</v>
      </c>
      <c r="F1987" s="9" t="s">
        <v>1589</v>
      </c>
      <c r="G1987" s="9" t="s">
        <v>1606</v>
      </c>
      <c r="H1987" s="9" t="s">
        <v>172</v>
      </c>
      <c r="I1987" s="9" t="s">
        <v>2459</v>
      </c>
      <c r="J1987" s="9" t="s">
        <v>1597</v>
      </c>
      <c r="K1987" s="9">
        <v>1</v>
      </c>
      <c r="L1987" s="9">
        <v>18</v>
      </c>
      <c r="M1987" s="9">
        <v>2005</v>
      </c>
      <c r="O1987" s="9" t="str">
        <f t="shared" si="94"/>
        <v>NO</v>
      </c>
      <c r="P1987" s="9" t="str">
        <f t="shared" si="95"/>
        <v>NO</v>
      </c>
      <c r="Q1987" s="9" t="str">
        <f t="shared" si="96"/>
        <v>Unconditioned</v>
      </c>
    </row>
    <row r="1988" spans="1:17">
      <c r="A1988" s="9">
        <v>22919</v>
      </c>
      <c r="B1988" s="9">
        <v>1</v>
      </c>
      <c r="C1988" s="9" t="s">
        <v>1589</v>
      </c>
      <c r="D1988" s="9" t="s">
        <v>1590</v>
      </c>
      <c r="E1988" s="9" t="s">
        <v>1602</v>
      </c>
      <c r="F1988" s="9" t="s">
        <v>1603</v>
      </c>
      <c r="G1988" s="9" t="s">
        <v>1592</v>
      </c>
      <c r="H1988" s="9" t="s">
        <v>170</v>
      </c>
      <c r="I1988" s="9" t="s">
        <v>3416</v>
      </c>
      <c r="J1988" s="9" t="s">
        <v>1601</v>
      </c>
      <c r="K1988" s="9">
        <v>1</v>
      </c>
      <c r="L1988" s="9">
        <v>24</v>
      </c>
      <c r="M1988" s="9">
        <v>1991</v>
      </c>
      <c r="O1988" s="9" t="str">
        <f t="shared" si="94"/>
        <v>NO</v>
      </c>
      <c r="P1988" s="9" t="str">
        <f t="shared" si="95"/>
        <v>NO</v>
      </c>
      <c r="Q1988" s="9" t="str">
        <f t="shared" si="96"/>
        <v>Conditioned</v>
      </c>
    </row>
    <row r="1989" spans="1:17">
      <c r="A1989" s="9">
        <v>22919</v>
      </c>
      <c r="B1989" s="9">
        <v>2</v>
      </c>
      <c r="C1989" s="9" t="s">
        <v>1589</v>
      </c>
      <c r="D1989" s="9" t="s">
        <v>1590</v>
      </c>
      <c r="E1989" s="9" t="s">
        <v>1591</v>
      </c>
      <c r="F1989" s="9" t="s">
        <v>1589</v>
      </c>
      <c r="G1989" s="9" t="s">
        <v>1606</v>
      </c>
      <c r="H1989" s="9" t="s">
        <v>1552</v>
      </c>
      <c r="I1989" s="9" t="s">
        <v>3417</v>
      </c>
      <c r="J1989" s="9" t="s">
        <v>1587</v>
      </c>
      <c r="K1989" s="9">
        <v>1</v>
      </c>
      <c r="L1989" s="9">
        <v>10</v>
      </c>
      <c r="M1989" s="9">
        <v>1997</v>
      </c>
      <c r="O1989" s="9" t="str">
        <f t="shared" si="94"/>
        <v>NO</v>
      </c>
      <c r="P1989" s="9" t="str">
        <f t="shared" si="95"/>
        <v>YES</v>
      </c>
      <c r="Q1989" s="9" t="str">
        <f t="shared" si="96"/>
        <v>Unconditioned</v>
      </c>
    </row>
    <row r="1990" spans="1:17">
      <c r="A1990" s="9">
        <v>22919</v>
      </c>
      <c r="B1990" s="9">
        <v>3</v>
      </c>
      <c r="C1990" s="9" t="s">
        <v>1589</v>
      </c>
      <c r="D1990" s="9" t="s">
        <v>1590</v>
      </c>
      <c r="E1990" s="9" t="s">
        <v>1591</v>
      </c>
      <c r="F1990" s="9" t="s">
        <v>1589</v>
      </c>
      <c r="G1990" s="9" t="s">
        <v>1606</v>
      </c>
      <c r="H1990" s="9" t="s">
        <v>177</v>
      </c>
      <c r="I1990" s="9" t="s">
        <v>3418</v>
      </c>
      <c r="J1990" s="9" t="s">
        <v>1605</v>
      </c>
      <c r="K1990" s="9">
        <v>1</v>
      </c>
      <c r="L1990" s="9">
        <v>12</v>
      </c>
      <c r="M1990" s="9">
        <v>1989</v>
      </c>
      <c r="O1990" s="9" t="str">
        <f t="shared" si="94"/>
        <v>NO</v>
      </c>
      <c r="P1990" s="9" t="str">
        <f t="shared" si="95"/>
        <v>YES</v>
      </c>
      <c r="Q1990" s="9" t="str">
        <f t="shared" si="96"/>
        <v>Unconditioned</v>
      </c>
    </row>
    <row r="1991" spans="1:17">
      <c r="A1991" s="9">
        <v>22935</v>
      </c>
      <c r="B1991" s="9">
        <v>1</v>
      </c>
      <c r="C1991" s="9" t="s">
        <v>1589</v>
      </c>
      <c r="D1991" s="9" t="s">
        <v>1603</v>
      </c>
      <c r="E1991" s="9" t="s">
        <v>1602</v>
      </c>
      <c r="F1991" s="9" t="s">
        <v>1603</v>
      </c>
      <c r="G1991" s="9" t="s">
        <v>1592</v>
      </c>
      <c r="H1991" s="9" t="s">
        <v>1599</v>
      </c>
      <c r="I1991" s="9" t="s">
        <v>3419</v>
      </c>
      <c r="J1991" s="9" t="s">
        <v>1601</v>
      </c>
      <c r="K1991" s="9">
        <v>1</v>
      </c>
      <c r="L1991" s="9">
        <v>26</v>
      </c>
      <c r="M1991" s="9">
        <v>2003</v>
      </c>
      <c r="O1991" s="9" t="str">
        <f t="shared" si="94"/>
        <v>NO</v>
      </c>
      <c r="P1991" s="9" t="str">
        <f t="shared" si="95"/>
        <v>NO</v>
      </c>
      <c r="Q1991" s="9" t="str">
        <f t="shared" si="96"/>
        <v>Conditioned</v>
      </c>
    </row>
    <row r="1992" spans="1:17">
      <c r="A1992" s="9">
        <v>22935</v>
      </c>
      <c r="B1992" s="9">
        <v>2</v>
      </c>
      <c r="C1992" s="9" t="s">
        <v>1589</v>
      </c>
      <c r="D1992" s="9" t="s">
        <v>1590</v>
      </c>
      <c r="E1992" s="9" t="s">
        <v>1591</v>
      </c>
      <c r="F1992" s="9" t="s">
        <v>1589</v>
      </c>
      <c r="G1992" s="9" t="s">
        <v>1606</v>
      </c>
      <c r="H1992" s="9" t="s">
        <v>1805</v>
      </c>
      <c r="I1992" s="9" t="s">
        <v>3420</v>
      </c>
      <c r="J1992" s="9" t="s">
        <v>1587</v>
      </c>
      <c r="K1992" s="9">
        <v>1</v>
      </c>
      <c r="L1992" s="9">
        <v>15</v>
      </c>
      <c r="M1992" s="9">
        <v>2001</v>
      </c>
      <c r="O1992" s="9" t="str">
        <f t="shared" si="94"/>
        <v>NO</v>
      </c>
      <c r="P1992" s="9" t="str">
        <f t="shared" si="95"/>
        <v>YES</v>
      </c>
      <c r="Q1992" s="9" t="str">
        <f t="shared" si="96"/>
        <v>Unconditioned</v>
      </c>
    </row>
    <row r="1993" spans="1:17">
      <c r="A1993" s="9">
        <v>22935</v>
      </c>
      <c r="B1993" s="9">
        <v>3</v>
      </c>
      <c r="C1993" s="9" t="s">
        <v>1589</v>
      </c>
      <c r="D1993" s="9" t="s">
        <v>1590</v>
      </c>
      <c r="E1993" s="9" t="s">
        <v>1602</v>
      </c>
      <c r="F1993" s="9" t="s">
        <v>1590</v>
      </c>
      <c r="G1993" s="9" t="s">
        <v>1606</v>
      </c>
      <c r="H1993" s="9" t="s">
        <v>1552</v>
      </c>
      <c r="I1993" s="9" t="s">
        <v>3421</v>
      </c>
      <c r="J1993" s="9" t="s">
        <v>1601</v>
      </c>
      <c r="K1993" s="9">
        <v>1</v>
      </c>
      <c r="L1993" s="9">
        <v>26</v>
      </c>
      <c r="M1993" s="9">
        <v>1961</v>
      </c>
      <c r="O1993" s="9" t="str">
        <f t="shared" si="94"/>
        <v>NO</v>
      </c>
      <c r="P1993" s="9" t="str">
        <f t="shared" si="95"/>
        <v>NO</v>
      </c>
      <c r="Q1993" s="9" t="str">
        <f t="shared" si="96"/>
        <v>Unconditioned</v>
      </c>
    </row>
    <row r="1994" spans="1:17">
      <c r="A1994" s="9">
        <v>22935</v>
      </c>
      <c r="B1994" s="9">
        <v>4</v>
      </c>
      <c r="C1994" s="9" t="s">
        <v>1589</v>
      </c>
      <c r="D1994" s="9" t="s">
        <v>1590</v>
      </c>
      <c r="E1994" s="9" t="s">
        <v>1591</v>
      </c>
      <c r="F1994" s="9" t="s">
        <v>1589</v>
      </c>
      <c r="G1994" s="9" t="s">
        <v>1606</v>
      </c>
      <c r="H1994" s="9" t="s">
        <v>169</v>
      </c>
      <c r="I1994" s="9" t="s">
        <v>3422</v>
      </c>
      <c r="J1994" s="9" t="s">
        <v>1587</v>
      </c>
      <c r="K1994" s="9">
        <v>1</v>
      </c>
      <c r="L1994" s="9">
        <v>20</v>
      </c>
      <c r="M1994" s="9">
        <v>1991</v>
      </c>
      <c r="O1994" s="9" t="str">
        <f t="shared" si="94"/>
        <v>NO</v>
      </c>
      <c r="P1994" s="9" t="str">
        <f t="shared" si="95"/>
        <v>YES</v>
      </c>
      <c r="Q1994" s="9" t="str">
        <f t="shared" si="96"/>
        <v>Unconditioned</v>
      </c>
    </row>
    <row r="1995" spans="1:17">
      <c r="A1995" s="9">
        <v>22938</v>
      </c>
      <c r="B1995" s="9">
        <v>1</v>
      </c>
      <c r="C1995" s="9" t="s">
        <v>1589</v>
      </c>
      <c r="D1995" s="9" t="s">
        <v>1590</v>
      </c>
      <c r="E1995" s="9" t="s">
        <v>1591</v>
      </c>
      <c r="F1995" s="9" t="s">
        <v>1589</v>
      </c>
      <c r="G1995" s="9" t="s">
        <v>1592</v>
      </c>
      <c r="H1995" s="9" t="s">
        <v>172</v>
      </c>
      <c r="I1995" s="9" t="s">
        <v>3423</v>
      </c>
      <c r="J1995" s="9" t="s">
        <v>1597</v>
      </c>
      <c r="K1995" s="9">
        <v>1</v>
      </c>
      <c r="L1995" s="9">
        <v>21</v>
      </c>
      <c r="M1995" s="9">
        <v>1998</v>
      </c>
      <c r="O1995" s="9" t="str">
        <f t="shared" si="94"/>
        <v>NO</v>
      </c>
      <c r="P1995" s="9" t="str">
        <f t="shared" si="95"/>
        <v>NO</v>
      </c>
      <c r="Q1995" s="9" t="str">
        <f t="shared" si="96"/>
        <v>Conditioned</v>
      </c>
    </row>
    <row r="1996" spans="1:17">
      <c r="A1996" s="9">
        <v>22944</v>
      </c>
      <c r="B1996" s="9">
        <v>1</v>
      </c>
      <c r="C1996" s="9" t="s">
        <v>1589</v>
      </c>
      <c r="D1996" s="9" t="s">
        <v>1603</v>
      </c>
      <c r="E1996" s="9" t="s">
        <v>1591</v>
      </c>
      <c r="F1996" s="9" t="s">
        <v>1589</v>
      </c>
      <c r="G1996" s="9" t="s">
        <v>1592</v>
      </c>
      <c r="H1996" s="9" t="s">
        <v>170</v>
      </c>
      <c r="I1996" s="9" t="s">
        <v>3424</v>
      </c>
      <c r="J1996" s="9" t="s">
        <v>1601</v>
      </c>
      <c r="K1996" s="9">
        <v>1</v>
      </c>
      <c r="L1996" s="9">
        <v>18</v>
      </c>
      <c r="M1996" s="9">
        <v>1993</v>
      </c>
      <c r="O1996" s="9" t="str">
        <f t="shared" si="94"/>
        <v>NO</v>
      </c>
      <c r="P1996" s="9" t="str">
        <f t="shared" si="95"/>
        <v>NO</v>
      </c>
      <c r="Q1996" s="9" t="str">
        <f t="shared" si="96"/>
        <v>Conditioned</v>
      </c>
    </row>
    <row r="1997" spans="1:17">
      <c r="A1997" s="9">
        <v>22944</v>
      </c>
      <c r="B1997" s="9">
        <v>2</v>
      </c>
      <c r="C1997" s="9" t="s">
        <v>1589</v>
      </c>
      <c r="D1997" s="9" t="s">
        <v>1590</v>
      </c>
      <c r="E1997" s="9" t="s">
        <v>1591</v>
      </c>
      <c r="F1997" s="9" t="s">
        <v>1589</v>
      </c>
      <c r="G1997" s="9" t="s">
        <v>1606</v>
      </c>
      <c r="H1997" s="9" t="s">
        <v>1900</v>
      </c>
      <c r="I1997" s="9" t="s">
        <v>3425</v>
      </c>
      <c r="J1997" s="9" t="s">
        <v>1587</v>
      </c>
      <c r="K1997" s="9">
        <v>1</v>
      </c>
      <c r="L1997" s="9">
        <v>6</v>
      </c>
      <c r="M1997" s="9">
        <v>1980</v>
      </c>
      <c r="O1997" s="9" t="str">
        <f t="shared" si="94"/>
        <v>YES</v>
      </c>
      <c r="P1997" s="9" t="str">
        <f t="shared" si="95"/>
        <v>YES</v>
      </c>
      <c r="Q1997" s="9" t="str">
        <f t="shared" si="96"/>
        <v>Unconditioned</v>
      </c>
    </row>
    <row r="1998" spans="1:17">
      <c r="A1998" s="9">
        <v>22944</v>
      </c>
      <c r="B1998" s="9">
        <v>3</v>
      </c>
      <c r="C1998" s="9" t="s">
        <v>1589</v>
      </c>
      <c r="D1998" s="9" t="s">
        <v>1590</v>
      </c>
      <c r="E1998" s="9" t="s">
        <v>1591</v>
      </c>
      <c r="F1998" s="9" t="s">
        <v>1589</v>
      </c>
      <c r="G1998" s="9" t="s">
        <v>1606</v>
      </c>
      <c r="H1998" s="9" t="s">
        <v>170</v>
      </c>
      <c r="I1998" s="9" t="s">
        <v>3426</v>
      </c>
      <c r="J1998" s="9" t="s">
        <v>1587</v>
      </c>
      <c r="K1998" s="9">
        <v>1</v>
      </c>
      <c r="L1998" s="9">
        <v>6</v>
      </c>
      <c r="M1998" s="9">
        <v>2009</v>
      </c>
      <c r="O1998" s="9" t="str">
        <f t="shared" si="94"/>
        <v>YES</v>
      </c>
      <c r="P1998" s="9" t="str">
        <f t="shared" si="95"/>
        <v>YES</v>
      </c>
      <c r="Q1998" s="9" t="str">
        <f t="shared" si="96"/>
        <v>Unconditioned</v>
      </c>
    </row>
    <row r="1999" spans="1:17">
      <c r="A1999" s="9">
        <v>22950</v>
      </c>
      <c r="B1999" s="9">
        <v>1</v>
      </c>
      <c r="C1999" s="9" t="s">
        <v>1589</v>
      </c>
      <c r="D1999" s="9" t="s">
        <v>1603</v>
      </c>
      <c r="E1999" s="9" t="s">
        <v>1602</v>
      </c>
      <c r="F1999" s="9" t="s">
        <v>1603</v>
      </c>
      <c r="G1999" s="9" t="s">
        <v>1592</v>
      </c>
      <c r="H1999" s="9" t="s">
        <v>174</v>
      </c>
      <c r="I1999" s="9" t="s">
        <v>3427</v>
      </c>
      <c r="J1999" s="9" t="s">
        <v>1601</v>
      </c>
      <c r="K1999" s="9">
        <v>1</v>
      </c>
      <c r="L1999" s="9">
        <v>28</v>
      </c>
      <c r="M1999" s="9">
        <v>2010</v>
      </c>
      <c r="O1999" s="9" t="str">
        <f t="shared" si="94"/>
        <v>NO</v>
      </c>
      <c r="P1999" s="9" t="str">
        <f t="shared" si="95"/>
        <v>NO</v>
      </c>
      <c r="Q1999" s="9" t="str">
        <f t="shared" si="96"/>
        <v>Conditioned</v>
      </c>
    </row>
    <row r="2000" spans="1:17">
      <c r="A2000" s="9">
        <v>22953</v>
      </c>
      <c r="B2000" s="9">
        <v>1</v>
      </c>
      <c r="C2000" s="9" t="s">
        <v>1589</v>
      </c>
      <c r="D2000" s="9" t="s">
        <v>1590</v>
      </c>
      <c r="E2000" s="9" t="s">
        <v>1591</v>
      </c>
      <c r="F2000" s="9" t="s">
        <v>1589</v>
      </c>
      <c r="G2000" s="9" t="s">
        <v>1592</v>
      </c>
      <c r="H2000" s="9" t="s">
        <v>1638</v>
      </c>
      <c r="I2000" s="9" t="s">
        <v>3428</v>
      </c>
      <c r="J2000" s="9" t="s">
        <v>1597</v>
      </c>
      <c r="K2000" s="9">
        <v>1</v>
      </c>
      <c r="L2000" s="9">
        <v>19</v>
      </c>
      <c r="M2000" s="9">
        <v>1981</v>
      </c>
      <c r="O2000" s="9" t="str">
        <f t="shared" si="94"/>
        <v>NO</v>
      </c>
      <c r="P2000" s="9" t="str">
        <f t="shared" si="95"/>
        <v>NO</v>
      </c>
      <c r="Q2000" s="9" t="str">
        <f t="shared" si="96"/>
        <v>Conditioned</v>
      </c>
    </row>
    <row r="2001" spans="1:17">
      <c r="A2001" s="9">
        <v>22953</v>
      </c>
      <c r="B2001" s="9">
        <v>2</v>
      </c>
      <c r="C2001" s="9" t="s">
        <v>1589</v>
      </c>
      <c r="D2001" s="9" t="s">
        <v>1590</v>
      </c>
      <c r="E2001" s="9" t="s">
        <v>1613</v>
      </c>
      <c r="F2001" s="9" t="s">
        <v>1590</v>
      </c>
      <c r="G2001" s="9" t="s">
        <v>1606</v>
      </c>
      <c r="H2001" s="9" t="s">
        <v>1552</v>
      </c>
      <c r="I2001" s="9" t="s">
        <v>3429</v>
      </c>
      <c r="J2001" s="9" t="s">
        <v>1605</v>
      </c>
      <c r="K2001" s="9">
        <v>1</v>
      </c>
      <c r="L2001" s="9">
        <v>22</v>
      </c>
      <c r="M2001" s="9">
        <v>1999</v>
      </c>
      <c r="O2001" s="9" t="str">
        <f t="shared" si="94"/>
        <v>NO</v>
      </c>
      <c r="P2001" s="9" t="str">
        <f t="shared" si="95"/>
        <v>YES</v>
      </c>
      <c r="Q2001" s="9" t="str">
        <f t="shared" si="96"/>
        <v>Unconditioned</v>
      </c>
    </row>
    <row r="2002" spans="1:17">
      <c r="A2002" s="9">
        <v>22955</v>
      </c>
      <c r="B2002" s="9">
        <v>1</v>
      </c>
      <c r="C2002" s="9" t="s">
        <v>1589</v>
      </c>
      <c r="D2002" s="9" t="s">
        <v>1590</v>
      </c>
      <c r="E2002" s="9" t="s">
        <v>1591</v>
      </c>
      <c r="F2002" s="9" t="s">
        <v>1589</v>
      </c>
      <c r="G2002" s="9" t="s">
        <v>1592</v>
      </c>
      <c r="H2002" s="9" t="s">
        <v>170</v>
      </c>
      <c r="I2002" s="9" t="s">
        <v>3430</v>
      </c>
      <c r="J2002" s="9" t="s">
        <v>1597</v>
      </c>
      <c r="K2002" s="9">
        <v>1</v>
      </c>
      <c r="L2002" s="9">
        <v>20</v>
      </c>
      <c r="M2002" s="9">
        <v>1999</v>
      </c>
      <c r="O2002" s="9" t="str">
        <f t="shared" si="94"/>
        <v>NO</v>
      </c>
      <c r="P2002" s="9" t="str">
        <f t="shared" si="95"/>
        <v>NO</v>
      </c>
      <c r="Q2002" s="9" t="str">
        <f t="shared" si="96"/>
        <v>Conditioned</v>
      </c>
    </row>
    <row r="2003" spans="1:17">
      <c r="A2003" s="9">
        <v>22955</v>
      </c>
      <c r="B2003" s="9">
        <v>2</v>
      </c>
      <c r="C2003" s="9" t="s">
        <v>1589</v>
      </c>
      <c r="D2003" s="9" t="s">
        <v>1590</v>
      </c>
      <c r="E2003" s="9" t="s">
        <v>1591</v>
      </c>
      <c r="F2003" s="9" t="s">
        <v>1589</v>
      </c>
      <c r="G2003" s="9" t="s">
        <v>1606</v>
      </c>
      <c r="H2003" s="9" t="s">
        <v>170</v>
      </c>
      <c r="I2003" s="9" t="s">
        <v>3431</v>
      </c>
      <c r="J2003" s="9" t="s">
        <v>1605</v>
      </c>
      <c r="K2003" s="9">
        <v>1</v>
      </c>
      <c r="L2003" s="9">
        <v>20</v>
      </c>
      <c r="M2003" s="9">
        <v>2003</v>
      </c>
      <c r="O2003" s="9" t="str">
        <f t="shared" si="94"/>
        <v>NO</v>
      </c>
      <c r="P2003" s="9" t="str">
        <f t="shared" si="95"/>
        <v>YES</v>
      </c>
      <c r="Q2003" s="9" t="str">
        <f t="shared" si="96"/>
        <v>Unconditioned</v>
      </c>
    </row>
    <row r="2004" spans="1:17">
      <c r="A2004" s="9">
        <v>22957</v>
      </c>
      <c r="B2004" s="9">
        <v>1</v>
      </c>
      <c r="C2004" s="9" t="s">
        <v>1589</v>
      </c>
      <c r="D2004" s="9" t="s">
        <v>1590</v>
      </c>
      <c r="E2004" s="9" t="s">
        <v>1613</v>
      </c>
      <c r="F2004" s="9" t="s">
        <v>1603</v>
      </c>
      <c r="G2004" s="9" t="s">
        <v>1592</v>
      </c>
      <c r="H2004" s="9" t="s">
        <v>169</v>
      </c>
      <c r="I2004" s="9" t="s">
        <v>3432</v>
      </c>
      <c r="J2004" s="9" t="s">
        <v>1597</v>
      </c>
      <c r="K2004" s="9">
        <v>1</v>
      </c>
      <c r="L2004" s="9">
        <v>22</v>
      </c>
      <c r="M2004" s="9">
        <v>2008</v>
      </c>
      <c r="O2004" s="9" t="str">
        <f t="shared" si="94"/>
        <v>NO</v>
      </c>
      <c r="P2004" s="9" t="str">
        <f t="shared" si="95"/>
        <v>NO</v>
      </c>
      <c r="Q2004" s="9" t="str">
        <f t="shared" si="96"/>
        <v>Conditioned</v>
      </c>
    </row>
    <row r="2005" spans="1:17">
      <c r="A2005" s="9">
        <v>22960</v>
      </c>
      <c r="B2005" s="9">
        <v>1</v>
      </c>
      <c r="C2005" s="9" t="s">
        <v>1589</v>
      </c>
      <c r="D2005" s="9" t="s">
        <v>1603</v>
      </c>
      <c r="E2005" s="9" t="s">
        <v>1591</v>
      </c>
      <c r="F2005" s="9" t="s">
        <v>1589</v>
      </c>
      <c r="G2005" s="9" t="s">
        <v>1592</v>
      </c>
      <c r="H2005" s="9" t="s">
        <v>1638</v>
      </c>
      <c r="I2005" s="9" t="s">
        <v>3433</v>
      </c>
      <c r="J2005" s="9" t="s">
        <v>1608</v>
      </c>
      <c r="K2005" s="9">
        <v>1</v>
      </c>
      <c r="L2005" s="9">
        <v>30</v>
      </c>
      <c r="M2005" s="9">
        <v>2010</v>
      </c>
      <c r="O2005" s="9" t="str">
        <f t="shared" si="94"/>
        <v>NO</v>
      </c>
      <c r="P2005" s="9" t="str">
        <f t="shared" si="95"/>
        <v>NO</v>
      </c>
      <c r="Q2005" s="9" t="str">
        <f t="shared" si="96"/>
        <v>Conditioned</v>
      </c>
    </row>
    <row r="2006" spans="1:17">
      <c r="A2006" s="9">
        <v>22965</v>
      </c>
      <c r="B2006" s="9">
        <v>1</v>
      </c>
      <c r="C2006" s="9" t="s">
        <v>1589</v>
      </c>
      <c r="D2006" s="9" t="s">
        <v>1590</v>
      </c>
      <c r="E2006" s="9" t="s">
        <v>1602</v>
      </c>
      <c r="F2006" s="9" t="s">
        <v>1603</v>
      </c>
      <c r="G2006" s="9" t="s">
        <v>1592</v>
      </c>
      <c r="H2006" s="9" t="s">
        <v>169</v>
      </c>
      <c r="I2006" s="9" t="s">
        <v>3434</v>
      </c>
      <c r="J2006" s="9" t="s">
        <v>1601</v>
      </c>
      <c r="K2006" s="9">
        <v>1</v>
      </c>
      <c r="L2006" s="9">
        <v>26</v>
      </c>
      <c r="M2006" s="9">
        <v>2004</v>
      </c>
      <c r="O2006" s="9" t="str">
        <f t="shared" si="94"/>
        <v>NO</v>
      </c>
      <c r="P2006" s="9" t="str">
        <f t="shared" si="95"/>
        <v>NO</v>
      </c>
      <c r="Q2006" s="9" t="str">
        <f t="shared" si="96"/>
        <v>Conditioned</v>
      </c>
    </row>
    <row r="2007" spans="1:17">
      <c r="A2007" s="9">
        <v>22965</v>
      </c>
      <c r="B2007" s="9">
        <v>2</v>
      </c>
      <c r="C2007" s="9" t="s">
        <v>1589</v>
      </c>
      <c r="D2007" s="9" t="s">
        <v>1590</v>
      </c>
      <c r="E2007" s="9" t="s">
        <v>1613</v>
      </c>
      <c r="F2007" s="9" t="s">
        <v>1590</v>
      </c>
      <c r="G2007" s="9" t="s">
        <v>1606</v>
      </c>
      <c r="H2007" s="9" t="s">
        <v>173</v>
      </c>
      <c r="I2007" s="9" t="s">
        <v>3435</v>
      </c>
      <c r="J2007" s="9" t="s">
        <v>1597</v>
      </c>
      <c r="K2007" s="9">
        <v>1</v>
      </c>
      <c r="L2007" s="9">
        <v>22</v>
      </c>
      <c r="M2007" s="9">
        <v>1999</v>
      </c>
      <c r="O2007" s="9" t="str">
        <f t="shared" ref="O2007:O2070" si="97">IF(L2007&lt;7.75,"YES","NO")</f>
        <v>NO</v>
      </c>
      <c r="P2007" s="9" t="str">
        <f t="shared" ref="P2007:P2070" si="98">VLOOKUP(J2007,$Z$21:$AA$27,2,FALSE)</f>
        <v>NO</v>
      </c>
      <c r="Q2007" s="9" t="str">
        <f t="shared" ref="Q2007:Q2070" si="99">G2007</f>
        <v>Unconditioned</v>
      </c>
    </row>
    <row r="2008" spans="1:17">
      <c r="A2008" s="9">
        <v>22965</v>
      </c>
      <c r="B2008" s="9">
        <v>3</v>
      </c>
      <c r="C2008" s="9" t="s">
        <v>1589</v>
      </c>
      <c r="D2008" s="9" t="s">
        <v>1590</v>
      </c>
      <c r="E2008" s="9" t="s">
        <v>1591</v>
      </c>
      <c r="F2008" s="9" t="s">
        <v>1589</v>
      </c>
      <c r="G2008" s="9" t="s">
        <v>1606</v>
      </c>
      <c r="H2008" s="9" t="s">
        <v>169</v>
      </c>
      <c r="I2008" s="9" t="s">
        <v>1589</v>
      </c>
      <c r="J2008" s="9" t="s">
        <v>1587</v>
      </c>
      <c r="K2008" s="9">
        <v>1</v>
      </c>
      <c r="L2008" s="9">
        <v>18</v>
      </c>
      <c r="O2008" s="9" t="str">
        <f t="shared" si="97"/>
        <v>NO</v>
      </c>
      <c r="P2008" s="9" t="str">
        <f t="shared" si="98"/>
        <v>YES</v>
      </c>
      <c r="Q2008" s="9" t="str">
        <f t="shared" si="99"/>
        <v>Unconditioned</v>
      </c>
    </row>
    <row r="2009" spans="1:17">
      <c r="A2009" s="9">
        <v>22966</v>
      </c>
      <c r="B2009" s="9">
        <v>1</v>
      </c>
      <c r="C2009" s="9" t="s">
        <v>1589</v>
      </c>
      <c r="D2009" s="9" t="s">
        <v>1590</v>
      </c>
      <c r="E2009" s="9" t="s">
        <v>1591</v>
      </c>
      <c r="F2009" s="9" t="s">
        <v>1589</v>
      </c>
      <c r="G2009" s="9" t="s">
        <v>1592</v>
      </c>
      <c r="H2009" s="9" t="s">
        <v>1624</v>
      </c>
      <c r="I2009" s="9" t="s">
        <v>3436</v>
      </c>
      <c r="J2009" s="9" t="s">
        <v>1597</v>
      </c>
      <c r="K2009" s="9">
        <v>1</v>
      </c>
      <c r="L2009" s="9">
        <v>16</v>
      </c>
      <c r="M2009" s="9">
        <v>1991</v>
      </c>
      <c r="O2009" s="9" t="str">
        <f t="shared" si="97"/>
        <v>NO</v>
      </c>
      <c r="P2009" s="9" t="str">
        <f t="shared" si="98"/>
        <v>NO</v>
      </c>
      <c r="Q2009" s="9" t="str">
        <f t="shared" si="99"/>
        <v>Conditioned</v>
      </c>
    </row>
    <row r="2010" spans="1:17">
      <c r="A2010" s="9">
        <v>22969</v>
      </c>
      <c r="B2010" s="9">
        <v>1</v>
      </c>
      <c r="C2010" s="9" t="s">
        <v>1589</v>
      </c>
      <c r="D2010" s="9" t="s">
        <v>1590</v>
      </c>
      <c r="E2010" s="9" t="s">
        <v>1591</v>
      </c>
      <c r="F2010" s="9" t="s">
        <v>1589</v>
      </c>
      <c r="G2010" s="9" t="s">
        <v>1592</v>
      </c>
      <c r="H2010" s="9" t="s">
        <v>173</v>
      </c>
      <c r="I2010" s="9" t="s">
        <v>3437</v>
      </c>
      <c r="J2010" s="9" t="s">
        <v>1610</v>
      </c>
      <c r="K2010" s="9">
        <v>1</v>
      </c>
      <c r="L2010" s="9">
        <v>25</v>
      </c>
      <c r="M2010" s="9">
        <v>2004</v>
      </c>
      <c r="O2010" s="9" t="str">
        <f t="shared" si="97"/>
        <v>NO</v>
      </c>
      <c r="P2010" s="9" t="str">
        <f t="shared" si="98"/>
        <v>NO</v>
      </c>
      <c r="Q2010" s="9" t="str">
        <f t="shared" si="99"/>
        <v>Conditioned</v>
      </c>
    </row>
    <row r="2011" spans="1:17">
      <c r="A2011" s="9">
        <v>22977</v>
      </c>
      <c r="B2011" s="9">
        <v>1</v>
      </c>
      <c r="C2011" s="9" t="s">
        <v>1589</v>
      </c>
      <c r="D2011" s="9" t="s">
        <v>1590</v>
      </c>
      <c r="E2011" s="9" t="s">
        <v>1591</v>
      </c>
      <c r="F2011" s="9" t="s">
        <v>1589</v>
      </c>
      <c r="G2011" s="9" t="s">
        <v>1592</v>
      </c>
      <c r="H2011" s="9" t="s">
        <v>1638</v>
      </c>
      <c r="I2011" s="9" t="s">
        <v>3438</v>
      </c>
      <c r="J2011" s="9" t="s">
        <v>1597</v>
      </c>
      <c r="K2011" s="9">
        <v>1</v>
      </c>
      <c r="L2011" s="9">
        <v>20</v>
      </c>
      <c r="M2011" s="9">
        <v>1992</v>
      </c>
      <c r="O2011" s="9" t="str">
        <f t="shared" si="97"/>
        <v>NO</v>
      </c>
      <c r="P2011" s="9" t="str">
        <f t="shared" si="98"/>
        <v>NO</v>
      </c>
      <c r="Q2011" s="9" t="str">
        <f t="shared" si="99"/>
        <v>Conditioned</v>
      </c>
    </row>
    <row r="2012" spans="1:17">
      <c r="A2012" s="9">
        <v>22977</v>
      </c>
      <c r="B2012" s="9">
        <v>2</v>
      </c>
      <c r="C2012" s="9" t="s">
        <v>1589</v>
      </c>
      <c r="D2012" s="9" t="s">
        <v>1590</v>
      </c>
      <c r="E2012" s="9" t="s">
        <v>1591</v>
      </c>
      <c r="F2012" s="9" t="s">
        <v>1589</v>
      </c>
      <c r="G2012" s="9" t="s">
        <v>1592</v>
      </c>
      <c r="H2012" s="9" t="s">
        <v>169</v>
      </c>
      <c r="I2012" s="9" t="s">
        <v>3439</v>
      </c>
      <c r="J2012" s="9" t="s">
        <v>1605</v>
      </c>
      <c r="K2012" s="9">
        <v>1</v>
      </c>
      <c r="L2012" s="9">
        <v>30</v>
      </c>
      <c r="M2012" s="9">
        <v>1996</v>
      </c>
      <c r="O2012" s="9" t="str">
        <f t="shared" si="97"/>
        <v>NO</v>
      </c>
      <c r="P2012" s="9" t="str">
        <f t="shared" si="98"/>
        <v>YES</v>
      </c>
      <c r="Q2012" s="9" t="str">
        <f t="shared" si="99"/>
        <v>Conditioned</v>
      </c>
    </row>
    <row r="2013" spans="1:17">
      <c r="A2013" s="9">
        <v>22977</v>
      </c>
      <c r="B2013" s="9">
        <v>3</v>
      </c>
      <c r="C2013" s="9" t="s">
        <v>1589</v>
      </c>
      <c r="D2013" s="9" t="s">
        <v>1590</v>
      </c>
      <c r="E2013" s="9" t="s">
        <v>1613</v>
      </c>
      <c r="F2013" s="9" t="s">
        <v>1603</v>
      </c>
      <c r="G2013" s="9" t="s">
        <v>1592</v>
      </c>
      <c r="H2013" s="9" t="s">
        <v>174</v>
      </c>
      <c r="I2013" s="9" t="s">
        <v>3440</v>
      </c>
      <c r="J2013" s="9" t="s">
        <v>1597</v>
      </c>
      <c r="K2013" s="9">
        <v>1</v>
      </c>
      <c r="L2013" s="9">
        <v>25</v>
      </c>
      <c r="M2013" s="9">
        <v>1990</v>
      </c>
      <c r="O2013" s="9" t="str">
        <f t="shared" si="97"/>
        <v>NO</v>
      </c>
      <c r="P2013" s="9" t="str">
        <f t="shared" si="98"/>
        <v>NO</v>
      </c>
      <c r="Q2013" s="9" t="str">
        <f t="shared" si="99"/>
        <v>Conditioned</v>
      </c>
    </row>
    <row r="2014" spans="1:17">
      <c r="A2014" s="9">
        <v>22982</v>
      </c>
      <c r="B2014" s="9">
        <v>1</v>
      </c>
      <c r="C2014" s="9" t="s">
        <v>1589</v>
      </c>
      <c r="D2014" s="9" t="s">
        <v>1590</v>
      </c>
      <c r="E2014" s="9" t="s">
        <v>1613</v>
      </c>
      <c r="F2014" s="9" t="s">
        <v>1603</v>
      </c>
      <c r="G2014" s="9" t="s">
        <v>1592</v>
      </c>
      <c r="H2014" s="9" t="s">
        <v>177</v>
      </c>
      <c r="I2014" s="9" t="s">
        <v>3441</v>
      </c>
      <c r="J2014" s="9" t="s">
        <v>1608</v>
      </c>
      <c r="K2014" s="9">
        <v>1</v>
      </c>
      <c r="L2014" s="9">
        <v>25</v>
      </c>
      <c r="M2014" s="9">
        <v>2008</v>
      </c>
      <c r="O2014" s="9" t="str">
        <f t="shared" si="97"/>
        <v>NO</v>
      </c>
      <c r="P2014" s="9" t="str">
        <f t="shared" si="98"/>
        <v>NO</v>
      </c>
      <c r="Q2014" s="9" t="str">
        <f t="shared" si="99"/>
        <v>Conditioned</v>
      </c>
    </row>
    <row r="2015" spans="1:17">
      <c r="A2015" s="9">
        <v>22982</v>
      </c>
      <c r="B2015" s="9">
        <v>2</v>
      </c>
      <c r="C2015" s="9" t="s">
        <v>1589</v>
      </c>
      <c r="D2015" s="9" t="s">
        <v>1590</v>
      </c>
      <c r="E2015" s="9" t="s">
        <v>1591</v>
      </c>
      <c r="F2015" s="9" t="s">
        <v>1589</v>
      </c>
      <c r="G2015" s="9" t="s">
        <v>1606</v>
      </c>
      <c r="H2015" s="9" t="s">
        <v>169</v>
      </c>
      <c r="I2015" s="9" t="s">
        <v>3442</v>
      </c>
      <c r="J2015" s="9" t="s">
        <v>1587</v>
      </c>
      <c r="K2015" s="9">
        <v>1</v>
      </c>
      <c r="L2015" s="9">
        <v>18</v>
      </c>
      <c r="M2015" s="9">
        <v>2010</v>
      </c>
      <c r="O2015" s="9" t="str">
        <f t="shared" si="97"/>
        <v>NO</v>
      </c>
      <c r="P2015" s="9" t="str">
        <f t="shared" si="98"/>
        <v>YES</v>
      </c>
      <c r="Q2015" s="9" t="str">
        <f t="shared" si="99"/>
        <v>Unconditioned</v>
      </c>
    </row>
    <row r="2016" spans="1:17">
      <c r="A2016" s="9">
        <v>22982</v>
      </c>
      <c r="B2016" s="9">
        <v>3</v>
      </c>
      <c r="C2016" s="9" t="s">
        <v>1589</v>
      </c>
      <c r="D2016" s="9" t="s">
        <v>1590</v>
      </c>
      <c r="E2016" s="9" t="s">
        <v>1591</v>
      </c>
      <c r="F2016" s="9" t="s">
        <v>1589</v>
      </c>
      <c r="G2016" s="9" t="s">
        <v>1606</v>
      </c>
      <c r="H2016" s="9" t="s">
        <v>1711</v>
      </c>
      <c r="I2016" s="9" t="s">
        <v>3443</v>
      </c>
      <c r="J2016" s="9" t="s">
        <v>1589</v>
      </c>
      <c r="K2016" s="9">
        <v>1</v>
      </c>
      <c r="L2016" s="9">
        <v>12</v>
      </c>
      <c r="M2016" s="9">
        <v>2006</v>
      </c>
      <c r="O2016" s="9" t="str">
        <f t="shared" si="97"/>
        <v>NO</v>
      </c>
      <c r="P2016" s="9" t="e">
        <f t="shared" si="98"/>
        <v>#N/A</v>
      </c>
      <c r="Q2016" s="9" t="str">
        <f t="shared" si="99"/>
        <v>Unconditioned</v>
      </c>
    </row>
    <row r="2017" spans="1:17">
      <c r="A2017" s="9">
        <v>22985</v>
      </c>
      <c r="B2017" s="9">
        <v>1</v>
      </c>
      <c r="C2017" s="9" t="s">
        <v>1589</v>
      </c>
      <c r="D2017" s="9" t="s">
        <v>1603</v>
      </c>
      <c r="E2017" s="9" t="s">
        <v>1613</v>
      </c>
      <c r="F2017" s="9" t="s">
        <v>1603</v>
      </c>
      <c r="G2017" s="9" t="s">
        <v>1592</v>
      </c>
      <c r="H2017" s="9" t="s">
        <v>176</v>
      </c>
      <c r="I2017" s="9" t="s">
        <v>1714</v>
      </c>
      <c r="J2017" s="9" t="s">
        <v>1610</v>
      </c>
      <c r="K2017" s="9">
        <v>1</v>
      </c>
      <c r="L2017" s="9">
        <v>26</v>
      </c>
      <c r="M2017" s="9">
        <v>2009</v>
      </c>
      <c r="O2017" s="9" t="str">
        <f t="shared" si="97"/>
        <v>NO</v>
      </c>
      <c r="P2017" s="9" t="str">
        <f t="shared" si="98"/>
        <v>NO</v>
      </c>
      <c r="Q2017" s="9" t="str">
        <f t="shared" si="99"/>
        <v>Conditioned</v>
      </c>
    </row>
    <row r="2018" spans="1:17">
      <c r="A2018" s="9">
        <v>22985</v>
      </c>
      <c r="B2018" s="9">
        <v>2</v>
      </c>
      <c r="C2018" s="9" t="s">
        <v>1589</v>
      </c>
      <c r="D2018" s="9" t="s">
        <v>1590</v>
      </c>
      <c r="E2018" s="9" t="s">
        <v>1602</v>
      </c>
      <c r="F2018" s="9" t="s">
        <v>1603</v>
      </c>
      <c r="G2018" s="9" t="s">
        <v>1606</v>
      </c>
      <c r="H2018" s="9" t="s">
        <v>1599</v>
      </c>
      <c r="I2018" s="9" t="s">
        <v>3444</v>
      </c>
      <c r="J2018" s="9" t="s">
        <v>1601</v>
      </c>
      <c r="K2018" s="9">
        <v>1</v>
      </c>
      <c r="L2018" s="9">
        <v>25</v>
      </c>
      <c r="M2018" s="9">
        <v>1998</v>
      </c>
      <c r="O2018" s="9" t="str">
        <f t="shared" si="97"/>
        <v>NO</v>
      </c>
      <c r="P2018" s="9" t="str">
        <f t="shared" si="98"/>
        <v>NO</v>
      </c>
      <c r="Q2018" s="9" t="str">
        <f t="shared" si="99"/>
        <v>Unconditioned</v>
      </c>
    </row>
    <row r="2019" spans="1:17">
      <c r="A2019" s="9">
        <v>22993</v>
      </c>
      <c r="B2019" s="9">
        <v>1</v>
      </c>
      <c r="C2019" s="9" t="s">
        <v>1589</v>
      </c>
      <c r="D2019" s="9" t="s">
        <v>1590</v>
      </c>
      <c r="E2019" s="9" t="s">
        <v>1613</v>
      </c>
      <c r="F2019" s="9" t="s">
        <v>1603</v>
      </c>
      <c r="G2019" s="9" t="s">
        <v>1592</v>
      </c>
      <c r="H2019" s="9" t="s">
        <v>170</v>
      </c>
      <c r="I2019" s="9" t="s">
        <v>3445</v>
      </c>
      <c r="J2019" s="9" t="s">
        <v>1597</v>
      </c>
      <c r="K2019" s="9">
        <v>1</v>
      </c>
      <c r="L2019" s="9">
        <v>22</v>
      </c>
      <c r="M2019" s="9">
        <v>2001</v>
      </c>
      <c r="O2019" s="9" t="str">
        <f t="shared" si="97"/>
        <v>NO</v>
      </c>
      <c r="P2019" s="9" t="str">
        <f t="shared" si="98"/>
        <v>NO</v>
      </c>
      <c r="Q2019" s="9" t="str">
        <f t="shared" si="99"/>
        <v>Conditioned</v>
      </c>
    </row>
    <row r="2020" spans="1:17">
      <c r="A2020" s="9">
        <v>22993</v>
      </c>
      <c r="B2020" s="9">
        <v>2</v>
      </c>
      <c r="C2020" s="9" t="s">
        <v>1589</v>
      </c>
      <c r="D2020" s="9" t="s">
        <v>1590</v>
      </c>
      <c r="E2020" s="9" t="s">
        <v>1591</v>
      </c>
      <c r="F2020" s="9" t="s">
        <v>1589</v>
      </c>
      <c r="G2020" s="9" t="s">
        <v>1606</v>
      </c>
      <c r="H2020" s="9" t="s">
        <v>174</v>
      </c>
      <c r="I2020" s="9" t="s">
        <v>3446</v>
      </c>
      <c r="J2020" s="9" t="s">
        <v>1605</v>
      </c>
      <c r="K2020" s="9">
        <v>1</v>
      </c>
      <c r="L2020" s="9">
        <v>22</v>
      </c>
      <c r="M2020" s="9">
        <v>1994</v>
      </c>
      <c r="O2020" s="9" t="str">
        <f t="shared" si="97"/>
        <v>NO</v>
      </c>
      <c r="P2020" s="9" t="str">
        <f t="shared" si="98"/>
        <v>YES</v>
      </c>
      <c r="Q2020" s="9" t="str">
        <f t="shared" si="99"/>
        <v>Unconditioned</v>
      </c>
    </row>
    <row r="2021" spans="1:17">
      <c r="A2021" s="9">
        <v>22993</v>
      </c>
      <c r="B2021" s="9">
        <v>3</v>
      </c>
      <c r="C2021" s="9" t="s">
        <v>1589</v>
      </c>
      <c r="D2021" s="9" t="s">
        <v>1590</v>
      </c>
      <c r="E2021" s="9" t="s">
        <v>1591</v>
      </c>
      <c r="F2021" s="9" t="s">
        <v>1589</v>
      </c>
      <c r="G2021" s="9" t="s">
        <v>1606</v>
      </c>
      <c r="H2021" s="9" t="s">
        <v>170</v>
      </c>
      <c r="I2021" s="9" t="s">
        <v>3447</v>
      </c>
      <c r="J2021" s="9" t="s">
        <v>1597</v>
      </c>
      <c r="K2021" s="9">
        <v>1</v>
      </c>
      <c r="L2021" s="9">
        <v>20</v>
      </c>
      <c r="M2021" s="9">
        <v>1987</v>
      </c>
      <c r="O2021" s="9" t="str">
        <f t="shared" si="97"/>
        <v>NO</v>
      </c>
      <c r="P2021" s="9" t="str">
        <f t="shared" si="98"/>
        <v>NO</v>
      </c>
      <c r="Q2021" s="9" t="str">
        <f t="shared" si="99"/>
        <v>Unconditioned</v>
      </c>
    </row>
    <row r="2022" spans="1:17">
      <c r="A2022" s="9">
        <v>22993</v>
      </c>
      <c r="B2022" s="9">
        <v>4</v>
      </c>
      <c r="C2022" s="9" t="s">
        <v>1589</v>
      </c>
      <c r="D2022" s="9" t="s">
        <v>1590</v>
      </c>
      <c r="E2022" s="9" t="s">
        <v>1591</v>
      </c>
      <c r="F2022" s="9" t="s">
        <v>1589</v>
      </c>
      <c r="G2022" s="9" t="s">
        <v>1606</v>
      </c>
      <c r="H2022" s="9" t="s">
        <v>2121</v>
      </c>
      <c r="I2022" s="9" t="s">
        <v>3448</v>
      </c>
      <c r="J2022" s="9" t="s">
        <v>1587</v>
      </c>
      <c r="K2022" s="9">
        <v>1</v>
      </c>
      <c r="L2022" s="9">
        <v>20</v>
      </c>
      <c r="M2022" s="9">
        <v>1986</v>
      </c>
      <c r="O2022" s="9" t="str">
        <f t="shared" si="97"/>
        <v>NO</v>
      </c>
      <c r="P2022" s="9" t="str">
        <f t="shared" si="98"/>
        <v>YES</v>
      </c>
      <c r="Q2022" s="9" t="str">
        <f t="shared" si="99"/>
        <v>Unconditioned</v>
      </c>
    </row>
    <row r="2023" spans="1:17">
      <c r="A2023" s="9">
        <v>22994</v>
      </c>
      <c r="B2023" s="9">
        <v>1</v>
      </c>
      <c r="C2023" s="9" t="s">
        <v>1589</v>
      </c>
      <c r="D2023" s="9" t="s">
        <v>1590</v>
      </c>
      <c r="E2023" s="9" t="s">
        <v>1613</v>
      </c>
      <c r="F2023" s="9" t="s">
        <v>1603</v>
      </c>
      <c r="G2023" s="9" t="s">
        <v>1592</v>
      </c>
      <c r="H2023" s="9" t="s">
        <v>173</v>
      </c>
      <c r="I2023" s="9" t="s">
        <v>3449</v>
      </c>
      <c r="J2023" s="9" t="s">
        <v>1597</v>
      </c>
      <c r="K2023" s="9">
        <v>1</v>
      </c>
      <c r="L2023" s="9">
        <v>25</v>
      </c>
      <c r="M2023" s="9">
        <v>2007</v>
      </c>
      <c r="O2023" s="9" t="str">
        <f t="shared" si="97"/>
        <v>NO</v>
      </c>
      <c r="P2023" s="9" t="str">
        <f t="shared" si="98"/>
        <v>NO</v>
      </c>
      <c r="Q2023" s="9" t="str">
        <f t="shared" si="99"/>
        <v>Conditioned</v>
      </c>
    </row>
    <row r="2024" spans="1:17">
      <c r="A2024" s="9">
        <v>23003</v>
      </c>
      <c r="B2024" s="9">
        <v>1</v>
      </c>
      <c r="C2024" s="9" t="s">
        <v>1589</v>
      </c>
      <c r="D2024" s="9" t="s">
        <v>1590</v>
      </c>
      <c r="E2024" s="9" t="s">
        <v>1602</v>
      </c>
      <c r="F2024" s="9" t="s">
        <v>1603</v>
      </c>
      <c r="G2024" s="9" t="s">
        <v>1592</v>
      </c>
      <c r="H2024" s="9" t="s">
        <v>177</v>
      </c>
      <c r="I2024" s="9" t="s">
        <v>3450</v>
      </c>
      <c r="J2024" s="9" t="s">
        <v>1601</v>
      </c>
      <c r="K2024" s="9">
        <v>1</v>
      </c>
      <c r="L2024" s="9">
        <v>20</v>
      </c>
      <c r="M2024" s="9">
        <v>2008</v>
      </c>
      <c r="O2024" s="9" t="str">
        <f t="shared" si="97"/>
        <v>NO</v>
      </c>
      <c r="P2024" s="9" t="str">
        <f t="shared" si="98"/>
        <v>NO</v>
      </c>
      <c r="Q2024" s="9" t="str">
        <f t="shared" si="99"/>
        <v>Conditioned</v>
      </c>
    </row>
    <row r="2025" spans="1:17">
      <c r="A2025" s="9">
        <v>23003</v>
      </c>
      <c r="B2025" s="9">
        <v>2</v>
      </c>
      <c r="C2025" s="9" t="s">
        <v>1589</v>
      </c>
      <c r="D2025" s="9" t="s">
        <v>1603</v>
      </c>
      <c r="E2025" s="9" t="s">
        <v>1591</v>
      </c>
      <c r="F2025" s="9" t="s">
        <v>1589</v>
      </c>
      <c r="G2025" s="9" t="s">
        <v>1592</v>
      </c>
      <c r="H2025" s="9" t="s">
        <v>170</v>
      </c>
      <c r="I2025" s="9" t="s">
        <v>3451</v>
      </c>
      <c r="J2025" s="9" t="s">
        <v>1612</v>
      </c>
      <c r="K2025" s="9">
        <v>1</v>
      </c>
      <c r="L2025" s="9">
        <v>14</v>
      </c>
      <c r="M2025" s="9">
        <v>2000</v>
      </c>
      <c r="O2025" s="9" t="str">
        <f t="shared" si="97"/>
        <v>NO</v>
      </c>
      <c r="P2025" s="9" t="str">
        <f t="shared" si="98"/>
        <v>NO</v>
      </c>
      <c r="Q2025" s="9" t="str">
        <f t="shared" si="99"/>
        <v>Conditioned</v>
      </c>
    </row>
    <row r="2026" spans="1:17">
      <c r="A2026" s="9">
        <v>23003</v>
      </c>
      <c r="B2026" s="9">
        <v>3</v>
      </c>
      <c r="C2026" s="9" t="s">
        <v>1589</v>
      </c>
      <c r="D2026" s="9" t="s">
        <v>1590</v>
      </c>
      <c r="E2026" s="9" t="s">
        <v>1591</v>
      </c>
      <c r="F2026" s="9" t="s">
        <v>1589</v>
      </c>
      <c r="G2026" s="9" t="s">
        <v>1606</v>
      </c>
      <c r="H2026" s="9" t="s">
        <v>170</v>
      </c>
      <c r="I2026" s="9" t="s">
        <v>3452</v>
      </c>
      <c r="J2026" s="9" t="s">
        <v>1605</v>
      </c>
      <c r="K2026" s="9">
        <v>1</v>
      </c>
      <c r="L2026" s="9">
        <v>18</v>
      </c>
      <c r="M2026" s="9">
        <v>2000</v>
      </c>
      <c r="O2026" s="9" t="str">
        <f t="shared" si="97"/>
        <v>NO</v>
      </c>
      <c r="P2026" s="9" t="str">
        <f t="shared" si="98"/>
        <v>YES</v>
      </c>
      <c r="Q2026" s="9" t="str">
        <f t="shared" si="99"/>
        <v>Unconditioned</v>
      </c>
    </row>
    <row r="2027" spans="1:17">
      <c r="A2027" s="9">
        <v>23017</v>
      </c>
      <c r="B2027" s="9">
        <v>1</v>
      </c>
      <c r="C2027" s="9" t="s">
        <v>1589</v>
      </c>
      <c r="D2027" s="9" t="s">
        <v>1590</v>
      </c>
      <c r="E2027" s="9" t="s">
        <v>1602</v>
      </c>
      <c r="F2027" s="9" t="s">
        <v>1603</v>
      </c>
      <c r="G2027" s="9" t="s">
        <v>1592</v>
      </c>
      <c r="H2027" s="9" t="s">
        <v>177</v>
      </c>
      <c r="I2027" s="9" t="s">
        <v>3453</v>
      </c>
      <c r="J2027" s="9" t="s">
        <v>1608</v>
      </c>
      <c r="K2027" s="9">
        <v>1</v>
      </c>
      <c r="L2027" s="9">
        <v>26</v>
      </c>
      <c r="M2027" s="9">
        <v>2011</v>
      </c>
      <c r="O2027" s="9" t="str">
        <f t="shared" si="97"/>
        <v>NO</v>
      </c>
      <c r="P2027" s="9" t="str">
        <f t="shared" si="98"/>
        <v>NO</v>
      </c>
      <c r="Q2027" s="9" t="str">
        <f t="shared" si="99"/>
        <v>Conditioned</v>
      </c>
    </row>
    <row r="2028" spans="1:17">
      <c r="A2028" s="9">
        <v>23017</v>
      </c>
      <c r="B2028" s="9">
        <v>2</v>
      </c>
      <c r="C2028" s="9" t="s">
        <v>1589</v>
      </c>
      <c r="D2028" s="9" t="s">
        <v>1590</v>
      </c>
      <c r="E2028" s="9" t="s">
        <v>1613</v>
      </c>
      <c r="F2028" s="9" t="s">
        <v>1590</v>
      </c>
      <c r="G2028" s="9" t="s">
        <v>1592</v>
      </c>
      <c r="H2028" s="9" t="s">
        <v>174</v>
      </c>
      <c r="I2028" s="9" t="s">
        <v>3454</v>
      </c>
      <c r="J2028" s="9" t="s">
        <v>1597</v>
      </c>
      <c r="K2028" s="9">
        <v>1</v>
      </c>
      <c r="L2028" s="9">
        <v>16</v>
      </c>
      <c r="M2028" s="9">
        <v>1987</v>
      </c>
      <c r="O2028" s="9" t="str">
        <f t="shared" si="97"/>
        <v>NO</v>
      </c>
      <c r="P2028" s="9" t="str">
        <f t="shared" si="98"/>
        <v>NO</v>
      </c>
      <c r="Q2028" s="9" t="str">
        <f t="shared" si="99"/>
        <v>Conditioned</v>
      </c>
    </row>
    <row r="2029" spans="1:17">
      <c r="A2029" s="9">
        <v>23021</v>
      </c>
      <c r="B2029" s="9">
        <v>1</v>
      </c>
      <c r="C2029" s="9" t="s">
        <v>1589</v>
      </c>
      <c r="D2029" s="9" t="s">
        <v>1590</v>
      </c>
      <c r="E2029" s="9" t="s">
        <v>1602</v>
      </c>
      <c r="F2029" s="9" t="s">
        <v>1603</v>
      </c>
      <c r="G2029" s="9" t="s">
        <v>1592</v>
      </c>
      <c r="H2029" s="9" t="s">
        <v>170</v>
      </c>
      <c r="I2029" s="9" t="s">
        <v>3455</v>
      </c>
      <c r="J2029" s="9" t="s">
        <v>1601</v>
      </c>
      <c r="K2029" s="9">
        <v>1</v>
      </c>
      <c r="L2029" s="9">
        <v>26</v>
      </c>
      <c r="M2029" s="9">
        <v>1999</v>
      </c>
      <c r="O2029" s="9" t="str">
        <f t="shared" si="97"/>
        <v>NO</v>
      </c>
      <c r="P2029" s="9" t="str">
        <f t="shared" si="98"/>
        <v>NO</v>
      </c>
      <c r="Q2029" s="9" t="str">
        <f t="shared" si="99"/>
        <v>Conditioned</v>
      </c>
    </row>
    <row r="2030" spans="1:17">
      <c r="A2030" s="9">
        <v>23021</v>
      </c>
      <c r="B2030" s="9">
        <v>2</v>
      </c>
      <c r="C2030" s="9" t="s">
        <v>1589</v>
      </c>
      <c r="D2030" s="9" t="s">
        <v>1590</v>
      </c>
      <c r="E2030" s="9" t="s">
        <v>1591</v>
      </c>
      <c r="F2030" s="9" t="s">
        <v>1589</v>
      </c>
      <c r="G2030" s="9" t="s">
        <v>1592</v>
      </c>
      <c r="H2030" s="9" t="s">
        <v>169</v>
      </c>
      <c r="I2030" s="9" t="s">
        <v>3456</v>
      </c>
      <c r="J2030" s="9" t="s">
        <v>1605</v>
      </c>
      <c r="K2030" s="9">
        <v>1</v>
      </c>
      <c r="L2030" s="9">
        <v>21</v>
      </c>
      <c r="M2030" s="9">
        <v>2010</v>
      </c>
      <c r="O2030" s="9" t="str">
        <f t="shared" si="97"/>
        <v>NO</v>
      </c>
      <c r="P2030" s="9" t="str">
        <f t="shared" si="98"/>
        <v>YES</v>
      </c>
      <c r="Q2030" s="9" t="str">
        <f t="shared" si="99"/>
        <v>Conditioned</v>
      </c>
    </row>
    <row r="2031" spans="1:17">
      <c r="A2031" s="9">
        <v>23028</v>
      </c>
      <c r="B2031" s="9">
        <v>1</v>
      </c>
      <c r="C2031" s="9" t="s">
        <v>1589</v>
      </c>
      <c r="D2031" s="9" t="s">
        <v>1590</v>
      </c>
      <c r="E2031" s="9" t="s">
        <v>1602</v>
      </c>
      <c r="F2031" s="9" t="s">
        <v>1603</v>
      </c>
      <c r="G2031" s="9" t="s">
        <v>1592</v>
      </c>
      <c r="H2031" s="9" t="s">
        <v>169</v>
      </c>
      <c r="I2031" s="9" t="s">
        <v>3457</v>
      </c>
      <c r="J2031" s="9" t="s">
        <v>1601</v>
      </c>
      <c r="K2031" s="9">
        <v>1</v>
      </c>
      <c r="L2031" s="9">
        <v>26</v>
      </c>
      <c r="M2031" s="9">
        <v>2003</v>
      </c>
      <c r="O2031" s="9" t="str">
        <f t="shared" si="97"/>
        <v>NO</v>
      </c>
      <c r="P2031" s="9" t="str">
        <f t="shared" si="98"/>
        <v>NO</v>
      </c>
      <c r="Q2031" s="9" t="str">
        <f t="shared" si="99"/>
        <v>Conditioned</v>
      </c>
    </row>
    <row r="2032" spans="1:17">
      <c r="A2032" s="9">
        <v>23028</v>
      </c>
      <c r="B2032" s="9">
        <v>2</v>
      </c>
      <c r="C2032" s="9" t="s">
        <v>1589</v>
      </c>
      <c r="D2032" s="9" t="s">
        <v>1590</v>
      </c>
      <c r="E2032" s="9" t="s">
        <v>1591</v>
      </c>
      <c r="F2032" s="9" t="s">
        <v>1589</v>
      </c>
      <c r="G2032" s="9" t="s">
        <v>1606</v>
      </c>
      <c r="H2032" s="9" t="s">
        <v>169</v>
      </c>
      <c r="I2032" s="9" t="s">
        <v>3458</v>
      </c>
      <c r="J2032" s="9" t="s">
        <v>1605</v>
      </c>
      <c r="K2032" s="9">
        <v>1</v>
      </c>
      <c r="L2032" s="9">
        <v>14</v>
      </c>
      <c r="M2032" s="9">
        <v>2007</v>
      </c>
      <c r="O2032" s="9" t="str">
        <f t="shared" si="97"/>
        <v>NO</v>
      </c>
      <c r="P2032" s="9" t="str">
        <f t="shared" si="98"/>
        <v>YES</v>
      </c>
      <c r="Q2032" s="9" t="str">
        <f t="shared" si="99"/>
        <v>Unconditioned</v>
      </c>
    </row>
    <row r="2033" spans="1:17">
      <c r="A2033" s="9">
        <v>23029</v>
      </c>
      <c r="B2033" s="9">
        <v>1</v>
      </c>
      <c r="C2033" s="9" t="s">
        <v>1589</v>
      </c>
      <c r="D2033" s="9" t="s">
        <v>1603</v>
      </c>
      <c r="E2033" s="9" t="s">
        <v>1613</v>
      </c>
      <c r="F2033" s="9" t="s">
        <v>1603</v>
      </c>
      <c r="G2033" s="9" t="s">
        <v>1592</v>
      </c>
      <c r="H2033" s="9" t="s">
        <v>1017</v>
      </c>
      <c r="I2033" s="9" t="s">
        <v>3459</v>
      </c>
      <c r="J2033" s="9" t="s">
        <v>1610</v>
      </c>
      <c r="K2033" s="9">
        <v>1</v>
      </c>
      <c r="L2033" s="9">
        <v>36</v>
      </c>
      <c r="M2033" s="9">
        <v>2007</v>
      </c>
      <c r="O2033" s="9" t="str">
        <f t="shared" si="97"/>
        <v>NO</v>
      </c>
      <c r="P2033" s="9" t="str">
        <f t="shared" si="98"/>
        <v>NO</v>
      </c>
      <c r="Q2033" s="9" t="str">
        <f t="shared" si="99"/>
        <v>Conditioned</v>
      </c>
    </row>
    <row r="2034" spans="1:17">
      <c r="A2034" s="9">
        <v>23034</v>
      </c>
      <c r="B2034" s="9">
        <v>1</v>
      </c>
      <c r="C2034" s="9" t="s">
        <v>1589</v>
      </c>
      <c r="D2034" s="9" t="s">
        <v>1590</v>
      </c>
      <c r="E2034" s="9" t="s">
        <v>1613</v>
      </c>
      <c r="F2034" s="9" t="s">
        <v>1603</v>
      </c>
      <c r="G2034" s="9" t="s">
        <v>1592</v>
      </c>
      <c r="H2034" s="9" t="s">
        <v>1599</v>
      </c>
      <c r="I2034" s="9" t="s">
        <v>3460</v>
      </c>
      <c r="J2034" s="9" t="s">
        <v>1610</v>
      </c>
      <c r="K2034" s="9">
        <v>1</v>
      </c>
      <c r="L2034" s="9">
        <v>22</v>
      </c>
      <c r="M2034" s="9">
        <v>2000</v>
      </c>
      <c r="O2034" s="9" t="str">
        <f t="shared" si="97"/>
        <v>NO</v>
      </c>
      <c r="P2034" s="9" t="str">
        <f t="shared" si="98"/>
        <v>NO</v>
      </c>
      <c r="Q2034" s="9" t="str">
        <f t="shared" si="99"/>
        <v>Conditioned</v>
      </c>
    </row>
    <row r="2035" spans="1:17">
      <c r="A2035" s="9">
        <v>23034</v>
      </c>
      <c r="B2035" s="9">
        <v>2</v>
      </c>
      <c r="C2035" s="9" t="s">
        <v>1589</v>
      </c>
      <c r="D2035" s="9" t="s">
        <v>1590</v>
      </c>
      <c r="E2035" s="9" t="s">
        <v>1591</v>
      </c>
      <c r="F2035" s="9" t="s">
        <v>1589</v>
      </c>
      <c r="G2035" s="9" t="s">
        <v>1592</v>
      </c>
      <c r="H2035" s="9" t="s">
        <v>177</v>
      </c>
      <c r="I2035" s="9" t="s">
        <v>3461</v>
      </c>
      <c r="J2035" s="9" t="s">
        <v>1605</v>
      </c>
      <c r="K2035" s="9">
        <v>1</v>
      </c>
      <c r="L2035" s="9">
        <v>20</v>
      </c>
      <c r="M2035" s="9">
        <v>2007</v>
      </c>
      <c r="O2035" s="9" t="str">
        <f t="shared" si="97"/>
        <v>NO</v>
      </c>
      <c r="P2035" s="9" t="str">
        <f t="shared" si="98"/>
        <v>YES</v>
      </c>
      <c r="Q2035" s="9" t="str">
        <f t="shared" si="99"/>
        <v>Conditioned</v>
      </c>
    </row>
    <row r="2036" spans="1:17">
      <c r="A2036" s="9">
        <v>23049</v>
      </c>
      <c r="B2036" s="9">
        <v>1</v>
      </c>
      <c r="C2036" s="9" t="s">
        <v>1589</v>
      </c>
      <c r="D2036" s="9" t="s">
        <v>1590</v>
      </c>
      <c r="E2036" s="9" t="s">
        <v>1591</v>
      </c>
      <c r="F2036" s="9" t="s">
        <v>1589</v>
      </c>
      <c r="G2036" s="9" t="s">
        <v>1592</v>
      </c>
      <c r="H2036" s="9" t="s">
        <v>177</v>
      </c>
      <c r="I2036" s="9" t="s">
        <v>3462</v>
      </c>
      <c r="J2036" s="9" t="s">
        <v>1601</v>
      </c>
      <c r="K2036" s="9">
        <v>1</v>
      </c>
      <c r="L2036" s="9">
        <v>20</v>
      </c>
      <c r="M2036" s="9">
        <v>1994</v>
      </c>
      <c r="O2036" s="9" t="str">
        <f t="shared" si="97"/>
        <v>NO</v>
      </c>
      <c r="P2036" s="9" t="str">
        <f t="shared" si="98"/>
        <v>NO</v>
      </c>
      <c r="Q2036" s="9" t="str">
        <f t="shared" si="99"/>
        <v>Conditioned</v>
      </c>
    </row>
    <row r="2037" spans="1:17">
      <c r="A2037" s="9">
        <v>23049</v>
      </c>
      <c r="B2037" s="9">
        <v>2</v>
      </c>
      <c r="C2037" s="9" t="s">
        <v>1589</v>
      </c>
      <c r="D2037" s="9" t="s">
        <v>1590</v>
      </c>
      <c r="E2037" s="9" t="s">
        <v>1602</v>
      </c>
      <c r="F2037" s="9" t="s">
        <v>1590</v>
      </c>
      <c r="G2037" s="9" t="s">
        <v>1592</v>
      </c>
      <c r="H2037" s="9" t="s">
        <v>169</v>
      </c>
      <c r="I2037" s="9" t="s">
        <v>3463</v>
      </c>
      <c r="J2037" s="9" t="s">
        <v>1601</v>
      </c>
      <c r="K2037" s="9">
        <v>1</v>
      </c>
      <c r="L2037" s="9">
        <v>20</v>
      </c>
      <c r="M2037" s="9">
        <v>1996</v>
      </c>
      <c r="O2037" s="9" t="str">
        <f t="shared" si="97"/>
        <v>NO</v>
      </c>
      <c r="P2037" s="9" t="str">
        <f t="shared" si="98"/>
        <v>NO</v>
      </c>
      <c r="Q2037" s="9" t="str">
        <f t="shared" si="99"/>
        <v>Conditioned</v>
      </c>
    </row>
    <row r="2038" spans="1:17">
      <c r="A2038" s="9">
        <v>23084</v>
      </c>
      <c r="B2038" s="9">
        <v>1</v>
      </c>
      <c r="C2038" s="9" t="s">
        <v>1589</v>
      </c>
      <c r="D2038" s="9" t="s">
        <v>1590</v>
      </c>
      <c r="E2038" s="9" t="s">
        <v>1613</v>
      </c>
      <c r="F2038" s="9" t="s">
        <v>1603</v>
      </c>
      <c r="G2038" s="9" t="s">
        <v>1592</v>
      </c>
      <c r="H2038" s="9" t="s">
        <v>170</v>
      </c>
      <c r="I2038" s="9" t="s">
        <v>3464</v>
      </c>
      <c r="J2038" s="9" t="s">
        <v>1597</v>
      </c>
      <c r="K2038" s="9">
        <v>1</v>
      </c>
      <c r="L2038" s="9">
        <v>19</v>
      </c>
      <c r="M2038" s="9">
        <v>1988</v>
      </c>
      <c r="O2038" s="9" t="str">
        <f t="shared" si="97"/>
        <v>NO</v>
      </c>
      <c r="P2038" s="9" t="str">
        <f t="shared" si="98"/>
        <v>NO</v>
      </c>
      <c r="Q2038" s="9" t="str">
        <f t="shared" si="99"/>
        <v>Conditioned</v>
      </c>
    </row>
    <row r="2039" spans="1:17">
      <c r="A2039" s="9">
        <v>23084</v>
      </c>
      <c r="B2039" s="9">
        <v>2</v>
      </c>
      <c r="C2039" s="9" t="s">
        <v>3465</v>
      </c>
      <c r="D2039" s="9" t="s">
        <v>1590</v>
      </c>
      <c r="E2039" s="9" t="s">
        <v>1613</v>
      </c>
      <c r="F2039" s="9" t="s">
        <v>1590</v>
      </c>
      <c r="G2039" s="9" t="s">
        <v>1606</v>
      </c>
      <c r="H2039" s="9" t="s">
        <v>1900</v>
      </c>
      <c r="I2039" s="9" t="s">
        <v>3466</v>
      </c>
      <c r="J2039" s="9" t="s">
        <v>1605</v>
      </c>
      <c r="K2039" s="9">
        <v>1</v>
      </c>
      <c r="L2039" s="9">
        <v>20</v>
      </c>
      <c r="O2039" s="9" t="str">
        <f t="shared" si="97"/>
        <v>NO</v>
      </c>
      <c r="P2039" s="9" t="str">
        <f t="shared" si="98"/>
        <v>YES</v>
      </c>
      <c r="Q2039" s="9" t="str">
        <f t="shared" si="99"/>
        <v>Unconditioned</v>
      </c>
    </row>
    <row r="2040" spans="1:17">
      <c r="A2040" s="9">
        <v>23110</v>
      </c>
      <c r="B2040" s="9">
        <v>1</v>
      </c>
      <c r="C2040" s="9" t="s">
        <v>1589</v>
      </c>
      <c r="D2040" s="9" t="s">
        <v>1603</v>
      </c>
      <c r="E2040" s="9" t="s">
        <v>1591</v>
      </c>
      <c r="F2040" s="9" t="s">
        <v>1589</v>
      </c>
      <c r="G2040" s="9" t="s">
        <v>1592</v>
      </c>
      <c r="H2040" s="9" t="s">
        <v>170</v>
      </c>
      <c r="I2040" s="9" t="s">
        <v>2078</v>
      </c>
      <c r="J2040" s="9" t="s">
        <v>1597</v>
      </c>
      <c r="K2040" s="9">
        <v>1</v>
      </c>
      <c r="L2040" s="9">
        <v>21</v>
      </c>
      <c r="M2040" s="9">
        <v>1997</v>
      </c>
      <c r="O2040" s="9" t="str">
        <f t="shared" si="97"/>
        <v>NO</v>
      </c>
      <c r="P2040" s="9" t="str">
        <f t="shared" si="98"/>
        <v>NO</v>
      </c>
      <c r="Q2040" s="9" t="str">
        <f t="shared" si="99"/>
        <v>Conditioned</v>
      </c>
    </row>
    <row r="2041" spans="1:17">
      <c r="A2041" s="9">
        <v>23111</v>
      </c>
      <c r="B2041" s="9">
        <v>1</v>
      </c>
      <c r="C2041" s="9" t="s">
        <v>1589</v>
      </c>
      <c r="D2041" s="9" t="s">
        <v>1603</v>
      </c>
      <c r="E2041" s="9" t="s">
        <v>1602</v>
      </c>
      <c r="F2041" s="9" t="s">
        <v>1603</v>
      </c>
      <c r="G2041" s="9" t="s">
        <v>1592</v>
      </c>
      <c r="H2041" s="9" t="s">
        <v>1599</v>
      </c>
      <c r="I2041" s="9" t="s">
        <v>3467</v>
      </c>
      <c r="J2041" s="9" t="s">
        <v>1601</v>
      </c>
      <c r="K2041" s="9">
        <v>1</v>
      </c>
      <c r="L2041" s="9">
        <v>25</v>
      </c>
      <c r="M2041" s="9">
        <v>2005</v>
      </c>
      <c r="O2041" s="9" t="str">
        <f t="shared" si="97"/>
        <v>NO</v>
      </c>
      <c r="P2041" s="9" t="str">
        <f t="shared" si="98"/>
        <v>NO</v>
      </c>
      <c r="Q2041" s="9" t="str">
        <f t="shared" si="99"/>
        <v>Conditioned</v>
      </c>
    </row>
    <row r="2042" spans="1:17">
      <c r="A2042" s="9">
        <v>23111</v>
      </c>
      <c r="B2042" s="9">
        <v>2</v>
      </c>
      <c r="C2042" s="9" t="s">
        <v>1589</v>
      </c>
      <c r="D2042" s="9" t="s">
        <v>1590</v>
      </c>
      <c r="E2042" s="9" t="s">
        <v>1591</v>
      </c>
      <c r="F2042" s="9" t="s">
        <v>1589</v>
      </c>
      <c r="G2042" s="9" t="s">
        <v>1606</v>
      </c>
      <c r="H2042" s="9" t="s">
        <v>170</v>
      </c>
      <c r="I2042" s="9" t="s">
        <v>3468</v>
      </c>
      <c r="J2042" s="9" t="s">
        <v>1605</v>
      </c>
      <c r="K2042" s="9">
        <v>1</v>
      </c>
      <c r="L2042" s="9">
        <v>15</v>
      </c>
      <c r="M2042" s="9">
        <v>1981</v>
      </c>
      <c r="O2042" s="9" t="str">
        <f t="shared" si="97"/>
        <v>NO</v>
      </c>
      <c r="P2042" s="9" t="str">
        <f t="shared" si="98"/>
        <v>YES</v>
      </c>
      <c r="Q2042" s="9" t="str">
        <f t="shared" si="99"/>
        <v>Unconditioned</v>
      </c>
    </row>
    <row r="2043" spans="1:17">
      <c r="A2043" s="9">
        <v>23112</v>
      </c>
      <c r="B2043" s="9">
        <v>1</v>
      </c>
      <c r="C2043" s="9" t="s">
        <v>1589</v>
      </c>
      <c r="D2043" s="9" t="s">
        <v>1603</v>
      </c>
      <c r="E2043" s="9" t="s">
        <v>1602</v>
      </c>
      <c r="F2043" s="9" t="s">
        <v>1603</v>
      </c>
      <c r="G2043" s="9" t="s">
        <v>1592</v>
      </c>
      <c r="H2043" s="9" t="s">
        <v>170</v>
      </c>
      <c r="I2043" s="9" t="s">
        <v>3469</v>
      </c>
      <c r="J2043" s="9" t="s">
        <v>1601</v>
      </c>
      <c r="K2043" s="9">
        <v>1</v>
      </c>
      <c r="L2043" s="9">
        <v>21</v>
      </c>
      <c r="M2043" s="9">
        <v>2006</v>
      </c>
      <c r="O2043" s="9" t="str">
        <f t="shared" si="97"/>
        <v>NO</v>
      </c>
      <c r="P2043" s="9" t="str">
        <f t="shared" si="98"/>
        <v>NO</v>
      </c>
      <c r="Q2043" s="9" t="str">
        <f t="shared" si="99"/>
        <v>Conditioned</v>
      </c>
    </row>
    <row r="2044" spans="1:17">
      <c r="A2044" s="9">
        <v>23112</v>
      </c>
      <c r="B2044" s="9">
        <v>2</v>
      </c>
      <c r="C2044" s="9" t="s">
        <v>1589</v>
      </c>
      <c r="D2044" s="9" t="s">
        <v>1590</v>
      </c>
      <c r="E2044" s="9" t="s">
        <v>1591</v>
      </c>
      <c r="F2044" s="9" t="s">
        <v>1589</v>
      </c>
      <c r="G2044" s="9" t="s">
        <v>1592</v>
      </c>
      <c r="H2044" s="9" t="s">
        <v>170</v>
      </c>
      <c r="I2044" s="9" t="s">
        <v>3470</v>
      </c>
      <c r="J2044" s="9" t="s">
        <v>1605</v>
      </c>
      <c r="K2044" s="9">
        <v>1</v>
      </c>
      <c r="L2044" s="9">
        <v>18</v>
      </c>
      <c r="M2044" s="9">
        <v>2009</v>
      </c>
      <c r="O2044" s="9" t="str">
        <f t="shared" si="97"/>
        <v>NO</v>
      </c>
      <c r="P2044" s="9" t="str">
        <f t="shared" si="98"/>
        <v>YES</v>
      </c>
      <c r="Q2044" s="9" t="str">
        <f t="shared" si="99"/>
        <v>Conditioned</v>
      </c>
    </row>
    <row r="2045" spans="1:17">
      <c r="A2045" s="9">
        <v>23113</v>
      </c>
      <c r="B2045" s="9">
        <v>1</v>
      </c>
      <c r="C2045" s="9" t="s">
        <v>1589</v>
      </c>
      <c r="D2045" s="9" t="s">
        <v>1590</v>
      </c>
      <c r="E2045" s="9" t="s">
        <v>1591</v>
      </c>
      <c r="F2045" s="9" t="s">
        <v>1589</v>
      </c>
      <c r="G2045" s="9" t="s">
        <v>1592</v>
      </c>
      <c r="H2045" s="9" t="s">
        <v>174</v>
      </c>
      <c r="I2045" s="9" t="s">
        <v>3471</v>
      </c>
      <c r="J2045" s="9" t="s">
        <v>1608</v>
      </c>
      <c r="K2045" s="9">
        <v>1</v>
      </c>
      <c r="L2045" s="9">
        <v>21</v>
      </c>
      <c r="M2045" s="9">
        <v>1994</v>
      </c>
      <c r="O2045" s="9" t="str">
        <f t="shared" si="97"/>
        <v>NO</v>
      </c>
      <c r="P2045" s="9" t="str">
        <f t="shared" si="98"/>
        <v>NO</v>
      </c>
      <c r="Q2045" s="9" t="str">
        <f t="shared" si="99"/>
        <v>Conditioned</v>
      </c>
    </row>
    <row r="2046" spans="1:17">
      <c r="A2046" s="9">
        <v>23119</v>
      </c>
      <c r="B2046" s="9">
        <v>1</v>
      </c>
      <c r="C2046" s="9" t="s">
        <v>1589</v>
      </c>
      <c r="D2046" s="9" t="s">
        <v>1590</v>
      </c>
      <c r="E2046" s="9" t="s">
        <v>1591</v>
      </c>
      <c r="F2046" s="9" t="s">
        <v>1589</v>
      </c>
      <c r="G2046" s="9" t="s">
        <v>1592</v>
      </c>
      <c r="H2046" s="9" t="s">
        <v>1638</v>
      </c>
      <c r="I2046" s="9" t="s">
        <v>1589</v>
      </c>
      <c r="J2046" s="9" t="s">
        <v>1597</v>
      </c>
      <c r="K2046" s="9">
        <v>1</v>
      </c>
      <c r="L2046" s="9">
        <v>20</v>
      </c>
      <c r="O2046" s="9" t="str">
        <f t="shared" si="97"/>
        <v>NO</v>
      </c>
      <c r="P2046" s="9" t="str">
        <f t="shared" si="98"/>
        <v>NO</v>
      </c>
      <c r="Q2046" s="9" t="str">
        <f t="shared" si="99"/>
        <v>Conditioned</v>
      </c>
    </row>
    <row r="2047" spans="1:17">
      <c r="A2047" s="9">
        <v>23119</v>
      </c>
      <c r="B2047" s="9">
        <v>2</v>
      </c>
      <c r="C2047" s="9" t="s">
        <v>1589</v>
      </c>
      <c r="D2047" s="9" t="s">
        <v>1590</v>
      </c>
      <c r="E2047" s="9" t="s">
        <v>1591</v>
      </c>
      <c r="F2047" s="9" t="s">
        <v>1589</v>
      </c>
      <c r="G2047" s="9" t="s">
        <v>1592</v>
      </c>
      <c r="H2047" s="9" t="s">
        <v>173</v>
      </c>
      <c r="I2047" s="9" t="s">
        <v>3472</v>
      </c>
      <c r="J2047" s="9" t="s">
        <v>1587</v>
      </c>
      <c r="K2047" s="9">
        <v>1</v>
      </c>
      <c r="L2047" s="9">
        <v>10</v>
      </c>
      <c r="O2047" s="9" t="str">
        <f t="shared" si="97"/>
        <v>NO</v>
      </c>
      <c r="P2047" s="9" t="str">
        <f t="shared" si="98"/>
        <v>YES</v>
      </c>
      <c r="Q2047" s="9" t="str">
        <f t="shared" si="99"/>
        <v>Conditioned</v>
      </c>
    </row>
    <row r="2048" spans="1:17">
      <c r="A2048" s="9">
        <v>23119</v>
      </c>
      <c r="B2048" s="9">
        <v>3</v>
      </c>
      <c r="C2048" s="9" t="s">
        <v>1589</v>
      </c>
      <c r="D2048" s="9" t="s">
        <v>1590</v>
      </c>
      <c r="E2048" s="9" t="s">
        <v>1591</v>
      </c>
      <c r="F2048" s="9" t="s">
        <v>1589</v>
      </c>
      <c r="G2048" s="9" t="s">
        <v>1592</v>
      </c>
      <c r="H2048" s="9" t="s">
        <v>1900</v>
      </c>
      <c r="I2048" s="9" t="s">
        <v>3473</v>
      </c>
      <c r="J2048" s="9" t="s">
        <v>1587</v>
      </c>
      <c r="K2048" s="9">
        <v>1</v>
      </c>
      <c r="L2048" s="9">
        <v>20</v>
      </c>
      <c r="O2048" s="9" t="str">
        <f t="shared" si="97"/>
        <v>NO</v>
      </c>
      <c r="P2048" s="9" t="str">
        <f t="shared" si="98"/>
        <v>YES</v>
      </c>
      <c r="Q2048" s="9" t="str">
        <f t="shared" si="99"/>
        <v>Conditioned</v>
      </c>
    </row>
    <row r="2049" spans="1:17">
      <c r="A2049" s="9">
        <v>23122</v>
      </c>
      <c r="B2049" s="9">
        <v>1</v>
      </c>
      <c r="C2049" s="9" t="s">
        <v>1589</v>
      </c>
      <c r="D2049" s="9" t="s">
        <v>1603</v>
      </c>
      <c r="E2049" s="9" t="s">
        <v>1613</v>
      </c>
      <c r="F2049" s="9" t="s">
        <v>1590</v>
      </c>
      <c r="G2049" s="9" t="s">
        <v>1592</v>
      </c>
      <c r="H2049" s="9" t="s">
        <v>1599</v>
      </c>
      <c r="I2049" s="9" t="s">
        <v>3474</v>
      </c>
      <c r="J2049" s="9" t="s">
        <v>1597</v>
      </c>
      <c r="K2049" s="9">
        <v>1</v>
      </c>
      <c r="L2049" s="9">
        <v>20</v>
      </c>
      <c r="M2049" s="9">
        <v>1994</v>
      </c>
      <c r="O2049" s="9" t="str">
        <f t="shared" si="97"/>
        <v>NO</v>
      </c>
      <c r="P2049" s="9" t="str">
        <f t="shared" si="98"/>
        <v>NO</v>
      </c>
      <c r="Q2049" s="9" t="str">
        <f t="shared" si="99"/>
        <v>Conditioned</v>
      </c>
    </row>
    <row r="2050" spans="1:17">
      <c r="A2050" s="9">
        <v>23122</v>
      </c>
      <c r="B2050" s="9">
        <v>2</v>
      </c>
      <c r="C2050" s="9" t="s">
        <v>1589</v>
      </c>
      <c r="D2050" s="9" t="s">
        <v>1603</v>
      </c>
      <c r="E2050" s="9" t="s">
        <v>1591</v>
      </c>
      <c r="F2050" s="9" t="s">
        <v>1589</v>
      </c>
      <c r="G2050" s="9" t="s">
        <v>1606</v>
      </c>
      <c r="H2050" s="9" t="s">
        <v>1766</v>
      </c>
      <c r="I2050" s="9" t="s">
        <v>3475</v>
      </c>
      <c r="J2050" s="9" t="s">
        <v>1605</v>
      </c>
      <c r="K2050" s="9">
        <v>1</v>
      </c>
      <c r="L2050" s="9">
        <v>18</v>
      </c>
      <c r="M2050" s="9">
        <v>1992</v>
      </c>
      <c r="O2050" s="9" t="str">
        <f t="shared" si="97"/>
        <v>NO</v>
      </c>
      <c r="P2050" s="9" t="str">
        <f t="shared" si="98"/>
        <v>YES</v>
      </c>
      <c r="Q2050" s="9" t="str">
        <f t="shared" si="99"/>
        <v>Unconditioned</v>
      </c>
    </row>
    <row r="2051" spans="1:17">
      <c r="A2051" s="9">
        <v>23123</v>
      </c>
      <c r="B2051" s="9">
        <v>1</v>
      </c>
      <c r="C2051" s="9" t="s">
        <v>1589</v>
      </c>
      <c r="D2051" s="9" t="s">
        <v>1590</v>
      </c>
      <c r="E2051" s="9" t="s">
        <v>1591</v>
      </c>
      <c r="F2051" s="9" t="s">
        <v>1589</v>
      </c>
      <c r="G2051" s="9" t="s">
        <v>1592</v>
      </c>
      <c r="H2051" s="9" t="s">
        <v>1017</v>
      </c>
      <c r="I2051" s="9" t="s">
        <v>3476</v>
      </c>
      <c r="J2051" s="9" t="s">
        <v>1608</v>
      </c>
      <c r="K2051" s="9">
        <v>1</v>
      </c>
      <c r="L2051" s="9">
        <v>19</v>
      </c>
      <c r="M2051" s="9">
        <v>2002</v>
      </c>
      <c r="O2051" s="9" t="str">
        <f t="shared" si="97"/>
        <v>NO</v>
      </c>
      <c r="P2051" s="9" t="str">
        <f t="shared" si="98"/>
        <v>NO</v>
      </c>
      <c r="Q2051" s="9" t="str">
        <f t="shared" si="99"/>
        <v>Conditioned</v>
      </c>
    </row>
    <row r="2052" spans="1:17">
      <c r="A2052" s="9">
        <v>23138</v>
      </c>
      <c r="B2052" s="9">
        <v>1</v>
      </c>
      <c r="C2052" s="9" t="s">
        <v>1589</v>
      </c>
      <c r="D2052" s="9" t="s">
        <v>1590</v>
      </c>
      <c r="E2052" s="9" t="s">
        <v>1591</v>
      </c>
      <c r="F2052" s="9" t="s">
        <v>1589</v>
      </c>
      <c r="G2052" s="9" t="s">
        <v>1592</v>
      </c>
      <c r="H2052" s="9" t="s">
        <v>169</v>
      </c>
      <c r="I2052" s="9" t="s">
        <v>3477</v>
      </c>
      <c r="J2052" s="9" t="s">
        <v>1597</v>
      </c>
      <c r="K2052" s="9">
        <v>1</v>
      </c>
      <c r="L2052" s="9">
        <v>21</v>
      </c>
      <c r="M2052" s="9">
        <v>2010</v>
      </c>
      <c r="O2052" s="9" t="str">
        <f t="shared" si="97"/>
        <v>NO</v>
      </c>
      <c r="P2052" s="9" t="str">
        <f t="shared" si="98"/>
        <v>NO</v>
      </c>
      <c r="Q2052" s="9" t="str">
        <f t="shared" si="99"/>
        <v>Conditioned</v>
      </c>
    </row>
    <row r="2053" spans="1:17">
      <c r="A2053" s="9">
        <v>23138</v>
      </c>
      <c r="B2053" s="9">
        <v>2</v>
      </c>
      <c r="C2053" s="9" t="s">
        <v>1589</v>
      </c>
      <c r="D2053" s="9" t="s">
        <v>1590</v>
      </c>
      <c r="E2053" s="9" t="s">
        <v>1591</v>
      </c>
      <c r="F2053" s="9" t="s">
        <v>1589</v>
      </c>
      <c r="G2053" s="9" t="s">
        <v>1606</v>
      </c>
      <c r="H2053" s="9" t="s">
        <v>169</v>
      </c>
      <c r="I2053" s="9" t="s">
        <v>1589</v>
      </c>
      <c r="J2053" s="9" t="s">
        <v>1587</v>
      </c>
      <c r="K2053" s="9">
        <v>1</v>
      </c>
      <c r="L2053" s="9">
        <v>11</v>
      </c>
      <c r="O2053" s="9" t="str">
        <f t="shared" si="97"/>
        <v>NO</v>
      </c>
      <c r="P2053" s="9" t="str">
        <f t="shared" si="98"/>
        <v>YES</v>
      </c>
      <c r="Q2053" s="9" t="str">
        <f t="shared" si="99"/>
        <v>Unconditioned</v>
      </c>
    </row>
    <row r="2054" spans="1:17">
      <c r="A2054" s="9">
        <v>23138</v>
      </c>
      <c r="B2054" s="9">
        <v>3</v>
      </c>
      <c r="C2054" s="9" t="s">
        <v>1589</v>
      </c>
      <c r="D2054" s="9" t="s">
        <v>1590</v>
      </c>
      <c r="E2054" s="9" t="s">
        <v>1591</v>
      </c>
      <c r="F2054" s="9" t="s">
        <v>1589</v>
      </c>
      <c r="G2054" s="9" t="s">
        <v>1606</v>
      </c>
      <c r="H2054" s="9" t="s">
        <v>1900</v>
      </c>
      <c r="I2054" s="9" t="s">
        <v>3478</v>
      </c>
      <c r="J2054" s="9" t="s">
        <v>1597</v>
      </c>
      <c r="K2054" s="9">
        <v>1</v>
      </c>
      <c r="L2054" s="9">
        <v>19</v>
      </c>
      <c r="M2054" s="9">
        <v>1992</v>
      </c>
      <c r="O2054" s="9" t="str">
        <f t="shared" si="97"/>
        <v>NO</v>
      </c>
      <c r="P2054" s="9" t="str">
        <f t="shared" si="98"/>
        <v>NO</v>
      </c>
      <c r="Q2054" s="9" t="str">
        <f t="shared" si="99"/>
        <v>Unconditioned</v>
      </c>
    </row>
    <row r="2055" spans="1:17">
      <c r="A2055" s="9">
        <v>23145</v>
      </c>
      <c r="B2055" s="9">
        <v>1</v>
      </c>
      <c r="C2055" s="9" t="s">
        <v>1589</v>
      </c>
      <c r="D2055" s="9" t="s">
        <v>1590</v>
      </c>
      <c r="E2055" s="9" t="s">
        <v>1602</v>
      </c>
      <c r="F2055" s="9" t="s">
        <v>1603</v>
      </c>
      <c r="G2055" s="9" t="s">
        <v>1592</v>
      </c>
      <c r="H2055" s="9" t="s">
        <v>1638</v>
      </c>
      <c r="I2055" s="9" t="s">
        <v>3479</v>
      </c>
      <c r="J2055" s="9" t="s">
        <v>1601</v>
      </c>
      <c r="K2055" s="9">
        <v>1</v>
      </c>
      <c r="L2055" s="9">
        <v>25</v>
      </c>
      <c r="M2055" s="9">
        <v>2007</v>
      </c>
      <c r="O2055" s="9" t="str">
        <f t="shared" si="97"/>
        <v>NO</v>
      </c>
      <c r="P2055" s="9" t="str">
        <f t="shared" si="98"/>
        <v>NO</v>
      </c>
      <c r="Q2055" s="9" t="str">
        <f t="shared" si="99"/>
        <v>Conditioned</v>
      </c>
    </row>
    <row r="2056" spans="1:17">
      <c r="A2056" s="9">
        <v>23145</v>
      </c>
      <c r="B2056" s="9">
        <v>2</v>
      </c>
      <c r="C2056" s="9" t="s">
        <v>1589</v>
      </c>
      <c r="D2056" s="9" t="s">
        <v>1590</v>
      </c>
      <c r="E2056" s="9" t="s">
        <v>1591</v>
      </c>
      <c r="F2056" s="9" t="s">
        <v>1589</v>
      </c>
      <c r="G2056" s="9" t="s">
        <v>1606</v>
      </c>
      <c r="H2056" s="9" t="s">
        <v>170</v>
      </c>
      <c r="I2056" s="9" t="s">
        <v>3480</v>
      </c>
      <c r="J2056" s="9" t="s">
        <v>1605</v>
      </c>
      <c r="K2056" s="9">
        <v>1</v>
      </c>
      <c r="L2056" s="9">
        <v>15</v>
      </c>
      <c r="M2056" s="9">
        <v>2002</v>
      </c>
      <c r="O2056" s="9" t="str">
        <f t="shared" si="97"/>
        <v>NO</v>
      </c>
      <c r="P2056" s="9" t="str">
        <f t="shared" si="98"/>
        <v>YES</v>
      </c>
      <c r="Q2056" s="9" t="str">
        <f t="shared" si="99"/>
        <v>Unconditioned</v>
      </c>
    </row>
    <row r="2057" spans="1:17">
      <c r="A2057" s="9">
        <v>23151</v>
      </c>
      <c r="B2057" s="9">
        <v>1</v>
      </c>
      <c r="C2057" s="9" t="s">
        <v>1589</v>
      </c>
      <c r="D2057" s="9" t="s">
        <v>1590</v>
      </c>
      <c r="E2057" s="9" t="s">
        <v>1602</v>
      </c>
      <c r="F2057" s="9" t="s">
        <v>1603</v>
      </c>
      <c r="G2057" s="9" t="s">
        <v>1592</v>
      </c>
      <c r="H2057" s="9" t="s">
        <v>173</v>
      </c>
      <c r="I2057" s="9" t="s">
        <v>3481</v>
      </c>
      <c r="J2057" s="9" t="s">
        <v>1601</v>
      </c>
      <c r="K2057" s="9">
        <v>1</v>
      </c>
      <c r="L2057" s="9">
        <v>26</v>
      </c>
      <c r="M2057" s="9">
        <v>2005</v>
      </c>
      <c r="O2057" s="9" t="str">
        <f t="shared" si="97"/>
        <v>NO</v>
      </c>
      <c r="P2057" s="9" t="str">
        <f t="shared" si="98"/>
        <v>NO</v>
      </c>
      <c r="Q2057" s="9" t="str">
        <f t="shared" si="99"/>
        <v>Conditioned</v>
      </c>
    </row>
    <row r="2058" spans="1:17">
      <c r="A2058" s="9">
        <v>23155</v>
      </c>
      <c r="B2058" s="9">
        <v>1</v>
      </c>
      <c r="C2058" s="9" t="s">
        <v>1589</v>
      </c>
      <c r="D2058" s="9" t="s">
        <v>1590</v>
      </c>
      <c r="E2058" s="9" t="s">
        <v>1602</v>
      </c>
      <c r="F2058" s="9" t="s">
        <v>1603</v>
      </c>
      <c r="G2058" s="9" t="s">
        <v>1592</v>
      </c>
      <c r="H2058" s="9" t="s">
        <v>170</v>
      </c>
      <c r="I2058" s="9" t="s">
        <v>3482</v>
      </c>
      <c r="J2058" s="9" t="s">
        <v>1601</v>
      </c>
      <c r="K2058" s="9">
        <v>0.75</v>
      </c>
      <c r="L2058" s="9">
        <v>26</v>
      </c>
      <c r="M2058" s="9">
        <v>2005</v>
      </c>
      <c r="O2058" s="9" t="str">
        <f t="shared" si="97"/>
        <v>NO</v>
      </c>
      <c r="P2058" s="9" t="str">
        <f t="shared" si="98"/>
        <v>NO</v>
      </c>
      <c r="Q2058" s="9" t="str">
        <f t="shared" si="99"/>
        <v>Conditioned</v>
      </c>
    </row>
    <row r="2059" spans="1:17">
      <c r="A2059" s="9">
        <v>23178</v>
      </c>
      <c r="B2059" s="9">
        <v>1</v>
      </c>
      <c r="C2059" s="9" t="s">
        <v>1589</v>
      </c>
      <c r="D2059" s="9" t="s">
        <v>1590</v>
      </c>
      <c r="E2059" s="9" t="s">
        <v>1591</v>
      </c>
      <c r="F2059" s="9" t="s">
        <v>1589</v>
      </c>
      <c r="G2059" s="9" t="s">
        <v>1592</v>
      </c>
      <c r="H2059" s="9" t="s">
        <v>1638</v>
      </c>
      <c r="I2059" s="9" t="s">
        <v>3483</v>
      </c>
      <c r="J2059" s="9" t="s">
        <v>1597</v>
      </c>
      <c r="K2059" s="9">
        <v>1</v>
      </c>
      <c r="L2059" s="9">
        <v>21</v>
      </c>
      <c r="M2059" s="9">
        <v>1995</v>
      </c>
      <c r="O2059" s="9" t="str">
        <f t="shared" si="97"/>
        <v>NO</v>
      </c>
      <c r="P2059" s="9" t="str">
        <f t="shared" si="98"/>
        <v>NO</v>
      </c>
      <c r="Q2059" s="9" t="str">
        <f t="shared" si="99"/>
        <v>Conditioned</v>
      </c>
    </row>
    <row r="2060" spans="1:17">
      <c r="A2060" s="9">
        <v>23178</v>
      </c>
      <c r="B2060" s="9">
        <v>2</v>
      </c>
      <c r="C2060" s="9" t="s">
        <v>1589</v>
      </c>
      <c r="D2060" s="9" t="s">
        <v>1590</v>
      </c>
      <c r="E2060" s="9" t="s">
        <v>1591</v>
      </c>
      <c r="F2060" s="9" t="s">
        <v>1589</v>
      </c>
      <c r="G2060" s="9" t="s">
        <v>1606</v>
      </c>
      <c r="H2060" s="9" t="s">
        <v>170</v>
      </c>
      <c r="I2060" s="9" t="s">
        <v>3484</v>
      </c>
      <c r="J2060" s="9" t="s">
        <v>1587</v>
      </c>
      <c r="K2060" s="9">
        <v>1</v>
      </c>
      <c r="L2060" s="9">
        <v>10</v>
      </c>
      <c r="M2060" s="9">
        <v>1992</v>
      </c>
      <c r="O2060" s="9" t="str">
        <f t="shared" si="97"/>
        <v>NO</v>
      </c>
      <c r="P2060" s="9" t="str">
        <f t="shared" si="98"/>
        <v>YES</v>
      </c>
      <c r="Q2060" s="9" t="str">
        <f t="shared" si="99"/>
        <v>Unconditioned</v>
      </c>
    </row>
    <row r="2061" spans="1:17">
      <c r="A2061" s="9">
        <v>23183</v>
      </c>
      <c r="B2061" s="9">
        <v>1</v>
      </c>
      <c r="C2061" s="9" t="s">
        <v>1589</v>
      </c>
      <c r="D2061" s="9" t="s">
        <v>1590</v>
      </c>
      <c r="E2061" s="9" t="s">
        <v>1602</v>
      </c>
      <c r="F2061" s="9" t="s">
        <v>1603</v>
      </c>
      <c r="G2061" s="9" t="s">
        <v>1592</v>
      </c>
      <c r="H2061" s="9" t="s">
        <v>170</v>
      </c>
      <c r="I2061" s="9" t="s">
        <v>3485</v>
      </c>
      <c r="J2061" s="9" t="s">
        <v>1610</v>
      </c>
      <c r="K2061" s="9">
        <v>1</v>
      </c>
      <c r="L2061" s="9">
        <v>28</v>
      </c>
      <c r="M2061" s="9">
        <v>2009</v>
      </c>
      <c r="O2061" s="9" t="str">
        <f t="shared" si="97"/>
        <v>NO</v>
      </c>
      <c r="P2061" s="9" t="str">
        <f t="shared" si="98"/>
        <v>NO</v>
      </c>
      <c r="Q2061" s="9" t="str">
        <f t="shared" si="99"/>
        <v>Conditioned</v>
      </c>
    </row>
    <row r="2062" spans="1:17">
      <c r="A2062" s="9">
        <v>23185</v>
      </c>
      <c r="B2062" s="9">
        <v>1</v>
      </c>
      <c r="C2062" s="9" t="s">
        <v>1589</v>
      </c>
      <c r="D2062" s="9" t="s">
        <v>1590</v>
      </c>
      <c r="E2062" s="9" t="s">
        <v>1591</v>
      </c>
      <c r="F2062" s="9" t="s">
        <v>1589</v>
      </c>
      <c r="G2062" s="9" t="s">
        <v>1592</v>
      </c>
      <c r="H2062" s="9" t="s">
        <v>177</v>
      </c>
      <c r="I2062" s="9" t="s">
        <v>3486</v>
      </c>
      <c r="J2062" s="9" t="s">
        <v>1597</v>
      </c>
      <c r="K2062" s="9">
        <v>1</v>
      </c>
      <c r="L2062" s="9">
        <v>21</v>
      </c>
      <c r="M2062" s="9">
        <v>1997</v>
      </c>
      <c r="O2062" s="9" t="str">
        <f t="shared" si="97"/>
        <v>NO</v>
      </c>
      <c r="P2062" s="9" t="str">
        <f t="shared" si="98"/>
        <v>NO</v>
      </c>
      <c r="Q2062" s="9" t="str">
        <f t="shared" si="99"/>
        <v>Conditioned</v>
      </c>
    </row>
    <row r="2063" spans="1:17">
      <c r="A2063" s="9">
        <v>23185</v>
      </c>
      <c r="B2063" s="9">
        <v>2</v>
      </c>
      <c r="C2063" s="9" t="s">
        <v>1589</v>
      </c>
      <c r="D2063" s="9" t="s">
        <v>1590</v>
      </c>
      <c r="E2063" s="9" t="s">
        <v>1591</v>
      </c>
      <c r="F2063" s="9" t="s">
        <v>1589</v>
      </c>
      <c r="G2063" s="9" t="s">
        <v>1606</v>
      </c>
      <c r="H2063" s="9" t="s">
        <v>1638</v>
      </c>
      <c r="I2063" s="9" t="s">
        <v>1650</v>
      </c>
      <c r="J2063" s="9" t="s">
        <v>1587</v>
      </c>
      <c r="K2063" s="9">
        <v>1</v>
      </c>
      <c r="L2063" s="9">
        <v>24</v>
      </c>
      <c r="M2063" s="9">
        <v>2004</v>
      </c>
      <c r="O2063" s="9" t="str">
        <f t="shared" si="97"/>
        <v>NO</v>
      </c>
      <c r="P2063" s="9" t="str">
        <f t="shared" si="98"/>
        <v>YES</v>
      </c>
      <c r="Q2063" s="9" t="str">
        <f t="shared" si="99"/>
        <v>Unconditioned</v>
      </c>
    </row>
    <row r="2064" spans="1:17">
      <c r="A2064" s="9">
        <v>23188</v>
      </c>
      <c r="B2064" s="9">
        <v>1</v>
      </c>
      <c r="C2064" s="9" t="s">
        <v>1589</v>
      </c>
      <c r="D2064" s="9" t="s">
        <v>1590</v>
      </c>
      <c r="E2064" s="9" t="s">
        <v>1613</v>
      </c>
      <c r="F2064" s="9" t="s">
        <v>1590</v>
      </c>
      <c r="G2064" s="9" t="s">
        <v>1592</v>
      </c>
      <c r="H2064" s="9" t="s">
        <v>1599</v>
      </c>
      <c r="I2064" s="9" t="s">
        <v>3487</v>
      </c>
      <c r="J2064" s="9" t="s">
        <v>1597</v>
      </c>
      <c r="K2064" s="9">
        <v>1</v>
      </c>
      <c r="L2064" s="9">
        <v>22</v>
      </c>
      <c r="M2064" s="9">
        <v>1994</v>
      </c>
      <c r="O2064" s="9" t="str">
        <f t="shared" si="97"/>
        <v>NO</v>
      </c>
      <c r="P2064" s="9" t="str">
        <f t="shared" si="98"/>
        <v>NO</v>
      </c>
      <c r="Q2064" s="9" t="str">
        <f t="shared" si="99"/>
        <v>Conditioned</v>
      </c>
    </row>
    <row r="2065" spans="1:17">
      <c r="A2065" s="9">
        <v>23192</v>
      </c>
      <c r="B2065" s="9">
        <v>1</v>
      </c>
      <c r="C2065" s="9" t="s">
        <v>1589</v>
      </c>
      <c r="D2065" s="9" t="s">
        <v>1590</v>
      </c>
      <c r="E2065" s="9" t="s">
        <v>1602</v>
      </c>
      <c r="F2065" s="9" t="s">
        <v>1603</v>
      </c>
      <c r="G2065" s="9" t="s">
        <v>1592</v>
      </c>
      <c r="H2065" s="9" t="s">
        <v>169</v>
      </c>
      <c r="I2065" s="9" t="s">
        <v>3488</v>
      </c>
      <c r="J2065" s="9" t="s">
        <v>1601</v>
      </c>
      <c r="K2065" s="9">
        <v>1</v>
      </c>
      <c r="L2065" s="9">
        <v>26</v>
      </c>
      <c r="M2065" s="9">
        <v>2006</v>
      </c>
      <c r="O2065" s="9" t="str">
        <f t="shared" si="97"/>
        <v>NO</v>
      </c>
      <c r="P2065" s="9" t="str">
        <f t="shared" si="98"/>
        <v>NO</v>
      </c>
      <c r="Q2065" s="9" t="str">
        <f t="shared" si="99"/>
        <v>Conditioned</v>
      </c>
    </row>
    <row r="2066" spans="1:17">
      <c r="A2066" s="9">
        <v>23192</v>
      </c>
      <c r="B2066" s="9">
        <v>2</v>
      </c>
      <c r="C2066" s="9" t="s">
        <v>1589</v>
      </c>
      <c r="D2066" s="9" t="s">
        <v>1590</v>
      </c>
      <c r="E2066" s="9" t="s">
        <v>1591</v>
      </c>
      <c r="F2066" s="9" t="s">
        <v>1589</v>
      </c>
      <c r="G2066" s="9" t="s">
        <v>1592</v>
      </c>
      <c r="H2066" s="9" t="s">
        <v>169</v>
      </c>
      <c r="I2066" s="9" t="s">
        <v>1589</v>
      </c>
      <c r="J2066" s="9" t="s">
        <v>1587</v>
      </c>
      <c r="K2066" s="9">
        <v>1</v>
      </c>
      <c r="L2066" s="9">
        <v>14</v>
      </c>
      <c r="M2066" s="9">
        <v>2007</v>
      </c>
      <c r="O2066" s="9" t="str">
        <f t="shared" si="97"/>
        <v>NO</v>
      </c>
      <c r="P2066" s="9" t="str">
        <f t="shared" si="98"/>
        <v>YES</v>
      </c>
      <c r="Q2066" s="9" t="str">
        <f t="shared" si="99"/>
        <v>Conditioned</v>
      </c>
    </row>
    <row r="2067" spans="1:17">
      <c r="A2067" s="9">
        <v>23196</v>
      </c>
      <c r="B2067" s="9">
        <v>1</v>
      </c>
      <c r="C2067" s="9" t="s">
        <v>1589</v>
      </c>
      <c r="D2067" s="9" t="s">
        <v>1590</v>
      </c>
      <c r="E2067" s="9" t="s">
        <v>1591</v>
      </c>
      <c r="F2067" s="9" t="s">
        <v>1589</v>
      </c>
      <c r="G2067" s="9" t="s">
        <v>1592</v>
      </c>
      <c r="H2067" s="9" t="s">
        <v>170</v>
      </c>
      <c r="I2067" s="9" t="s">
        <v>3489</v>
      </c>
      <c r="J2067" s="9" t="s">
        <v>1605</v>
      </c>
      <c r="K2067" s="9">
        <v>1</v>
      </c>
      <c r="L2067" s="9">
        <v>12</v>
      </c>
      <c r="M2067" s="9">
        <v>1991</v>
      </c>
      <c r="O2067" s="9" t="str">
        <f t="shared" si="97"/>
        <v>NO</v>
      </c>
      <c r="P2067" s="9" t="str">
        <f t="shared" si="98"/>
        <v>YES</v>
      </c>
      <c r="Q2067" s="9" t="str">
        <f t="shared" si="99"/>
        <v>Conditioned</v>
      </c>
    </row>
    <row r="2068" spans="1:17">
      <c r="A2068" s="9">
        <v>23196</v>
      </c>
      <c r="B2068" s="9">
        <v>2</v>
      </c>
      <c r="C2068" s="9" t="s">
        <v>1589</v>
      </c>
      <c r="D2068" s="9" t="s">
        <v>1590</v>
      </c>
      <c r="E2068" s="9" t="s">
        <v>1591</v>
      </c>
      <c r="F2068" s="9" t="s">
        <v>1589</v>
      </c>
      <c r="G2068" s="9" t="s">
        <v>1592</v>
      </c>
      <c r="H2068" s="9" t="s">
        <v>170</v>
      </c>
      <c r="I2068" s="9" t="s">
        <v>1589</v>
      </c>
      <c r="J2068" s="9" t="s">
        <v>1597</v>
      </c>
      <c r="K2068" s="9">
        <v>1</v>
      </c>
      <c r="L2068" s="9">
        <v>15</v>
      </c>
      <c r="M2068" s="9">
        <v>1982</v>
      </c>
      <c r="O2068" s="9" t="str">
        <f t="shared" si="97"/>
        <v>NO</v>
      </c>
      <c r="P2068" s="9" t="str">
        <f t="shared" si="98"/>
        <v>NO</v>
      </c>
      <c r="Q2068" s="9" t="str">
        <f t="shared" si="99"/>
        <v>Conditioned</v>
      </c>
    </row>
    <row r="2069" spans="1:17">
      <c r="A2069" s="9">
        <v>23211</v>
      </c>
      <c r="B2069" s="9">
        <v>1</v>
      </c>
      <c r="C2069" s="9" t="s">
        <v>1589</v>
      </c>
      <c r="D2069" s="9" t="s">
        <v>1590</v>
      </c>
      <c r="E2069" s="9" t="s">
        <v>1602</v>
      </c>
      <c r="F2069" s="9" t="s">
        <v>1603</v>
      </c>
      <c r="G2069" s="9" t="s">
        <v>1592</v>
      </c>
      <c r="H2069" s="9" t="s">
        <v>1638</v>
      </c>
      <c r="I2069" s="9" t="s">
        <v>3490</v>
      </c>
      <c r="J2069" s="9" t="s">
        <v>1601</v>
      </c>
      <c r="K2069" s="9">
        <v>1</v>
      </c>
      <c r="L2069" s="9">
        <v>27</v>
      </c>
      <c r="M2069" s="9">
        <v>2008</v>
      </c>
      <c r="O2069" s="9" t="str">
        <f t="shared" si="97"/>
        <v>NO</v>
      </c>
      <c r="P2069" s="9" t="str">
        <f t="shared" si="98"/>
        <v>NO</v>
      </c>
      <c r="Q2069" s="9" t="str">
        <f t="shared" si="99"/>
        <v>Conditioned</v>
      </c>
    </row>
    <row r="2070" spans="1:17">
      <c r="A2070" s="9">
        <v>23213</v>
      </c>
      <c r="B2070" s="9">
        <v>1</v>
      </c>
      <c r="C2070" s="9" t="s">
        <v>1589</v>
      </c>
      <c r="D2070" s="9" t="s">
        <v>1590</v>
      </c>
      <c r="E2070" s="9" t="s">
        <v>1591</v>
      </c>
      <c r="F2070" s="9" t="s">
        <v>1589</v>
      </c>
      <c r="G2070" s="9" t="s">
        <v>1592</v>
      </c>
      <c r="H2070" s="9" t="s">
        <v>1552</v>
      </c>
      <c r="I2070" s="9" t="s">
        <v>3491</v>
      </c>
      <c r="J2070" s="9" t="s">
        <v>1612</v>
      </c>
      <c r="K2070" s="9">
        <v>1</v>
      </c>
      <c r="L2070" s="9">
        <v>18</v>
      </c>
      <c r="M2070" s="9">
        <v>2001</v>
      </c>
      <c r="O2070" s="9" t="str">
        <f t="shared" si="97"/>
        <v>NO</v>
      </c>
      <c r="P2070" s="9" t="str">
        <f t="shared" si="98"/>
        <v>NO</v>
      </c>
      <c r="Q2070" s="9" t="str">
        <f t="shared" si="99"/>
        <v>Conditioned</v>
      </c>
    </row>
    <row r="2071" spans="1:17">
      <c r="A2071" s="9">
        <v>23233</v>
      </c>
      <c r="B2071" s="9">
        <v>1</v>
      </c>
      <c r="C2071" s="9" t="s">
        <v>1589</v>
      </c>
      <c r="D2071" s="9" t="s">
        <v>1590</v>
      </c>
      <c r="E2071" s="9" t="s">
        <v>1613</v>
      </c>
      <c r="F2071" s="9" t="s">
        <v>1603</v>
      </c>
      <c r="G2071" s="9" t="s">
        <v>1592</v>
      </c>
      <c r="H2071" s="9" t="s">
        <v>1871</v>
      </c>
      <c r="I2071" s="9" t="s">
        <v>3492</v>
      </c>
      <c r="J2071" s="9" t="s">
        <v>1597</v>
      </c>
      <c r="K2071" s="9">
        <v>1</v>
      </c>
      <c r="L2071" s="9">
        <v>20</v>
      </c>
      <c r="M2071" s="9">
        <v>1993</v>
      </c>
      <c r="O2071" s="9" t="str">
        <f t="shared" ref="O2071:O2134" si="100">IF(L2071&lt;7.75,"YES","NO")</f>
        <v>NO</v>
      </c>
      <c r="P2071" s="9" t="str">
        <f t="shared" ref="P2071:P2134" si="101">VLOOKUP(J2071,$Z$21:$AA$27,2,FALSE)</f>
        <v>NO</v>
      </c>
      <c r="Q2071" s="9" t="str">
        <f t="shared" ref="Q2071:Q2134" si="102">G2071</f>
        <v>Conditioned</v>
      </c>
    </row>
    <row r="2072" spans="1:17">
      <c r="A2072" s="9">
        <v>23233</v>
      </c>
      <c r="B2072" s="9">
        <v>2</v>
      </c>
      <c r="C2072" s="9" t="s">
        <v>1589</v>
      </c>
      <c r="D2072" s="9" t="s">
        <v>1590</v>
      </c>
      <c r="E2072" s="9" t="s">
        <v>1591</v>
      </c>
      <c r="F2072" s="9" t="s">
        <v>1589</v>
      </c>
      <c r="G2072" s="9" t="s">
        <v>1592</v>
      </c>
      <c r="H2072" s="9" t="s">
        <v>169</v>
      </c>
      <c r="I2072" s="9" t="s">
        <v>3493</v>
      </c>
      <c r="J2072" s="9" t="s">
        <v>1605</v>
      </c>
      <c r="K2072" s="9">
        <v>1</v>
      </c>
      <c r="L2072" s="9">
        <v>18</v>
      </c>
      <c r="M2072" s="9">
        <v>2008</v>
      </c>
      <c r="O2072" s="9" t="str">
        <f t="shared" si="100"/>
        <v>NO</v>
      </c>
      <c r="P2072" s="9" t="str">
        <f t="shared" si="101"/>
        <v>YES</v>
      </c>
      <c r="Q2072" s="9" t="str">
        <f t="shared" si="102"/>
        <v>Conditioned</v>
      </c>
    </row>
    <row r="2073" spans="1:17">
      <c r="A2073" s="9">
        <v>23235</v>
      </c>
      <c r="B2073" s="9">
        <v>1</v>
      </c>
      <c r="C2073" s="9" t="s">
        <v>1589</v>
      </c>
      <c r="D2073" s="9" t="s">
        <v>1590</v>
      </c>
      <c r="E2073" s="9" t="s">
        <v>1591</v>
      </c>
      <c r="F2073" s="9" t="s">
        <v>1589</v>
      </c>
      <c r="G2073" s="9" t="s">
        <v>1592</v>
      </c>
      <c r="H2073" s="9" t="s">
        <v>177</v>
      </c>
      <c r="I2073" s="9" t="s">
        <v>3494</v>
      </c>
      <c r="J2073" s="9" t="s">
        <v>1597</v>
      </c>
      <c r="K2073" s="9">
        <v>1</v>
      </c>
      <c r="L2073" s="9">
        <v>18</v>
      </c>
      <c r="M2073" s="9">
        <v>1987</v>
      </c>
      <c r="O2073" s="9" t="str">
        <f t="shared" si="100"/>
        <v>NO</v>
      </c>
      <c r="P2073" s="9" t="str">
        <f t="shared" si="101"/>
        <v>NO</v>
      </c>
      <c r="Q2073" s="9" t="str">
        <f t="shared" si="102"/>
        <v>Conditioned</v>
      </c>
    </row>
    <row r="2074" spans="1:17">
      <c r="A2074" s="9">
        <v>23235</v>
      </c>
      <c r="B2074" s="9">
        <v>2</v>
      </c>
      <c r="C2074" s="9" t="s">
        <v>1589</v>
      </c>
      <c r="D2074" s="9" t="s">
        <v>1590</v>
      </c>
      <c r="E2074" s="9" t="s">
        <v>1591</v>
      </c>
      <c r="F2074" s="9" t="s">
        <v>1589</v>
      </c>
      <c r="G2074" s="9" t="s">
        <v>1606</v>
      </c>
      <c r="H2074" s="9" t="s">
        <v>1589</v>
      </c>
      <c r="I2074" s="9" t="s">
        <v>1589</v>
      </c>
      <c r="J2074" s="9" t="s">
        <v>1605</v>
      </c>
      <c r="K2074" s="9">
        <v>1</v>
      </c>
      <c r="L2074" s="9">
        <v>22</v>
      </c>
      <c r="O2074" s="9" t="str">
        <f t="shared" si="100"/>
        <v>NO</v>
      </c>
      <c r="P2074" s="9" t="str">
        <f t="shared" si="101"/>
        <v>YES</v>
      </c>
      <c r="Q2074" s="9" t="str">
        <f t="shared" si="102"/>
        <v>Unconditioned</v>
      </c>
    </row>
    <row r="2075" spans="1:17">
      <c r="A2075" s="9">
        <v>23241</v>
      </c>
      <c r="B2075" s="9">
        <v>1</v>
      </c>
      <c r="C2075" s="9" t="s">
        <v>1589</v>
      </c>
      <c r="D2075" s="9" t="s">
        <v>1590</v>
      </c>
      <c r="E2075" s="9" t="s">
        <v>1613</v>
      </c>
      <c r="F2075" s="9" t="s">
        <v>1603</v>
      </c>
      <c r="G2075" s="9" t="s">
        <v>1592</v>
      </c>
      <c r="H2075" s="9" t="s">
        <v>174</v>
      </c>
      <c r="I2075" s="9" t="s">
        <v>3495</v>
      </c>
      <c r="J2075" s="9" t="s">
        <v>1597</v>
      </c>
      <c r="K2075" s="9">
        <v>1</v>
      </c>
      <c r="L2075" s="9">
        <v>20</v>
      </c>
      <c r="M2075" s="9">
        <v>1994</v>
      </c>
      <c r="O2075" s="9" t="str">
        <f t="shared" si="100"/>
        <v>NO</v>
      </c>
      <c r="P2075" s="9" t="str">
        <f t="shared" si="101"/>
        <v>NO</v>
      </c>
      <c r="Q2075" s="9" t="str">
        <f t="shared" si="102"/>
        <v>Conditioned</v>
      </c>
    </row>
    <row r="2076" spans="1:17">
      <c r="A2076" s="9">
        <v>23241</v>
      </c>
      <c r="B2076" s="9">
        <v>2</v>
      </c>
      <c r="C2076" s="9" t="s">
        <v>1589</v>
      </c>
      <c r="D2076" s="9" t="s">
        <v>1590</v>
      </c>
      <c r="E2076" s="9" t="s">
        <v>1591</v>
      </c>
      <c r="F2076" s="9" t="s">
        <v>1589</v>
      </c>
      <c r="G2076" s="9" t="s">
        <v>1606</v>
      </c>
      <c r="H2076" s="9" t="s">
        <v>1638</v>
      </c>
      <c r="I2076" s="9" t="s">
        <v>3496</v>
      </c>
      <c r="J2076" s="9" t="s">
        <v>1587</v>
      </c>
      <c r="K2076" s="9">
        <v>1</v>
      </c>
      <c r="L2076" s="9">
        <v>18</v>
      </c>
      <c r="M2076" s="9">
        <v>2003</v>
      </c>
      <c r="O2076" s="9" t="str">
        <f t="shared" si="100"/>
        <v>NO</v>
      </c>
      <c r="P2076" s="9" t="str">
        <f t="shared" si="101"/>
        <v>YES</v>
      </c>
      <c r="Q2076" s="9" t="str">
        <f t="shared" si="102"/>
        <v>Unconditioned</v>
      </c>
    </row>
    <row r="2077" spans="1:17">
      <c r="A2077" s="9">
        <v>23241</v>
      </c>
      <c r="B2077" s="9">
        <v>3</v>
      </c>
      <c r="C2077" s="9" t="s">
        <v>1589</v>
      </c>
      <c r="D2077" s="9" t="s">
        <v>1590</v>
      </c>
      <c r="E2077" s="9" t="s">
        <v>1591</v>
      </c>
      <c r="F2077" s="9" t="s">
        <v>1589</v>
      </c>
      <c r="G2077" s="9" t="s">
        <v>1606</v>
      </c>
      <c r="H2077" s="9" t="s">
        <v>1624</v>
      </c>
      <c r="I2077" s="9" t="s">
        <v>1914</v>
      </c>
      <c r="J2077" s="9" t="s">
        <v>1605</v>
      </c>
      <c r="K2077" s="9">
        <v>1</v>
      </c>
      <c r="L2077" s="9">
        <v>18</v>
      </c>
      <c r="M2077" s="9">
        <v>1981</v>
      </c>
      <c r="O2077" s="9" t="str">
        <f t="shared" si="100"/>
        <v>NO</v>
      </c>
      <c r="P2077" s="9" t="str">
        <f t="shared" si="101"/>
        <v>YES</v>
      </c>
      <c r="Q2077" s="9" t="str">
        <f t="shared" si="102"/>
        <v>Unconditioned</v>
      </c>
    </row>
    <row r="2078" spans="1:17">
      <c r="A2078" s="9">
        <v>23260</v>
      </c>
      <c r="B2078" s="9">
        <v>1</v>
      </c>
      <c r="C2078" s="9" t="s">
        <v>1589</v>
      </c>
      <c r="D2078" s="9" t="s">
        <v>1590</v>
      </c>
      <c r="E2078" s="9" t="s">
        <v>1591</v>
      </c>
      <c r="F2078" s="9" t="s">
        <v>1589</v>
      </c>
      <c r="G2078" s="9" t="s">
        <v>1592</v>
      </c>
      <c r="H2078" s="9" t="s">
        <v>174</v>
      </c>
      <c r="I2078" s="9" t="s">
        <v>3497</v>
      </c>
      <c r="J2078" s="9" t="s">
        <v>1608</v>
      </c>
      <c r="K2078" s="9">
        <v>1</v>
      </c>
      <c r="L2078" s="9">
        <v>22</v>
      </c>
      <c r="M2078" s="9">
        <v>1997</v>
      </c>
      <c r="O2078" s="9" t="str">
        <f t="shared" si="100"/>
        <v>NO</v>
      </c>
      <c r="P2078" s="9" t="str">
        <f t="shared" si="101"/>
        <v>NO</v>
      </c>
      <c r="Q2078" s="9" t="str">
        <f t="shared" si="102"/>
        <v>Conditioned</v>
      </c>
    </row>
    <row r="2079" spans="1:17">
      <c r="A2079" s="9">
        <v>23262</v>
      </c>
      <c r="B2079" s="9">
        <v>1</v>
      </c>
      <c r="C2079" s="9" t="s">
        <v>1589</v>
      </c>
      <c r="D2079" s="9" t="s">
        <v>1590</v>
      </c>
      <c r="E2079" s="9" t="s">
        <v>1613</v>
      </c>
      <c r="F2079" s="9" t="s">
        <v>1603</v>
      </c>
      <c r="G2079" s="9" t="s">
        <v>1592</v>
      </c>
      <c r="H2079" s="9" t="s">
        <v>174</v>
      </c>
      <c r="I2079" s="9" t="s">
        <v>3498</v>
      </c>
      <c r="J2079" s="9" t="s">
        <v>1597</v>
      </c>
      <c r="K2079" s="9">
        <v>1</v>
      </c>
      <c r="L2079" s="9">
        <v>18</v>
      </c>
      <c r="M2079" s="9">
        <v>1993</v>
      </c>
      <c r="O2079" s="9" t="str">
        <f t="shared" si="100"/>
        <v>NO</v>
      </c>
      <c r="P2079" s="9" t="str">
        <f t="shared" si="101"/>
        <v>NO</v>
      </c>
      <c r="Q2079" s="9" t="str">
        <f t="shared" si="102"/>
        <v>Conditioned</v>
      </c>
    </row>
    <row r="2080" spans="1:17">
      <c r="A2080" s="9">
        <v>23267</v>
      </c>
      <c r="B2080" s="9">
        <v>1</v>
      </c>
      <c r="C2080" s="9" t="s">
        <v>1589</v>
      </c>
      <c r="D2080" s="9" t="s">
        <v>1590</v>
      </c>
      <c r="E2080" s="9" t="s">
        <v>1613</v>
      </c>
      <c r="F2080" s="9" t="s">
        <v>1590</v>
      </c>
      <c r="G2080" s="9" t="s">
        <v>1592</v>
      </c>
      <c r="H2080" s="9" t="s">
        <v>173</v>
      </c>
      <c r="I2080" s="9" t="s">
        <v>3499</v>
      </c>
      <c r="J2080" s="9" t="s">
        <v>1608</v>
      </c>
      <c r="K2080" s="9">
        <v>1</v>
      </c>
      <c r="L2080" s="9">
        <v>20</v>
      </c>
      <c r="M2080" s="9">
        <v>2005</v>
      </c>
      <c r="O2080" s="9" t="str">
        <f t="shared" si="100"/>
        <v>NO</v>
      </c>
      <c r="P2080" s="9" t="str">
        <f t="shared" si="101"/>
        <v>NO</v>
      </c>
      <c r="Q2080" s="9" t="str">
        <f t="shared" si="102"/>
        <v>Conditioned</v>
      </c>
    </row>
    <row r="2081" spans="1:17">
      <c r="A2081" s="9">
        <v>23267</v>
      </c>
      <c r="B2081" s="9">
        <v>2</v>
      </c>
      <c r="C2081" s="9" t="s">
        <v>3500</v>
      </c>
      <c r="D2081" s="9" t="s">
        <v>1590</v>
      </c>
      <c r="E2081" s="9" t="s">
        <v>1591</v>
      </c>
      <c r="F2081" s="9" t="s">
        <v>1589</v>
      </c>
      <c r="G2081" s="9" t="s">
        <v>1592</v>
      </c>
      <c r="H2081" s="9" t="s">
        <v>170</v>
      </c>
      <c r="I2081" s="9" t="s">
        <v>1589</v>
      </c>
      <c r="J2081" s="9" t="s">
        <v>1587</v>
      </c>
      <c r="K2081" s="9">
        <v>1</v>
      </c>
      <c r="L2081" s="9">
        <v>10</v>
      </c>
      <c r="O2081" s="9" t="str">
        <f t="shared" si="100"/>
        <v>NO</v>
      </c>
      <c r="P2081" s="9" t="str">
        <f t="shared" si="101"/>
        <v>YES</v>
      </c>
      <c r="Q2081" s="9" t="str">
        <f t="shared" si="102"/>
        <v>Conditioned</v>
      </c>
    </row>
    <row r="2082" spans="1:17">
      <c r="A2082" s="9">
        <v>23274</v>
      </c>
      <c r="B2082" s="9">
        <v>1</v>
      </c>
      <c r="C2082" s="9" t="s">
        <v>1589</v>
      </c>
      <c r="D2082" s="9" t="s">
        <v>1590</v>
      </c>
      <c r="E2082" s="9" t="s">
        <v>1602</v>
      </c>
      <c r="F2082" s="9" t="s">
        <v>1603</v>
      </c>
      <c r="G2082" s="9" t="s">
        <v>1592</v>
      </c>
      <c r="H2082" s="9" t="s">
        <v>1017</v>
      </c>
      <c r="I2082" s="9" t="s">
        <v>3501</v>
      </c>
      <c r="J2082" s="9" t="s">
        <v>1608</v>
      </c>
      <c r="K2082" s="9">
        <v>1</v>
      </c>
      <c r="L2082" s="9">
        <v>23</v>
      </c>
      <c r="M2082" s="9">
        <v>2002</v>
      </c>
      <c r="O2082" s="9" t="str">
        <f t="shared" si="100"/>
        <v>NO</v>
      </c>
      <c r="P2082" s="9" t="str">
        <f t="shared" si="101"/>
        <v>NO</v>
      </c>
      <c r="Q2082" s="9" t="str">
        <f t="shared" si="102"/>
        <v>Conditioned</v>
      </c>
    </row>
    <row r="2083" spans="1:17">
      <c r="A2083" s="9">
        <v>23278</v>
      </c>
      <c r="B2083" s="9">
        <v>1</v>
      </c>
      <c r="C2083" s="9" t="s">
        <v>1589</v>
      </c>
      <c r="D2083" s="9" t="s">
        <v>1590</v>
      </c>
      <c r="E2083" s="9" t="s">
        <v>1591</v>
      </c>
      <c r="F2083" s="9" t="s">
        <v>1589</v>
      </c>
      <c r="G2083" s="9" t="s">
        <v>1592</v>
      </c>
      <c r="H2083" s="9" t="s">
        <v>173</v>
      </c>
      <c r="I2083" s="9" t="s">
        <v>3502</v>
      </c>
      <c r="J2083" s="9" t="s">
        <v>1597</v>
      </c>
      <c r="K2083" s="9">
        <v>1</v>
      </c>
      <c r="L2083" s="9">
        <v>18</v>
      </c>
      <c r="M2083" s="9">
        <v>2000</v>
      </c>
      <c r="O2083" s="9" t="str">
        <f t="shared" si="100"/>
        <v>NO</v>
      </c>
      <c r="P2083" s="9" t="str">
        <f t="shared" si="101"/>
        <v>NO</v>
      </c>
      <c r="Q2083" s="9" t="str">
        <f t="shared" si="102"/>
        <v>Conditioned</v>
      </c>
    </row>
    <row r="2084" spans="1:17">
      <c r="A2084" s="9">
        <v>23282</v>
      </c>
      <c r="B2084" s="9">
        <v>1</v>
      </c>
      <c r="C2084" s="9" t="s">
        <v>1589</v>
      </c>
      <c r="D2084" s="9" t="s">
        <v>1590</v>
      </c>
      <c r="E2084" s="9" t="s">
        <v>1613</v>
      </c>
      <c r="F2084" s="9" t="s">
        <v>1603</v>
      </c>
      <c r="G2084" s="9" t="s">
        <v>1592</v>
      </c>
      <c r="H2084" s="9" t="s">
        <v>1638</v>
      </c>
      <c r="I2084" s="9" t="s">
        <v>3503</v>
      </c>
      <c r="J2084" s="9" t="s">
        <v>1601</v>
      </c>
      <c r="K2084" s="9">
        <v>1</v>
      </c>
      <c r="L2084" s="9">
        <v>18</v>
      </c>
      <c r="M2084" s="9">
        <v>1995</v>
      </c>
      <c r="O2084" s="9" t="str">
        <f t="shared" si="100"/>
        <v>NO</v>
      </c>
      <c r="P2084" s="9" t="str">
        <f t="shared" si="101"/>
        <v>NO</v>
      </c>
      <c r="Q2084" s="9" t="str">
        <f t="shared" si="102"/>
        <v>Conditioned</v>
      </c>
    </row>
    <row r="2085" spans="1:17">
      <c r="A2085" s="9">
        <v>23282</v>
      </c>
      <c r="B2085" s="9">
        <v>2</v>
      </c>
      <c r="C2085" s="9" t="s">
        <v>1589</v>
      </c>
      <c r="D2085" s="9" t="s">
        <v>1590</v>
      </c>
      <c r="E2085" s="9" t="s">
        <v>1591</v>
      </c>
      <c r="F2085" s="9" t="s">
        <v>1589</v>
      </c>
      <c r="G2085" s="9" t="s">
        <v>1592</v>
      </c>
      <c r="H2085" s="9" t="s">
        <v>172</v>
      </c>
      <c r="I2085" s="9" t="s">
        <v>3504</v>
      </c>
      <c r="J2085" s="9" t="s">
        <v>1597</v>
      </c>
      <c r="K2085" s="9">
        <v>1</v>
      </c>
      <c r="L2085" s="9">
        <v>15</v>
      </c>
      <c r="O2085" s="9" t="str">
        <f t="shared" si="100"/>
        <v>NO</v>
      </c>
      <c r="P2085" s="9" t="str">
        <f t="shared" si="101"/>
        <v>NO</v>
      </c>
      <c r="Q2085" s="9" t="str">
        <f t="shared" si="102"/>
        <v>Conditioned</v>
      </c>
    </row>
    <row r="2086" spans="1:17">
      <c r="A2086" s="9">
        <v>23282</v>
      </c>
      <c r="B2086" s="9">
        <v>3</v>
      </c>
      <c r="C2086" s="9" t="s">
        <v>1589</v>
      </c>
      <c r="D2086" s="9" t="s">
        <v>1590</v>
      </c>
      <c r="E2086" s="9" t="s">
        <v>1591</v>
      </c>
      <c r="F2086" s="9" t="s">
        <v>1589</v>
      </c>
      <c r="G2086" s="9" t="s">
        <v>1592</v>
      </c>
      <c r="H2086" s="9" t="s">
        <v>2121</v>
      </c>
      <c r="I2086" s="9" t="s">
        <v>1589</v>
      </c>
      <c r="J2086" s="9" t="s">
        <v>1587</v>
      </c>
      <c r="K2086" s="9">
        <v>1</v>
      </c>
      <c r="L2086" s="9">
        <v>15</v>
      </c>
      <c r="O2086" s="9" t="str">
        <f t="shared" si="100"/>
        <v>NO</v>
      </c>
      <c r="P2086" s="9" t="str">
        <f t="shared" si="101"/>
        <v>YES</v>
      </c>
      <c r="Q2086" s="9" t="str">
        <f t="shared" si="102"/>
        <v>Conditioned</v>
      </c>
    </row>
    <row r="2087" spans="1:17">
      <c r="A2087" s="9">
        <v>23283</v>
      </c>
      <c r="B2087" s="9">
        <v>1</v>
      </c>
      <c r="C2087" s="9" t="s">
        <v>1589</v>
      </c>
      <c r="D2087" s="9" t="s">
        <v>1590</v>
      </c>
      <c r="E2087" s="9" t="s">
        <v>1602</v>
      </c>
      <c r="F2087" s="9" t="s">
        <v>1603</v>
      </c>
      <c r="G2087" s="9" t="s">
        <v>1592</v>
      </c>
      <c r="H2087" s="9" t="s">
        <v>173</v>
      </c>
      <c r="I2087" s="9" t="s">
        <v>3505</v>
      </c>
      <c r="J2087" s="9" t="s">
        <v>1601</v>
      </c>
      <c r="K2087" s="9">
        <v>1</v>
      </c>
      <c r="L2087" s="9">
        <v>20</v>
      </c>
      <c r="M2087" s="9">
        <v>1996</v>
      </c>
      <c r="O2087" s="9" t="str">
        <f t="shared" si="100"/>
        <v>NO</v>
      </c>
      <c r="P2087" s="9" t="str">
        <f t="shared" si="101"/>
        <v>NO</v>
      </c>
      <c r="Q2087" s="9" t="str">
        <f t="shared" si="102"/>
        <v>Conditioned</v>
      </c>
    </row>
    <row r="2088" spans="1:17">
      <c r="A2088" s="9">
        <v>23284</v>
      </c>
      <c r="B2088" s="9">
        <v>1</v>
      </c>
      <c r="C2088" s="9" t="s">
        <v>1589</v>
      </c>
      <c r="D2088" s="9" t="s">
        <v>1590</v>
      </c>
      <c r="E2088" s="9" t="s">
        <v>1591</v>
      </c>
      <c r="F2088" s="9" t="s">
        <v>1589</v>
      </c>
      <c r="G2088" s="9" t="s">
        <v>1592</v>
      </c>
      <c r="H2088" s="9" t="s">
        <v>1552</v>
      </c>
      <c r="I2088" s="9" t="s">
        <v>3506</v>
      </c>
      <c r="J2088" s="9" t="s">
        <v>1605</v>
      </c>
      <c r="K2088" s="9">
        <v>1</v>
      </c>
      <c r="L2088" s="9">
        <v>21</v>
      </c>
      <c r="M2088" s="9">
        <v>1983</v>
      </c>
      <c r="O2088" s="9" t="str">
        <f t="shared" si="100"/>
        <v>NO</v>
      </c>
      <c r="P2088" s="9" t="str">
        <f t="shared" si="101"/>
        <v>YES</v>
      </c>
      <c r="Q2088" s="9" t="str">
        <f t="shared" si="102"/>
        <v>Conditioned</v>
      </c>
    </row>
    <row r="2089" spans="1:17">
      <c r="A2089" s="9">
        <v>23284</v>
      </c>
      <c r="B2089" s="9">
        <v>2</v>
      </c>
      <c r="C2089" s="9" t="s">
        <v>1589</v>
      </c>
      <c r="D2089" s="9" t="s">
        <v>1590</v>
      </c>
      <c r="E2089" s="9" t="s">
        <v>1602</v>
      </c>
      <c r="F2089" s="9" t="s">
        <v>1603</v>
      </c>
      <c r="G2089" s="9" t="s">
        <v>1592</v>
      </c>
      <c r="H2089" s="9" t="s">
        <v>170</v>
      </c>
      <c r="I2089" s="9" t="s">
        <v>3507</v>
      </c>
      <c r="J2089" s="9" t="s">
        <v>1601</v>
      </c>
      <c r="K2089" s="9">
        <v>1</v>
      </c>
      <c r="L2089" s="9">
        <v>22</v>
      </c>
      <c r="M2089" s="9">
        <v>1973</v>
      </c>
      <c r="O2089" s="9" t="str">
        <f t="shared" si="100"/>
        <v>NO</v>
      </c>
      <c r="P2089" s="9" t="str">
        <f t="shared" si="101"/>
        <v>NO</v>
      </c>
      <c r="Q2089" s="9" t="str">
        <f t="shared" si="102"/>
        <v>Conditioned</v>
      </c>
    </row>
    <row r="2090" spans="1:17">
      <c r="A2090" s="9">
        <v>23287</v>
      </c>
      <c r="B2090" s="9">
        <v>1</v>
      </c>
      <c r="C2090" s="9" t="s">
        <v>1589</v>
      </c>
      <c r="D2090" s="9" t="s">
        <v>1590</v>
      </c>
      <c r="E2090" s="9" t="s">
        <v>1602</v>
      </c>
      <c r="F2090" s="9" t="s">
        <v>1603</v>
      </c>
      <c r="G2090" s="9" t="s">
        <v>1592</v>
      </c>
      <c r="H2090" s="9" t="s">
        <v>173</v>
      </c>
      <c r="I2090" s="9" t="s">
        <v>1763</v>
      </c>
      <c r="J2090" s="9" t="s">
        <v>1601</v>
      </c>
      <c r="K2090" s="9">
        <v>1</v>
      </c>
      <c r="L2090" s="9">
        <v>26</v>
      </c>
      <c r="M2090" s="9">
        <v>2002</v>
      </c>
      <c r="O2090" s="9" t="str">
        <f t="shared" si="100"/>
        <v>NO</v>
      </c>
      <c r="P2090" s="9" t="str">
        <f t="shared" si="101"/>
        <v>NO</v>
      </c>
      <c r="Q2090" s="9" t="str">
        <f t="shared" si="102"/>
        <v>Conditioned</v>
      </c>
    </row>
    <row r="2091" spans="1:17">
      <c r="A2091" s="9">
        <v>23294</v>
      </c>
      <c r="B2091" s="9">
        <v>1</v>
      </c>
      <c r="C2091" s="9" t="s">
        <v>1589</v>
      </c>
      <c r="D2091" s="9" t="s">
        <v>1590</v>
      </c>
      <c r="E2091" s="9" t="s">
        <v>1602</v>
      </c>
      <c r="F2091" s="9" t="s">
        <v>1603</v>
      </c>
      <c r="G2091" s="9" t="s">
        <v>1592</v>
      </c>
      <c r="H2091" s="9" t="s">
        <v>1599</v>
      </c>
      <c r="I2091" s="9" t="s">
        <v>3508</v>
      </c>
      <c r="J2091" s="9" t="s">
        <v>1608</v>
      </c>
      <c r="K2091" s="9">
        <v>1</v>
      </c>
      <c r="L2091" s="9">
        <v>25</v>
      </c>
      <c r="M2091" s="9">
        <v>2011</v>
      </c>
      <c r="O2091" s="9" t="str">
        <f t="shared" si="100"/>
        <v>NO</v>
      </c>
      <c r="P2091" s="9" t="str">
        <f t="shared" si="101"/>
        <v>NO</v>
      </c>
      <c r="Q2091" s="9" t="str">
        <f t="shared" si="102"/>
        <v>Conditioned</v>
      </c>
    </row>
    <row r="2092" spans="1:17">
      <c r="A2092" s="9">
        <v>23294</v>
      </c>
      <c r="B2092" s="9">
        <v>2</v>
      </c>
      <c r="C2092" s="9" t="s">
        <v>1589</v>
      </c>
      <c r="D2092" s="9" t="s">
        <v>1590</v>
      </c>
      <c r="E2092" s="9" t="s">
        <v>1591</v>
      </c>
      <c r="F2092" s="9" t="s">
        <v>1589</v>
      </c>
      <c r="G2092" s="9" t="s">
        <v>1606</v>
      </c>
      <c r="H2092" s="9" t="s">
        <v>170</v>
      </c>
      <c r="I2092" s="9" t="s">
        <v>3509</v>
      </c>
      <c r="J2092" s="9" t="s">
        <v>1601</v>
      </c>
      <c r="K2092" s="9">
        <v>1</v>
      </c>
      <c r="L2092" s="9">
        <v>20</v>
      </c>
      <c r="M2092" s="9">
        <v>1999</v>
      </c>
      <c r="O2092" s="9" t="str">
        <f t="shared" si="100"/>
        <v>NO</v>
      </c>
      <c r="P2092" s="9" t="str">
        <f t="shared" si="101"/>
        <v>NO</v>
      </c>
      <c r="Q2092" s="9" t="str">
        <f t="shared" si="102"/>
        <v>Unconditioned</v>
      </c>
    </row>
    <row r="2093" spans="1:17">
      <c r="A2093" s="9">
        <v>23294</v>
      </c>
      <c r="B2093" s="9">
        <v>3</v>
      </c>
      <c r="C2093" s="9" t="s">
        <v>1589</v>
      </c>
      <c r="D2093" s="9" t="s">
        <v>1590</v>
      </c>
      <c r="E2093" s="9" t="s">
        <v>1602</v>
      </c>
      <c r="F2093" s="9" t="s">
        <v>1603</v>
      </c>
      <c r="G2093" s="9" t="s">
        <v>1592</v>
      </c>
      <c r="H2093" s="9" t="s">
        <v>177</v>
      </c>
      <c r="I2093" s="9" t="s">
        <v>3510</v>
      </c>
      <c r="J2093" s="9" t="s">
        <v>1601</v>
      </c>
      <c r="K2093" s="9">
        <v>1</v>
      </c>
      <c r="L2093" s="9">
        <v>25</v>
      </c>
      <c r="M2093" s="9">
        <v>2007</v>
      </c>
      <c r="O2093" s="9" t="str">
        <f t="shared" si="100"/>
        <v>NO</v>
      </c>
      <c r="P2093" s="9" t="str">
        <f t="shared" si="101"/>
        <v>NO</v>
      </c>
      <c r="Q2093" s="9" t="str">
        <f t="shared" si="102"/>
        <v>Conditioned</v>
      </c>
    </row>
    <row r="2094" spans="1:17">
      <c r="A2094" s="9">
        <v>23300</v>
      </c>
      <c r="B2094" s="9">
        <v>1</v>
      </c>
      <c r="C2094" s="9" t="s">
        <v>1589</v>
      </c>
      <c r="D2094" s="9" t="s">
        <v>1590</v>
      </c>
      <c r="E2094" s="9" t="s">
        <v>1591</v>
      </c>
      <c r="F2094" s="9" t="s">
        <v>1589</v>
      </c>
      <c r="G2094" s="9" t="s">
        <v>1592</v>
      </c>
      <c r="H2094" s="9" t="s">
        <v>177</v>
      </c>
      <c r="I2094" s="9" t="s">
        <v>3511</v>
      </c>
      <c r="J2094" s="9" t="s">
        <v>1597</v>
      </c>
      <c r="K2094" s="9">
        <v>1</v>
      </c>
      <c r="L2094" s="9">
        <v>22</v>
      </c>
      <c r="M2094" s="9">
        <v>2009</v>
      </c>
      <c r="O2094" s="9" t="str">
        <f t="shared" si="100"/>
        <v>NO</v>
      </c>
      <c r="P2094" s="9" t="str">
        <f t="shared" si="101"/>
        <v>NO</v>
      </c>
      <c r="Q2094" s="9" t="str">
        <f t="shared" si="102"/>
        <v>Conditioned</v>
      </c>
    </row>
    <row r="2095" spans="1:17">
      <c r="A2095" s="9">
        <v>23300</v>
      </c>
      <c r="B2095" s="9">
        <v>2</v>
      </c>
      <c r="C2095" s="9" t="s">
        <v>1589</v>
      </c>
      <c r="D2095" s="9" t="s">
        <v>1590</v>
      </c>
      <c r="E2095" s="9" t="s">
        <v>1591</v>
      </c>
      <c r="F2095" s="9" t="s">
        <v>1589</v>
      </c>
      <c r="G2095" s="9" t="s">
        <v>1606</v>
      </c>
      <c r="H2095" s="9" t="s">
        <v>1711</v>
      </c>
      <c r="I2095" s="9" t="s">
        <v>3512</v>
      </c>
      <c r="J2095" s="9" t="s">
        <v>1612</v>
      </c>
      <c r="K2095" s="9">
        <v>1</v>
      </c>
      <c r="L2095" s="9">
        <v>5</v>
      </c>
      <c r="M2095" s="9">
        <v>1989</v>
      </c>
      <c r="O2095" s="9" t="str">
        <f t="shared" si="100"/>
        <v>YES</v>
      </c>
      <c r="P2095" s="9" t="str">
        <f t="shared" si="101"/>
        <v>NO</v>
      </c>
      <c r="Q2095" s="9" t="str">
        <f t="shared" si="102"/>
        <v>Unconditioned</v>
      </c>
    </row>
    <row r="2096" spans="1:17">
      <c r="A2096" s="9">
        <v>23300</v>
      </c>
      <c r="B2096" s="9">
        <v>3</v>
      </c>
      <c r="C2096" s="9" t="s">
        <v>1589</v>
      </c>
      <c r="D2096" s="9" t="s">
        <v>1590</v>
      </c>
      <c r="E2096" s="9" t="s">
        <v>1591</v>
      </c>
      <c r="F2096" s="9" t="s">
        <v>1589</v>
      </c>
      <c r="G2096" s="9" t="s">
        <v>1606</v>
      </c>
      <c r="H2096" s="9" t="s">
        <v>177</v>
      </c>
      <c r="I2096" s="9" t="s">
        <v>3513</v>
      </c>
      <c r="J2096" s="9" t="s">
        <v>1597</v>
      </c>
      <c r="K2096" s="9">
        <v>1</v>
      </c>
      <c r="L2096" s="9">
        <v>22</v>
      </c>
      <c r="M2096" s="9">
        <v>2009</v>
      </c>
      <c r="O2096" s="9" t="str">
        <f t="shared" si="100"/>
        <v>NO</v>
      </c>
      <c r="P2096" s="9" t="str">
        <f t="shared" si="101"/>
        <v>NO</v>
      </c>
      <c r="Q2096" s="9" t="str">
        <f t="shared" si="102"/>
        <v>Unconditioned</v>
      </c>
    </row>
    <row r="2097" spans="1:17">
      <c r="A2097" s="9">
        <v>23300</v>
      </c>
      <c r="B2097" s="9">
        <v>4</v>
      </c>
      <c r="C2097" s="9" t="s">
        <v>1589</v>
      </c>
      <c r="D2097" s="9" t="s">
        <v>1590</v>
      </c>
      <c r="E2097" s="9" t="s">
        <v>1591</v>
      </c>
      <c r="F2097" s="9" t="s">
        <v>1589</v>
      </c>
      <c r="G2097" s="9" t="s">
        <v>1606</v>
      </c>
      <c r="H2097" s="9" t="s">
        <v>1900</v>
      </c>
      <c r="I2097" s="9" t="s">
        <v>3514</v>
      </c>
      <c r="J2097" s="9" t="s">
        <v>1587</v>
      </c>
      <c r="K2097" s="9">
        <v>1</v>
      </c>
      <c r="L2097" s="9">
        <v>20</v>
      </c>
      <c r="M2097" s="9">
        <v>1989</v>
      </c>
      <c r="O2097" s="9" t="str">
        <f t="shared" si="100"/>
        <v>NO</v>
      </c>
      <c r="P2097" s="9" t="str">
        <f t="shared" si="101"/>
        <v>YES</v>
      </c>
      <c r="Q2097" s="9" t="str">
        <f t="shared" si="102"/>
        <v>Unconditioned</v>
      </c>
    </row>
    <row r="2098" spans="1:17">
      <c r="A2098" s="9">
        <v>23314</v>
      </c>
      <c r="B2098" s="9">
        <v>1</v>
      </c>
      <c r="C2098" s="9" t="s">
        <v>1589</v>
      </c>
      <c r="D2098" s="9" t="s">
        <v>1590</v>
      </c>
      <c r="E2098" s="9" t="s">
        <v>1591</v>
      </c>
      <c r="F2098" s="9" t="s">
        <v>1589</v>
      </c>
      <c r="G2098" s="9" t="s">
        <v>1592</v>
      </c>
      <c r="H2098" s="9" t="s">
        <v>1599</v>
      </c>
      <c r="I2098" s="9" t="s">
        <v>3515</v>
      </c>
      <c r="J2098" s="9" t="s">
        <v>1597</v>
      </c>
      <c r="K2098" s="9">
        <v>1</v>
      </c>
      <c r="L2098" s="9">
        <v>21</v>
      </c>
      <c r="M2098" s="9">
        <v>1989</v>
      </c>
      <c r="O2098" s="9" t="str">
        <f t="shared" si="100"/>
        <v>NO</v>
      </c>
      <c r="P2098" s="9" t="str">
        <f t="shared" si="101"/>
        <v>NO</v>
      </c>
      <c r="Q2098" s="9" t="str">
        <f t="shared" si="102"/>
        <v>Conditioned</v>
      </c>
    </row>
    <row r="2099" spans="1:17">
      <c r="A2099" s="9">
        <v>23314</v>
      </c>
      <c r="B2099" s="9">
        <v>2</v>
      </c>
      <c r="C2099" s="9" t="s">
        <v>1589</v>
      </c>
      <c r="D2099" s="9" t="s">
        <v>1590</v>
      </c>
      <c r="E2099" s="9" t="s">
        <v>1591</v>
      </c>
      <c r="F2099" s="9" t="s">
        <v>1589</v>
      </c>
      <c r="G2099" s="9" t="s">
        <v>1592</v>
      </c>
      <c r="H2099" s="9" t="s">
        <v>1638</v>
      </c>
      <c r="I2099" s="9" t="s">
        <v>3516</v>
      </c>
      <c r="J2099" s="9" t="s">
        <v>1597</v>
      </c>
      <c r="K2099" s="9">
        <v>1</v>
      </c>
      <c r="L2099" s="9">
        <v>15</v>
      </c>
      <c r="M2099" s="9">
        <v>1969</v>
      </c>
      <c r="O2099" s="9" t="str">
        <f t="shared" si="100"/>
        <v>NO</v>
      </c>
      <c r="P2099" s="9" t="str">
        <f t="shared" si="101"/>
        <v>NO</v>
      </c>
      <c r="Q2099" s="9" t="str">
        <f t="shared" si="102"/>
        <v>Conditioned</v>
      </c>
    </row>
    <row r="2100" spans="1:17">
      <c r="A2100" s="9">
        <v>23314</v>
      </c>
      <c r="B2100" s="9">
        <v>3</v>
      </c>
      <c r="C2100" s="9" t="s">
        <v>1589</v>
      </c>
      <c r="D2100" s="9" t="s">
        <v>1590</v>
      </c>
      <c r="E2100" s="9" t="s">
        <v>1591</v>
      </c>
      <c r="F2100" s="9" t="s">
        <v>1589</v>
      </c>
      <c r="G2100" s="9" t="s">
        <v>1592</v>
      </c>
      <c r="H2100" s="9" t="s">
        <v>1589</v>
      </c>
      <c r="I2100" s="9" t="s">
        <v>2798</v>
      </c>
      <c r="J2100" s="9" t="s">
        <v>1605</v>
      </c>
      <c r="K2100" s="9">
        <v>0.75</v>
      </c>
      <c r="L2100" s="9">
        <v>21</v>
      </c>
      <c r="M2100" s="9">
        <v>2000</v>
      </c>
      <c r="O2100" s="9" t="str">
        <f t="shared" si="100"/>
        <v>NO</v>
      </c>
      <c r="P2100" s="9" t="str">
        <f t="shared" si="101"/>
        <v>YES</v>
      </c>
      <c r="Q2100" s="9" t="str">
        <f t="shared" si="102"/>
        <v>Conditioned</v>
      </c>
    </row>
    <row r="2101" spans="1:17">
      <c r="A2101" s="9">
        <v>23318</v>
      </c>
      <c r="B2101" s="9">
        <v>1</v>
      </c>
      <c r="C2101" s="9" t="s">
        <v>1589</v>
      </c>
      <c r="D2101" s="9" t="s">
        <v>1590</v>
      </c>
      <c r="E2101" s="9" t="s">
        <v>1602</v>
      </c>
      <c r="F2101" s="9" t="s">
        <v>1603</v>
      </c>
      <c r="G2101" s="9" t="s">
        <v>1592</v>
      </c>
      <c r="H2101" s="9" t="s">
        <v>170</v>
      </c>
      <c r="I2101" s="9" t="s">
        <v>3517</v>
      </c>
      <c r="J2101" s="9" t="s">
        <v>1601</v>
      </c>
      <c r="K2101" s="9">
        <v>1</v>
      </c>
      <c r="L2101" s="9">
        <v>22</v>
      </c>
      <c r="M2101" s="9">
        <v>1983</v>
      </c>
      <c r="O2101" s="9" t="str">
        <f t="shared" si="100"/>
        <v>NO</v>
      </c>
      <c r="P2101" s="9" t="str">
        <f t="shared" si="101"/>
        <v>NO</v>
      </c>
      <c r="Q2101" s="9" t="str">
        <f t="shared" si="102"/>
        <v>Conditioned</v>
      </c>
    </row>
    <row r="2102" spans="1:17">
      <c r="A2102" s="9">
        <v>23318</v>
      </c>
      <c r="B2102" s="9">
        <v>2</v>
      </c>
      <c r="C2102" s="9" t="s">
        <v>1589</v>
      </c>
      <c r="D2102" s="9" t="s">
        <v>1590</v>
      </c>
      <c r="E2102" s="9" t="s">
        <v>1591</v>
      </c>
      <c r="F2102" s="9" t="s">
        <v>1589</v>
      </c>
      <c r="G2102" s="9" t="s">
        <v>1592</v>
      </c>
      <c r="H2102" s="9" t="s">
        <v>1805</v>
      </c>
      <c r="I2102" s="9" t="s">
        <v>3518</v>
      </c>
      <c r="J2102" s="9" t="s">
        <v>1587</v>
      </c>
      <c r="K2102" s="9">
        <v>1</v>
      </c>
      <c r="L2102" s="9">
        <v>15</v>
      </c>
      <c r="O2102" s="9" t="str">
        <f t="shared" si="100"/>
        <v>NO</v>
      </c>
      <c r="P2102" s="9" t="str">
        <f t="shared" si="101"/>
        <v>YES</v>
      </c>
      <c r="Q2102" s="9" t="str">
        <f t="shared" si="102"/>
        <v>Conditioned</v>
      </c>
    </row>
    <row r="2103" spans="1:17">
      <c r="A2103" s="9">
        <v>23335</v>
      </c>
      <c r="B2103" s="9">
        <v>1</v>
      </c>
      <c r="C2103" s="9" t="s">
        <v>1589</v>
      </c>
      <c r="D2103" s="9" t="s">
        <v>1590</v>
      </c>
      <c r="E2103" s="9" t="s">
        <v>1591</v>
      </c>
      <c r="F2103" s="9" t="s">
        <v>1589</v>
      </c>
      <c r="G2103" s="9" t="s">
        <v>1592</v>
      </c>
      <c r="H2103" s="9" t="s">
        <v>1638</v>
      </c>
      <c r="I2103" s="9" t="s">
        <v>3519</v>
      </c>
      <c r="J2103" s="9" t="s">
        <v>1601</v>
      </c>
      <c r="K2103" s="9">
        <v>1</v>
      </c>
      <c r="L2103" s="9">
        <v>26</v>
      </c>
      <c r="M2103" s="9">
        <v>2004</v>
      </c>
      <c r="O2103" s="9" t="str">
        <f t="shared" si="100"/>
        <v>NO</v>
      </c>
      <c r="P2103" s="9" t="str">
        <f t="shared" si="101"/>
        <v>NO</v>
      </c>
      <c r="Q2103" s="9" t="str">
        <f t="shared" si="102"/>
        <v>Conditioned</v>
      </c>
    </row>
    <row r="2104" spans="1:17">
      <c r="A2104" s="9">
        <v>23335</v>
      </c>
      <c r="B2104" s="9">
        <v>2</v>
      </c>
      <c r="C2104" s="9" t="s">
        <v>1589</v>
      </c>
      <c r="D2104" s="9" t="s">
        <v>1590</v>
      </c>
      <c r="E2104" s="9" t="s">
        <v>1613</v>
      </c>
      <c r="F2104" s="9" t="s">
        <v>1603</v>
      </c>
      <c r="G2104" s="9" t="s">
        <v>1592</v>
      </c>
      <c r="H2104" s="9" t="s">
        <v>1638</v>
      </c>
      <c r="I2104" s="9" t="s">
        <v>3520</v>
      </c>
      <c r="J2104" s="9" t="s">
        <v>1589</v>
      </c>
      <c r="K2104" s="9">
        <v>1</v>
      </c>
      <c r="L2104" s="9">
        <v>5</v>
      </c>
      <c r="M2104" s="9">
        <v>2004</v>
      </c>
      <c r="O2104" s="9" t="str">
        <f t="shared" si="100"/>
        <v>YES</v>
      </c>
      <c r="P2104" s="9" t="e">
        <f t="shared" si="101"/>
        <v>#N/A</v>
      </c>
      <c r="Q2104" s="9" t="str">
        <f t="shared" si="102"/>
        <v>Conditioned</v>
      </c>
    </row>
    <row r="2105" spans="1:17">
      <c r="A2105" s="9">
        <v>23335</v>
      </c>
      <c r="B2105" s="9">
        <v>3</v>
      </c>
      <c r="C2105" s="9" t="s">
        <v>1589</v>
      </c>
      <c r="D2105" s="9" t="s">
        <v>1590</v>
      </c>
      <c r="E2105" s="9" t="s">
        <v>1591</v>
      </c>
      <c r="F2105" s="9" t="s">
        <v>1589</v>
      </c>
      <c r="G2105" s="9" t="s">
        <v>1606</v>
      </c>
      <c r="H2105" s="9" t="s">
        <v>169</v>
      </c>
      <c r="I2105" s="9" t="s">
        <v>3521</v>
      </c>
      <c r="J2105" s="9" t="s">
        <v>1605</v>
      </c>
      <c r="K2105" s="9">
        <v>1</v>
      </c>
      <c r="L2105" s="9">
        <v>16</v>
      </c>
      <c r="M2105" s="9">
        <v>2004</v>
      </c>
      <c r="O2105" s="9" t="str">
        <f t="shared" si="100"/>
        <v>NO</v>
      </c>
      <c r="P2105" s="9" t="str">
        <f t="shared" si="101"/>
        <v>YES</v>
      </c>
      <c r="Q2105" s="9" t="str">
        <f t="shared" si="102"/>
        <v>Unconditioned</v>
      </c>
    </row>
    <row r="2106" spans="1:17">
      <c r="A2106" s="9">
        <v>23345</v>
      </c>
      <c r="B2106" s="9">
        <v>1</v>
      </c>
      <c r="C2106" s="9" t="s">
        <v>1589</v>
      </c>
      <c r="D2106" s="9" t="s">
        <v>1590</v>
      </c>
      <c r="E2106" s="9" t="s">
        <v>1602</v>
      </c>
      <c r="F2106" s="9" t="s">
        <v>1603</v>
      </c>
      <c r="G2106" s="9" t="s">
        <v>1592</v>
      </c>
      <c r="H2106" s="9" t="s">
        <v>173</v>
      </c>
      <c r="I2106" s="9" t="s">
        <v>3522</v>
      </c>
      <c r="J2106" s="9" t="s">
        <v>1608</v>
      </c>
      <c r="K2106" s="9">
        <v>1</v>
      </c>
      <c r="L2106" s="9">
        <v>22</v>
      </c>
      <c r="M2106" s="9">
        <v>2007</v>
      </c>
      <c r="O2106" s="9" t="str">
        <f t="shared" si="100"/>
        <v>NO</v>
      </c>
      <c r="P2106" s="9" t="str">
        <f t="shared" si="101"/>
        <v>NO</v>
      </c>
      <c r="Q2106" s="9" t="str">
        <f t="shared" si="102"/>
        <v>Conditioned</v>
      </c>
    </row>
    <row r="2107" spans="1:17">
      <c r="A2107" s="9">
        <v>23345</v>
      </c>
      <c r="B2107" s="9">
        <v>2</v>
      </c>
      <c r="C2107" s="9" t="s">
        <v>1589</v>
      </c>
      <c r="D2107" s="9" t="s">
        <v>1590</v>
      </c>
      <c r="E2107" s="9" t="s">
        <v>1591</v>
      </c>
      <c r="F2107" s="9" t="s">
        <v>1589</v>
      </c>
      <c r="G2107" s="9" t="s">
        <v>1592</v>
      </c>
      <c r="H2107" s="9" t="s">
        <v>169</v>
      </c>
      <c r="I2107" s="9" t="s">
        <v>3523</v>
      </c>
      <c r="J2107" s="9" t="s">
        <v>1605</v>
      </c>
      <c r="K2107" s="9">
        <v>1</v>
      </c>
      <c r="L2107" s="9">
        <v>17</v>
      </c>
      <c r="M2107" s="9">
        <v>2005</v>
      </c>
      <c r="O2107" s="9" t="str">
        <f t="shared" si="100"/>
        <v>NO</v>
      </c>
      <c r="P2107" s="9" t="str">
        <f t="shared" si="101"/>
        <v>YES</v>
      </c>
      <c r="Q2107" s="9" t="str">
        <f t="shared" si="102"/>
        <v>Conditioned</v>
      </c>
    </row>
    <row r="2108" spans="1:17">
      <c r="A2108" s="9">
        <v>23355</v>
      </c>
      <c r="B2108" s="9">
        <v>1</v>
      </c>
      <c r="C2108" s="9" t="s">
        <v>1589</v>
      </c>
      <c r="D2108" s="9" t="s">
        <v>1590</v>
      </c>
      <c r="E2108" s="9" t="s">
        <v>1613</v>
      </c>
      <c r="F2108" s="9" t="s">
        <v>1603</v>
      </c>
      <c r="G2108" s="9" t="s">
        <v>1592</v>
      </c>
      <c r="H2108" s="9" t="s">
        <v>170</v>
      </c>
      <c r="I2108" s="9" t="s">
        <v>3524</v>
      </c>
      <c r="J2108" s="9" t="s">
        <v>1608</v>
      </c>
      <c r="K2108" s="9">
        <v>1</v>
      </c>
      <c r="L2108" s="9">
        <v>20</v>
      </c>
      <c r="M2108" s="9">
        <v>2002</v>
      </c>
      <c r="O2108" s="9" t="str">
        <f t="shared" si="100"/>
        <v>NO</v>
      </c>
      <c r="P2108" s="9" t="str">
        <f t="shared" si="101"/>
        <v>NO</v>
      </c>
      <c r="Q2108" s="9" t="str">
        <f t="shared" si="102"/>
        <v>Conditioned</v>
      </c>
    </row>
    <row r="2109" spans="1:17">
      <c r="A2109" s="9">
        <v>23355</v>
      </c>
      <c r="B2109" s="9">
        <v>2</v>
      </c>
      <c r="C2109" s="9" t="s">
        <v>1589</v>
      </c>
      <c r="D2109" s="9" t="s">
        <v>1590</v>
      </c>
      <c r="E2109" s="9" t="s">
        <v>1591</v>
      </c>
      <c r="F2109" s="9" t="s">
        <v>1589</v>
      </c>
      <c r="G2109" s="9" t="s">
        <v>1606</v>
      </c>
      <c r="H2109" s="9" t="s">
        <v>1766</v>
      </c>
      <c r="I2109" s="9" t="s">
        <v>3525</v>
      </c>
      <c r="J2109" s="9" t="s">
        <v>1587</v>
      </c>
      <c r="K2109" s="9">
        <v>1</v>
      </c>
      <c r="L2109" s="9">
        <v>16</v>
      </c>
      <c r="O2109" s="9" t="str">
        <f t="shared" si="100"/>
        <v>NO</v>
      </c>
      <c r="P2109" s="9" t="str">
        <f t="shared" si="101"/>
        <v>YES</v>
      </c>
      <c r="Q2109" s="9" t="str">
        <f t="shared" si="102"/>
        <v>Unconditioned</v>
      </c>
    </row>
    <row r="2110" spans="1:17">
      <c r="A2110" s="9">
        <v>23355</v>
      </c>
      <c r="B2110" s="9">
        <v>3</v>
      </c>
      <c r="C2110" s="9" t="s">
        <v>1589</v>
      </c>
      <c r="D2110" s="9" t="s">
        <v>1590</v>
      </c>
      <c r="E2110" s="9" t="s">
        <v>1591</v>
      </c>
      <c r="F2110" s="9" t="s">
        <v>1589</v>
      </c>
      <c r="G2110" s="9" t="s">
        <v>1592</v>
      </c>
      <c r="H2110" s="9" t="s">
        <v>1900</v>
      </c>
      <c r="I2110" s="9" t="s">
        <v>3526</v>
      </c>
      <c r="J2110" s="9" t="s">
        <v>1605</v>
      </c>
      <c r="K2110" s="9">
        <v>1</v>
      </c>
      <c r="L2110" s="9">
        <v>18</v>
      </c>
      <c r="M2110" s="9">
        <v>1965</v>
      </c>
      <c r="O2110" s="9" t="str">
        <f t="shared" si="100"/>
        <v>NO</v>
      </c>
      <c r="P2110" s="9" t="str">
        <f t="shared" si="101"/>
        <v>YES</v>
      </c>
      <c r="Q2110" s="9" t="str">
        <f t="shared" si="102"/>
        <v>Conditioned</v>
      </c>
    </row>
    <row r="2111" spans="1:17">
      <c r="A2111" s="9">
        <v>23355</v>
      </c>
      <c r="B2111" s="9">
        <v>4</v>
      </c>
      <c r="C2111" s="9" t="s">
        <v>1589</v>
      </c>
      <c r="D2111" s="9" t="s">
        <v>1590</v>
      </c>
      <c r="E2111" s="9" t="s">
        <v>1591</v>
      </c>
      <c r="F2111" s="9" t="s">
        <v>1589</v>
      </c>
      <c r="G2111" s="9" t="s">
        <v>1592</v>
      </c>
      <c r="H2111" s="9" t="s">
        <v>177</v>
      </c>
      <c r="I2111" s="9" t="s">
        <v>3527</v>
      </c>
      <c r="J2111" s="9" t="s">
        <v>1597</v>
      </c>
      <c r="K2111" s="9">
        <v>1</v>
      </c>
      <c r="L2111" s="9">
        <v>18</v>
      </c>
      <c r="M2111" s="9">
        <v>1984</v>
      </c>
      <c r="O2111" s="9" t="str">
        <f t="shared" si="100"/>
        <v>NO</v>
      </c>
      <c r="P2111" s="9" t="str">
        <f t="shared" si="101"/>
        <v>NO</v>
      </c>
      <c r="Q2111" s="9" t="str">
        <f t="shared" si="102"/>
        <v>Conditioned</v>
      </c>
    </row>
    <row r="2112" spans="1:17">
      <c r="A2112" s="9">
        <v>23358</v>
      </c>
      <c r="B2112" s="9">
        <v>1</v>
      </c>
      <c r="C2112" s="9" t="s">
        <v>1589</v>
      </c>
      <c r="D2112" s="9" t="s">
        <v>1590</v>
      </c>
      <c r="E2112" s="9" t="s">
        <v>1591</v>
      </c>
      <c r="F2112" s="9" t="s">
        <v>1589</v>
      </c>
      <c r="G2112" s="9" t="s">
        <v>1592</v>
      </c>
      <c r="H2112" s="9" t="s">
        <v>1638</v>
      </c>
      <c r="I2112" s="9" t="s">
        <v>3528</v>
      </c>
      <c r="J2112" s="9" t="s">
        <v>1597</v>
      </c>
      <c r="K2112" s="9">
        <v>1</v>
      </c>
      <c r="L2112" s="9">
        <v>26</v>
      </c>
      <c r="M2112" s="9">
        <v>1994</v>
      </c>
      <c r="O2112" s="9" t="str">
        <f t="shared" si="100"/>
        <v>NO</v>
      </c>
      <c r="P2112" s="9" t="str">
        <f t="shared" si="101"/>
        <v>NO</v>
      </c>
      <c r="Q2112" s="9" t="str">
        <f t="shared" si="102"/>
        <v>Conditioned</v>
      </c>
    </row>
    <row r="2113" spans="1:17">
      <c r="A2113" s="9">
        <v>23366</v>
      </c>
      <c r="B2113" s="9">
        <v>1</v>
      </c>
      <c r="C2113" s="9" t="s">
        <v>1589</v>
      </c>
      <c r="D2113" s="9" t="s">
        <v>1590</v>
      </c>
      <c r="E2113" s="9" t="s">
        <v>1591</v>
      </c>
      <c r="F2113" s="9" t="s">
        <v>1589</v>
      </c>
      <c r="G2113" s="9" t="s">
        <v>1592</v>
      </c>
      <c r="H2113" s="9" t="s">
        <v>170</v>
      </c>
      <c r="I2113" s="9" t="s">
        <v>3529</v>
      </c>
      <c r="J2113" s="9" t="s">
        <v>1601</v>
      </c>
      <c r="K2113" s="9">
        <v>1</v>
      </c>
      <c r="L2113" s="9">
        <v>18</v>
      </c>
      <c r="M2113" s="9">
        <v>1989</v>
      </c>
      <c r="O2113" s="9" t="str">
        <f t="shared" si="100"/>
        <v>NO</v>
      </c>
      <c r="P2113" s="9" t="str">
        <f t="shared" si="101"/>
        <v>NO</v>
      </c>
      <c r="Q2113" s="9" t="str">
        <f t="shared" si="102"/>
        <v>Conditioned</v>
      </c>
    </row>
    <row r="2114" spans="1:17">
      <c r="A2114" s="9">
        <v>23366</v>
      </c>
      <c r="B2114" s="9">
        <v>2</v>
      </c>
      <c r="C2114" s="9" t="s">
        <v>1589</v>
      </c>
      <c r="D2114" s="9" t="s">
        <v>1590</v>
      </c>
      <c r="E2114" s="9" t="s">
        <v>1591</v>
      </c>
      <c r="F2114" s="9" t="s">
        <v>1589</v>
      </c>
      <c r="G2114" s="9" t="s">
        <v>1606</v>
      </c>
      <c r="H2114" s="9" t="s">
        <v>3158</v>
      </c>
      <c r="I2114" s="9" t="s">
        <v>3530</v>
      </c>
      <c r="J2114" s="9" t="s">
        <v>1605</v>
      </c>
      <c r="K2114" s="9">
        <v>1</v>
      </c>
      <c r="L2114" s="9">
        <v>20</v>
      </c>
      <c r="M2114" s="9">
        <v>1982</v>
      </c>
      <c r="O2114" s="9" t="str">
        <f t="shared" si="100"/>
        <v>NO</v>
      </c>
      <c r="P2114" s="9" t="str">
        <f t="shared" si="101"/>
        <v>YES</v>
      </c>
      <c r="Q2114" s="9" t="str">
        <f t="shared" si="102"/>
        <v>Unconditioned</v>
      </c>
    </row>
    <row r="2115" spans="1:17">
      <c r="A2115" s="9">
        <v>23366</v>
      </c>
      <c r="B2115" s="9">
        <v>3</v>
      </c>
      <c r="C2115" s="9" t="s">
        <v>3531</v>
      </c>
      <c r="D2115" s="9" t="s">
        <v>1590</v>
      </c>
      <c r="E2115" s="9" t="s">
        <v>1591</v>
      </c>
      <c r="F2115" s="9" t="s">
        <v>1589</v>
      </c>
      <c r="G2115" s="9" t="s">
        <v>1592</v>
      </c>
      <c r="H2115" s="9" t="s">
        <v>181</v>
      </c>
      <c r="I2115" s="9" t="s">
        <v>3532</v>
      </c>
      <c r="J2115" s="9" t="s">
        <v>1589</v>
      </c>
      <c r="K2115" s="9">
        <v>1</v>
      </c>
      <c r="L2115" s="9">
        <v>4</v>
      </c>
      <c r="O2115" s="9" t="str">
        <f t="shared" si="100"/>
        <v>YES</v>
      </c>
      <c r="P2115" s="9" t="e">
        <f t="shared" si="101"/>
        <v>#N/A</v>
      </c>
      <c r="Q2115" s="9" t="str">
        <f t="shared" si="102"/>
        <v>Conditioned</v>
      </c>
    </row>
    <row r="2116" spans="1:17">
      <c r="A2116" s="9">
        <v>23368</v>
      </c>
      <c r="B2116" s="9">
        <v>1</v>
      </c>
      <c r="C2116" s="9" t="s">
        <v>1589</v>
      </c>
      <c r="D2116" s="9" t="s">
        <v>1590</v>
      </c>
      <c r="E2116" s="9" t="s">
        <v>1602</v>
      </c>
      <c r="F2116" s="9" t="s">
        <v>1603</v>
      </c>
      <c r="G2116" s="9" t="s">
        <v>1592</v>
      </c>
      <c r="H2116" s="9" t="s">
        <v>170</v>
      </c>
      <c r="I2116" s="9" t="s">
        <v>3533</v>
      </c>
      <c r="J2116" s="9" t="s">
        <v>1601</v>
      </c>
      <c r="K2116" s="9">
        <v>1</v>
      </c>
      <c r="L2116" s="9">
        <v>18</v>
      </c>
      <c r="M2116" s="9">
        <v>1996</v>
      </c>
      <c r="O2116" s="9" t="str">
        <f t="shared" si="100"/>
        <v>NO</v>
      </c>
      <c r="P2116" s="9" t="str">
        <f t="shared" si="101"/>
        <v>NO</v>
      </c>
      <c r="Q2116" s="9" t="str">
        <f t="shared" si="102"/>
        <v>Conditioned</v>
      </c>
    </row>
    <row r="2117" spans="1:17">
      <c r="A2117" s="9">
        <v>23368</v>
      </c>
      <c r="B2117" s="9">
        <v>2</v>
      </c>
      <c r="C2117" s="9" t="s">
        <v>1589</v>
      </c>
      <c r="D2117" s="9" t="s">
        <v>1590</v>
      </c>
      <c r="E2117" s="9" t="s">
        <v>1591</v>
      </c>
      <c r="F2117" s="9" t="s">
        <v>1589</v>
      </c>
      <c r="G2117" s="9" t="s">
        <v>1606</v>
      </c>
      <c r="H2117" s="9" t="s">
        <v>1638</v>
      </c>
      <c r="I2117" s="9" t="s">
        <v>3534</v>
      </c>
      <c r="J2117" s="9" t="s">
        <v>1587</v>
      </c>
      <c r="K2117" s="9">
        <v>1</v>
      </c>
      <c r="L2117" s="9">
        <v>15</v>
      </c>
      <c r="M2117" s="9">
        <v>2000</v>
      </c>
      <c r="O2117" s="9" t="str">
        <f t="shared" si="100"/>
        <v>NO</v>
      </c>
      <c r="P2117" s="9" t="str">
        <f t="shared" si="101"/>
        <v>YES</v>
      </c>
      <c r="Q2117" s="9" t="str">
        <f t="shared" si="102"/>
        <v>Unconditioned</v>
      </c>
    </row>
    <row r="2118" spans="1:17">
      <c r="A2118" s="9">
        <v>23379</v>
      </c>
      <c r="B2118" s="9">
        <v>1</v>
      </c>
      <c r="C2118" s="9" t="s">
        <v>1589</v>
      </c>
      <c r="D2118" s="9" t="s">
        <v>1590</v>
      </c>
      <c r="E2118" s="9" t="s">
        <v>1602</v>
      </c>
      <c r="F2118" s="9" t="s">
        <v>1603</v>
      </c>
      <c r="G2118" s="9" t="s">
        <v>1592</v>
      </c>
      <c r="H2118" s="9" t="s">
        <v>169</v>
      </c>
      <c r="I2118" s="9" t="s">
        <v>3535</v>
      </c>
      <c r="J2118" s="9" t="s">
        <v>1601</v>
      </c>
      <c r="K2118" s="9">
        <v>1</v>
      </c>
      <c r="L2118" s="9">
        <v>24</v>
      </c>
      <c r="M2118" s="9">
        <v>2008</v>
      </c>
      <c r="O2118" s="9" t="str">
        <f t="shared" si="100"/>
        <v>NO</v>
      </c>
      <c r="P2118" s="9" t="str">
        <f t="shared" si="101"/>
        <v>NO</v>
      </c>
      <c r="Q2118" s="9" t="str">
        <f t="shared" si="102"/>
        <v>Conditioned</v>
      </c>
    </row>
    <row r="2119" spans="1:17">
      <c r="A2119" s="9">
        <v>23379</v>
      </c>
      <c r="B2119" s="9">
        <v>2</v>
      </c>
      <c r="C2119" s="9" t="s">
        <v>1589</v>
      </c>
      <c r="D2119" s="9" t="s">
        <v>1590</v>
      </c>
      <c r="E2119" s="9" t="s">
        <v>1591</v>
      </c>
      <c r="F2119" s="9" t="s">
        <v>1589</v>
      </c>
      <c r="G2119" s="9" t="s">
        <v>1592</v>
      </c>
      <c r="H2119" s="9" t="s">
        <v>174</v>
      </c>
      <c r="I2119" s="9" t="s">
        <v>3536</v>
      </c>
      <c r="J2119" s="9" t="s">
        <v>1597</v>
      </c>
      <c r="K2119" s="9">
        <v>0.25</v>
      </c>
      <c r="L2119" s="9">
        <v>22</v>
      </c>
      <c r="M2119" s="9">
        <v>1998</v>
      </c>
      <c r="O2119" s="9" t="str">
        <f t="shared" si="100"/>
        <v>NO</v>
      </c>
      <c r="P2119" s="9" t="str">
        <f t="shared" si="101"/>
        <v>NO</v>
      </c>
      <c r="Q2119" s="9" t="str">
        <f t="shared" si="102"/>
        <v>Conditioned</v>
      </c>
    </row>
    <row r="2120" spans="1:17">
      <c r="A2120" s="9">
        <v>23379</v>
      </c>
      <c r="B2120" s="9">
        <v>3</v>
      </c>
      <c r="C2120" s="9" t="s">
        <v>3537</v>
      </c>
      <c r="D2120" s="9" t="s">
        <v>1590</v>
      </c>
      <c r="E2120" s="9" t="s">
        <v>1591</v>
      </c>
      <c r="F2120" s="9" t="s">
        <v>1589</v>
      </c>
      <c r="G2120" s="9" t="s">
        <v>1592</v>
      </c>
      <c r="H2120" s="9" t="s">
        <v>1624</v>
      </c>
      <c r="I2120" s="9" t="s">
        <v>1589</v>
      </c>
      <c r="J2120" s="9" t="s">
        <v>1587</v>
      </c>
      <c r="K2120" s="9">
        <v>1</v>
      </c>
      <c r="L2120" s="9">
        <v>22</v>
      </c>
      <c r="O2120" s="9" t="str">
        <f t="shared" si="100"/>
        <v>NO</v>
      </c>
      <c r="P2120" s="9" t="str">
        <f t="shared" si="101"/>
        <v>YES</v>
      </c>
      <c r="Q2120" s="9" t="str">
        <f t="shared" si="102"/>
        <v>Conditioned</v>
      </c>
    </row>
    <row r="2121" spans="1:17">
      <c r="A2121" s="9">
        <v>23380</v>
      </c>
      <c r="B2121" s="9">
        <v>1</v>
      </c>
      <c r="C2121" s="9" t="s">
        <v>1589</v>
      </c>
      <c r="D2121" s="9" t="s">
        <v>1590</v>
      </c>
      <c r="E2121" s="9" t="s">
        <v>1591</v>
      </c>
      <c r="F2121" s="9" t="s">
        <v>1589</v>
      </c>
      <c r="G2121" s="9" t="s">
        <v>1592</v>
      </c>
      <c r="H2121" s="9" t="s">
        <v>170</v>
      </c>
      <c r="I2121" s="9" t="s">
        <v>3538</v>
      </c>
      <c r="J2121" s="9" t="s">
        <v>1597</v>
      </c>
      <c r="K2121" s="9">
        <v>1</v>
      </c>
      <c r="L2121" s="9">
        <v>21</v>
      </c>
      <c r="M2121" s="9">
        <v>1997</v>
      </c>
      <c r="O2121" s="9" t="str">
        <f t="shared" si="100"/>
        <v>NO</v>
      </c>
      <c r="P2121" s="9" t="str">
        <f t="shared" si="101"/>
        <v>NO</v>
      </c>
      <c r="Q2121" s="9" t="str">
        <f t="shared" si="102"/>
        <v>Conditioned</v>
      </c>
    </row>
    <row r="2122" spans="1:17">
      <c r="A2122" s="9">
        <v>23380</v>
      </c>
      <c r="B2122" s="9">
        <v>2</v>
      </c>
      <c r="C2122" s="9" t="s">
        <v>1589</v>
      </c>
      <c r="D2122" s="9" t="s">
        <v>1590</v>
      </c>
      <c r="E2122" s="9" t="s">
        <v>1591</v>
      </c>
      <c r="F2122" s="9" t="s">
        <v>1589</v>
      </c>
      <c r="G2122" s="9" t="s">
        <v>1592</v>
      </c>
      <c r="H2122" s="9" t="s">
        <v>170</v>
      </c>
      <c r="I2122" s="9" t="s">
        <v>3539</v>
      </c>
      <c r="J2122" s="9" t="s">
        <v>1605</v>
      </c>
      <c r="K2122" s="9">
        <v>1</v>
      </c>
      <c r="L2122" s="9">
        <v>15</v>
      </c>
      <c r="M2122" s="9">
        <v>1993</v>
      </c>
      <c r="O2122" s="9" t="str">
        <f t="shared" si="100"/>
        <v>NO</v>
      </c>
      <c r="P2122" s="9" t="str">
        <f t="shared" si="101"/>
        <v>YES</v>
      </c>
      <c r="Q2122" s="9" t="str">
        <f t="shared" si="102"/>
        <v>Conditioned</v>
      </c>
    </row>
    <row r="2123" spans="1:17">
      <c r="A2123" s="9">
        <v>23380</v>
      </c>
      <c r="B2123" s="9">
        <v>3</v>
      </c>
      <c r="C2123" s="9" t="s">
        <v>1589</v>
      </c>
      <c r="D2123" s="9" t="s">
        <v>1590</v>
      </c>
      <c r="E2123" s="9" t="s">
        <v>1591</v>
      </c>
      <c r="F2123" s="9" t="s">
        <v>1589</v>
      </c>
      <c r="G2123" s="9" t="s">
        <v>1592</v>
      </c>
      <c r="H2123" s="9" t="s">
        <v>170</v>
      </c>
      <c r="I2123" s="9" t="s">
        <v>1589</v>
      </c>
      <c r="J2123" s="9" t="s">
        <v>1587</v>
      </c>
      <c r="K2123" s="9">
        <v>1</v>
      </c>
      <c r="L2123" s="9">
        <v>23</v>
      </c>
      <c r="M2123" s="9">
        <v>1981</v>
      </c>
      <c r="O2123" s="9" t="str">
        <f t="shared" si="100"/>
        <v>NO</v>
      </c>
      <c r="P2123" s="9" t="str">
        <f t="shared" si="101"/>
        <v>YES</v>
      </c>
      <c r="Q2123" s="9" t="str">
        <f t="shared" si="102"/>
        <v>Conditioned</v>
      </c>
    </row>
    <row r="2124" spans="1:17">
      <c r="A2124" s="9">
        <v>23381</v>
      </c>
      <c r="B2124" s="9">
        <v>1</v>
      </c>
      <c r="C2124" s="9" t="s">
        <v>1589</v>
      </c>
      <c r="D2124" s="9" t="s">
        <v>1590</v>
      </c>
      <c r="E2124" s="9" t="s">
        <v>1602</v>
      </c>
      <c r="F2124" s="9" t="s">
        <v>1603</v>
      </c>
      <c r="G2124" s="9" t="s">
        <v>1592</v>
      </c>
      <c r="H2124" s="9" t="s">
        <v>1638</v>
      </c>
      <c r="I2124" s="9" t="s">
        <v>3540</v>
      </c>
      <c r="J2124" s="9" t="s">
        <v>1601</v>
      </c>
      <c r="K2124" s="9">
        <v>1</v>
      </c>
      <c r="L2124" s="9">
        <v>25</v>
      </c>
      <c r="M2124" s="9">
        <v>2002</v>
      </c>
      <c r="O2124" s="9" t="str">
        <f t="shared" si="100"/>
        <v>NO</v>
      </c>
      <c r="P2124" s="9" t="str">
        <f t="shared" si="101"/>
        <v>NO</v>
      </c>
      <c r="Q2124" s="9" t="str">
        <f t="shared" si="102"/>
        <v>Conditioned</v>
      </c>
    </row>
    <row r="2125" spans="1:17">
      <c r="A2125" s="9">
        <v>23384</v>
      </c>
      <c r="B2125" s="9">
        <v>1</v>
      </c>
      <c r="C2125" s="9" t="s">
        <v>1589</v>
      </c>
      <c r="D2125" s="9" t="s">
        <v>1590</v>
      </c>
      <c r="E2125" s="9" t="s">
        <v>1591</v>
      </c>
      <c r="F2125" s="9" t="s">
        <v>1589</v>
      </c>
      <c r="G2125" s="9" t="s">
        <v>1592</v>
      </c>
      <c r="H2125" s="9" t="s">
        <v>169</v>
      </c>
      <c r="I2125" s="9" t="s">
        <v>3541</v>
      </c>
      <c r="J2125" s="9" t="s">
        <v>1597</v>
      </c>
      <c r="K2125" s="9">
        <v>1</v>
      </c>
      <c r="L2125" s="9">
        <v>21</v>
      </c>
      <c r="M2125" s="9">
        <v>2002</v>
      </c>
      <c r="O2125" s="9" t="str">
        <f t="shared" si="100"/>
        <v>NO</v>
      </c>
      <c r="P2125" s="9" t="str">
        <f t="shared" si="101"/>
        <v>NO</v>
      </c>
      <c r="Q2125" s="9" t="str">
        <f t="shared" si="102"/>
        <v>Conditioned</v>
      </c>
    </row>
    <row r="2126" spans="1:17">
      <c r="A2126" s="9">
        <v>23387</v>
      </c>
      <c r="B2126" s="9">
        <v>1</v>
      </c>
      <c r="C2126" s="9" t="s">
        <v>1589</v>
      </c>
      <c r="D2126" s="9" t="s">
        <v>1590</v>
      </c>
      <c r="E2126" s="9" t="s">
        <v>1602</v>
      </c>
      <c r="F2126" s="9" t="s">
        <v>1603</v>
      </c>
      <c r="G2126" s="9" t="s">
        <v>1592</v>
      </c>
      <c r="H2126" s="9" t="s">
        <v>169</v>
      </c>
      <c r="I2126" s="9" t="s">
        <v>3542</v>
      </c>
      <c r="J2126" s="9" t="s">
        <v>1601</v>
      </c>
      <c r="K2126" s="9">
        <v>1</v>
      </c>
      <c r="L2126" s="9">
        <v>26</v>
      </c>
      <c r="M2126" s="9">
        <v>2006</v>
      </c>
      <c r="O2126" s="9" t="str">
        <f t="shared" si="100"/>
        <v>NO</v>
      </c>
      <c r="P2126" s="9" t="str">
        <f t="shared" si="101"/>
        <v>NO</v>
      </c>
      <c r="Q2126" s="9" t="str">
        <f t="shared" si="102"/>
        <v>Conditioned</v>
      </c>
    </row>
    <row r="2127" spans="1:17">
      <c r="A2127" s="9">
        <v>23390</v>
      </c>
      <c r="B2127" s="9">
        <v>1</v>
      </c>
      <c r="C2127" s="9" t="s">
        <v>1589</v>
      </c>
      <c r="D2127" s="9" t="s">
        <v>1590</v>
      </c>
      <c r="E2127" s="9" t="s">
        <v>1591</v>
      </c>
      <c r="F2127" s="9" t="s">
        <v>1589</v>
      </c>
      <c r="G2127" s="9" t="s">
        <v>1592</v>
      </c>
      <c r="H2127" s="9" t="s">
        <v>173</v>
      </c>
      <c r="I2127" s="9" t="s">
        <v>3543</v>
      </c>
      <c r="J2127" s="9" t="s">
        <v>1597</v>
      </c>
      <c r="K2127" s="9">
        <v>1</v>
      </c>
      <c r="L2127" s="9">
        <v>19</v>
      </c>
      <c r="M2127" s="9">
        <v>1999</v>
      </c>
      <c r="O2127" s="9" t="str">
        <f t="shared" si="100"/>
        <v>NO</v>
      </c>
      <c r="P2127" s="9" t="str">
        <f t="shared" si="101"/>
        <v>NO</v>
      </c>
      <c r="Q2127" s="9" t="str">
        <f t="shared" si="102"/>
        <v>Conditioned</v>
      </c>
    </row>
    <row r="2128" spans="1:17">
      <c r="A2128" s="9">
        <v>23390</v>
      </c>
      <c r="B2128" s="9">
        <v>2</v>
      </c>
      <c r="C2128" s="9" t="s">
        <v>1589</v>
      </c>
      <c r="D2128" s="9" t="s">
        <v>1590</v>
      </c>
      <c r="E2128" s="9" t="s">
        <v>1591</v>
      </c>
      <c r="F2128" s="9" t="s">
        <v>1589</v>
      </c>
      <c r="G2128" s="9" t="s">
        <v>1592</v>
      </c>
      <c r="H2128" s="9" t="s">
        <v>173</v>
      </c>
      <c r="I2128" s="9" t="s">
        <v>3544</v>
      </c>
      <c r="J2128" s="9" t="s">
        <v>1597</v>
      </c>
      <c r="K2128" s="9">
        <v>1</v>
      </c>
      <c r="L2128" s="9">
        <v>19</v>
      </c>
      <c r="M2128" s="9">
        <v>2002</v>
      </c>
      <c r="O2128" s="9" t="str">
        <f t="shared" si="100"/>
        <v>NO</v>
      </c>
      <c r="P2128" s="9" t="str">
        <f t="shared" si="101"/>
        <v>NO</v>
      </c>
      <c r="Q2128" s="9" t="str">
        <f t="shared" si="102"/>
        <v>Conditioned</v>
      </c>
    </row>
    <row r="2129" spans="1:17">
      <c r="A2129" s="9">
        <v>23391</v>
      </c>
      <c r="B2129" s="9">
        <v>1</v>
      </c>
      <c r="C2129" s="9" t="s">
        <v>1589</v>
      </c>
      <c r="D2129" s="9" t="s">
        <v>1590</v>
      </c>
      <c r="E2129" s="9" t="s">
        <v>1602</v>
      </c>
      <c r="F2129" s="9" t="s">
        <v>1603</v>
      </c>
      <c r="G2129" s="9" t="s">
        <v>1592</v>
      </c>
      <c r="H2129" s="9" t="s">
        <v>170</v>
      </c>
      <c r="I2129" s="9" t="s">
        <v>3545</v>
      </c>
      <c r="J2129" s="9" t="s">
        <v>1601</v>
      </c>
      <c r="K2129" s="9">
        <v>1</v>
      </c>
      <c r="L2129" s="9">
        <v>20</v>
      </c>
      <c r="M2129" s="9">
        <v>2002</v>
      </c>
      <c r="O2129" s="9" t="str">
        <f t="shared" si="100"/>
        <v>NO</v>
      </c>
      <c r="P2129" s="9" t="str">
        <f t="shared" si="101"/>
        <v>NO</v>
      </c>
      <c r="Q2129" s="9" t="str">
        <f t="shared" si="102"/>
        <v>Conditioned</v>
      </c>
    </row>
    <row r="2130" spans="1:17">
      <c r="A2130" s="9">
        <v>23392</v>
      </c>
      <c r="B2130" s="9">
        <v>1</v>
      </c>
      <c r="C2130" s="9" t="s">
        <v>1589</v>
      </c>
      <c r="D2130" s="9" t="s">
        <v>1590</v>
      </c>
      <c r="E2130" s="9" t="s">
        <v>1613</v>
      </c>
      <c r="F2130" s="9" t="s">
        <v>1603</v>
      </c>
      <c r="G2130" s="9" t="s">
        <v>1592</v>
      </c>
      <c r="H2130" s="9" t="s">
        <v>1463</v>
      </c>
      <c r="I2130" s="9" t="s">
        <v>3546</v>
      </c>
      <c r="J2130" s="9" t="s">
        <v>1601</v>
      </c>
      <c r="K2130" s="9">
        <v>1</v>
      </c>
      <c r="L2130" s="9">
        <v>24</v>
      </c>
      <c r="M2130" s="9">
        <v>1994</v>
      </c>
      <c r="O2130" s="9" t="str">
        <f t="shared" si="100"/>
        <v>NO</v>
      </c>
      <c r="P2130" s="9" t="str">
        <f t="shared" si="101"/>
        <v>NO</v>
      </c>
      <c r="Q2130" s="9" t="str">
        <f t="shared" si="102"/>
        <v>Conditioned</v>
      </c>
    </row>
    <row r="2131" spans="1:17">
      <c r="A2131" s="9">
        <v>23392</v>
      </c>
      <c r="B2131" s="9">
        <v>2</v>
      </c>
      <c r="C2131" s="9" t="s">
        <v>1589</v>
      </c>
      <c r="D2131" s="9" t="s">
        <v>1590</v>
      </c>
      <c r="E2131" s="9" t="s">
        <v>1602</v>
      </c>
      <c r="F2131" s="9" t="s">
        <v>1590</v>
      </c>
      <c r="G2131" s="9" t="s">
        <v>1606</v>
      </c>
      <c r="H2131" s="9" t="s">
        <v>172</v>
      </c>
      <c r="I2131" s="9" t="s">
        <v>3547</v>
      </c>
      <c r="J2131" s="9" t="s">
        <v>1601</v>
      </c>
      <c r="K2131" s="9">
        <v>1</v>
      </c>
      <c r="L2131" s="9">
        <v>24</v>
      </c>
      <c r="M2131" s="9">
        <v>1991</v>
      </c>
      <c r="O2131" s="9" t="str">
        <f t="shared" si="100"/>
        <v>NO</v>
      </c>
      <c r="P2131" s="9" t="str">
        <f t="shared" si="101"/>
        <v>NO</v>
      </c>
      <c r="Q2131" s="9" t="str">
        <f t="shared" si="102"/>
        <v>Unconditioned</v>
      </c>
    </row>
    <row r="2132" spans="1:17">
      <c r="A2132" s="9">
        <v>23400</v>
      </c>
      <c r="B2132" s="9">
        <v>1</v>
      </c>
      <c r="C2132" s="9" t="s">
        <v>1589</v>
      </c>
      <c r="D2132" s="9" t="s">
        <v>1590</v>
      </c>
      <c r="E2132" s="9" t="s">
        <v>1591</v>
      </c>
      <c r="F2132" s="9" t="s">
        <v>1589</v>
      </c>
      <c r="G2132" s="9" t="s">
        <v>1606</v>
      </c>
      <c r="H2132" s="9" t="s">
        <v>174</v>
      </c>
      <c r="I2132" s="9" t="s">
        <v>3548</v>
      </c>
      <c r="J2132" s="9" t="s">
        <v>1597</v>
      </c>
      <c r="K2132" s="9">
        <v>1</v>
      </c>
      <c r="L2132" s="9">
        <v>20</v>
      </c>
      <c r="M2132" s="9">
        <v>1996</v>
      </c>
      <c r="O2132" s="9" t="str">
        <f t="shared" si="100"/>
        <v>NO</v>
      </c>
      <c r="P2132" s="9" t="str">
        <f t="shared" si="101"/>
        <v>NO</v>
      </c>
      <c r="Q2132" s="9" t="str">
        <f t="shared" si="102"/>
        <v>Unconditioned</v>
      </c>
    </row>
    <row r="2133" spans="1:17">
      <c r="A2133" s="9">
        <v>23403</v>
      </c>
      <c r="B2133" s="9">
        <v>1</v>
      </c>
      <c r="C2133" s="9" t="s">
        <v>1589</v>
      </c>
      <c r="D2133" s="9" t="s">
        <v>1590</v>
      </c>
      <c r="E2133" s="9" t="s">
        <v>1591</v>
      </c>
      <c r="F2133" s="9" t="s">
        <v>1589</v>
      </c>
      <c r="G2133" s="9" t="s">
        <v>1606</v>
      </c>
      <c r="H2133" s="9" t="s">
        <v>169</v>
      </c>
      <c r="I2133" s="9" t="s">
        <v>3549</v>
      </c>
      <c r="J2133" s="9" t="s">
        <v>1587</v>
      </c>
      <c r="K2133" s="9">
        <v>1</v>
      </c>
      <c r="L2133" s="9">
        <v>15</v>
      </c>
      <c r="M2133" s="9">
        <v>2010</v>
      </c>
      <c r="O2133" s="9" t="str">
        <f t="shared" si="100"/>
        <v>NO</v>
      </c>
      <c r="P2133" s="9" t="str">
        <f t="shared" si="101"/>
        <v>YES</v>
      </c>
      <c r="Q2133" s="9" t="str">
        <f t="shared" si="102"/>
        <v>Unconditioned</v>
      </c>
    </row>
    <row r="2134" spans="1:17">
      <c r="A2134" s="9">
        <v>23403</v>
      </c>
      <c r="B2134" s="9">
        <v>2</v>
      </c>
      <c r="C2134" s="9" t="s">
        <v>1589</v>
      </c>
      <c r="D2134" s="9" t="s">
        <v>1590</v>
      </c>
      <c r="E2134" s="9" t="s">
        <v>1591</v>
      </c>
      <c r="F2134" s="9" t="s">
        <v>1589</v>
      </c>
      <c r="G2134" s="9" t="s">
        <v>1592</v>
      </c>
      <c r="H2134" s="9" t="s">
        <v>177</v>
      </c>
      <c r="I2134" s="9" t="s">
        <v>3550</v>
      </c>
      <c r="J2134" s="9" t="s">
        <v>1597</v>
      </c>
      <c r="K2134" s="9">
        <v>1</v>
      </c>
      <c r="L2134" s="9">
        <v>18</v>
      </c>
      <c r="M2134" s="9">
        <v>2003</v>
      </c>
      <c r="O2134" s="9" t="str">
        <f t="shared" si="100"/>
        <v>NO</v>
      </c>
      <c r="P2134" s="9" t="str">
        <f t="shared" si="101"/>
        <v>NO</v>
      </c>
      <c r="Q2134" s="9" t="str">
        <f t="shared" si="102"/>
        <v>Conditioned</v>
      </c>
    </row>
    <row r="2135" spans="1:17">
      <c r="A2135" s="9">
        <v>23408</v>
      </c>
      <c r="B2135" s="9">
        <v>1</v>
      </c>
      <c r="C2135" s="9" t="s">
        <v>1589</v>
      </c>
      <c r="D2135" s="9" t="s">
        <v>1590</v>
      </c>
      <c r="E2135" s="9" t="s">
        <v>1602</v>
      </c>
      <c r="F2135" s="9" t="s">
        <v>1603</v>
      </c>
      <c r="G2135" s="9" t="s">
        <v>1592</v>
      </c>
      <c r="H2135" s="9" t="s">
        <v>169</v>
      </c>
      <c r="I2135" s="9" t="s">
        <v>3551</v>
      </c>
      <c r="J2135" s="9" t="s">
        <v>1601</v>
      </c>
      <c r="K2135" s="9">
        <v>1</v>
      </c>
      <c r="L2135" s="9">
        <v>29</v>
      </c>
      <c r="M2135" s="9">
        <v>2003</v>
      </c>
      <c r="O2135" s="9" t="str">
        <f t="shared" ref="O2135:O2198" si="103">IF(L2135&lt;7.75,"YES","NO")</f>
        <v>NO</v>
      </c>
      <c r="P2135" s="9" t="str">
        <f t="shared" ref="P2135:P2198" si="104">VLOOKUP(J2135,$Z$21:$AA$27,2,FALSE)</f>
        <v>NO</v>
      </c>
      <c r="Q2135" s="9" t="str">
        <f t="shared" ref="Q2135:Q2198" si="105">G2135</f>
        <v>Conditioned</v>
      </c>
    </row>
    <row r="2136" spans="1:17">
      <c r="A2136" s="9">
        <v>23414</v>
      </c>
      <c r="B2136" s="9">
        <v>1</v>
      </c>
      <c r="C2136" s="9" t="s">
        <v>1589</v>
      </c>
      <c r="D2136" s="9" t="s">
        <v>1590</v>
      </c>
      <c r="E2136" s="9" t="s">
        <v>1613</v>
      </c>
      <c r="F2136" s="9" t="s">
        <v>1603</v>
      </c>
      <c r="G2136" s="9" t="s">
        <v>1592</v>
      </c>
      <c r="H2136" s="9" t="s">
        <v>1624</v>
      </c>
      <c r="I2136" s="9" t="s">
        <v>3552</v>
      </c>
      <c r="J2136" s="9" t="s">
        <v>1597</v>
      </c>
      <c r="K2136" s="9">
        <v>1</v>
      </c>
      <c r="L2136" s="9">
        <v>18</v>
      </c>
      <c r="M2136" s="9">
        <v>2001</v>
      </c>
      <c r="O2136" s="9" t="str">
        <f t="shared" si="103"/>
        <v>NO</v>
      </c>
      <c r="P2136" s="9" t="str">
        <f t="shared" si="104"/>
        <v>NO</v>
      </c>
      <c r="Q2136" s="9" t="str">
        <f t="shared" si="105"/>
        <v>Conditioned</v>
      </c>
    </row>
    <row r="2137" spans="1:17">
      <c r="A2137" s="9">
        <v>23414</v>
      </c>
      <c r="B2137" s="9">
        <v>2</v>
      </c>
      <c r="C2137" s="9" t="s">
        <v>3553</v>
      </c>
      <c r="D2137" s="9" t="s">
        <v>1590</v>
      </c>
      <c r="E2137" s="9" t="s">
        <v>1589</v>
      </c>
      <c r="F2137" s="9" t="s">
        <v>1589</v>
      </c>
      <c r="G2137" s="9" t="s">
        <v>1592</v>
      </c>
      <c r="H2137" s="9" t="s">
        <v>520</v>
      </c>
      <c r="I2137" s="9" t="s">
        <v>1589</v>
      </c>
      <c r="J2137" s="9" t="s">
        <v>1612</v>
      </c>
      <c r="K2137" s="9">
        <v>1</v>
      </c>
      <c r="L2137" s="9">
        <v>5</v>
      </c>
      <c r="O2137" s="9" t="str">
        <f t="shared" si="103"/>
        <v>YES</v>
      </c>
      <c r="P2137" s="9" t="str">
        <f t="shared" si="104"/>
        <v>NO</v>
      </c>
      <c r="Q2137" s="9" t="str">
        <f t="shared" si="105"/>
        <v>Conditioned</v>
      </c>
    </row>
    <row r="2138" spans="1:17">
      <c r="A2138" s="9">
        <v>23424</v>
      </c>
      <c r="B2138" s="9">
        <v>1</v>
      </c>
      <c r="C2138" s="9" t="s">
        <v>1589</v>
      </c>
      <c r="D2138" s="9" t="s">
        <v>1590</v>
      </c>
      <c r="E2138" s="9" t="s">
        <v>1591</v>
      </c>
      <c r="F2138" s="9" t="s">
        <v>1589</v>
      </c>
      <c r="G2138" s="9" t="s">
        <v>1592</v>
      </c>
      <c r="H2138" s="9" t="s">
        <v>177</v>
      </c>
      <c r="I2138" s="9" t="s">
        <v>3554</v>
      </c>
      <c r="J2138" s="9" t="s">
        <v>1601</v>
      </c>
      <c r="K2138" s="9">
        <v>1</v>
      </c>
      <c r="L2138" s="9">
        <v>18</v>
      </c>
      <c r="M2138" s="9">
        <v>1997</v>
      </c>
      <c r="O2138" s="9" t="str">
        <f t="shared" si="103"/>
        <v>NO</v>
      </c>
      <c r="P2138" s="9" t="str">
        <f t="shared" si="104"/>
        <v>NO</v>
      </c>
      <c r="Q2138" s="9" t="str">
        <f t="shared" si="105"/>
        <v>Conditioned</v>
      </c>
    </row>
    <row r="2139" spans="1:17">
      <c r="A2139" s="9">
        <v>23424</v>
      </c>
      <c r="B2139" s="9">
        <v>2</v>
      </c>
      <c r="C2139" s="9" t="s">
        <v>3555</v>
      </c>
      <c r="D2139" s="9" t="s">
        <v>1590</v>
      </c>
      <c r="E2139" s="9" t="s">
        <v>1591</v>
      </c>
      <c r="F2139" s="9" t="s">
        <v>1589</v>
      </c>
      <c r="G2139" s="9" t="s">
        <v>1592</v>
      </c>
      <c r="H2139" s="9" t="s">
        <v>3556</v>
      </c>
      <c r="I2139" s="9" t="s">
        <v>3557</v>
      </c>
      <c r="J2139" s="9" t="s">
        <v>1587</v>
      </c>
      <c r="K2139" s="9">
        <v>1</v>
      </c>
      <c r="L2139" s="9">
        <v>18</v>
      </c>
      <c r="O2139" s="9" t="str">
        <f t="shared" si="103"/>
        <v>NO</v>
      </c>
      <c r="P2139" s="9" t="str">
        <f t="shared" si="104"/>
        <v>YES</v>
      </c>
      <c r="Q2139" s="9" t="str">
        <f t="shared" si="105"/>
        <v>Conditioned</v>
      </c>
    </row>
    <row r="2140" spans="1:17">
      <c r="A2140" s="9">
        <v>23427</v>
      </c>
      <c r="B2140" s="9">
        <v>1</v>
      </c>
      <c r="C2140" s="9" t="s">
        <v>1589</v>
      </c>
      <c r="D2140" s="9" t="s">
        <v>1590</v>
      </c>
      <c r="E2140" s="9" t="s">
        <v>1591</v>
      </c>
      <c r="F2140" s="9" t="s">
        <v>1589</v>
      </c>
      <c r="G2140" s="9" t="s">
        <v>1592</v>
      </c>
      <c r="H2140" s="9" t="s">
        <v>177</v>
      </c>
      <c r="I2140" s="9" t="s">
        <v>3558</v>
      </c>
      <c r="J2140" s="9" t="s">
        <v>1597</v>
      </c>
      <c r="K2140" s="9">
        <v>1</v>
      </c>
      <c r="L2140" s="9">
        <v>21</v>
      </c>
      <c r="M2140" s="9">
        <v>1995</v>
      </c>
      <c r="O2140" s="9" t="str">
        <f t="shared" si="103"/>
        <v>NO</v>
      </c>
      <c r="P2140" s="9" t="str">
        <f t="shared" si="104"/>
        <v>NO</v>
      </c>
      <c r="Q2140" s="9" t="str">
        <f t="shared" si="105"/>
        <v>Conditioned</v>
      </c>
    </row>
    <row r="2141" spans="1:17">
      <c r="A2141" s="9">
        <v>23428</v>
      </c>
      <c r="B2141" s="9">
        <v>1</v>
      </c>
      <c r="C2141" s="9" t="s">
        <v>1589</v>
      </c>
      <c r="D2141" s="9" t="s">
        <v>1590</v>
      </c>
      <c r="E2141" s="9" t="s">
        <v>1602</v>
      </c>
      <c r="F2141" s="9" t="s">
        <v>1603</v>
      </c>
      <c r="G2141" s="9" t="s">
        <v>1592</v>
      </c>
      <c r="H2141" s="9" t="s">
        <v>177</v>
      </c>
      <c r="I2141" s="9" t="s">
        <v>3559</v>
      </c>
      <c r="J2141" s="9" t="s">
        <v>1601</v>
      </c>
      <c r="K2141" s="9">
        <v>1</v>
      </c>
      <c r="L2141" s="9">
        <v>22</v>
      </c>
      <c r="M2141" s="9">
        <v>2005</v>
      </c>
      <c r="O2141" s="9" t="str">
        <f t="shared" si="103"/>
        <v>NO</v>
      </c>
      <c r="P2141" s="9" t="str">
        <f t="shared" si="104"/>
        <v>NO</v>
      </c>
      <c r="Q2141" s="9" t="str">
        <f t="shared" si="105"/>
        <v>Conditioned</v>
      </c>
    </row>
    <row r="2142" spans="1:17">
      <c r="A2142" s="9">
        <v>23428</v>
      </c>
      <c r="B2142" s="9">
        <v>2</v>
      </c>
      <c r="C2142" s="9" t="s">
        <v>1589</v>
      </c>
      <c r="D2142" s="9" t="s">
        <v>1590</v>
      </c>
      <c r="E2142" s="9" t="s">
        <v>1591</v>
      </c>
      <c r="F2142" s="9" t="s">
        <v>1589</v>
      </c>
      <c r="G2142" s="9" t="s">
        <v>1592</v>
      </c>
      <c r="H2142" s="9" t="s">
        <v>1632</v>
      </c>
      <c r="I2142" s="9" t="s">
        <v>3560</v>
      </c>
      <c r="J2142" s="9" t="s">
        <v>1612</v>
      </c>
      <c r="K2142" s="9">
        <v>1</v>
      </c>
      <c r="L2142" s="9">
        <v>2</v>
      </c>
      <c r="M2142" s="9">
        <v>1998</v>
      </c>
      <c r="O2142" s="9" t="str">
        <f t="shared" si="103"/>
        <v>YES</v>
      </c>
      <c r="P2142" s="9" t="str">
        <f t="shared" si="104"/>
        <v>NO</v>
      </c>
      <c r="Q2142" s="9" t="str">
        <f t="shared" si="105"/>
        <v>Conditioned</v>
      </c>
    </row>
    <row r="2143" spans="1:17">
      <c r="A2143" s="9">
        <v>23428</v>
      </c>
      <c r="B2143" s="9">
        <v>3</v>
      </c>
      <c r="C2143" s="9" t="s">
        <v>1589</v>
      </c>
      <c r="D2143" s="9" t="s">
        <v>1590</v>
      </c>
      <c r="E2143" s="9" t="s">
        <v>1591</v>
      </c>
      <c r="F2143" s="9" t="s">
        <v>1589</v>
      </c>
      <c r="G2143" s="9" t="s">
        <v>1592</v>
      </c>
      <c r="H2143" s="9" t="s">
        <v>730</v>
      </c>
      <c r="I2143" s="9" t="s">
        <v>3561</v>
      </c>
      <c r="J2143" s="9" t="s">
        <v>1612</v>
      </c>
      <c r="K2143" s="9">
        <v>1</v>
      </c>
      <c r="L2143" s="9">
        <v>8</v>
      </c>
      <c r="M2143" s="9">
        <v>2010</v>
      </c>
      <c r="O2143" s="9" t="str">
        <f t="shared" si="103"/>
        <v>NO</v>
      </c>
      <c r="P2143" s="9" t="str">
        <f t="shared" si="104"/>
        <v>NO</v>
      </c>
      <c r="Q2143" s="9" t="str">
        <f t="shared" si="105"/>
        <v>Conditioned</v>
      </c>
    </row>
    <row r="2144" spans="1:17">
      <c r="A2144" s="9">
        <v>23428</v>
      </c>
      <c r="B2144" s="9">
        <v>4</v>
      </c>
      <c r="C2144" s="9" t="s">
        <v>1589</v>
      </c>
      <c r="D2144" s="9" t="s">
        <v>1603</v>
      </c>
      <c r="E2144" s="9" t="s">
        <v>1591</v>
      </c>
      <c r="F2144" s="9" t="s">
        <v>1589</v>
      </c>
      <c r="G2144" s="9" t="s">
        <v>1606</v>
      </c>
      <c r="H2144" s="9" t="s">
        <v>181</v>
      </c>
      <c r="I2144" s="9" t="s">
        <v>2994</v>
      </c>
      <c r="J2144" s="9" t="s">
        <v>1605</v>
      </c>
      <c r="K2144" s="9">
        <v>1</v>
      </c>
      <c r="L2144" s="9">
        <v>5</v>
      </c>
      <c r="M2144" s="9">
        <v>2011</v>
      </c>
      <c r="O2144" s="9" t="str">
        <f t="shared" si="103"/>
        <v>YES</v>
      </c>
      <c r="P2144" s="9" t="str">
        <f t="shared" si="104"/>
        <v>YES</v>
      </c>
      <c r="Q2144" s="9" t="str">
        <f t="shared" si="105"/>
        <v>Unconditioned</v>
      </c>
    </row>
    <row r="2145" spans="1:17">
      <c r="A2145" s="9">
        <v>23439</v>
      </c>
      <c r="B2145" s="9">
        <v>1</v>
      </c>
      <c r="C2145" s="9" t="s">
        <v>1589</v>
      </c>
      <c r="D2145" s="9" t="s">
        <v>1590</v>
      </c>
      <c r="E2145" s="9" t="s">
        <v>1613</v>
      </c>
      <c r="F2145" s="9" t="s">
        <v>1603</v>
      </c>
      <c r="G2145" s="9" t="s">
        <v>1592</v>
      </c>
      <c r="H2145" s="9" t="s">
        <v>170</v>
      </c>
      <c r="I2145" s="9" t="s">
        <v>3562</v>
      </c>
      <c r="J2145" s="9" t="s">
        <v>1597</v>
      </c>
      <c r="K2145" s="9">
        <v>1</v>
      </c>
      <c r="L2145" s="9">
        <v>21</v>
      </c>
      <c r="M2145" s="9">
        <v>2006</v>
      </c>
      <c r="O2145" s="9" t="str">
        <f t="shared" si="103"/>
        <v>NO</v>
      </c>
      <c r="P2145" s="9" t="str">
        <f t="shared" si="104"/>
        <v>NO</v>
      </c>
      <c r="Q2145" s="9" t="str">
        <f t="shared" si="105"/>
        <v>Conditioned</v>
      </c>
    </row>
    <row r="2146" spans="1:17">
      <c r="A2146" s="9">
        <v>23439</v>
      </c>
      <c r="B2146" s="9">
        <v>2</v>
      </c>
      <c r="C2146" s="9" t="s">
        <v>1589</v>
      </c>
      <c r="D2146" s="9" t="s">
        <v>1590</v>
      </c>
      <c r="E2146" s="9" t="s">
        <v>1591</v>
      </c>
      <c r="F2146" s="9" t="s">
        <v>1589</v>
      </c>
      <c r="G2146" s="9" t="s">
        <v>1606</v>
      </c>
      <c r="H2146" s="9" t="s">
        <v>3563</v>
      </c>
      <c r="I2146" s="9" t="s">
        <v>3564</v>
      </c>
      <c r="J2146" s="9" t="s">
        <v>1587</v>
      </c>
      <c r="K2146" s="9">
        <v>1</v>
      </c>
      <c r="L2146" s="9">
        <v>22</v>
      </c>
      <c r="O2146" s="9" t="str">
        <f t="shared" si="103"/>
        <v>NO</v>
      </c>
      <c r="P2146" s="9" t="str">
        <f t="shared" si="104"/>
        <v>YES</v>
      </c>
      <c r="Q2146" s="9" t="str">
        <f t="shared" si="105"/>
        <v>Unconditioned</v>
      </c>
    </row>
    <row r="2147" spans="1:17">
      <c r="A2147" s="9">
        <v>23439</v>
      </c>
      <c r="B2147" s="9">
        <v>3</v>
      </c>
      <c r="C2147" s="9" t="s">
        <v>1589</v>
      </c>
      <c r="D2147" s="9" t="s">
        <v>1590</v>
      </c>
      <c r="E2147" s="9" t="s">
        <v>1591</v>
      </c>
      <c r="F2147" s="9" t="s">
        <v>1589</v>
      </c>
      <c r="G2147" s="9" t="s">
        <v>1606</v>
      </c>
      <c r="H2147" s="9" t="s">
        <v>1638</v>
      </c>
      <c r="I2147" s="9" t="s">
        <v>1589</v>
      </c>
      <c r="J2147" s="9" t="s">
        <v>1597</v>
      </c>
      <c r="K2147" s="9">
        <v>1</v>
      </c>
      <c r="L2147" s="9">
        <v>20</v>
      </c>
      <c r="O2147" s="9" t="str">
        <f t="shared" si="103"/>
        <v>NO</v>
      </c>
      <c r="P2147" s="9" t="str">
        <f t="shared" si="104"/>
        <v>NO</v>
      </c>
      <c r="Q2147" s="9" t="str">
        <f t="shared" si="105"/>
        <v>Unconditioned</v>
      </c>
    </row>
    <row r="2148" spans="1:17">
      <c r="A2148" s="9">
        <v>23440</v>
      </c>
      <c r="B2148" s="9">
        <v>1</v>
      </c>
      <c r="C2148" s="9" t="s">
        <v>1589</v>
      </c>
      <c r="D2148" s="9" t="s">
        <v>1590</v>
      </c>
      <c r="E2148" s="9" t="s">
        <v>1613</v>
      </c>
      <c r="F2148" s="9" t="s">
        <v>1603</v>
      </c>
      <c r="G2148" s="9" t="s">
        <v>1592</v>
      </c>
      <c r="H2148" s="9" t="s">
        <v>169</v>
      </c>
      <c r="I2148" s="9" t="s">
        <v>3565</v>
      </c>
      <c r="J2148" s="9" t="s">
        <v>1597</v>
      </c>
      <c r="K2148" s="9">
        <v>1</v>
      </c>
      <c r="L2148" s="9">
        <v>20</v>
      </c>
      <c r="M2148" s="9">
        <v>2006</v>
      </c>
      <c r="O2148" s="9" t="str">
        <f t="shared" si="103"/>
        <v>NO</v>
      </c>
      <c r="P2148" s="9" t="str">
        <f t="shared" si="104"/>
        <v>NO</v>
      </c>
      <c r="Q2148" s="9" t="str">
        <f t="shared" si="105"/>
        <v>Conditioned</v>
      </c>
    </row>
    <row r="2149" spans="1:17">
      <c r="A2149" s="9">
        <v>23444</v>
      </c>
      <c r="B2149" s="9">
        <v>1</v>
      </c>
      <c r="C2149" s="9" t="s">
        <v>1589</v>
      </c>
      <c r="D2149" s="9" t="s">
        <v>1590</v>
      </c>
      <c r="E2149" s="9" t="s">
        <v>1613</v>
      </c>
      <c r="F2149" s="9" t="s">
        <v>1603</v>
      </c>
      <c r="G2149" s="9" t="s">
        <v>1592</v>
      </c>
      <c r="H2149" s="9" t="s">
        <v>170</v>
      </c>
      <c r="I2149" s="9" t="s">
        <v>3566</v>
      </c>
      <c r="J2149" s="9" t="s">
        <v>1597</v>
      </c>
      <c r="K2149" s="9">
        <v>1</v>
      </c>
      <c r="L2149" s="9">
        <v>25</v>
      </c>
      <c r="M2149" s="9">
        <v>2005</v>
      </c>
      <c r="O2149" s="9" t="str">
        <f t="shared" si="103"/>
        <v>NO</v>
      </c>
      <c r="P2149" s="9" t="str">
        <f t="shared" si="104"/>
        <v>NO</v>
      </c>
      <c r="Q2149" s="9" t="str">
        <f t="shared" si="105"/>
        <v>Conditioned</v>
      </c>
    </row>
    <row r="2150" spans="1:17">
      <c r="A2150" s="9">
        <v>23444</v>
      </c>
      <c r="B2150" s="9">
        <v>2</v>
      </c>
      <c r="C2150" s="9" t="s">
        <v>1589</v>
      </c>
      <c r="D2150" s="9" t="s">
        <v>1590</v>
      </c>
      <c r="E2150" s="9" t="s">
        <v>1591</v>
      </c>
      <c r="F2150" s="9" t="s">
        <v>1589</v>
      </c>
      <c r="G2150" s="9" t="s">
        <v>1606</v>
      </c>
      <c r="H2150" s="9" t="s">
        <v>170</v>
      </c>
      <c r="I2150" s="9" t="s">
        <v>3567</v>
      </c>
      <c r="J2150" s="9" t="s">
        <v>1605</v>
      </c>
      <c r="K2150" s="9">
        <v>1</v>
      </c>
      <c r="L2150" s="9">
        <v>21</v>
      </c>
      <c r="M2150" s="9">
        <v>2004</v>
      </c>
      <c r="O2150" s="9" t="str">
        <f t="shared" si="103"/>
        <v>NO</v>
      </c>
      <c r="P2150" s="9" t="str">
        <f t="shared" si="104"/>
        <v>YES</v>
      </c>
      <c r="Q2150" s="9" t="str">
        <f t="shared" si="105"/>
        <v>Unconditioned</v>
      </c>
    </row>
    <row r="2151" spans="1:17">
      <c r="A2151" s="9">
        <v>23444</v>
      </c>
      <c r="B2151" s="9">
        <v>3</v>
      </c>
      <c r="C2151" s="9" t="s">
        <v>1589</v>
      </c>
      <c r="D2151" s="9" t="s">
        <v>1590</v>
      </c>
      <c r="E2151" s="9" t="s">
        <v>1591</v>
      </c>
      <c r="F2151" s="9" t="s">
        <v>1589</v>
      </c>
      <c r="G2151" s="9" t="s">
        <v>1606</v>
      </c>
      <c r="H2151" s="9" t="s">
        <v>177</v>
      </c>
      <c r="I2151" s="9" t="s">
        <v>3568</v>
      </c>
      <c r="J2151" s="9" t="s">
        <v>1597</v>
      </c>
      <c r="L2151" s="9">
        <v>25</v>
      </c>
      <c r="M2151" s="9">
        <v>1990</v>
      </c>
      <c r="O2151" s="9" t="str">
        <f t="shared" si="103"/>
        <v>NO</v>
      </c>
      <c r="P2151" s="9" t="str">
        <f t="shared" si="104"/>
        <v>NO</v>
      </c>
      <c r="Q2151" s="9" t="str">
        <f t="shared" si="105"/>
        <v>Unconditioned</v>
      </c>
    </row>
    <row r="2152" spans="1:17">
      <c r="A2152" s="9">
        <v>23446</v>
      </c>
      <c r="B2152" s="9">
        <v>1</v>
      </c>
      <c r="C2152" s="9" t="s">
        <v>1589</v>
      </c>
      <c r="D2152" s="9" t="s">
        <v>1590</v>
      </c>
      <c r="E2152" s="9" t="s">
        <v>1602</v>
      </c>
      <c r="F2152" s="9" t="s">
        <v>1590</v>
      </c>
      <c r="G2152" s="9" t="s">
        <v>1592</v>
      </c>
      <c r="H2152" s="9" t="s">
        <v>1638</v>
      </c>
      <c r="I2152" s="9" t="s">
        <v>3569</v>
      </c>
      <c r="J2152" s="9" t="s">
        <v>1601</v>
      </c>
      <c r="K2152" s="9">
        <v>1</v>
      </c>
      <c r="L2152" s="9">
        <v>20</v>
      </c>
      <c r="M2152" s="9">
        <v>1987</v>
      </c>
      <c r="O2152" s="9" t="str">
        <f t="shared" si="103"/>
        <v>NO</v>
      </c>
      <c r="P2152" s="9" t="str">
        <f t="shared" si="104"/>
        <v>NO</v>
      </c>
      <c r="Q2152" s="9" t="str">
        <f t="shared" si="105"/>
        <v>Conditioned</v>
      </c>
    </row>
    <row r="2153" spans="1:17">
      <c r="A2153" s="9">
        <v>23449</v>
      </c>
      <c r="B2153" s="9">
        <v>1</v>
      </c>
      <c r="C2153" s="9" t="s">
        <v>1589</v>
      </c>
      <c r="D2153" s="9" t="s">
        <v>1590</v>
      </c>
      <c r="E2153" s="9" t="s">
        <v>1591</v>
      </c>
      <c r="F2153" s="9" t="s">
        <v>1589</v>
      </c>
      <c r="G2153" s="9" t="s">
        <v>1606</v>
      </c>
      <c r="H2153" s="9" t="s">
        <v>181</v>
      </c>
      <c r="I2153" s="9" t="s">
        <v>1589</v>
      </c>
      <c r="J2153" s="9" t="s">
        <v>1587</v>
      </c>
      <c r="K2153" s="9">
        <v>1</v>
      </c>
      <c r="L2153" s="9">
        <v>10</v>
      </c>
      <c r="O2153" s="9" t="str">
        <f t="shared" si="103"/>
        <v>NO</v>
      </c>
      <c r="P2153" s="9" t="str">
        <f t="shared" si="104"/>
        <v>YES</v>
      </c>
      <c r="Q2153" s="9" t="str">
        <f t="shared" si="105"/>
        <v>Unconditioned</v>
      </c>
    </row>
    <row r="2154" spans="1:17">
      <c r="A2154" s="9">
        <v>23449</v>
      </c>
      <c r="B2154" s="9">
        <v>2</v>
      </c>
      <c r="C2154" s="9" t="s">
        <v>1589</v>
      </c>
      <c r="D2154" s="9" t="s">
        <v>1590</v>
      </c>
      <c r="E2154" s="9" t="s">
        <v>1591</v>
      </c>
      <c r="F2154" s="9" t="s">
        <v>1589</v>
      </c>
      <c r="G2154" s="9" t="s">
        <v>1592</v>
      </c>
      <c r="H2154" s="9" t="s">
        <v>1805</v>
      </c>
      <c r="I2154" s="9" t="s">
        <v>3570</v>
      </c>
      <c r="J2154" s="9" t="s">
        <v>1597</v>
      </c>
      <c r="K2154" s="9">
        <v>1</v>
      </c>
      <c r="L2154" s="9">
        <v>20</v>
      </c>
      <c r="M2154" s="9">
        <v>1994</v>
      </c>
      <c r="O2154" s="9" t="str">
        <f t="shared" si="103"/>
        <v>NO</v>
      </c>
      <c r="P2154" s="9" t="str">
        <f t="shared" si="104"/>
        <v>NO</v>
      </c>
      <c r="Q2154" s="9" t="str">
        <f t="shared" si="105"/>
        <v>Conditioned</v>
      </c>
    </row>
    <row r="2155" spans="1:17">
      <c r="A2155" s="9">
        <v>23465</v>
      </c>
      <c r="B2155" s="9">
        <v>1</v>
      </c>
      <c r="C2155" s="9" t="s">
        <v>1589</v>
      </c>
      <c r="D2155" s="9" t="s">
        <v>1603</v>
      </c>
      <c r="E2155" s="9" t="s">
        <v>1602</v>
      </c>
      <c r="F2155" s="9" t="s">
        <v>1590</v>
      </c>
      <c r="G2155" s="9" t="s">
        <v>1592</v>
      </c>
      <c r="H2155" s="9" t="s">
        <v>1599</v>
      </c>
      <c r="I2155" s="9" t="s">
        <v>3571</v>
      </c>
      <c r="J2155" s="9" t="s">
        <v>1601</v>
      </c>
      <c r="K2155" s="9">
        <v>1</v>
      </c>
      <c r="L2155" s="9">
        <v>20</v>
      </c>
      <c r="M2155" s="9">
        <v>2003</v>
      </c>
      <c r="O2155" s="9" t="str">
        <f t="shared" si="103"/>
        <v>NO</v>
      </c>
      <c r="P2155" s="9" t="str">
        <f t="shared" si="104"/>
        <v>NO</v>
      </c>
      <c r="Q2155" s="9" t="str">
        <f t="shared" si="105"/>
        <v>Conditioned</v>
      </c>
    </row>
    <row r="2156" spans="1:17">
      <c r="A2156" s="9">
        <v>23480</v>
      </c>
      <c r="B2156" s="9">
        <v>1</v>
      </c>
      <c r="C2156" s="9" t="s">
        <v>1589</v>
      </c>
      <c r="D2156" s="9" t="s">
        <v>1590</v>
      </c>
      <c r="E2156" s="9" t="s">
        <v>1591</v>
      </c>
      <c r="F2156" s="9" t="s">
        <v>1589</v>
      </c>
      <c r="G2156" s="9" t="s">
        <v>1592</v>
      </c>
      <c r="H2156" s="9" t="s">
        <v>177</v>
      </c>
      <c r="I2156" s="9" t="s">
        <v>3572</v>
      </c>
      <c r="J2156" s="9" t="s">
        <v>1597</v>
      </c>
      <c r="K2156" s="9">
        <v>1</v>
      </c>
      <c r="L2156" s="9">
        <v>20</v>
      </c>
      <c r="M2156" s="9">
        <v>2006</v>
      </c>
      <c r="O2156" s="9" t="str">
        <f t="shared" si="103"/>
        <v>NO</v>
      </c>
      <c r="P2156" s="9" t="str">
        <f t="shared" si="104"/>
        <v>NO</v>
      </c>
      <c r="Q2156" s="9" t="str">
        <f t="shared" si="105"/>
        <v>Conditioned</v>
      </c>
    </row>
    <row r="2157" spans="1:17">
      <c r="A2157" s="9">
        <v>23482</v>
      </c>
      <c r="B2157" s="9">
        <v>1</v>
      </c>
      <c r="C2157" s="9" t="s">
        <v>1589</v>
      </c>
      <c r="D2157" s="9" t="s">
        <v>1590</v>
      </c>
      <c r="E2157" s="9" t="s">
        <v>1613</v>
      </c>
      <c r="F2157" s="9" t="s">
        <v>1603</v>
      </c>
      <c r="G2157" s="9" t="s">
        <v>1592</v>
      </c>
      <c r="H2157" s="9" t="s">
        <v>170</v>
      </c>
      <c r="I2157" s="9" t="s">
        <v>3573</v>
      </c>
      <c r="J2157" s="9" t="s">
        <v>1597</v>
      </c>
      <c r="K2157" s="9">
        <v>1</v>
      </c>
      <c r="L2157" s="9">
        <v>18</v>
      </c>
      <c r="M2157" s="9">
        <v>2004</v>
      </c>
      <c r="O2157" s="9" t="str">
        <f t="shared" si="103"/>
        <v>NO</v>
      </c>
      <c r="P2157" s="9" t="str">
        <f t="shared" si="104"/>
        <v>NO</v>
      </c>
      <c r="Q2157" s="9" t="str">
        <f t="shared" si="105"/>
        <v>Conditioned</v>
      </c>
    </row>
    <row r="2158" spans="1:17">
      <c r="A2158" s="9">
        <v>23486</v>
      </c>
      <c r="B2158" s="9">
        <v>1</v>
      </c>
      <c r="C2158" s="9" t="s">
        <v>1589</v>
      </c>
      <c r="D2158" s="9" t="s">
        <v>1590</v>
      </c>
      <c r="E2158" s="9" t="s">
        <v>1602</v>
      </c>
      <c r="F2158" s="9" t="s">
        <v>1603</v>
      </c>
      <c r="G2158" s="9" t="s">
        <v>1592</v>
      </c>
      <c r="H2158" s="9" t="s">
        <v>170</v>
      </c>
      <c r="I2158" s="9" t="s">
        <v>3574</v>
      </c>
      <c r="J2158" s="9" t="s">
        <v>1601</v>
      </c>
      <c r="K2158" s="9">
        <v>1</v>
      </c>
      <c r="L2158" s="9">
        <v>22</v>
      </c>
      <c r="M2158" s="9">
        <v>2002</v>
      </c>
      <c r="O2158" s="9" t="str">
        <f t="shared" si="103"/>
        <v>NO</v>
      </c>
      <c r="P2158" s="9" t="str">
        <f t="shared" si="104"/>
        <v>NO</v>
      </c>
      <c r="Q2158" s="9" t="str">
        <f t="shared" si="105"/>
        <v>Conditioned</v>
      </c>
    </row>
    <row r="2159" spans="1:17">
      <c r="A2159" s="9">
        <v>23486</v>
      </c>
      <c r="B2159" s="9">
        <v>2</v>
      </c>
      <c r="C2159" s="9" t="s">
        <v>1589</v>
      </c>
      <c r="D2159" s="9" t="s">
        <v>1590</v>
      </c>
      <c r="E2159" s="9" t="s">
        <v>1591</v>
      </c>
      <c r="F2159" s="9" t="s">
        <v>1589</v>
      </c>
      <c r="G2159" s="9" t="s">
        <v>1592</v>
      </c>
      <c r="H2159" s="9" t="s">
        <v>1766</v>
      </c>
      <c r="I2159" s="9" t="s">
        <v>2590</v>
      </c>
      <c r="J2159" s="9" t="s">
        <v>1605</v>
      </c>
      <c r="K2159" s="9">
        <v>1</v>
      </c>
      <c r="L2159" s="9">
        <v>22</v>
      </c>
      <c r="M2159" s="9">
        <v>1992</v>
      </c>
      <c r="O2159" s="9" t="str">
        <f t="shared" si="103"/>
        <v>NO</v>
      </c>
      <c r="P2159" s="9" t="str">
        <f t="shared" si="104"/>
        <v>YES</v>
      </c>
      <c r="Q2159" s="9" t="str">
        <f t="shared" si="105"/>
        <v>Conditioned</v>
      </c>
    </row>
    <row r="2160" spans="1:17">
      <c r="A2160" s="9">
        <v>23489</v>
      </c>
      <c r="B2160" s="9">
        <v>1</v>
      </c>
      <c r="C2160" s="9" t="s">
        <v>1589</v>
      </c>
      <c r="D2160" s="9" t="s">
        <v>1590</v>
      </c>
      <c r="E2160" s="9" t="s">
        <v>1602</v>
      </c>
      <c r="F2160" s="9" t="s">
        <v>1603</v>
      </c>
      <c r="G2160" s="9" t="s">
        <v>1592</v>
      </c>
      <c r="H2160" s="9" t="s">
        <v>1900</v>
      </c>
      <c r="I2160" s="9" t="s">
        <v>3575</v>
      </c>
      <c r="J2160" s="9" t="s">
        <v>1597</v>
      </c>
      <c r="K2160" s="9">
        <v>1</v>
      </c>
      <c r="L2160" s="9">
        <v>19</v>
      </c>
      <c r="M2160" s="9">
        <v>1993</v>
      </c>
      <c r="O2160" s="9" t="str">
        <f t="shared" si="103"/>
        <v>NO</v>
      </c>
      <c r="P2160" s="9" t="str">
        <f t="shared" si="104"/>
        <v>NO</v>
      </c>
      <c r="Q2160" s="9" t="str">
        <f t="shared" si="105"/>
        <v>Conditioned</v>
      </c>
    </row>
    <row r="2161" spans="1:17">
      <c r="A2161" s="9">
        <v>23489</v>
      </c>
      <c r="B2161" s="9">
        <v>2</v>
      </c>
      <c r="C2161" s="9" t="s">
        <v>1589</v>
      </c>
      <c r="D2161" s="9" t="s">
        <v>1590</v>
      </c>
      <c r="E2161" s="9" t="s">
        <v>1591</v>
      </c>
      <c r="F2161" s="9" t="s">
        <v>1589</v>
      </c>
      <c r="G2161" s="9" t="s">
        <v>1592</v>
      </c>
      <c r="H2161" s="9" t="s">
        <v>1900</v>
      </c>
      <c r="I2161" s="9" t="s">
        <v>1589</v>
      </c>
      <c r="J2161" s="9" t="s">
        <v>1605</v>
      </c>
      <c r="K2161" s="9">
        <v>1</v>
      </c>
      <c r="L2161" s="9">
        <v>13</v>
      </c>
      <c r="M2161" s="9">
        <v>1989</v>
      </c>
      <c r="O2161" s="9" t="str">
        <f t="shared" si="103"/>
        <v>NO</v>
      </c>
      <c r="P2161" s="9" t="str">
        <f t="shared" si="104"/>
        <v>YES</v>
      </c>
      <c r="Q2161" s="9" t="str">
        <f t="shared" si="105"/>
        <v>Conditioned</v>
      </c>
    </row>
    <row r="2162" spans="1:17">
      <c r="A2162" s="9">
        <v>23501</v>
      </c>
      <c r="B2162" s="9">
        <v>1</v>
      </c>
      <c r="C2162" s="9" t="s">
        <v>1589</v>
      </c>
      <c r="D2162" s="9" t="s">
        <v>1590</v>
      </c>
      <c r="E2162" s="9" t="s">
        <v>1591</v>
      </c>
      <c r="F2162" s="9" t="s">
        <v>1589</v>
      </c>
      <c r="G2162" s="9" t="s">
        <v>1606</v>
      </c>
      <c r="H2162" s="9" t="s">
        <v>1900</v>
      </c>
      <c r="I2162" s="9" t="s">
        <v>3576</v>
      </c>
      <c r="J2162" s="9" t="s">
        <v>1597</v>
      </c>
      <c r="K2162" s="9">
        <v>1</v>
      </c>
      <c r="L2162" s="9">
        <v>23</v>
      </c>
      <c r="M2162" s="9">
        <v>1987</v>
      </c>
      <c r="O2162" s="9" t="str">
        <f t="shared" si="103"/>
        <v>NO</v>
      </c>
      <c r="P2162" s="9" t="str">
        <f t="shared" si="104"/>
        <v>NO</v>
      </c>
      <c r="Q2162" s="9" t="str">
        <f t="shared" si="105"/>
        <v>Unconditioned</v>
      </c>
    </row>
    <row r="2163" spans="1:17">
      <c r="A2163" s="9">
        <v>23501</v>
      </c>
      <c r="B2163" s="9">
        <v>2</v>
      </c>
      <c r="C2163" s="9" t="s">
        <v>1589</v>
      </c>
      <c r="D2163" s="9" t="s">
        <v>1590</v>
      </c>
      <c r="E2163" s="9" t="s">
        <v>1591</v>
      </c>
      <c r="F2163" s="9" t="s">
        <v>1589</v>
      </c>
      <c r="G2163" s="9" t="s">
        <v>1592</v>
      </c>
      <c r="H2163" s="9" t="s">
        <v>177</v>
      </c>
      <c r="I2163" s="9" t="s">
        <v>3577</v>
      </c>
      <c r="J2163" s="9" t="s">
        <v>1597</v>
      </c>
      <c r="K2163" s="9">
        <v>1</v>
      </c>
      <c r="L2163" s="9">
        <v>18</v>
      </c>
      <c r="M2163" s="9">
        <v>1999</v>
      </c>
      <c r="O2163" s="9" t="str">
        <f t="shared" si="103"/>
        <v>NO</v>
      </c>
      <c r="P2163" s="9" t="str">
        <f t="shared" si="104"/>
        <v>NO</v>
      </c>
      <c r="Q2163" s="9" t="str">
        <f t="shared" si="105"/>
        <v>Conditioned</v>
      </c>
    </row>
    <row r="2164" spans="1:17">
      <c r="A2164" s="9">
        <v>23502</v>
      </c>
      <c r="B2164" s="9">
        <v>1</v>
      </c>
      <c r="C2164" s="9" t="s">
        <v>1589</v>
      </c>
      <c r="D2164" s="9" t="s">
        <v>1590</v>
      </c>
      <c r="E2164" s="9" t="s">
        <v>1613</v>
      </c>
      <c r="F2164" s="9" t="s">
        <v>1603</v>
      </c>
      <c r="G2164" s="9" t="s">
        <v>1592</v>
      </c>
      <c r="H2164" s="9" t="s">
        <v>169</v>
      </c>
      <c r="I2164" s="9" t="s">
        <v>3578</v>
      </c>
      <c r="J2164" s="9" t="s">
        <v>1597</v>
      </c>
      <c r="K2164" s="9">
        <v>1</v>
      </c>
      <c r="L2164" s="9">
        <v>23</v>
      </c>
      <c r="M2164" s="9">
        <v>2001</v>
      </c>
      <c r="O2164" s="9" t="str">
        <f t="shared" si="103"/>
        <v>NO</v>
      </c>
      <c r="P2164" s="9" t="str">
        <f t="shared" si="104"/>
        <v>NO</v>
      </c>
      <c r="Q2164" s="9" t="str">
        <f t="shared" si="105"/>
        <v>Conditioned</v>
      </c>
    </row>
    <row r="2165" spans="1:17">
      <c r="A2165" s="9">
        <v>23504</v>
      </c>
      <c r="B2165" s="9">
        <v>1</v>
      </c>
      <c r="C2165" s="9" t="s">
        <v>1589</v>
      </c>
      <c r="D2165" s="9" t="s">
        <v>1590</v>
      </c>
      <c r="E2165" s="9" t="s">
        <v>1591</v>
      </c>
      <c r="F2165" s="9" t="s">
        <v>1589</v>
      </c>
      <c r="G2165" s="9" t="s">
        <v>1592</v>
      </c>
      <c r="H2165" s="9" t="s">
        <v>177</v>
      </c>
      <c r="I2165" s="9" t="s">
        <v>3579</v>
      </c>
      <c r="J2165" s="9" t="s">
        <v>1597</v>
      </c>
      <c r="K2165" s="9">
        <v>1</v>
      </c>
      <c r="L2165" s="9">
        <v>18</v>
      </c>
      <c r="M2165" s="9">
        <v>1975</v>
      </c>
      <c r="O2165" s="9" t="str">
        <f t="shared" si="103"/>
        <v>NO</v>
      </c>
      <c r="P2165" s="9" t="str">
        <f t="shared" si="104"/>
        <v>NO</v>
      </c>
      <c r="Q2165" s="9" t="str">
        <f t="shared" si="105"/>
        <v>Conditioned</v>
      </c>
    </row>
    <row r="2166" spans="1:17">
      <c r="A2166" s="9">
        <v>23504</v>
      </c>
      <c r="B2166" s="9">
        <v>2</v>
      </c>
      <c r="C2166" s="9" t="s">
        <v>1589</v>
      </c>
      <c r="D2166" s="9" t="s">
        <v>1590</v>
      </c>
      <c r="E2166" s="9" t="s">
        <v>1591</v>
      </c>
      <c r="F2166" s="9" t="s">
        <v>1589</v>
      </c>
      <c r="G2166" s="9" t="s">
        <v>1606</v>
      </c>
      <c r="H2166" s="9" t="s">
        <v>1766</v>
      </c>
      <c r="I2166" s="9" t="s">
        <v>3580</v>
      </c>
      <c r="J2166" s="9" t="s">
        <v>1605</v>
      </c>
      <c r="K2166" s="9">
        <v>1</v>
      </c>
      <c r="L2166" s="9">
        <v>20</v>
      </c>
      <c r="O2166" s="9" t="str">
        <f t="shared" si="103"/>
        <v>NO</v>
      </c>
      <c r="P2166" s="9" t="str">
        <f t="shared" si="104"/>
        <v>YES</v>
      </c>
      <c r="Q2166" s="9" t="str">
        <f t="shared" si="105"/>
        <v>Unconditioned</v>
      </c>
    </row>
    <row r="2167" spans="1:17">
      <c r="A2167" s="9">
        <v>23504</v>
      </c>
      <c r="B2167" s="9">
        <v>3</v>
      </c>
      <c r="C2167" s="9" t="s">
        <v>1589</v>
      </c>
      <c r="D2167" s="9" t="s">
        <v>1590</v>
      </c>
      <c r="E2167" s="9" t="s">
        <v>1591</v>
      </c>
      <c r="F2167" s="9" t="s">
        <v>1589</v>
      </c>
      <c r="G2167" s="9" t="s">
        <v>1606</v>
      </c>
      <c r="H2167" s="9" t="s">
        <v>170</v>
      </c>
      <c r="I2167" s="9" t="s">
        <v>1589</v>
      </c>
      <c r="J2167" s="9" t="s">
        <v>1605</v>
      </c>
      <c r="K2167" s="9">
        <v>1</v>
      </c>
      <c r="L2167" s="9">
        <v>16</v>
      </c>
      <c r="O2167" s="9" t="str">
        <f t="shared" si="103"/>
        <v>NO</v>
      </c>
      <c r="P2167" s="9" t="str">
        <f t="shared" si="104"/>
        <v>YES</v>
      </c>
      <c r="Q2167" s="9" t="str">
        <f t="shared" si="105"/>
        <v>Unconditioned</v>
      </c>
    </row>
    <row r="2168" spans="1:17">
      <c r="A2168" s="9">
        <v>23511</v>
      </c>
      <c r="B2168" s="9">
        <v>1</v>
      </c>
      <c r="C2168" s="9" t="s">
        <v>1589</v>
      </c>
      <c r="D2168" s="9" t="s">
        <v>1590</v>
      </c>
      <c r="E2168" s="9" t="s">
        <v>1602</v>
      </c>
      <c r="F2168" s="9" t="s">
        <v>1603</v>
      </c>
      <c r="G2168" s="9" t="s">
        <v>1592</v>
      </c>
      <c r="H2168" s="9" t="s">
        <v>178</v>
      </c>
      <c r="I2168" s="9" t="s">
        <v>3581</v>
      </c>
      <c r="J2168" s="9" t="s">
        <v>1601</v>
      </c>
      <c r="K2168" s="9">
        <v>1</v>
      </c>
      <c r="L2168" s="9">
        <v>26</v>
      </c>
      <c r="M2168" s="9">
        <v>2008</v>
      </c>
      <c r="O2168" s="9" t="str">
        <f t="shared" si="103"/>
        <v>NO</v>
      </c>
      <c r="P2168" s="9" t="str">
        <f t="shared" si="104"/>
        <v>NO</v>
      </c>
      <c r="Q2168" s="9" t="str">
        <f t="shared" si="105"/>
        <v>Conditioned</v>
      </c>
    </row>
    <row r="2169" spans="1:17">
      <c r="A2169" s="9">
        <v>23511</v>
      </c>
      <c r="B2169" s="9">
        <v>2</v>
      </c>
      <c r="C2169" s="9" t="s">
        <v>1589</v>
      </c>
      <c r="D2169" s="9" t="s">
        <v>1590</v>
      </c>
      <c r="E2169" s="9" t="s">
        <v>1591</v>
      </c>
      <c r="F2169" s="9" t="s">
        <v>1589</v>
      </c>
      <c r="G2169" s="9" t="s">
        <v>1606</v>
      </c>
      <c r="H2169" s="9" t="s">
        <v>172</v>
      </c>
      <c r="I2169" s="9" t="s">
        <v>3582</v>
      </c>
      <c r="J2169" s="9" t="s">
        <v>1605</v>
      </c>
      <c r="K2169" s="9">
        <v>1</v>
      </c>
      <c r="L2169" s="9">
        <v>21</v>
      </c>
      <c r="O2169" s="9" t="str">
        <f t="shared" si="103"/>
        <v>NO</v>
      </c>
      <c r="P2169" s="9" t="str">
        <f t="shared" si="104"/>
        <v>YES</v>
      </c>
      <c r="Q2169" s="9" t="str">
        <f t="shared" si="105"/>
        <v>Unconditioned</v>
      </c>
    </row>
    <row r="2170" spans="1:17">
      <c r="A2170" s="9">
        <v>23526</v>
      </c>
      <c r="B2170" s="9">
        <v>1</v>
      </c>
      <c r="C2170" s="9" t="s">
        <v>1589</v>
      </c>
      <c r="D2170" s="9" t="s">
        <v>1590</v>
      </c>
      <c r="E2170" s="9" t="s">
        <v>1591</v>
      </c>
      <c r="F2170" s="9" t="s">
        <v>1589</v>
      </c>
      <c r="G2170" s="9" t="s">
        <v>1592</v>
      </c>
      <c r="H2170" s="9" t="s">
        <v>174</v>
      </c>
      <c r="I2170" s="9" t="s">
        <v>1837</v>
      </c>
      <c r="J2170" s="9" t="s">
        <v>1597</v>
      </c>
      <c r="K2170" s="9">
        <v>1</v>
      </c>
      <c r="L2170" s="9">
        <v>20</v>
      </c>
      <c r="M2170" s="9">
        <v>1998</v>
      </c>
      <c r="O2170" s="9" t="str">
        <f t="shared" si="103"/>
        <v>NO</v>
      </c>
      <c r="P2170" s="9" t="str">
        <f t="shared" si="104"/>
        <v>NO</v>
      </c>
      <c r="Q2170" s="9" t="str">
        <f t="shared" si="105"/>
        <v>Conditioned</v>
      </c>
    </row>
    <row r="2171" spans="1:17">
      <c r="A2171" s="9">
        <v>23526</v>
      </c>
      <c r="B2171" s="9">
        <v>2</v>
      </c>
      <c r="C2171" s="9" t="s">
        <v>1589</v>
      </c>
      <c r="D2171" s="9" t="s">
        <v>1590</v>
      </c>
      <c r="E2171" s="9" t="s">
        <v>1591</v>
      </c>
      <c r="F2171" s="9" t="s">
        <v>1589</v>
      </c>
      <c r="G2171" s="9" t="s">
        <v>1606</v>
      </c>
      <c r="H2171" s="9" t="s">
        <v>170</v>
      </c>
      <c r="I2171" s="9" t="s">
        <v>3583</v>
      </c>
      <c r="J2171" s="9" t="s">
        <v>1605</v>
      </c>
      <c r="K2171" s="9">
        <v>1</v>
      </c>
      <c r="L2171" s="9">
        <v>6</v>
      </c>
      <c r="O2171" s="9" t="str">
        <f t="shared" si="103"/>
        <v>YES</v>
      </c>
      <c r="P2171" s="9" t="str">
        <f t="shared" si="104"/>
        <v>YES</v>
      </c>
      <c r="Q2171" s="9" t="str">
        <f t="shared" si="105"/>
        <v>Unconditioned</v>
      </c>
    </row>
    <row r="2172" spans="1:17">
      <c r="A2172" s="9">
        <v>23538</v>
      </c>
      <c r="B2172" s="9">
        <v>1</v>
      </c>
      <c r="C2172" s="9" t="s">
        <v>1589</v>
      </c>
      <c r="D2172" s="9" t="s">
        <v>1590</v>
      </c>
      <c r="E2172" s="9" t="s">
        <v>1602</v>
      </c>
      <c r="F2172" s="9" t="s">
        <v>1603</v>
      </c>
      <c r="G2172" s="9" t="s">
        <v>1592</v>
      </c>
      <c r="H2172" s="9" t="s">
        <v>177</v>
      </c>
      <c r="I2172" s="9" t="s">
        <v>3584</v>
      </c>
      <c r="J2172" s="9" t="s">
        <v>1601</v>
      </c>
      <c r="K2172" s="9">
        <v>1</v>
      </c>
      <c r="L2172" s="9">
        <v>25</v>
      </c>
      <c r="M2172" s="9">
        <v>2005</v>
      </c>
      <c r="O2172" s="9" t="str">
        <f t="shared" si="103"/>
        <v>NO</v>
      </c>
      <c r="P2172" s="9" t="str">
        <f t="shared" si="104"/>
        <v>NO</v>
      </c>
      <c r="Q2172" s="9" t="str">
        <f t="shared" si="105"/>
        <v>Conditioned</v>
      </c>
    </row>
    <row r="2173" spans="1:17">
      <c r="A2173" s="9">
        <v>23539</v>
      </c>
      <c r="B2173" s="9">
        <v>1</v>
      </c>
      <c r="C2173" s="9" t="s">
        <v>1589</v>
      </c>
      <c r="D2173" s="9" t="s">
        <v>1590</v>
      </c>
      <c r="E2173" s="9" t="s">
        <v>1591</v>
      </c>
      <c r="F2173" s="9" t="s">
        <v>1589</v>
      </c>
      <c r="G2173" s="9" t="s">
        <v>1592</v>
      </c>
      <c r="H2173" s="9" t="s">
        <v>174</v>
      </c>
      <c r="I2173" s="9" t="s">
        <v>3585</v>
      </c>
      <c r="J2173" s="9" t="s">
        <v>1597</v>
      </c>
      <c r="K2173" s="9">
        <v>1</v>
      </c>
      <c r="L2173" s="9">
        <v>21</v>
      </c>
      <c r="M2173" s="9">
        <v>1990</v>
      </c>
      <c r="O2173" s="9" t="str">
        <f t="shared" si="103"/>
        <v>NO</v>
      </c>
      <c r="P2173" s="9" t="str">
        <f t="shared" si="104"/>
        <v>NO</v>
      </c>
      <c r="Q2173" s="9" t="str">
        <f t="shared" si="105"/>
        <v>Conditioned</v>
      </c>
    </row>
    <row r="2174" spans="1:17">
      <c r="A2174" s="9">
        <v>23539</v>
      </c>
      <c r="B2174" s="9">
        <v>2</v>
      </c>
      <c r="C2174" s="9" t="s">
        <v>1589</v>
      </c>
      <c r="D2174" s="9" t="s">
        <v>1590</v>
      </c>
      <c r="E2174" s="9" t="s">
        <v>1591</v>
      </c>
      <c r="F2174" s="9" t="s">
        <v>1589</v>
      </c>
      <c r="G2174" s="9" t="s">
        <v>1592</v>
      </c>
      <c r="H2174" s="9" t="s">
        <v>170</v>
      </c>
      <c r="I2174" s="9" t="s">
        <v>3586</v>
      </c>
      <c r="J2174" s="9" t="s">
        <v>1587</v>
      </c>
      <c r="K2174" s="9">
        <v>1</v>
      </c>
      <c r="L2174" s="9">
        <v>10</v>
      </c>
      <c r="M2174" s="9">
        <v>2007</v>
      </c>
      <c r="O2174" s="9" t="str">
        <f t="shared" si="103"/>
        <v>NO</v>
      </c>
      <c r="P2174" s="9" t="str">
        <f t="shared" si="104"/>
        <v>YES</v>
      </c>
      <c r="Q2174" s="9" t="str">
        <f t="shared" si="105"/>
        <v>Conditioned</v>
      </c>
    </row>
    <row r="2175" spans="1:17">
      <c r="A2175" s="9">
        <v>23544</v>
      </c>
      <c r="B2175" s="9">
        <v>1</v>
      </c>
      <c r="C2175" s="9" t="s">
        <v>1589</v>
      </c>
      <c r="D2175" s="9" t="s">
        <v>1590</v>
      </c>
      <c r="E2175" s="9" t="s">
        <v>1613</v>
      </c>
      <c r="F2175" s="9" t="s">
        <v>1590</v>
      </c>
      <c r="G2175" s="9" t="s">
        <v>1592</v>
      </c>
      <c r="H2175" s="9" t="s">
        <v>174</v>
      </c>
      <c r="I2175" s="9" t="s">
        <v>3587</v>
      </c>
      <c r="J2175" s="9" t="s">
        <v>1597</v>
      </c>
      <c r="K2175" s="9">
        <v>1</v>
      </c>
      <c r="L2175" s="9">
        <v>20</v>
      </c>
      <c r="M2175" s="9">
        <v>1986</v>
      </c>
      <c r="O2175" s="9" t="str">
        <f t="shared" si="103"/>
        <v>NO</v>
      </c>
      <c r="P2175" s="9" t="str">
        <f t="shared" si="104"/>
        <v>NO</v>
      </c>
      <c r="Q2175" s="9" t="str">
        <f t="shared" si="105"/>
        <v>Conditioned</v>
      </c>
    </row>
    <row r="2176" spans="1:17">
      <c r="A2176" s="9">
        <v>23544</v>
      </c>
      <c r="B2176" s="9">
        <v>2</v>
      </c>
      <c r="C2176" s="9" t="s">
        <v>1589</v>
      </c>
      <c r="D2176" s="9" t="s">
        <v>1590</v>
      </c>
      <c r="E2176" s="9" t="s">
        <v>1591</v>
      </c>
      <c r="F2176" s="9" t="s">
        <v>1589</v>
      </c>
      <c r="G2176" s="9" t="s">
        <v>1592</v>
      </c>
      <c r="H2176" s="9" t="s">
        <v>1552</v>
      </c>
      <c r="I2176" s="9" t="s">
        <v>3588</v>
      </c>
      <c r="J2176" s="9" t="s">
        <v>1597</v>
      </c>
      <c r="K2176" s="9">
        <v>1</v>
      </c>
      <c r="L2176" s="9">
        <v>15</v>
      </c>
      <c r="M2176" s="9">
        <v>1998</v>
      </c>
      <c r="O2176" s="9" t="str">
        <f t="shared" si="103"/>
        <v>NO</v>
      </c>
      <c r="P2176" s="9" t="str">
        <f t="shared" si="104"/>
        <v>NO</v>
      </c>
      <c r="Q2176" s="9" t="str">
        <f t="shared" si="105"/>
        <v>Conditioned</v>
      </c>
    </row>
    <row r="2177" spans="1:17">
      <c r="A2177" s="9">
        <v>23544</v>
      </c>
      <c r="B2177" s="9">
        <v>3</v>
      </c>
      <c r="C2177" s="9" t="s">
        <v>3589</v>
      </c>
      <c r="D2177" s="9" t="s">
        <v>1590</v>
      </c>
      <c r="E2177" s="9" t="s">
        <v>1591</v>
      </c>
      <c r="F2177" s="9" t="s">
        <v>1589</v>
      </c>
      <c r="G2177" s="9" t="s">
        <v>1592</v>
      </c>
      <c r="H2177" s="9" t="s">
        <v>1638</v>
      </c>
      <c r="I2177" s="9" t="s">
        <v>1589</v>
      </c>
      <c r="J2177" s="9" t="s">
        <v>1587</v>
      </c>
      <c r="K2177" s="9">
        <v>1</v>
      </c>
      <c r="L2177" s="9">
        <v>18</v>
      </c>
      <c r="O2177" s="9" t="str">
        <f t="shared" si="103"/>
        <v>NO</v>
      </c>
      <c r="P2177" s="9" t="str">
        <f t="shared" si="104"/>
        <v>YES</v>
      </c>
      <c r="Q2177" s="9" t="str">
        <f t="shared" si="105"/>
        <v>Conditioned</v>
      </c>
    </row>
    <row r="2178" spans="1:17">
      <c r="A2178" s="9">
        <v>23545</v>
      </c>
      <c r="B2178" s="9">
        <v>1</v>
      </c>
      <c r="C2178" s="9" t="s">
        <v>1589</v>
      </c>
      <c r="D2178" s="9" t="s">
        <v>1590</v>
      </c>
      <c r="E2178" s="9" t="s">
        <v>1591</v>
      </c>
      <c r="F2178" s="9" t="s">
        <v>1589</v>
      </c>
      <c r="G2178" s="9" t="s">
        <v>1592</v>
      </c>
      <c r="H2178" s="9" t="s">
        <v>1638</v>
      </c>
      <c r="I2178" s="9" t="s">
        <v>3590</v>
      </c>
      <c r="J2178" s="9" t="s">
        <v>1608</v>
      </c>
      <c r="K2178" s="9">
        <v>1</v>
      </c>
      <c r="L2178" s="9">
        <v>18</v>
      </c>
      <c r="M2178" s="9">
        <v>2009</v>
      </c>
      <c r="O2178" s="9" t="str">
        <f t="shared" si="103"/>
        <v>NO</v>
      </c>
      <c r="P2178" s="9" t="str">
        <f t="shared" si="104"/>
        <v>NO</v>
      </c>
      <c r="Q2178" s="9" t="str">
        <f t="shared" si="105"/>
        <v>Conditioned</v>
      </c>
    </row>
    <row r="2179" spans="1:17">
      <c r="A2179" s="9">
        <v>23545</v>
      </c>
      <c r="B2179" s="9">
        <v>2</v>
      </c>
      <c r="C2179" s="9" t="s">
        <v>1589</v>
      </c>
      <c r="D2179" s="9" t="s">
        <v>1590</v>
      </c>
      <c r="E2179" s="9" t="s">
        <v>1591</v>
      </c>
      <c r="F2179" s="9" t="s">
        <v>1589</v>
      </c>
      <c r="G2179" s="9" t="s">
        <v>1592</v>
      </c>
      <c r="H2179" s="9" t="s">
        <v>169</v>
      </c>
      <c r="I2179" s="9" t="s">
        <v>3591</v>
      </c>
      <c r="J2179" s="9" t="s">
        <v>1587</v>
      </c>
      <c r="K2179" s="9">
        <v>1</v>
      </c>
      <c r="L2179" s="9">
        <v>10</v>
      </c>
      <c r="M2179" s="9">
        <v>2009</v>
      </c>
      <c r="O2179" s="9" t="str">
        <f t="shared" si="103"/>
        <v>NO</v>
      </c>
      <c r="P2179" s="9" t="str">
        <f t="shared" si="104"/>
        <v>YES</v>
      </c>
      <c r="Q2179" s="9" t="str">
        <f t="shared" si="105"/>
        <v>Conditioned</v>
      </c>
    </row>
    <row r="2180" spans="1:17">
      <c r="A2180" s="9">
        <v>23546</v>
      </c>
      <c r="B2180" s="9">
        <v>1</v>
      </c>
      <c r="C2180" s="9" t="s">
        <v>1589</v>
      </c>
      <c r="D2180" s="9" t="s">
        <v>1590</v>
      </c>
      <c r="E2180" s="9" t="s">
        <v>1591</v>
      </c>
      <c r="F2180" s="9" t="s">
        <v>1589</v>
      </c>
      <c r="G2180" s="9" t="s">
        <v>1606</v>
      </c>
      <c r="H2180" s="9" t="s">
        <v>170</v>
      </c>
      <c r="I2180" s="9" t="s">
        <v>3592</v>
      </c>
      <c r="J2180" s="9" t="s">
        <v>1608</v>
      </c>
      <c r="K2180" s="9">
        <v>1</v>
      </c>
      <c r="L2180" s="9">
        <v>22</v>
      </c>
      <c r="M2180" s="9">
        <v>2004</v>
      </c>
      <c r="O2180" s="9" t="str">
        <f t="shared" si="103"/>
        <v>NO</v>
      </c>
      <c r="P2180" s="9" t="str">
        <f t="shared" si="104"/>
        <v>NO</v>
      </c>
      <c r="Q2180" s="9" t="str">
        <f t="shared" si="105"/>
        <v>Unconditioned</v>
      </c>
    </row>
    <row r="2181" spans="1:17">
      <c r="A2181" s="9">
        <v>23547</v>
      </c>
      <c r="B2181" s="9">
        <v>1</v>
      </c>
      <c r="C2181" s="9" t="s">
        <v>1589</v>
      </c>
      <c r="D2181" s="9" t="s">
        <v>1590</v>
      </c>
      <c r="E2181" s="9" t="s">
        <v>1613</v>
      </c>
      <c r="F2181" s="9" t="s">
        <v>1603</v>
      </c>
      <c r="G2181" s="9" t="s">
        <v>1592</v>
      </c>
      <c r="H2181" s="9" t="s">
        <v>177</v>
      </c>
      <c r="I2181" s="9" t="s">
        <v>1589</v>
      </c>
      <c r="J2181" s="9" t="s">
        <v>1608</v>
      </c>
      <c r="K2181" s="9">
        <v>1</v>
      </c>
      <c r="L2181" s="9">
        <v>30</v>
      </c>
      <c r="O2181" s="9" t="str">
        <f t="shared" si="103"/>
        <v>NO</v>
      </c>
      <c r="P2181" s="9" t="str">
        <f t="shared" si="104"/>
        <v>NO</v>
      </c>
      <c r="Q2181" s="9" t="str">
        <f t="shared" si="105"/>
        <v>Conditioned</v>
      </c>
    </row>
    <row r="2182" spans="1:17">
      <c r="A2182" s="9">
        <v>23547</v>
      </c>
      <c r="B2182" s="9">
        <v>2</v>
      </c>
      <c r="C2182" s="9" t="s">
        <v>1589</v>
      </c>
      <c r="D2182" s="9" t="s">
        <v>1590</v>
      </c>
      <c r="E2182" s="9" t="s">
        <v>1591</v>
      </c>
      <c r="F2182" s="9" t="s">
        <v>1589</v>
      </c>
      <c r="G2182" s="9" t="s">
        <v>1592</v>
      </c>
      <c r="H2182" s="9" t="s">
        <v>169</v>
      </c>
      <c r="I2182" s="9" t="s">
        <v>3593</v>
      </c>
      <c r="J2182" s="9" t="s">
        <v>1587</v>
      </c>
      <c r="K2182" s="9">
        <v>1</v>
      </c>
      <c r="L2182" s="9">
        <v>20</v>
      </c>
      <c r="M2182" s="9">
        <v>2004</v>
      </c>
      <c r="O2182" s="9" t="str">
        <f t="shared" si="103"/>
        <v>NO</v>
      </c>
      <c r="P2182" s="9" t="str">
        <f t="shared" si="104"/>
        <v>YES</v>
      </c>
      <c r="Q2182" s="9" t="str">
        <f t="shared" si="105"/>
        <v>Conditioned</v>
      </c>
    </row>
    <row r="2183" spans="1:17">
      <c r="A2183" s="9">
        <v>23554</v>
      </c>
      <c r="B2183" s="9">
        <v>1</v>
      </c>
      <c r="C2183" s="9" t="s">
        <v>1589</v>
      </c>
      <c r="D2183" s="9" t="s">
        <v>1590</v>
      </c>
      <c r="E2183" s="9" t="s">
        <v>1602</v>
      </c>
      <c r="F2183" s="9" t="s">
        <v>1603</v>
      </c>
      <c r="G2183" s="9" t="s">
        <v>1592</v>
      </c>
      <c r="H2183" s="9" t="s">
        <v>173</v>
      </c>
      <c r="I2183" s="9" t="s">
        <v>3594</v>
      </c>
      <c r="J2183" s="9" t="s">
        <v>1601</v>
      </c>
      <c r="K2183" s="9">
        <v>1</v>
      </c>
      <c r="L2183" s="9">
        <v>26</v>
      </c>
      <c r="M2183" s="9">
        <v>2007</v>
      </c>
      <c r="O2183" s="9" t="str">
        <f t="shared" si="103"/>
        <v>NO</v>
      </c>
      <c r="P2183" s="9" t="str">
        <f t="shared" si="104"/>
        <v>NO</v>
      </c>
      <c r="Q2183" s="9" t="str">
        <f t="shared" si="105"/>
        <v>Conditioned</v>
      </c>
    </row>
    <row r="2184" spans="1:17">
      <c r="A2184" s="9">
        <v>23554</v>
      </c>
      <c r="B2184" s="9">
        <v>2</v>
      </c>
      <c r="C2184" s="9" t="s">
        <v>1589</v>
      </c>
      <c r="D2184" s="9" t="s">
        <v>1590</v>
      </c>
      <c r="E2184" s="9" t="s">
        <v>1591</v>
      </c>
      <c r="F2184" s="9" t="s">
        <v>1589</v>
      </c>
      <c r="G2184" s="9" t="s">
        <v>1592</v>
      </c>
      <c r="H2184" s="9" t="s">
        <v>170</v>
      </c>
      <c r="I2184" s="9" t="s">
        <v>3452</v>
      </c>
      <c r="J2184" s="9" t="s">
        <v>1605</v>
      </c>
      <c r="K2184" s="9">
        <v>1</v>
      </c>
      <c r="L2184" s="9">
        <v>23</v>
      </c>
      <c r="M2184" s="9">
        <v>1989</v>
      </c>
      <c r="O2184" s="9" t="str">
        <f t="shared" si="103"/>
        <v>NO</v>
      </c>
      <c r="P2184" s="9" t="str">
        <f t="shared" si="104"/>
        <v>YES</v>
      </c>
      <c r="Q2184" s="9" t="str">
        <f t="shared" si="105"/>
        <v>Conditioned</v>
      </c>
    </row>
    <row r="2185" spans="1:17">
      <c r="A2185" s="9">
        <v>23556</v>
      </c>
      <c r="B2185" s="9">
        <v>1</v>
      </c>
      <c r="C2185" s="9" t="s">
        <v>1589</v>
      </c>
      <c r="D2185" s="9" t="s">
        <v>1590</v>
      </c>
      <c r="E2185" s="9" t="s">
        <v>1591</v>
      </c>
      <c r="F2185" s="9" t="s">
        <v>1589</v>
      </c>
      <c r="G2185" s="9" t="s">
        <v>1592</v>
      </c>
      <c r="H2185" s="9" t="s">
        <v>169</v>
      </c>
      <c r="I2185" s="9" t="s">
        <v>3595</v>
      </c>
      <c r="J2185" s="9" t="s">
        <v>1601</v>
      </c>
      <c r="K2185" s="9">
        <v>1</v>
      </c>
      <c r="L2185" s="9">
        <v>22</v>
      </c>
      <c r="O2185" s="9" t="str">
        <f t="shared" si="103"/>
        <v>NO</v>
      </c>
      <c r="P2185" s="9" t="str">
        <f t="shared" si="104"/>
        <v>NO</v>
      </c>
      <c r="Q2185" s="9" t="str">
        <f t="shared" si="105"/>
        <v>Conditioned</v>
      </c>
    </row>
    <row r="2186" spans="1:17">
      <c r="A2186" s="9">
        <v>23559</v>
      </c>
      <c r="B2186" s="9">
        <v>1</v>
      </c>
      <c r="C2186" s="9" t="s">
        <v>1589</v>
      </c>
      <c r="D2186" s="9" t="s">
        <v>1590</v>
      </c>
      <c r="E2186" s="9" t="s">
        <v>1602</v>
      </c>
      <c r="F2186" s="9" t="s">
        <v>1603</v>
      </c>
      <c r="G2186" s="9" t="s">
        <v>1592</v>
      </c>
      <c r="H2186" s="9" t="s">
        <v>169</v>
      </c>
      <c r="I2186" s="9" t="s">
        <v>3596</v>
      </c>
      <c r="J2186" s="9" t="s">
        <v>1601</v>
      </c>
      <c r="K2186" s="9">
        <v>0.75</v>
      </c>
      <c r="L2186" s="9">
        <v>26</v>
      </c>
      <c r="O2186" s="9" t="str">
        <f t="shared" si="103"/>
        <v>NO</v>
      </c>
      <c r="P2186" s="9" t="str">
        <f t="shared" si="104"/>
        <v>NO</v>
      </c>
      <c r="Q2186" s="9" t="str">
        <f t="shared" si="105"/>
        <v>Conditioned</v>
      </c>
    </row>
    <row r="2187" spans="1:17">
      <c r="A2187" s="9">
        <v>23559</v>
      </c>
      <c r="B2187" s="9">
        <v>2</v>
      </c>
      <c r="C2187" s="9" t="s">
        <v>1589</v>
      </c>
      <c r="D2187" s="9" t="s">
        <v>1590</v>
      </c>
      <c r="E2187" s="9" t="s">
        <v>1613</v>
      </c>
      <c r="F2187" s="9" t="s">
        <v>1590</v>
      </c>
      <c r="G2187" s="9" t="s">
        <v>1606</v>
      </c>
      <c r="H2187" s="9" t="s">
        <v>1638</v>
      </c>
      <c r="I2187" s="9" t="s">
        <v>3597</v>
      </c>
      <c r="J2187" s="9" t="s">
        <v>1597</v>
      </c>
      <c r="K2187" s="9">
        <v>1</v>
      </c>
      <c r="L2187" s="9">
        <v>22</v>
      </c>
      <c r="M2187" s="9">
        <v>1973</v>
      </c>
      <c r="O2187" s="9" t="str">
        <f t="shared" si="103"/>
        <v>NO</v>
      </c>
      <c r="P2187" s="9" t="str">
        <f t="shared" si="104"/>
        <v>NO</v>
      </c>
      <c r="Q2187" s="9" t="str">
        <f t="shared" si="105"/>
        <v>Unconditioned</v>
      </c>
    </row>
    <row r="2188" spans="1:17">
      <c r="A2188" s="9">
        <v>23559</v>
      </c>
      <c r="B2188" s="9">
        <v>3</v>
      </c>
      <c r="C2188" s="9" t="s">
        <v>1589</v>
      </c>
      <c r="D2188" s="9" t="s">
        <v>1590</v>
      </c>
      <c r="E2188" s="9" t="s">
        <v>1613</v>
      </c>
      <c r="F2188" s="9" t="s">
        <v>1590</v>
      </c>
      <c r="G2188" s="9" t="s">
        <v>1606</v>
      </c>
      <c r="H2188" s="9" t="s">
        <v>1638</v>
      </c>
      <c r="I2188" s="9" t="s">
        <v>3598</v>
      </c>
      <c r="J2188" s="9" t="s">
        <v>1597</v>
      </c>
      <c r="K2188" s="9">
        <v>1</v>
      </c>
      <c r="L2188" s="9">
        <v>22</v>
      </c>
      <c r="M2188" s="9">
        <v>1982</v>
      </c>
      <c r="O2188" s="9" t="str">
        <f t="shared" si="103"/>
        <v>NO</v>
      </c>
      <c r="P2188" s="9" t="str">
        <f t="shared" si="104"/>
        <v>NO</v>
      </c>
      <c r="Q2188" s="9" t="str">
        <f t="shared" si="105"/>
        <v>Unconditioned</v>
      </c>
    </row>
    <row r="2189" spans="1:17">
      <c r="A2189" s="9">
        <v>23559</v>
      </c>
      <c r="B2189" s="9">
        <v>4</v>
      </c>
      <c r="C2189" s="9" t="s">
        <v>1589</v>
      </c>
      <c r="D2189" s="9" t="s">
        <v>1590</v>
      </c>
      <c r="E2189" s="9" t="s">
        <v>1591</v>
      </c>
      <c r="F2189" s="9" t="s">
        <v>1589</v>
      </c>
      <c r="G2189" s="9" t="s">
        <v>1592</v>
      </c>
      <c r="H2189" s="9" t="s">
        <v>1552</v>
      </c>
      <c r="I2189" s="9" t="s">
        <v>3599</v>
      </c>
      <c r="J2189" s="9" t="s">
        <v>1605</v>
      </c>
      <c r="K2189" s="9">
        <v>1</v>
      </c>
      <c r="L2189" s="9">
        <v>18</v>
      </c>
      <c r="M2189" s="9">
        <v>1985</v>
      </c>
      <c r="O2189" s="9" t="str">
        <f t="shared" si="103"/>
        <v>NO</v>
      </c>
      <c r="P2189" s="9" t="str">
        <f t="shared" si="104"/>
        <v>YES</v>
      </c>
      <c r="Q2189" s="9" t="str">
        <f t="shared" si="105"/>
        <v>Conditioned</v>
      </c>
    </row>
    <row r="2190" spans="1:17">
      <c r="A2190" s="9">
        <v>23559</v>
      </c>
      <c r="B2190" s="9">
        <v>5</v>
      </c>
      <c r="C2190" s="9" t="s">
        <v>1589</v>
      </c>
      <c r="D2190" s="9" t="s">
        <v>1590</v>
      </c>
      <c r="E2190" s="9" t="s">
        <v>1591</v>
      </c>
      <c r="F2190" s="9" t="s">
        <v>1589</v>
      </c>
      <c r="G2190" s="9" t="s">
        <v>1606</v>
      </c>
      <c r="H2190" s="9" t="s">
        <v>1589</v>
      </c>
      <c r="I2190" s="9" t="s">
        <v>1589</v>
      </c>
      <c r="J2190" s="9" t="s">
        <v>1587</v>
      </c>
      <c r="K2190" s="9">
        <v>1</v>
      </c>
      <c r="L2190" s="9">
        <v>22</v>
      </c>
      <c r="O2190" s="9" t="str">
        <f t="shared" si="103"/>
        <v>NO</v>
      </c>
      <c r="P2190" s="9" t="str">
        <f t="shared" si="104"/>
        <v>YES</v>
      </c>
      <c r="Q2190" s="9" t="str">
        <f t="shared" si="105"/>
        <v>Unconditioned</v>
      </c>
    </row>
    <row r="2191" spans="1:17">
      <c r="A2191" s="9">
        <v>23559</v>
      </c>
      <c r="B2191" s="9">
        <v>6</v>
      </c>
      <c r="C2191" s="9" t="s">
        <v>1589</v>
      </c>
      <c r="D2191" s="9" t="s">
        <v>1590</v>
      </c>
      <c r="E2191" s="9" t="s">
        <v>1591</v>
      </c>
      <c r="F2191" s="9" t="s">
        <v>1589</v>
      </c>
      <c r="G2191" s="9" t="s">
        <v>1606</v>
      </c>
      <c r="H2191" s="9" t="s">
        <v>1638</v>
      </c>
      <c r="I2191" s="9" t="s">
        <v>3600</v>
      </c>
      <c r="J2191" s="9" t="s">
        <v>1605</v>
      </c>
      <c r="K2191" s="9">
        <v>1</v>
      </c>
      <c r="L2191" s="9">
        <v>18</v>
      </c>
      <c r="M2191" s="9">
        <v>1988</v>
      </c>
      <c r="O2191" s="9" t="str">
        <f t="shared" si="103"/>
        <v>NO</v>
      </c>
      <c r="P2191" s="9" t="str">
        <f t="shared" si="104"/>
        <v>YES</v>
      </c>
      <c r="Q2191" s="9" t="str">
        <f t="shared" si="105"/>
        <v>Unconditioned</v>
      </c>
    </row>
    <row r="2192" spans="1:17">
      <c r="A2192" s="9">
        <v>23564</v>
      </c>
      <c r="B2192" s="9">
        <v>1</v>
      </c>
      <c r="C2192" s="9" t="s">
        <v>1589</v>
      </c>
      <c r="D2192" s="9" t="s">
        <v>1590</v>
      </c>
      <c r="E2192" s="9" t="s">
        <v>1591</v>
      </c>
      <c r="F2192" s="9" t="s">
        <v>1589</v>
      </c>
      <c r="G2192" s="9" t="s">
        <v>1592</v>
      </c>
      <c r="H2192" s="9" t="s">
        <v>177</v>
      </c>
      <c r="I2192" s="9" t="s">
        <v>3601</v>
      </c>
      <c r="J2192" s="9" t="s">
        <v>1597</v>
      </c>
      <c r="K2192" s="9">
        <v>1</v>
      </c>
      <c r="L2192" s="9">
        <v>30</v>
      </c>
      <c r="M2192" s="9">
        <v>1984</v>
      </c>
      <c r="O2192" s="9" t="str">
        <f t="shared" si="103"/>
        <v>NO</v>
      </c>
      <c r="P2192" s="9" t="str">
        <f t="shared" si="104"/>
        <v>NO</v>
      </c>
      <c r="Q2192" s="9" t="str">
        <f t="shared" si="105"/>
        <v>Conditioned</v>
      </c>
    </row>
    <row r="2193" spans="1:17">
      <c r="A2193" s="9">
        <v>23564</v>
      </c>
      <c r="B2193" s="9">
        <v>2</v>
      </c>
      <c r="C2193" s="9" t="s">
        <v>1589</v>
      </c>
      <c r="D2193" s="9" t="s">
        <v>1590</v>
      </c>
      <c r="E2193" s="9" t="s">
        <v>1591</v>
      </c>
      <c r="F2193" s="9" t="s">
        <v>1589</v>
      </c>
      <c r="G2193" s="9" t="s">
        <v>1606</v>
      </c>
      <c r="H2193" s="9" t="s">
        <v>1589</v>
      </c>
      <c r="I2193" s="9" t="s">
        <v>3602</v>
      </c>
      <c r="J2193" s="9" t="s">
        <v>1601</v>
      </c>
      <c r="K2193" s="9">
        <v>1</v>
      </c>
      <c r="L2193" s="9">
        <v>19</v>
      </c>
      <c r="M2193" s="9">
        <v>1970</v>
      </c>
      <c r="O2193" s="9" t="str">
        <f t="shared" si="103"/>
        <v>NO</v>
      </c>
      <c r="P2193" s="9" t="str">
        <f t="shared" si="104"/>
        <v>NO</v>
      </c>
      <c r="Q2193" s="9" t="str">
        <f t="shared" si="105"/>
        <v>Unconditioned</v>
      </c>
    </row>
    <row r="2194" spans="1:17">
      <c r="A2194" s="9">
        <v>23566</v>
      </c>
      <c r="B2194" s="9">
        <v>1</v>
      </c>
      <c r="C2194" s="9" t="s">
        <v>1589</v>
      </c>
      <c r="D2194" s="9" t="s">
        <v>1603</v>
      </c>
      <c r="E2194" s="9" t="s">
        <v>1613</v>
      </c>
      <c r="F2194" s="9" t="s">
        <v>1603</v>
      </c>
      <c r="G2194" s="9" t="s">
        <v>1592</v>
      </c>
      <c r="H2194" s="9" t="s">
        <v>177</v>
      </c>
      <c r="I2194" s="9" t="s">
        <v>3603</v>
      </c>
      <c r="J2194" s="9" t="s">
        <v>1597</v>
      </c>
      <c r="K2194" s="9">
        <v>1</v>
      </c>
      <c r="L2194" s="9">
        <v>19</v>
      </c>
      <c r="M2194" s="9">
        <v>2008</v>
      </c>
      <c r="O2194" s="9" t="str">
        <f t="shared" si="103"/>
        <v>NO</v>
      </c>
      <c r="P2194" s="9" t="str">
        <f t="shared" si="104"/>
        <v>NO</v>
      </c>
      <c r="Q2194" s="9" t="str">
        <f t="shared" si="105"/>
        <v>Conditioned</v>
      </c>
    </row>
    <row r="2195" spans="1:17">
      <c r="A2195" s="9">
        <v>23566</v>
      </c>
      <c r="B2195" s="9">
        <v>2</v>
      </c>
      <c r="C2195" s="9" t="s">
        <v>1589</v>
      </c>
      <c r="D2195" s="9" t="s">
        <v>1603</v>
      </c>
      <c r="E2195" s="9" t="s">
        <v>1591</v>
      </c>
      <c r="F2195" s="9" t="s">
        <v>1589</v>
      </c>
      <c r="G2195" s="9" t="s">
        <v>1592</v>
      </c>
      <c r="H2195" s="9" t="s">
        <v>169</v>
      </c>
      <c r="I2195" s="9" t="s">
        <v>3604</v>
      </c>
      <c r="J2195" s="9" t="s">
        <v>1587</v>
      </c>
      <c r="K2195" s="9">
        <v>1</v>
      </c>
      <c r="L2195" s="9">
        <v>15</v>
      </c>
      <c r="M2195" s="9">
        <v>2010</v>
      </c>
      <c r="O2195" s="9" t="str">
        <f t="shared" si="103"/>
        <v>NO</v>
      </c>
      <c r="P2195" s="9" t="str">
        <f t="shared" si="104"/>
        <v>YES</v>
      </c>
      <c r="Q2195" s="9" t="str">
        <f t="shared" si="105"/>
        <v>Conditioned</v>
      </c>
    </row>
    <row r="2196" spans="1:17">
      <c r="A2196" s="9">
        <v>23566</v>
      </c>
      <c r="B2196" s="9">
        <v>3</v>
      </c>
      <c r="C2196" s="9" t="s">
        <v>1589</v>
      </c>
      <c r="D2196" s="9" t="s">
        <v>1603</v>
      </c>
      <c r="E2196" s="9" t="s">
        <v>1591</v>
      </c>
      <c r="F2196" s="9" t="s">
        <v>1589</v>
      </c>
      <c r="G2196" s="9" t="s">
        <v>1592</v>
      </c>
      <c r="H2196" s="9" t="s">
        <v>177</v>
      </c>
      <c r="I2196" s="9" t="s">
        <v>3605</v>
      </c>
      <c r="J2196" s="9" t="s">
        <v>1587</v>
      </c>
      <c r="K2196" s="9">
        <v>1</v>
      </c>
      <c r="L2196" s="9">
        <v>15</v>
      </c>
      <c r="M2196" s="9">
        <v>2007</v>
      </c>
      <c r="O2196" s="9" t="str">
        <f t="shared" si="103"/>
        <v>NO</v>
      </c>
      <c r="P2196" s="9" t="str">
        <f t="shared" si="104"/>
        <v>YES</v>
      </c>
      <c r="Q2196" s="9" t="str">
        <f t="shared" si="105"/>
        <v>Conditioned</v>
      </c>
    </row>
    <row r="2197" spans="1:17">
      <c r="A2197" s="9">
        <v>23566</v>
      </c>
      <c r="B2197" s="9">
        <v>4</v>
      </c>
      <c r="C2197" s="9" t="s">
        <v>1589</v>
      </c>
      <c r="D2197" s="9" t="s">
        <v>1603</v>
      </c>
      <c r="E2197" s="9" t="s">
        <v>1591</v>
      </c>
      <c r="F2197" s="9" t="s">
        <v>1589</v>
      </c>
      <c r="G2197" s="9" t="s">
        <v>1606</v>
      </c>
      <c r="H2197" s="9" t="s">
        <v>169</v>
      </c>
      <c r="I2197" s="9" t="s">
        <v>3606</v>
      </c>
      <c r="J2197" s="9" t="s">
        <v>1587</v>
      </c>
      <c r="K2197" s="9">
        <v>1</v>
      </c>
      <c r="L2197" s="9">
        <v>10</v>
      </c>
      <c r="M2197" s="9">
        <v>2006</v>
      </c>
      <c r="O2197" s="9" t="str">
        <f t="shared" si="103"/>
        <v>NO</v>
      </c>
      <c r="P2197" s="9" t="str">
        <f t="shared" si="104"/>
        <v>YES</v>
      </c>
      <c r="Q2197" s="9" t="str">
        <f t="shared" si="105"/>
        <v>Unconditioned</v>
      </c>
    </row>
    <row r="2198" spans="1:17">
      <c r="A2198" s="9">
        <v>23581</v>
      </c>
      <c r="B2198" s="9">
        <v>1</v>
      </c>
      <c r="C2198" s="9" t="s">
        <v>1589</v>
      </c>
      <c r="D2198" s="9" t="s">
        <v>1590</v>
      </c>
      <c r="E2198" s="9" t="s">
        <v>1591</v>
      </c>
      <c r="F2198" s="9" t="s">
        <v>1589</v>
      </c>
      <c r="G2198" s="9" t="s">
        <v>1592</v>
      </c>
      <c r="H2198" s="9" t="s">
        <v>173</v>
      </c>
      <c r="I2198" s="9" t="s">
        <v>3607</v>
      </c>
      <c r="J2198" s="9" t="s">
        <v>1601</v>
      </c>
      <c r="K2198" s="9">
        <v>1</v>
      </c>
      <c r="L2198" s="9">
        <v>18</v>
      </c>
      <c r="M2198" s="9">
        <v>1999</v>
      </c>
      <c r="O2198" s="9" t="str">
        <f t="shared" si="103"/>
        <v>NO</v>
      </c>
      <c r="P2198" s="9" t="str">
        <f t="shared" si="104"/>
        <v>NO</v>
      </c>
      <c r="Q2198" s="9" t="str">
        <f t="shared" si="105"/>
        <v>Conditioned</v>
      </c>
    </row>
    <row r="2199" spans="1:17">
      <c r="A2199" s="9">
        <v>23581</v>
      </c>
      <c r="B2199" s="9">
        <v>2</v>
      </c>
      <c r="C2199" s="9" t="s">
        <v>1589</v>
      </c>
      <c r="D2199" s="9" t="s">
        <v>1590</v>
      </c>
      <c r="E2199" s="9" t="s">
        <v>1591</v>
      </c>
      <c r="F2199" s="9" t="s">
        <v>1589</v>
      </c>
      <c r="G2199" s="9" t="s">
        <v>1606</v>
      </c>
      <c r="H2199" s="9" t="s">
        <v>1624</v>
      </c>
      <c r="I2199" s="9" t="s">
        <v>1589</v>
      </c>
      <c r="J2199" s="9" t="s">
        <v>1589</v>
      </c>
      <c r="K2199" s="9">
        <v>0.5</v>
      </c>
      <c r="L2199" s="9">
        <v>3</v>
      </c>
      <c r="M2199" s="9">
        <v>1980</v>
      </c>
      <c r="O2199" s="9" t="str">
        <f t="shared" ref="O2199:O2262" si="106">IF(L2199&lt;7.75,"YES","NO")</f>
        <v>YES</v>
      </c>
      <c r="P2199" s="9" t="e">
        <f t="shared" ref="P2199:P2262" si="107">VLOOKUP(J2199,$Z$21:$AA$27,2,FALSE)</f>
        <v>#N/A</v>
      </c>
      <c r="Q2199" s="9" t="str">
        <f t="shared" ref="Q2199:Q2262" si="108">G2199</f>
        <v>Unconditioned</v>
      </c>
    </row>
    <row r="2200" spans="1:17">
      <c r="A2200" s="9">
        <v>23581</v>
      </c>
      <c r="B2200" s="9">
        <v>3</v>
      </c>
      <c r="C2200" s="9" t="s">
        <v>1589</v>
      </c>
      <c r="D2200" s="9" t="s">
        <v>1590</v>
      </c>
      <c r="E2200" s="9" t="s">
        <v>1591</v>
      </c>
      <c r="F2200" s="9" t="s">
        <v>1589</v>
      </c>
      <c r="G2200" s="9" t="s">
        <v>1606</v>
      </c>
      <c r="H2200" s="9" t="s">
        <v>170</v>
      </c>
      <c r="I2200" s="9" t="s">
        <v>3608</v>
      </c>
      <c r="J2200" s="9" t="s">
        <v>1587</v>
      </c>
      <c r="K2200" s="9">
        <v>1</v>
      </c>
      <c r="L2200" s="9">
        <v>6</v>
      </c>
      <c r="M2200" s="9">
        <v>1978</v>
      </c>
      <c r="O2200" s="9" t="str">
        <f t="shared" si="106"/>
        <v>YES</v>
      </c>
      <c r="P2200" s="9" t="str">
        <f t="shared" si="107"/>
        <v>YES</v>
      </c>
      <c r="Q2200" s="9" t="str">
        <f t="shared" si="108"/>
        <v>Unconditioned</v>
      </c>
    </row>
    <row r="2201" spans="1:17">
      <c r="A2201" s="9">
        <v>23602</v>
      </c>
      <c r="B2201" s="9">
        <v>1</v>
      </c>
      <c r="C2201" s="9" t="s">
        <v>1589</v>
      </c>
      <c r="D2201" s="9" t="s">
        <v>1590</v>
      </c>
      <c r="E2201" s="9" t="s">
        <v>1602</v>
      </c>
      <c r="F2201" s="9" t="s">
        <v>1603</v>
      </c>
      <c r="G2201" s="9" t="s">
        <v>1592</v>
      </c>
      <c r="H2201" s="9" t="s">
        <v>1638</v>
      </c>
      <c r="I2201" s="9" t="s">
        <v>3609</v>
      </c>
      <c r="J2201" s="9" t="s">
        <v>1601</v>
      </c>
      <c r="K2201" s="9">
        <v>1</v>
      </c>
      <c r="L2201" s="9">
        <v>25</v>
      </c>
      <c r="M2201" s="9">
        <v>2007</v>
      </c>
      <c r="O2201" s="9" t="str">
        <f t="shared" si="106"/>
        <v>NO</v>
      </c>
      <c r="P2201" s="9" t="str">
        <f t="shared" si="107"/>
        <v>NO</v>
      </c>
      <c r="Q2201" s="9" t="str">
        <f t="shared" si="108"/>
        <v>Conditioned</v>
      </c>
    </row>
    <row r="2202" spans="1:17">
      <c r="A2202" s="9">
        <v>23607</v>
      </c>
      <c r="B2202" s="9">
        <v>1</v>
      </c>
      <c r="C2202" s="9" t="s">
        <v>1589</v>
      </c>
      <c r="D2202" s="9" t="s">
        <v>1590</v>
      </c>
      <c r="E2202" s="9" t="s">
        <v>1602</v>
      </c>
      <c r="F2202" s="9" t="s">
        <v>1603</v>
      </c>
      <c r="G2202" s="9" t="s">
        <v>1592</v>
      </c>
      <c r="H2202" s="9" t="s">
        <v>1599</v>
      </c>
      <c r="I2202" s="9" t="s">
        <v>3610</v>
      </c>
      <c r="J2202" s="9" t="s">
        <v>1601</v>
      </c>
      <c r="K2202" s="9">
        <v>1</v>
      </c>
      <c r="L2202" s="9">
        <v>24</v>
      </c>
      <c r="M2202" s="9">
        <v>2003</v>
      </c>
      <c r="O2202" s="9" t="str">
        <f t="shared" si="106"/>
        <v>NO</v>
      </c>
      <c r="P2202" s="9" t="str">
        <f t="shared" si="107"/>
        <v>NO</v>
      </c>
      <c r="Q2202" s="9" t="str">
        <f t="shared" si="108"/>
        <v>Conditioned</v>
      </c>
    </row>
    <row r="2203" spans="1:17">
      <c r="A2203" s="9">
        <v>23611</v>
      </c>
      <c r="B2203" s="9">
        <v>1</v>
      </c>
      <c r="C2203" s="9" t="s">
        <v>1589</v>
      </c>
      <c r="D2203" s="9" t="s">
        <v>1590</v>
      </c>
      <c r="E2203" s="9" t="s">
        <v>1591</v>
      </c>
      <c r="F2203" s="9" t="s">
        <v>1589</v>
      </c>
      <c r="G2203" s="9" t="s">
        <v>1592</v>
      </c>
      <c r="H2203" s="9" t="s">
        <v>169</v>
      </c>
      <c r="I2203" s="9" t="s">
        <v>3611</v>
      </c>
      <c r="J2203" s="9" t="s">
        <v>1597</v>
      </c>
      <c r="K2203" s="9">
        <v>1</v>
      </c>
      <c r="L2203" s="9">
        <v>19</v>
      </c>
      <c r="M2203" s="9">
        <v>2003</v>
      </c>
      <c r="O2203" s="9" t="str">
        <f t="shared" si="106"/>
        <v>NO</v>
      </c>
      <c r="P2203" s="9" t="str">
        <f t="shared" si="107"/>
        <v>NO</v>
      </c>
      <c r="Q2203" s="9" t="str">
        <f t="shared" si="108"/>
        <v>Conditioned</v>
      </c>
    </row>
    <row r="2204" spans="1:17">
      <c r="A2204" s="9">
        <v>23611</v>
      </c>
      <c r="B2204" s="9">
        <v>2</v>
      </c>
      <c r="C2204" s="9" t="s">
        <v>1589</v>
      </c>
      <c r="D2204" s="9" t="s">
        <v>1590</v>
      </c>
      <c r="E2204" s="9" t="s">
        <v>1591</v>
      </c>
      <c r="F2204" s="9" t="s">
        <v>1589</v>
      </c>
      <c r="G2204" s="9" t="s">
        <v>1606</v>
      </c>
      <c r="H2204" s="9" t="s">
        <v>2235</v>
      </c>
      <c r="I2204" s="9" t="s">
        <v>3612</v>
      </c>
      <c r="J2204" s="9" t="s">
        <v>1587</v>
      </c>
      <c r="K2204" s="9">
        <v>1</v>
      </c>
      <c r="L2204" s="9">
        <v>25</v>
      </c>
      <c r="M2204" s="9">
        <v>1998</v>
      </c>
      <c r="O2204" s="9" t="str">
        <f t="shared" si="106"/>
        <v>NO</v>
      </c>
      <c r="P2204" s="9" t="str">
        <f t="shared" si="107"/>
        <v>YES</v>
      </c>
      <c r="Q2204" s="9" t="str">
        <f t="shared" si="108"/>
        <v>Unconditioned</v>
      </c>
    </row>
    <row r="2205" spans="1:17">
      <c r="A2205" s="9">
        <v>23611</v>
      </c>
      <c r="B2205" s="9">
        <v>3</v>
      </c>
      <c r="C2205" s="9" t="s">
        <v>1589</v>
      </c>
      <c r="D2205" s="9" t="s">
        <v>1603</v>
      </c>
      <c r="E2205" s="9" t="s">
        <v>1591</v>
      </c>
      <c r="F2205" s="9" t="s">
        <v>1589</v>
      </c>
      <c r="G2205" s="9" t="s">
        <v>1606</v>
      </c>
      <c r="H2205" s="9" t="s">
        <v>173</v>
      </c>
      <c r="I2205" s="9" t="s">
        <v>3613</v>
      </c>
      <c r="J2205" s="9" t="s">
        <v>1587</v>
      </c>
      <c r="K2205" s="9">
        <v>1</v>
      </c>
      <c r="L2205" s="9">
        <v>25</v>
      </c>
      <c r="M2205" s="9">
        <v>2002</v>
      </c>
      <c r="O2205" s="9" t="str">
        <f t="shared" si="106"/>
        <v>NO</v>
      </c>
      <c r="P2205" s="9" t="str">
        <f t="shared" si="107"/>
        <v>YES</v>
      </c>
      <c r="Q2205" s="9" t="str">
        <f t="shared" si="108"/>
        <v>Unconditioned</v>
      </c>
    </row>
    <row r="2206" spans="1:17">
      <c r="A2206" s="9">
        <v>23618</v>
      </c>
      <c r="B2206" s="9">
        <v>1</v>
      </c>
      <c r="C2206" s="9" t="s">
        <v>1589</v>
      </c>
      <c r="D2206" s="9" t="s">
        <v>1590</v>
      </c>
      <c r="E2206" s="9" t="s">
        <v>1591</v>
      </c>
      <c r="F2206" s="9" t="s">
        <v>1589</v>
      </c>
      <c r="G2206" s="9" t="s">
        <v>1592</v>
      </c>
      <c r="H2206" s="9" t="s">
        <v>174</v>
      </c>
      <c r="I2206" s="9" t="s">
        <v>3614</v>
      </c>
      <c r="J2206" s="9" t="s">
        <v>1608</v>
      </c>
      <c r="K2206" s="9">
        <v>1</v>
      </c>
      <c r="L2206" s="9">
        <v>20</v>
      </c>
      <c r="M2206" s="9">
        <v>2006</v>
      </c>
      <c r="O2206" s="9" t="str">
        <f t="shared" si="106"/>
        <v>NO</v>
      </c>
      <c r="P2206" s="9" t="str">
        <f t="shared" si="107"/>
        <v>NO</v>
      </c>
      <c r="Q2206" s="9" t="str">
        <f t="shared" si="108"/>
        <v>Conditioned</v>
      </c>
    </row>
    <row r="2207" spans="1:17">
      <c r="A2207" s="9">
        <v>23618</v>
      </c>
      <c r="B2207" s="9">
        <v>2</v>
      </c>
      <c r="C2207" s="9" t="s">
        <v>1589</v>
      </c>
      <c r="D2207" s="9" t="s">
        <v>1590</v>
      </c>
      <c r="E2207" s="9" t="s">
        <v>1591</v>
      </c>
      <c r="F2207" s="9" t="s">
        <v>1589</v>
      </c>
      <c r="G2207" s="9" t="s">
        <v>1606</v>
      </c>
      <c r="H2207" s="9" t="s">
        <v>172</v>
      </c>
      <c r="I2207" s="9" t="s">
        <v>3615</v>
      </c>
      <c r="J2207" s="9" t="s">
        <v>1605</v>
      </c>
      <c r="K2207" s="9">
        <v>1</v>
      </c>
      <c r="L2207" s="9">
        <v>25</v>
      </c>
      <c r="M2207" s="9">
        <v>1975</v>
      </c>
      <c r="O2207" s="9" t="str">
        <f t="shared" si="106"/>
        <v>NO</v>
      </c>
      <c r="P2207" s="9" t="str">
        <f t="shared" si="107"/>
        <v>YES</v>
      </c>
      <c r="Q2207" s="9" t="str">
        <f t="shared" si="108"/>
        <v>Unconditioned</v>
      </c>
    </row>
    <row r="2208" spans="1:17">
      <c r="A2208" s="9">
        <v>23619</v>
      </c>
      <c r="B2208" s="9">
        <v>1</v>
      </c>
      <c r="C2208" s="9" t="s">
        <v>1589</v>
      </c>
      <c r="D2208" s="9" t="s">
        <v>1590</v>
      </c>
      <c r="E2208" s="9" t="s">
        <v>1602</v>
      </c>
      <c r="F2208" s="9" t="s">
        <v>1603</v>
      </c>
      <c r="G2208" s="9" t="s">
        <v>1592</v>
      </c>
      <c r="H2208" s="9" t="s">
        <v>177</v>
      </c>
      <c r="I2208" s="9" t="s">
        <v>3616</v>
      </c>
      <c r="J2208" s="9" t="s">
        <v>1601</v>
      </c>
      <c r="K2208" s="9">
        <v>1</v>
      </c>
      <c r="L2208" s="9">
        <v>22</v>
      </c>
      <c r="M2208" s="9">
        <v>2004</v>
      </c>
      <c r="O2208" s="9" t="str">
        <f t="shared" si="106"/>
        <v>NO</v>
      </c>
      <c r="P2208" s="9" t="str">
        <f t="shared" si="107"/>
        <v>NO</v>
      </c>
      <c r="Q2208" s="9" t="str">
        <f t="shared" si="108"/>
        <v>Conditioned</v>
      </c>
    </row>
    <row r="2209" spans="1:17">
      <c r="A2209" s="9">
        <v>23621</v>
      </c>
      <c r="B2209" s="9">
        <v>1</v>
      </c>
      <c r="C2209" s="9" t="s">
        <v>1589</v>
      </c>
      <c r="D2209" s="9" t="s">
        <v>1590</v>
      </c>
      <c r="E2209" s="9" t="s">
        <v>1602</v>
      </c>
      <c r="F2209" s="9" t="s">
        <v>1603</v>
      </c>
      <c r="G2209" s="9" t="s">
        <v>1592</v>
      </c>
      <c r="H2209" s="9" t="s">
        <v>170</v>
      </c>
      <c r="I2209" s="9" t="s">
        <v>3617</v>
      </c>
      <c r="J2209" s="9" t="s">
        <v>1601</v>
      </c>
      <c r="K2209" s="9">
        <v>0.75</v>
      </c>
      <c r="L2209" s="9">
        <v>30</v>
      </c>
      <c r="M2209" s="9">
        <v>2011</v>
      </c>
      <c r="O2209" s="9" t="str">
        <f t="shared" si="106"/>
        <v>NO</v>
      </c>
      <c r="P2209" s="9" t="str">
        <f t="shared" si="107"/>
        <v>NO</v>
      </c>
      <c r="Q2209" s="9" t="str">
        <f t="shared" si="108"/>
        <v>Conditioned</v>
      </c>
    </row>
    <row r="2210" spans="1:17">
      <c r="A2210" s="9">
        <v>23624</v>
      </c>
      <c r="B2210" s="9">
        <v>1</v>
      </c>
      <c r="C2210" s="9" t="s">
        <v>1589</v>
      </c>
      <c r="D2210" s="9" t="s">
        <v>1603</v>
      </c>
      <c r="E2210" s="9" t="s">
        <v>1602</v>
      </c>
      <c r="F2210" s="9" t="s">
        <v>1603</v>
      </c>
      <c r="G2210" s="9" t="s">
        <v>1592</v>
      </c>
      <c r="H2210" s="9" t="s">
        <v>169</v>
      </c>
      <c r="I2210" s="9" t="s">
        <v>3618</v>
      </c>
      <c r="J2210" s="9" t="s">
        <v>1601</v>
      </c>
      <c r="K2210" s="9">
        <v>1</v>
      </c>
      <c r="L2210" s="9">
        <v>30</v>
      </c>
      <c r="M2210" s="9">
        <v>2009</v>
      </c>
      <c r="O2210" s="9" t="str">
        <f t="shared" si="106"/>
        <v>NO</v>
      </c>
      <c r="P2210" s="9" t="str">
        <f t="shared" si="107"/>
        <v>NO</v>
      </c>
      <c r="Q2210" s="9" t="str">
        <f t="shared" si="108"/>
        <v>Conditioned</v>
      </c>
    </row>
    <row r="2211" spans="1:17">
      <c r="A2211" s="9">
        <v>23627</v>
      </c>
      <c r="B2211" s="9">
        <v>1</v>
      </c>
      <c r="C2211" s="9" t="s">
        <v>1589</v>
      </c>
      <c r="D2211" s="9" t="s">
        <v>1590</v>
      </c>
      <c r="E2211" s="9" t="s">
        <v>1602</v>
      </c>
      <c r="F2211" s="9" t="s">
        <v>1603</v>
      </c>
      <c r="G2211" s="9" t="s">
        <v>1592</v>
      </c>
      <c r="H2211" s="9" t="s">
        <v>173</v>
      </c>
      <c r="I2211" s="9" t="s">
        <v>3619</v>
      </c>
      <c r="J2211" s="9" t="s">
        <v>1608</v>
      </c>
      <c r="K2211" s="9">
        <v>1</v>
      </c>
      <c r="L2211" s="9">
        <v>22</v>
      </c>
      <c r="M2211" s="9">
        <v>2008</v>
      </c>
      <c r="O2211" s="9" t="str">
        <f t="shared" si="106"/>
        <v>NO</v>
      </c>
      <c r="P2211" s="9" t="str">
        <f t="shared" si="107"/>
        <v>NO</v>
      </c>
      <c r="Q2211" s="9" t="str">
        <f t="shared" si="108"/>
        <v>Conditioned</v>
      </c>
    </row>
    <row r="2212" spans="1:17">
      <c r="A2212" s="9">
        <v>23627</v>
      </c>
      <c r="B2212" s="9">
        <v>2</v>
      </c>
      <c r="C2212" s="9" t="s">
        <v>1589</v>
      </c>
      <c r="D2212" s="9" t="s">
        <v>1590</v>
      </c>
      <c r="E2212" s="9" t="s">
        <v>1591</v>
      </c>
      <c r="F2212" s="9" t="s">
        <v>1589</v>
      </c>
      <c r="G2212" s="9" t="s">
        <v>1592</v>
      </c>
      <c r="H2212" s="9" t="s">
        <v>168</v>
      </c>
      <c r="I2212" s="9" t="s">
        <v>3620</v>
      </c>
      <c r="J2212" s="9" t="s">
        <v>1587</v>
      </c>
      <c r="K2212" s="9">
        <v>1</v>
      </c>
      <c r="L2212" s="9">
        <v>17</v>
      </c>
      <c r="M2212" s="9">
        <v>1998</v>
      </c>
      <c r="O2212" s="9" t="str">
        <f t="shared" si="106"/>
        <v>NO</v>
      </c>
      <c r="P2212" s="9" t="str">
        <f t="shared" si="107"/>
        <v>YES</v>
      </c>
      <c r="Q2212" s="9" t="str">
        <f t="shared" si="108"/>
        <v>Conditioned</v>
      </c>
    </row>
    <row r="2213" spans="1:17">
      <c r="A2213" s="9">
        <v>23627</v>
      </c>
      <c r="B2213" s="9">
        <v>3</v>
      </c>
      <c r="C2213" s="9" t="s">
        <v>1589</v>
      </c>
      <c r="D2213" s="9" t="s">
        <v>1590</v>
      </c>
      <c r="E2213" s="9" t="s">
        <v>1591</v>
      </c>
      <c r="F2213" s="9" t="s">
        <v>1589</v>
      </c>
      <c r="G2213" s="9" t="s">
        <v>1592</v>
      </c>
      <c r="H2213" s="9" t="s">
        <v>170</v>
      </c>
      <c r="I2213" s="9" t="s">
        <v>3621</v>
      </c>
      <c r="J2213" s="9" t="s">
        <v>1597</v>
      </c>
      <c r="K2213" s="9">
        <v>1</v>
      </c>
      <c r="L2213" s="9">
        <v>18</v>
      </c>
      <c r="M2213" s="9">
        <v>1983</v>
      </c>
      <c r="O2213" s="9" t="str">
        <f t="shared" si="106"/>
        <v>NO</v>
      </c>
      <c r="P2213" s="9" t="str">
        <f t="shared" si="107"/>
        <v>NO</v>
      </c>
      <c r="Q2213" s="9" t="str">
        <f t="shared" si="108"/>
        <v>Conditioned</v>
      </c>
    </row>
    <row r="2214" spans="1:17">
      <c r="A2214" s="9">
        <v>23631</v>
      </c>
      <c r="B2214" s="9">
        <v>1</v>
      </c>
      <c r="C2214" s="9" t="s">
        <v>1589</v>
      </c>
      <c r="D2214" s="9" t="s">
        <v>1590</v>
      </c>
      <c r="E2214" s="9" t="s">
        <v>1591</v>
      </c>
      <c r="F2214" s="9" t="s">
        <v>1589</v>
      </c>
      <c r="G2214" s="9" t="s">
        <v>1592</v>
      </c>
      <c r="H2214" s="9" t="s">
        <v>177</v>
      </c>
      <c r="I2214" s="9" t="s">
        <v>3622</v>
      </c>
      <c r="J2214" s="9" t="s">
        <v>1597</v>
      </c>
      <c r="K2214" s="9">
        <v>1</v>
      </c>
      <c r="L2214" s="9">
        <v>16</v>
      </c>
      <c r="M2214" s="9">
        <v>1995</v>
      </c>
      <c r="O2214" s="9" t="str">
        <f t="shared" si="106"/>
        <v>NO</v>
      </c>
      <c r="P2214" s="9" t="str">
        <f t="shared" si="107"/>
        <v>NO</v>
      </c>
      <c r="Q2214" s="9" t="str">
        <f t="shared" si="108"/>
        <v>Conditioned</v>
      </c>
    </row>
    <row r="2215" spans="1:17">
      <c r="A2215" s="9">
        <v>23640</v>
      </c>
      <c r="B2215" s="9">
        <v>1</v>
      </c>
      <c r="C2215" s="9" t="s">
        <v>1589</v>
      </c>
      <c r="D2215" s="9" t="s">
        <v>1590</v>
      </c>
      <c r="E2215" s="9" t="s">
        <v>1591</v>
      </c>
      <c r="F2215" s="9" t="s">
        <v>1589</v>
      </c>
      <c r="G2215" s="9" t="s">
        <v>1592</v>
      </c>
      <c r="H2215" s="9" t="s">
        <v>1599</v>
      </c>
      <c r="I2215" s="9" t="s">
        <v>3623</v>
      </c>
      <c r="J2215" s="9" t="s">
        <v>1597</v>
      </c>
      <c r="K2215" s="9">
        <v>1</v>
      </c>
      <c r="L2215" s="9">
        <v>24</v>
      </c>
      <c r="M2215" s="9">
        <v>2004</v>
      </c>
      <c r="O2215" s="9" t="str">
        <f t="shared" si="106"/>
        <v>NO</v>
      </c>
      <c r="P2215" s="9" t="str">
        <f t="shared" si="107"/>
        <v>NO</v>
      </c>
      <c r="Q2215" s="9" t="str">
        <f t="shared" si="108"/>
        <v>Conditioned</v>
      </c>
    </row>
    <row r="2216" spans="1:17">
      <c r="A2216" s="9">
        <v>23640</v>
      </c>
      <c r="B2216" s="9">
        <v>2</v>
      </c>
      <c r="C2216" s="9" t="s">
        <v>3624</v>
      </c>
      <c r="D2216" s="9" t="s">
        <v>1590</v>
      </c>
      <c r="E2216" s="9" t="s">
        <v>1591</v>
      </c>
      <c r="F2216" s="9" t="s">
        <v>1589</v>
      </c>
      <c r="G2216" s="9" t="s">
        <v>1592</v>
      </c>
      <c r="H2216" s="9" t="s">
        <v>169</v>
      </c>
      <c r="I2216" s="9" t="s">
        <v>1589</v>
      </c>
      <c r="J2216" s="9" t="s">
        <v>1605</v>
      </c>
      <c r="K2216" s="9">
        <v>1</v>
      </c>
      <c r="L2216" s="9">
        <v>20</v>
      </c>
      <c r="O2216" s="9" t="str">
        <f t="shared" si="106"/>
        <v>NO</v>
      </c>
      <c r="P2216" s="9" t="str">
        <f t="shared" si="107"/>
        <v>YES</v>
      </c>
      <c r="Q2216" s="9" t="str">
        <f t="shared" si="108"/>
        <v>Conditioned</v>
      </c>
    </row>
    <row r="2217" spans="1:17">
      <c r="A2217" s="9">
        <v>23640</v>
      </c>
      <c r="B2217" s="9">
        <v>3</v>
      </c>
      <c r="C2217" s="9" t="s">
        <v>3625</v>
      </c>
      <c r="D2217" s="9" t="s">
        <v>1590</v>
      </c>
      <c r="E2217" s="9" t="s">
        <v>1591</v>
      </c>
      <c r="F2217" s="9" t="s">
        <v>1589</v>
      </c>
      <c r="G2217" s="9" t="s">
        <v>1592</v>
      </c>
      <c r="H2217" s="9" t="s">
        <v>1552</v>
      </c>
      <c r="I2217" s="9" t="s">
        <v>3626</v>
      </c>
      <c r="J2217" s="9" t="s">
        <v>1605</v>
      </c>
      <c r="K2217" s="9">
        <v>1</v>
      </c>
      <c r="L2217" s="9">
        <v>20</v>
      </c>
      <c r="O2217" s="9" t="str">
        <f t="shared" si="106"/>
        <v>NO</v>
      </c>
      <c r="P2217" s="9" t="str">
        <f t="shared" si="107"/>
        <v>YES</v>
      </c>
      <c r="Q2217" s="9" t="str">
        <f t="shared" si="108"/>
        <v>Conditioned</v>
      </c>
    </row>
    <row r="2218" spans="1:17">
      <c r="A2218" s="9">
        <v>23645</v>
      </c>
      <c r="B2218" s="9">
        <v>1</v>
      </c>
      <c r="C2218" s="9" t="s">
        <v>1589</v>
      </c>
      <c r="D2218" s="9" t="s">
        <v>1590</v>
      </c>
      <c r="E2218" s="9" t="s">
        <v>1591</v>
      </c>
      <c r="F2218" s="9" t="s">
        <v>1589</v>
      </c>
      <c r="G2218" s="9" t="s">
        <v>1592</v>
      </c>
      <c r="H2218" s="9" t="s">
        <v>1900</v>
      </c>
      <c r="I2218" s="9" t="s">
        <v>3627</v>
      </c>
      <c r="J2218" s="9" t="s">
        <v>1587</v>
      </c>
      <c r="K2218" s="9">
        <v>1</v>
      </c>
      <c r="L2218" s="9">
        <v>10</v>
      </c>
      <c r="O2218" s="9" t="str">
        <f t="shared" si="106"/>
        <v>NO</v>
      </c>
      <c r="P2218" s="9" t="str">
        <f t="shared" si="107"/>
        <v>YES</v>
      </c>
      <c r="Q2218" s="9" t="str">
        <f t="shared" si="108"/>
        <v>Conditioned</v>
      </c>
    </row>
    <row r="2219" spans="1:17">
      <c r="A2219" s="9">
        <v>23645</v>
      </c>
      <c r="B2219" s="9">
        <v>2</v>
      </c>
      <c r="C2219" s="9" t="s">
        <v>1589</v>
      </c>
      <c r="D2219" s="9" t="s">
        <v>1590</v>
      </c>
      <c r="E2219" s="9" t="s">
        <v>1591</v>
      </c>
      <c r="F2219" s="9" t="s">
        <v>1589</v>
      </c>
      <c r="G2219" s="9" t="s">
        <v>1592</v>
      </c>
      <c r="H2219" s="9" t="s">
        <v>168</v>
      </c>
      <c r="I2219" s="9" t="s">
        <v>3628</v>
      </c>
      <c r="J2219" s="9" t="s">
        <v>1605</v>
      </c>
      <c r="K2219" s="9">
        <v>1</v>
      </c>
      <c r="L2219" s="9">
        <v>18</v>
      </c>
      <c r="M2219" s="9">
        <v>2001</v>
      </c>
      <c r="O2219" s="9" t="str">
        <f t="shared" si="106"/>
        <v>NO</v>
      </c>
      <c r="P2219" s="9" t="str">
        <f t="shared" si="107"/>
        <v>YES</v>
      </c>
      <c r="Q2219" s="9" t="str">
        <f t="shared" si="108"/>
        <v>Conditioned</v>
      </c>
    </row>
    <row r="2220" spans="1:17">
      <c r="A2220" s="9">
        <v>23645</v>
      </c>
      <c r="B2220" s="9">
        <v>3</v>
      </c>
      <c r="C2220" s="9" t="s">
        <v>1589</v>
      </c>
      <c r="D2220" s="9" t="s">
        <v>1603</v>
      </c>
      <c r="E2220" s="9" t="s">
        <v>1602</v>
      </c>
      <c r="F2220" s="9" t="s">
        <v>1603</v>
      </c>
      <c r="G2220" s="9" t="s">
        <v>1592</v>
      </c>
      <c r="H2220" s="9" t="s">
        <v>173</v>
      </c>
      <c r="I2220" s="9" t="s">
        <v>3629</v>
      </c>
      <c r="J2220" s="9" t="s">
        <v>1608</v>
      </c>
      <c r="K2220" s="9">
        <v>1</v>
      </c>
      <c r="L2220" s="9">
        <v>22</v>
      </c>
      <c r="M2220" s="9">
        <v>2008</v>
      </c>
      <c r="O2220" s="9" t="str">
        <f t="shared" si="106"/>
        <v>NO</v>
      </c>
      <c r="P2220" s="9" t="str">
        <f t="shared" si="107"/>
        <v>NO</v>
      </c>
      <c r="Q2220" s="9" t="str">
        <f t="shared" si="108"/>
        <v>Conditioned</v>
      </c>
    </row>
    <row r="2221" spans="1:17">
      <c r="A2221" s="9">
        <v>23666</v>
      </c>
      <c r="B2221" s="9">
        <v>1</v>
      </c>
      <c r="C2221" s="9" t="s">
        <v>1589</v>
      </c>
      <c r="D2221" s="9" t="s">
        <v>1590</v>
      </c>
      <c r="E2221" s="9" t="s">
        <v>1602</v>
      </c>
      <c r="F2221" s="9" t="s">
        <v>1603</v>
      </c>
      <c r="G2221" s="9" t="s">
        <v>1592</v>
      </c>
      <c r="H2221" s="9" t="s">
        <v>1754</v>
      </c>
      <c r="I2221" s="9" t="s">
        <v>3630</v>
      </c>
      <c r="J2221" s="9" t="s">
        <v>1601</v>
      </c>
      <c r="K2221" s="9">
        <v>1</v>
      </c>
      <c r="L2221" s="9">
        <v>25</v>
      </c>
      <c r="M2221" s="9">
        <v>2002</v>
      </c>
      <c r="O2221" s="9" t="str">
        <f t="shared" si="106"/>
        <v>NO</v>
      </c>
      <c r="P2221" s="9" t="str">
        <f t="shared" si="107"/>
        <v>NO</v>
      </c>
      <c r="Q2221" s="9" t="str">
        <f t="shared" si="108"/>
        <v>Conditioned</v>
      </c>
    </row>
    <row r="2222" spans="1:17">
      <c r="A2222" s="9">
        <v>23666</v>
      </c>
      <c r="B2222" s="9">
        <v>2</v>
      </c>
      <c r="C2222" s="9" t="s">
        <v>1589</v>
      </c>
      <c r="D2222" s="9" t="s">
        <v>1590</v>
      </c>
      <c r="E2222" s="9" t="s">
        <v>1591</v>
      </c>
      <c r="F2222" s="9" t="s">
        <v>1589</v>
      </c>
      <c r="G2222" s="9" t="s">
        <v>1592</v>
      </c>
      <c r="H2222" s="9" t="s">
        <v>169</v>
      </c>
      <c r="I2222" s="9" t="s">
        <v>3631</v>
      </c>
      <c r="J2222" s="9" t="s">
        <v>1597</v>
      </c>
      <c r="K2222" s="9">
        <v>1</v>
      </c>
      <c r="L2222" s="9">
        <v>12</v>
      </c>
      <c r="O2222" s="9" t="str">
        <f t="shared" si="106"/>
        <v>NO</v>
      </c>
      <c r="P2222" s="9" t="str">
        <f t="shared" si="107"/>
        <v>NO</v>
      </c>
      <c r="Q2222" s="9" t="str">
        <f t="shared" si="108"/>
        <v>Conditioned</v>
      </c>
    </row>
    <row r="2223" spans="1:17">
      <c r="A2223" s="9">
        <v>23666</v>
      </c>
      <c r="B2223" s="9">
        <v>3</v>
      </c>
      <c r="C2223" s="9" t="s">
        <v>1589</v>
      </c>
      <c r="D2223" s="9" t="s">
        <v>1590</v>
      </c>
      <c r="E2223" s="9" t="s">
        <v>1591</v>
      </c>
      <c r="F2223" s="9" t="s">
        <v>1589</v>
      </c>
      <c r="G2223" s="9" t="s">
        <v>1592</v>
      </c>
      <c r="H2223" s="9" t="s">
        <v>169</v>
      </c>
      <c r="I2223" s="9" t="s">
        <v>3632</v>
      </c>
      <c r="J2223" s="9" t="s">
        <v>1605</v>
      </c>
      <c r="K2223" s="9">
        <v>1</v>
      </c>
      <c r="L2223" s="9">
        <v>21</v>
      </c>
      <c r="M2223" s="9">
        <v>2002</v>
      </c>
      <c r="O2223" s="9" t="str">
        <f t="shared" si="106"/>
        <v>NO</v>
      </c>
      <c r="P2223" s="9" t="str">
        <f t="shared" si="107"/>
        <v>YES</v>
      </c>
      <c r="Q2223" s="9" t="str">
        <f t="shared" si="108"/>
        <v>Conditioned</v>
      </c>
    </row>
    <row r="2224" spans="1:17">
      <c r="A2224" s="9">
        <v>23667</v>
      </c>
      <c r="B2224" s="9">
        <v>1</v>
      </c>
      <c r="C2224" s="9" t="s">
        <v>1589</v>
      </c>
      <c r="D2224" s="9" t="s">
        <v>1590</v>
      </c>
      <c r="E2224" s="9" t="s">
        <v>1591</v>
      </c>
      <c r="F2224" s="9" t="s">
        <v>1589</v>
      </c>
      <c r="G2224" s="9" t="s">
        <v>1592</v>
      </c>
      <c r="H2224" s="9" t="s">
        <v>169</v>
      </c>
      <c r="I2224" s="9" t="s">
        <v>3633</v>
      </c>
      <c r="J2224" s="9" t="s">
        <v>1597</v>
      </c>
      <c r="K2224" s="9">
        <v>1</v>
      </c>
      <c r="L2224" s="9">
        <v>18</v>
      </c>
      <c r="M2224" s="9">
        <v>2009</v>
      </c>
      <c r="O2224" s="9" t="str">
        <f t="shared" si="106"/>
        <v>NO</v>
      </c>
      <c r="P2224" s="9" t="str">
        <f t="shared" si="107"/>
        <v>NO</v>
      </c>
      <c r="Q2224" s="9" t="str">
        <f t="shared" si="108"/>
        <v>Conditioned</v>
      </c>
    </row>
    <row r="2225" spans="1:17">
      <c r="A2225" s="9">
        <v>23674</v>
      </c>
      <c r="B2225" s="9">
        <v>1</v>
      </c>
      <c r="C2225" s="9" t="s">
        <v>1589</v>
      </c>
      <c r="D2225" s="9" t="s">
        <v>1590</v>
      </c>
      <c r="E2225" s="9" t="s">
        <v>1591</v>
      </c>
      <c r="F2225" s="9" t="s">
        <v>1589</v>
      </c>
      <c r="G2225" s="9" t="s">
        <v>1592</v>
      </c>
      <c r="H2225" s="9" t="s">
        <v>1900</v>
      </c>
      <c r="I2225" s="9" t="s">
        <v>3634</v>
      </c>
      <c r="J2225" s="9" t="s">
        <v>1597</v>
      </c>
      <c r="K2225" s="9">
        <v>1</v>
      </c>
      <c r="L2225" s="9">
        <v>19</v>
      </c>
      <c r="M2225" s="9">
        <v>1982</v>
      </c>
      <c r="O2225" s="9" t="str">
        <f t="shared" si="106"/>
        <v>NO</v>
      </c>
      <c r="P2225" s="9" t="str">
        <f t="shared" si="107"/>
        <v>NO</v>
      </c>
      <c r="Q2225" s="9" t="str">
        <f t="shared" si="108"/>
        <v>Conditioned</v>
      </c>
    </row>
    <row r="2226" spans="1:17">
      <c r="A2226" s="9">
        <v>23676</v>
      </c>
      <c r="B2226" s="9">
        <v>1</v>
      </c>
      <c r="C2226" s="9" t="s">
        <v>1589</v>
      </c>
      <c r="D2226" s="9" t="s">
        <v>1603</v>
      </c>
      <c r="E2226" s="9" t="s">
        <v>1613</v>
      </c>
      <c r="F2226" s="9" t="s">
        <v>1603</v>
      </c>
      <c r="G2226" s="9" t="s">
        <v>1592</v>
      </c>
      <c r="H2226" s="9" t="s">
        <v>170</v>
      </c>
      <c r="I2226" s="9" t="s">
        <v>3635</v>
      </c>
      <c r="J2226" s="9" t="s">
        <v>1610</v>
      </c>
      <c r="K2226" s="9">
        <v>1</v>
      </c>
      <c r="L2226" s="9">
        <v>25</v>
      </c>
      <c r="M2226" s="9">
        <v>2009</v>
      </c>
      <c r="O2226" s="9" t="str">
        <f t="shared" si="106"/>
        <v>NO</v>
      </c>
      <c r="P2226" s="9" t="str">
        <f t="shared" si="107"/>
        <v>NO</v>
      </c>
      <c r="Q2226" s="9" t="str">
        <f t="shared" si="108"/>
        <v>Conditioned</v>
      </c>
    </row>
    <row r="2227" spans="1:17">
      <c r="A2227" s="9">
        <v>23676</v>
      </c>
      <c r="B2227" s="9">
        <v>2</v>
      </c>
      <c r="C2227" s="9" t="s">
        <v>1589</v>
      </c>
      <c r="D2227" s="9" t="s">
        <v>1590</v>
      </c>
      <c r="E2227" s="9" t="s">
        <v>1591</v>
      </c>
      <c r="F2227" s="9" t="s">
        <v>1589</v>
      </c>
      <c r="G2227" s="9" t="s">
        <v>1606</v>
      </c>
      <c r="H2227" s="9" t="s">
        <v>1624</v>
      </c>
      <c r="I2227" s="9" t="s">
        <v>3636</v>
      </c>
      <c r="J2227" s="9" t="s">
        <v>1605</v>
      </c>
      <c r="K2227" s="9">
        <v>1</v>
      </c>
      <c r="L2227" s="9">
        <v>15</v>
      </c>
      <c r="M2227" s="9">
        <v>1995</v>
      </c>
      <c r="O2227" s="9" t="str">
        <f t="shared" si="106"/>
        <v>NO</v>
      </c>
      <c r="P2227" s="9" t="str">
        <f t="shared" si="107"/>
        <v>YES</v>
      </c>
      <c r="Q2227" s="9" t="str">
        <f t="shared" si="108"/>
        <v>Unconditioned</v>
      </c>
    </row>
    <row r="2228" spans="1:17">
      <c r="A2228" s="9">
        <v>23696</v>
      </c>
      <c r="B2228" s="9">
        <v>1</v>
      </c>
      <c r="C2228" s="9" t="s">
        <v>1589</v>
      </c>
      <c r="D2228" s="9" t="s">
        <v>1590</v>
      </c>
      <c r="E2228" s="9" t="s">
        <v>1591</v>
      </c>
      <c r="F2228" s="9" t="s">
        <v>1589</v>
      </c>
      <c r="G2228" s="9" t="s">
        <v>1592</v>
      </c>
      <c r="H2228" s="9" t="s">
        <v>1638</v>
      </c>
      <c r="I2228" s="9" t="s">
        <v>3637</v>
      </c>
      <c r="J2228" s="9" t="s">
        <v>1597</v>
      </c>
      <c r="K2228" s="9">
        <v>1</v>
      </c>
      <c r="L2228" s="9">
        <v>18</v>
      </c>
      <c r="M2228" s="9">
        <v>1998</v>
      </c>
      <c r="O2228" s="9" t="str">
        <f t="shared" si="106"/>
        <v>NO</v>
      </c>
      <c r="P2228" s="9" t="str">
        <f t="shared" si="107"/>
        <v>NO</v>
      </c>
      <c r="Q2228" s="9" t="str">
        <f t="shared" si="108"/>
        <v>Conditioned</v>
      </c>
    </row>
    <row r="2229" spans="1:17">
      <c r="A2229" s="9">
        <v>23696</v>
      </c>
      <c r="B2229" s="9">
        <v>2</v>
      </c>
      <c r="C2229" s="9" t="s">
        <v>1589</v>
      </c>
      <c r="D2229" s="9" t="s">
        <v>1590</v>
      </c>
      <c r="E2229" s="9" t="s">
        <v>1591</v>
      </c>
      <c r="F2229" s="9" t="s">
        <v>1589</v>
      </c>
      <c r="G2229" s="9" t="s">
        <v>1606</v>
      </c>
      <c r="H2229" s="9" t="s">
        <v>170</v>
      </c>
      <c r="I2229" s="9" t="s">
        <v>1589</v>
      </c>
      <c r="J2229" s="9" t="s">
        <v>1587</v>
      </c>
      <c r="K2229" s="9">
        <v>1</v>
      </c>
      <c r="L2229" s="9">
        <v>15</v>
      </c>
      <c r="O2229" s="9" t="str">
        <f t="shared" si="106"/>
        <v>NO</v>
      </c>
      <c r="P2229" s="9" t="str">
        <f t="shared" si="107"/>
        <v>YES</v>
      </c>
      <c r="Q2229" s="9" t="str">
        <f t="shared" si="108"/>
        <v>Unconditioned</v>
      </c>
    </row>
    <row r="2230" spans="1:17">
      <c r="A2230" s="9">
        <v>23704</v>
      </c>
      <c r="B2230" s="9">
        <v>1</v>
      </c>
      <c r="C2230" s="9" t="s">
        <v>1589</v>
      </c>
      <c r="D2230" s="9" t="s">
        <v>1603</v>
      </c>
      <c r="E2230" s="9" t="s">
        <v>1589</v>
      </c>
      <c r="F2230" s="9" t="s">
        <v>1589</v>
      </c>
      <c r="G2230" s="9" t="s">
        <v>1592</v>
      </c>
      <c r="H2230" s="9" t="s">
        <v>168</v>
      </c>
      <c r="I2230" s="9" t="s">
        <v>3638</v>
      </c>
      <c r="J2230" s="9" t="s">
        <v>1612</v>
      </c>
      <c r="K2230" s="9">
        <v>1</v>
      </c>
      <c r="L2230" s="9">
        <v>22</v>
      </c>
      <c r="M2230" s="9">
        <v>2007</v>
      </c>
      <c r="O2230" s="9" t="str">
        <f t="shared" si="106"/>
        <v>NO</v>
      </c>
      <c r="P2230" s="9" t="str">
        <f t="shared" si="107"/>
        <v>NO</v>
      </c>
      <c r="Q2230" s="9" t="str">
        <f t="shared" si="108"/>
        <v>Conditioned</v>
      </c>
    </row>
    <row r="2231" spans="1:17">
      <c r="A2231" s="9">
        <v>23704</v>
      </c>
      <c r="B2231" s="9">
        <v>2</v>
      </c>
      <c r="C2231" s="9" t="s">
        <v>3639</v>
      </c>
      <c r="D2231" s="9" t="s">
        <v>1590</v>
      </c>
      <c r="E2231" s="9" t="s">
        <v>1591</v>
      </c>
      <c r="F2231" s="9" t="s">
        <v>1589</v>
      </c>
      <c r="G2231" s="9" t="s">
        <v>1606</v>
      </c>
      <c r="H2231" s="9" t="s">
        <v>168</v>
      </c>
      <c r="I2231" s="9" t="s">
        <v>1589</v>
      </c>
      <c r="J2231" s="9" t="s">
        <v>1587</v>
      </c>
      <c r="K2231" s="9">
        <v>1</v>
      </c>
      <c r="L2231" s="9">
        <v>18</v>
      </c>
      <c r="M2231" s="9">
        <v>2009</v>
      </c>
      <c r="O2231" s="9" t="str">
        <f t="shared" si="106"/>
        <v>NO</v>
      </c>
      <c r="P2231" s="9" t="str">
        <f t="shared" si="107"/>
        <v>YES</v>
      </c>
      <c r="Q2231" s="9" t="str">
        <f t="shared" si="108"/>
        <v>Unconditioned</v>
      </c>
    </row>
    <row r="2232" spans="1:17">
      <c r="A2232" s="9">
        <v>23705</v>
      </c>
      <c r="B2232" s="9">
        <v>1</v>
      </c>
      <c r="C2232" s="9" t="s">
        <v>1589</v>
      </c>
      <c r="D2232" s="9" t="s">
        <v>1590</v>
      </c>
      <c r="E2232" s="9" t="s">
        <v>1591</v>
      </c>
      <c r="F2232" s="9" t="s">
        <v>1589</v>
      </c>
      <c r="G2232" s="9" t="s">
        <v>1606</v>
      </c>
      <c r="H2232" s="9" t="s">
        <v>169</v>
      </c>
      <c r="I2232" s="9" t="s">
        <v>3640</v>
      </c>
      <c r="J2232" s="9" t="s">
        <v>1605</v>
      </c>
      <c r="K2232" s="9">
        <v>1</v>
      </c>
      <c r="L2232" s="9">
        <v>25</v>
      </c>
      <c r="M2232" s="9">
        <v>2010</v>
      </c>
      <c r="O2232" s="9" t="str">
        <f t="shared" si="106"/>
        <v>NO</v>
      </c>
      <c r="P2232" s="9" t="str">
        <f t="shared" si="107"/>
        <v>YES</v>
      </c>
      <c r="Q2232" s="9" t="str">
        <f t="shared" si="108"/>
        <v>Unconditioned</v>
      </c>
    </row>
    <row r="2233" spans="1:17">
      <c r="A2233" s="9">
        <v>23705</v>
      </c>
      <c r="B2233" s="9">
        <v>2</v>
      </c>
      <c r="C2233" s="9" t="s">
        <v>1589</v>
      </c>
      <c r="D2233" s="9" t="s">
        <v>1590</v>
      </c>
      <c r="E2233" s="9" t="s">
        <v>1591</v>
      </c>
      <c r="F2233" s="9" t="s">
        <v>1589</v>
      </c>
      <c r="G2233" s="9" t="s">
        <v>1592</v>
      </c>
      <c r="H2233" s="9" t="s">
        <v>177</v>
      </c>
      <c r="I2233" s="9" t="s">
        <v>3641</v>
      </c>
      <c r="J2233" s="9" t="s">
        <v>1597</v>
      </c>
      <c r="K2233" s="9">
        <v>1</v>
      </c>
      <c r="L2233" s="9">
        <v>28</v>
      </c>
      <c r="M2233" s="9">
        <v>2003</v>
      </c>
      <c r="O2233" s="9" t="str">
        <f t="shared" si="106"/>
        <v>NO</v>
      </c>
      <c r="P2233" s="9" t="str">
        <f t="shared" si="107"/>
        <v>NO</v>
      </c>
      <c r="Q2233" s="9" t="str">
        <f t="shared" si="108"/>
        <v>Conditioned</v>
      </c>
    </row>
    <row r="2234" spans="1:17">
      <c r="A2234" s="9">
        <v>23710</v>
      </c>
      <c r="B2234" s="9">
        <v>1</v>
      </c>
      <c r="C2234" s="9" t="s">
        <v>1589</v>
      </c>
      <c r="D2234" s="9" t="s">
        <v>1590</v>
      </c>
      <c r="E2234" s="9" t="s">
        <v>1613</v>
      </c>
      <c r="F2234" s="9" t="s">
        <v>1603</v>
      </c>
      <c r="G2234" s="9" t="s">
        <v>1592</v>
      </c>
      <c r="H2234" s="9" t="s">
        <v>170</v>
      </c>
      <c r="I2234" s="9" t="s">
        <v>3642</v>
      </c>
      <c r="J2234" s="9" t="s">
        <v>1608</v>
      </c>
      <c r="K2234" s="9">
        <v>1</v>
      </c>
      <c r="L2234" s="9">
        <v>24</v>
      </c>
      <c r="M2234" s="9">
        <v>2005</v>
      </c>
      <c r="O2234" s="9" t="str">
        <f t="shared" si="106"/>
        <v>NO</v>
      </c>
      <c r="P2234" s="9" t="str">
        <f t="shared" si="107"/>
        <v>NO</v>
      </c>
      <c r="Q2234" s="9" t="str">
        <f t="shared" si="108"/>
        <v>Conditioned</v>
      </c>
    </row>
    <row r="2235" spans="1:17">
      <c r="A2235" s="9">
        <v>23710</v>
      </c>
      <c r="B2235" s="9">
        <v>2</v>
      </c>
      <c r="C2235" s="9" t="s">
        <v>1589</v>
      </c>
      <c r="D2235" s="9" t="s">
        <v>1590</v>
      </c>
      <c r="E2235" s="9" t="s">
        <v>1591</v>
      </c>
      <c r="F2235" s="9" t="s">
        <v>1589</v>
      </c>
      <c r="G2235" s="9" t="s">
        <v>1606</v>
      </c>
      <c r="H2235" s="9" t="s">
        <v>170</v>
      </c>
      <c r="I2235" s="9" t="s">
        <v>3643</v>
      </c>
      <c r="J2235" s="9" t="s">
        <v>1605</v>
      </c>
      <c r="K2235" s="9">
        <v>1</v>
      </c>
      <c r="L2235" s="9">
        <v>21</v>
      </c>
      <c r="M2235" s="9">
        <v>2006</v>
      </c>
      <c r="O2235" s="9" t="str">
        <f t="shared" si="106"/>
        <v>NO</v>
      </c>
      <c r="P2235" s="9" t="str">
        <f t="shared" si="107"/>
        <v>YES</v>
      </c>
      <c r="Q2235" s="9" t="str">
        <f t="shared" si="108"/>
        <v>Unconditioned</v>
      </c>
    </row>
    <row r="2236" spans="1:17">
      <c r="A2236" s="9">
        <v>23714</v>
      </c>
      <c r="B2236" s="9">
        <v>1</v>
      </c>
      <c r="C2236" s="9" t="s">
        <v>1589</v>
      </c>
      <c r="D2236" s="9" t="s">
        <v>1590</v>
      </c>
      <c r="E2236" s="9" t="s">
        <v>1591</v>
      </c>
      <c r="F2236" s="9" t="s">
        <v>1589</v>
      </c>
      <c r="G2236" s="9" t="s">
        <v>1592</v>
      </c>
      <c r="H2236" s="9" t="s">
        <v>177</v>
      </c>
      <c r="I2236" s="9" t="s">
        <v>3644</v>
      </c>
      <c r="J2236" s="9" t="s">
        <v>1597</v>
      </c>
      <c r="K2236" s="9">
        <v>1</v>
      </c>
      <c r="L2236" s="9">
        <v>20</v>
      </c>
      <c r="M2236" s="9">
        <v>1995</v>
      </c>
      <c r="O2236" s="9" t="str">
        <f t="shared" si="106"/>
        <v>NO</v>
      </c>
      <c r="P2236" s="9" t="str">
        <f t="shared" si="107"/>
        <v>NO</v>
      </c>
      <c r="Q2236" s="9" t="str">
        <f t="shared" si="108"/>
        <v>Conditioned</v>
      </c>
    </row>
    <row r="2237" spans="1:17">
      <c r="A2237" s="9">
        <v>23720</v>
      </c>
      <c r="B2237" s="9">
        <v>1</v>
      </c>
      <c r="C2237" s="9" t="s">
        <v>1589</v>
      </c>
      <c r="D2237" s="9" t="s">
        <v>1590</v>
      </c>
      <c r="E2237" s="9" t="s">
        <v>1591</v>
      </c>
      <c r="F2237" s="9" t="s">
        <v>1589</v>
      </c>
      <c r="G2237" s="9" t="s">
        <v>1592</v>
      </c>
      <c r="H2237" s="9" t="s">
        <v>177</v>
      </c>
      <c r="I2237" s="9" t="s">
        <v>3645</v>
      </c>
      <c r="J2237" s="9" t="s">
        <v>1597</v>
      </c>
      <c r="K2237" s="9">
        <v>1</v>
      </c>
      <c r="L2237" s="9">
        <v>17</v>
      </c>
      <c r="M2237" s="9">
        <v>1980</v>
      </c>
      <c r="O2237" s="9" t="str">
        <f t="shared" si="106"/>
        <v>NO</v>
      </c>
      <c r="P2237" s="9" t="str">
        <f t="shared" si="107"/>
        <v>NO</v>
      </c>
      <c r="Q2237" s="9" t="str">
        <f t="shared" si="108"/>
        <v>Conditioned</v>
      </c>
    </row>
    <row r="2238" spans="1:17">
      <c r="A2238" s="9">
        <v>23720</v>
      </c>
      <c r="B2238" s="9">
        <v>2</v>
      </c>
      <c r="C2238" s="9" t="s">
        <v>1589</v>
      </c>
      <c r="D2238" s="9" t="s">
        <v>1590</v>
      </c>
      <c r="E2238" s="9" t="s">
        <v>1591</v>
      </c>
      <c r="F2238" s="9" t="s">
        <v>1589</v>
      </c>
      <c r="G2238" s="9" t="s">
        <v>1592</v>
      </c>
      <c r="H2238" s="9" t="s">
        <v>170</v>
      </c>
      <c r="I2238" s="9" t="s">
        <v>3646</v>
      </c>
      <c r="J2238" s="9" t="s">
        <v>1605</v>
      </c>
      <c r="K2238" s="9">
        <v>1</v>
      </c>
      <c r="L2238" s="9">
        <v>16</v>
      </c>
      <c r="M2238" s="9">
        <v>1992</v>
      </c>
      <c r="O2238" s="9" t="str">
        <f t="shared" si="106"/>
        <v>NO</v>
      </c>
      <c r="P2238" s="9" t="str">
        <f t="shared" si="107"/>
        <v>YES</v>
      </c>
      <c r="Q2238" s="9" t="str">
        <f t="shared" si="108"/>
        <v>Conditioned</v>
      </c>
    </row>
    <row r="2239" spans="1:17">
      <c r="A2239" s="9">
        <v>23720</v>
      </c>
      <c r="B2239" s="9">
        <v>3</v>
      </c>
      <c r="C2239" s="9" t="s">
        <v>1589</v>
      </c>
      <c r="D2239" s="9" t="s">
        <v>1590</v>
      </c>
      <c r="E2239" s="9" t="s">
        <v>1591</v>
      </c>
      <c r="F2239" s="9" t="s">
        <v>1589</v>
      </c>
      <c r="G2239" s="9" t="s">
        <v>1592</v>
      </c>
      <c r="H2239" s="9" t="s">
        <v>174</v>
      </c>
      <c r="I2239" s="9" t="s">
        <v>3647</v>
      </c>
      <c r="J2239" s="9" t="s">
        <v>1587</v>
      </c>
      <c r="K2239" s="9">
        <v>1</v>
      </c>
      <c r="L2239" s="9">
        <v>28</v>
      </c>
      <c r="M2239" s="9">
        <v>1990</v>
      </c>
      <c r="O2239" s="9" t="str">
        <f t="shared" si="106"/>
        <v>NO</v>
      </c>
      <c r="P2239" s="9" t="str">
        <f t="shared" si="107"/>
        <v>YES</v>
      </c>
      <c r="Q2239" s="9" t="str">
        <f t="shared" si="108"/>
        <v>Conditioned</v>
      </c>
    </row>
    <row r="2240" spans="1:17">
      <c r="A2240" s="9">
        <v>23720</v>
      </c>
      <c r="B2240" s="9">
        <v>4</v>
      </c>
      <c r="C2240" s="9" t="s">
        <v>1589</v>
      </c>
      <c r="D2240" s="9" t="s">
        <v>1590</v>
      </c>
      <c r="E2240" s="9" t="s">
        <v>1591</v>
      </c>
      <c r="F2240" s="9" t="s">
        <v>1589</v>
      </c>
      <c r="G2240" s="9" t="s">
        <v>1592</v>
      </c>
      <c r="H2240" s="9" t="s">
        <v>1678</v>
      </c>
      <c r="I2240" s="9" t="s">
        <v>3648</v>
      </c>
      <c r="J2240" s="9" t="s">
        <v>1605</v>
      </c>
      <c r="K2240" s="9">
        <v>1</v>
      </c>
      <c r="L2240" s="9">
        <v>21</v>
      </c>
      <c r="M2240" s="9">
        <v>1984</v>
      </c>
      <c r="O2240" s="9" t="str">
        <f t="shared" si="106"/>
        <v>NO</v>
      </c>
      <c r="P2240" s="9" t="str">
        <f t="shared" si="107"/>
        <v>YES</v>
      </c>
      <c r="Q2240" s="9" t="str">
        <f t="shared" si="108"/>
        <v>Conditioned</v>
      </c>
    </row>
    <row r="2241" spans="1:17">
      <c r="A2241" s="9">
        <v>23720</v>
      </c>
      <c r="B2241" s="9">
        <v>5</v>
      </c>
      <c r="C2241" s="9" t="s">
        <v>1589</v>
      </c>
      <c r="D2241" s="9" t="s">
        <v>1590</v>
      </c>
      <c r="E2241" s="9" t="s">
        <v>1602</v>
      </c>
      <c r="F2241" s="9" t="s">
        <v>1603</v>
      </c>
      <c r="G2241" s="9" t="s">
        <v>1592</v>
      </c>
      <c r="H2241" s="9" t="s">
        <v>170</v>
      </c>
      <c r="I2241" s="9" t="s">
        <v>3649</v>
      </c>
      <c r="J2241" s="9" t="s">
        <v>1601</v>
      </c>
      <c r="K2241" s="9">
        <v>1</v>
      </c>
      <c r="L2241" s="9">
        <v>25</v>
      </c>
      <c r="M2241" s="9">
        <v>2008</v>
      </c>
      <c r="O2241" s="9" t="str">
        <f t="shared" si="106"/>
        <v>NO</v>
      </c>
      <c r="P2241" s="9" t="str">
        <f t="shared" si="107"/>
        <v>NO</v>
      </c>
      <c r="Q2241" s="9" t="str">
        <f t="shared" si="108"/>
        <v>Conditioned</v>
      </c>
    </row>
    <row r="2242" spans="1:17">
      <c r="A2242" s="9">
        <v>23721</v>
      </c>
      <c r="B2242" s="9">
        <v>1</v>
      </c>
      <c r="C2242" s="9" t="s">
        <v>1589</v>
      </c>
      <c r="D2242" s="9" t="s">
        <v>1590</v>
      </c>
      <c r="E2242" s="9" t="s">
        <v>1613</v>
      </c>
      <c r="F2242" s="9" t="s">
        <v>1590</v>
      </c>
      <c r="G2242" s="9" t="s">
        <v>1592</v>
      </c>
      <c r="H2242" s="9" t="s">
        <v>1599</v>
      </c>
      <c r="I2242" s="9" t="s">
        <v>3650</v>
      </c>
      <c r="J2242" s="9" t="s">
        <v>1597</v>
      </c>
      <c r="K2242" s="9">
        <v>1</v>
      </c>
      <c r="L2242" s="9">
        <v>15</v>
      </c>
      <c r="M2242" s="9">
        <v>1961</v>
      </c>
      <c r="O2242" s="9" t="str">
        <f t="shared" si="106"/>
        <v>NO</v>
      </c>
      <c r="P2242" s="9" t="str">
        <f t="shared" si="107"/>
        <v>NO</v>
      </c>
      <c r="Q2242" s="9" t="str">
        <f t="shared" si="108"/>
        <v>Conditioned</v>
      </c>
    </row>
    <row r="2243" spans="1:17">
      <c r="A2243" s="9">
        <v>23724</v>
      </c>
      <c r="B2243" s="9">
        <v>1</v>
      </c>
      <c r="C2243" s="9" t="s">
        <v>1589</v>
      </c>
      <c r="D2243" s="9" t="s">
        <v>1590</v>
      </c>
      <c r="E2243" s="9" t="s">
        <v>1591</v>
      </c>
      <c r="F2243" s="9" t="s">
        <v>1589</v>
      </c>
      <c r="G2243" s="9" t="s">
        <v>1592</v>
      </c>
      <c r="H2243" s="9" t="s">
        <v>177</v>
      </c>
      <c r="I2243" s="9" t="s">
        <v>3651</v>
      </c>
      <c r="J2243" s="9" t="s">
        <v>1597</v>
      </c>
      <c r="K2243" s="9">
        <v>1</v>
      </c>
      <c r="L2243" s="9">
        <v>22</v>
      </c>
      <c r="M2243" s="9">
        <v>2003</v>
      </c>
      <c r="O2243" s="9" t="str">
        <f t="shared" si="106"/>
        <v>NO</v>
      </c>
      <c r="P2243" s="9" t="str">
        <f t="shared" si="107"/>
        <v>NO</v>
      </c>
      <c r="Q2243" s="9" t="str">
        <f t="shared" si="108"/>
        <v>Conditioned</v>
      </c>
    </row>
    <row r="2244" spans="1:17">
      <c r="A2244" s="9">
        <v>23734</v>
      </c>
      <c r="B2244" s="9">
        <v>1</v>
      </c>
      <c r="C2244" s="9" t="s">
        <v>1589</v>
      </c>
      <c r="D2244" s="9" t="s">
        <v>1590</v>
      </c>
      <c r="E2244" s="9" t="s">
        <v>1602</v>
      </c>
      <c r="F2244" s="9" t="s">
        <v>1603</v>
      </c>
      <c r="G2244" s="9" t="s">
        <v>1592</v>
      </c>
      <c r="H2244" s="9" t="s">
        <v>177</v>
      </c>
      <c r="I2244" s="9" t="s">
        <v>3652</v>
      </c>
      <c r="J2244" s="9" t="s">
        <v>1601</v>
      </c>
      <c r="K2244" s="9">
        <v>1</v>
      </c>
      <c r="L2244" s="9">
        <v>24</v>
      </c>
      <c r="M2244" s="9">
        <v>1994</v>
      </c>
      <c r="O2244" s="9" t="str">
        <f t="shared" si="106"/>
        <v>NO</v>
      </c>
      <c r="P2244" s="9" t="str">
        <f t="shared" si="107"/>
        <v>NO</v>
      </c>
      <c r="Q2244" s="9" t="str">
        <f t="shared" si="108"/>
        <v>Conditioned</v>
      </c>
    </row>
    <row r="2245" spans="1:17">
      <c r="A2245" s="9">
        <v>23734</v>
      </c>
      <c r="B2245" s="9">
        <v>2</v>
      </c>
      <c r="C2245" s="9" t="s">
        <v>1589</v>
      </c>
      <c r="D2245" s="9" t="s">
        <v>1590</v>
      </c>
      <c r="E2245" s="9" t="s">
        <v>1591</v>
      </c>
      <c r="F2245" s="9" t="s">
        <v>1589</v>
      </c>
      <c r="G2245" s="9" t="s">
        <v>1606</v>
      </c>
      <c r="H2245" s="9" t="s">
        <v>1624</v>
      </c>
      <c r="I2245" s="9" t="s">
        <v>1589</v>
      </c>
      <c r="J2245" s="9" t="s">
        <v>1605</v>
      </c>
      <c r="K2245" s="9">
        <v>1</v>
      </c>
      <c r="L2245" s="9">
        <v>16</v>
      </c>
      <c r="M2245" s="9">
        <v>1970</v>
      </c>
      <c r="O2245" s="9" t="str">
        <f t="shared" si="106"/>
        <v>NO</v>
      </c>
      <c r="P2245" s="9" t="str">
        <f t="shared" si="107"/>
        <v>YES</v>
      </c>
      <c r="Q2245" s="9" t="str">
        <f t="shared" si="108"/>
        <v>Unconditioned</v>
      </c>
    </row>
    <row r="2246" spans="1:17">
      <c r="A2246" s="9">
        <v>23742</v>
      </c>
      <c r="B2246" s="9">
        <v>1</v>
      </c>
      <c r="C2246" s="9" t="s">
        <v>1589</v>
      </c>
      <c r="D2246" s="9" t="s">
        <v>1590</v>
      </c>
      <c r="E2246" s="9" t="s">
        <v>1613</v>
      </c>
      <c r="F2246" s="9" t="s">
        <v>1603</v>
      </c>
      <c r="G2246" s="9" t="s">
        <v>1592</v>
      </c>
      <c r="H2246" s="9" t="s">
        <v>170</v>
      </c>
      <c r="I2246" s="9" t="s">
        <v>3653</v>
      </c>
      <c r="J2246" s="9" t="s">
        <v>1608</v>
      </c>
      <c r="K2246" s="9">
        <v>1</v>
      </c>
      <c r="L2246" s="9">
        <v>30</v>
      </c>
      <c r="M2246" s="9">
        <v>2000</v>
      </c>
      <c r="O2246" s="9" t="str">
        <f t="shared" si="106"/>
        <v>NO</v>
      </c>
      <c r="P2246" s="9" t="str">
        <f t="shared" si="107"/>
        <v>NO</v>
      </c>
      <c r="Q2246" s="9" t="str">
        <f t="shared" si="108"/>
        <v>Conditioned</v>
      </c>
    </row>
    <row r="2247" spans="1:17">
      <c r="A2247" s="9">
        <v>23742</v>
      </c>
      <c r="B2247" s="9">
        <v>2</v>
      </c>
      <c r="C2247" s="9" t="s">
        <v>3654</v>
      </c>
      <c r="D2247" s="9" t="s">
        <v>1590</v>
      </c>
      <c r="E2247" s="9" t="s">
        <v>1591</v>
      </c>
      <c r="F2247" s="9" t="s">
        <v>1589</v>
      </c>
      <c r="G2247" s="9" t="s">
        <v>1606</v>
      </c>
      <c r="H2247" s="9" t="s">
        <v>170</v>
      </c>
      <c r="I2247" s="9" t="s">
        <v>1589</v>
      </c>
      <c r="J2247" s="9" t="s">
        <v>1589</v>
      </c>
      <c r="K2247" s="9">
        <v>1</v>
      </c>
      <c r="L2247" s="9">
        <v>7</v>
      </c>
      <c r="O2247" s="9" t="str">
        <f t="shared" si="106"/>
        <v>YES</v>
      </c>
      <c r="P2247" s="9" t="e">
        <f t="shared" si="107"/>
        <v>#N/A</v>
      </c>
      <c r="Q2247" s="9" t="str">
        <f t="shared" si="108"/>
        <v>Unconditioned</v>
      </c>
    </row>
    <row r="2248" spans="1:17">
      <c r="A2248" s="9">
        <v>23742</v>
      </c>
      <c r="B2248" s="9">
        <v>3</v>
      </c>
      <c r="C2248" s="9" t="s">
        <v>1589</v>
      </c>
      <c r="D2248" s="9" t="s">
        <v>1590</v>
      </c>
      <c r="E2248" s="9" t="s">
        <v>1602</v>
      </c>
      <c r="F2248" s="9" t="s">
        <v>1603</v>
      </c>
      <c r="G2248" s="9" t="s">
        <v>1606</v>
      </c>
      <c r="H2248" s="9" t="s">
        <v>174</v>
      </c>
      <c r="I2248" s="9" t="s">
        <v>3655</v>
      </c>
      <c r="J2248" s="9" t="s">
        <v>1601</v>
      </c>
      <c r="K2248" s="9">
        <v>1</v>
      </c>
      <c r="L2248" s="9">
        <v>21</v>
      </c>
      <c r="M2248" s="9">
        <v>2010</v>
      </c>
      <c r="O2248" s="9" t="str">
        <f t="shared" si="106"/>
        <v>NO</v>
      </c>
      <c r="P2248" s="9" t="str">
        <f t="shared" si="107"/>
        <v>NO</v>
      </c>
      <c r="Q2248" s="9" t="str">
        <f t="shared" si="108"/>
        <v>Unconditioned</v>
      </c>
    </row>
    <row r="2249" spans="1:17">
      <c r="A2249" s="9">
        <v>23742</v>
      </c>
      <c r="B2249" s="9">
        <v>4</v>
      </c>
      <c r="C2249" s="9" t="s">
        <v>3656</v>
      </c>
      <c r="D2249" s="9" t="s">
        <v>1590</v>
      </c>
      <c r="E2249" s="9" t="s">
        <v>1591</v>
      </c>
      <c r="F2249" s="9" t="s">
        <v>1589</v>
      </c>
      <c r="G2249" s="9" t="s">
        <v>1606</v>
      </c>
      <c r="H2249" s="9" t="s">
        <v>1624</v>
      </c>
      <c r="I2249" s="9" t="s">
        <v>3657</v>
      </c>
      <c r="J2249" s="9" t="s">
        <v>1587</v>
      </c>
      <c r="K2249" s="9">
        <v>0.75</v>
      </c>
      <c r="L2249" s="9">
        <v>15</v>
      </c>
      <c r="O2249" s="9" t="str">
        <f t="shared" si="106"/>
        <v>NO</v>
      </c>
      <c r="P2249" s="9" t="str">
        <f t="shared" si="107"/>
        <v>YES</v>
      </c>
      <c r="Q2249" s="9" t="str">
        <f t="shared" si="108"/>
        <v>Unconditioned</v>
      </c>
    </row>
    <row r="2250" spans="1:17">
      <c r="A2250" s="9">
        <v>23744</v>
      </c>
      <c r="B2250" s="9">
        <v>1</v>
      </c>
      <c r="C2250" s="9" t="s">
        <v>1589</v>
      </c>
      <c r="D2250" s="9" t="s">
        <v>1590</v>
      </c>
      <c r="E2250" s="9" t="s">
        <v>1591</v>
      </c>
      <c r="F2250" s="9" t="s">
        <v>1589</v>
      </c>
      <c r="G2250" s="9" t="s">
        <v>1592</v>
      </c>
      <c r="H2250" s="9" t="s">
        <v>177</v>
      </c>
      <c r="I2250" s="9" t="s">
        <v>3658</v>
      </c>
      <c r="J2250" s="9" t="s">
        <v>1597</v>
      </c>
      <c r="K2250" s="9">
        <v>1</v>
      </c>
      <c r="L2250" s="9">
        <v>22</v>
      </c>
      <c r="M2250" s="9">
        <v>2006</v>
      </c>
      <c r="O2250" s="9" t="str">
        <f t="shared" si="106"/>
        <v>NO</v>
      </c>
      <c r="P2250" s="9" t="str">
        <f t="shared" si="107"/>
        <v>NO</v>
      </c>
      <c r="Q2250" s="9" t="str">
        <f t="shared" si="108"/>
        <v>Conditioned</v>
      </c>
    </row>
    <row r="2251" spans="1:17">
      <c r="A2251" s="9">
        <v>23744</v>
      </c>
      <c r="B2251" s="9">
        <v>2</v>
      </c>
      <c r="C2251" s="9" t="s">
        <v>1589</v>
      </c>
      <c r="D2251" s="9" t="s">
        <v>1590</v>
      </c>
      <c r="E2251" s="9" t="s">
        <v>1591</v>
      </c>
      <c r="F2251" s="9" t="s">
        <v>1589</v>
      </c>
      <c r="G2251" s="9" t="s">
        <v>1592</v>
      </c>
      <c r="H2251" s="9" t="s">
        <v>1638</v>
      </c>
      <c r="I2251" s="9" t="s">
        <v>3659</v>
      </c>
      <c r="J2251" s="9" t="s">
        <v>1605</v>
      </c>
      <c r="K2251" s="9">
        <v>1</v>
      </c>
      <c r="L2251" s="9">
        <v>16</v>
      </c>
      <c r="M2251" s="9">
        <v>1987</v>
      </c>
      <c r="O2251" s="9" t="str">
        <f t="shared" si="106"/>
        <v>NO</v>
      </c>
      <c r="P2251" s="9" t="str">
        <f t="shared" si="107"/>
        <v>YES</v>
      </c>
      <c r="Q2251" s="9" t="str">
        <f t="shared" si="108"/>
        <v>Conditioned</v>
      </c>
    </row>
    <row r="2252" spans="1:17">
      <c r="A2252" s="9">
        <v>23746</v>
      </c>
      <c r="B2252" s="9">
        <v>1</v>
      </c>
      <c r="C2252" s="9" t="s">
        <v>1589</v>
      </c>
      <c r="D2252" s="9" t="s">
        <v>1590</v>
      </c>
      <c r="E2252" s="9" t="s">
        <v>1613</v>
      </c>
      <c r="F2252" s="9" t="s">
        <v>1603</v>
      </c>
      <c r="G2252" s="9" t="s">
        <v>1592</v>
      </c>
      <c r="H2252" s="9" t="s">
        <v>170</v>
      </c>
      <c r="I2252" s="9" t="s">
        <v>3660</v>
      </c>
      <c r="J2252" s="9" t="s">
        <v>1597</v>
      </c>
      <c r="K2252" s="9">
        <v>1</v>
      </c>
      <c r="L2252" s="9">
        <v>20</v>
      </c>
      <c r="M2252" s="9">
        <v>2006</v>
      </c>
      <c r="O2252" s="9" t="str">
        <f t="shared" si="106"/>
        <v>NO</v>
      </c>
      <c r="P2252" s="9" t="str">
        <f t="shared" si="107"/>
        <v>NO</v>
      </c>
      <c r="Q2252" s="9" t="str">
        <f t="shared" si="108"/>
        <v>Conditioned</v>
      </c>
    </row>
    <row r="2253" spans="1:17">
      <c r="A2253" s="9">
        <v>23756</v>
      </c>
      <c r="B2253" s="9">
        <v>1</v>
      </c>
      <c r="C2253" s="9" t="s">
        <v>1589</v>
      </c>
      <c r="D2253" s="9" t="s">
        <v>1590</v>
      </c>
      <c r="E2253" s="9" t="s">
        <v>1591</v>
      </c>
      <c r="F2253" s="9" t="s">
        <v>1589</v>
      </c>
      <c r="G2253" s="9" t="s">
        <v>1592</v>
      </c>
      <c r="H2253" s="9" t="s">
        <v>1552</v>
      </c>
      <c r="I2253" s="9" t="s">
        <v>3661</v>
      </c>
      <c r="J2253" s="9" t="s">
        <v>1601</v>
      </c>
      <c r="K2253" s="9">
        <v>1</v>
      </c>
      <c r="L2253" s="9">
        <v>20</v>
      </c>
      <c r="M2253" s="9">
        <v>1996</v>
      </c>
      <c r="O2253" s="9" t="str">
        <f t="shared" si="106"/>
        <v>NO</v>
      </c>
      <c r="P2253" s="9" t="str">
        <f t="shared" si="107"/>
        <v>NO</v>
      </c>
      <c r="Q2253" s="9" t="str">
        <f t="shared" si="108"/>
        <v>Conditioned</v>
      </c>
    </row>
    <row r="2254" spans="1:17">
      <c r="A2254" s="9">
        <v>23756</v>
      </c>
      <c r="B2254" s="9">
        <v>2</v>
      </c>
      <c r="C2254" s="9" t="s">
        <v>1589</v>
      </c>
      <c r="D2254" s="9" t="s">
        <v>1590</v>
      </c>
      <c r="E2254" s="9" t="s">
        <v>1591</v>
      </c>
      <c r="F2254" s="9" t="s">
        <v>1589</v>
      </c>
      <c r="G2254" s="9" t="s">
        <v>1592</v>
      </c>
      <c r="H2254" s="9" t="s">
        <v>3662</v>
      </c>
      <c r="I2254" s="9" t="s">
        <v>1589</v>
      </c>
      <c r="J2254" s="9" t="s">
        <v>1587</v>
      </c>
      <c r="K2254" s="9">
        <v>1</v>
      </c>
      <c r="L2254" s="9">
        <v>25</v>
      </c>
      <c r="O2254" s="9" t="str">
        <f t="shared" si="106"/>
        <v>NO</v>
      </c>
      <c r="P2254" s="9" t="str">
        <f t="shared" si="107"/>
        <v>YES</v>
      </c>
      <c r="Q2254" s="9" t="str">
        <f t="shared" si="108"/>
        <v>Conditioned</v>
      </c>
    </row>
    <row r="2255" spans="1:17">
      <c r="A2255" s="9">
        <v>23762</v>
      </c>
      <c r="B2255" s="9">
        <v>1</v>
      </c>
      <c r="C2255" s="9" t="s">
        <v>1589</v>
      </c>
      <c r="D2255" s="9" t="s">
        <v>1590</v>
      </c>
      <c r="E2255" s="9" t="s">
        <v>1613</v>
      </c>
      <c r="F2255" s="9" t="s">
        <v>1603</v>
      </c>
      <c r="G2255" s="9" t="s">
        <v>1592</v>
      </c>
      <c r="H2255" s="9" t="s">
        <v>1624</v>
      </c>
      <c r="I2255" s="9" t="s">
        <v>3663</v>
      </c>
      <c r="J2255" s="9" t="s">
        <v>1597</v>
      </c>
      <c r="K2255" s="9">
        <v>1</v>
      </c>
      <c r="L2255" s="9">
        <v>20</v>
      </c>
      <c r="M2255" s="9">
        <v>2011</v>
      </c>
      <c r="O2255" s="9" t="str">
        <f t="shared" si="106"/>
        <v>NO</v>
      </c>
      <c r="P2255" s="9" t="str">
        <f t="shared" si="107"/>
        <v>NO</v>
      </c>
      <c r="Q2255" s="9" t="str">
        <f t="shared" si="108"/>
        <v>Conditioned</v>
      </c>
    </row>
    <row r="2256" spans="1:17">
      <c r="A2256" s="9">
        <v>23762</v>
      </c>
      <c r="B2256" s="9">
        <v>2</v>
      </c>
      <c r="C2256" s="9" t="s">
        <v>1589</v>
      </c>
      <c r="D2256" s="9" t="s">
        <v>1590</v>
      </c>
      <c r="E2256" s="9" t="s">
        <v>1591</v>
      </c>
      <c r="F2256" s="9" t="s">
        <v>1589</v>
      </c>
      <c r="G2256" s="9" t="s">
        <v>1592</v>
      </c>
      <c r="H2256" s="9" t="s">
        <v>1638</v>
      </c>
      <c r="I2256" s="9" t="s">
        <v>3664</v>
      </c>
      <c r="J2256" s="9" t="s">
        <v>1587</v>
      </c>
      <c r="K2256" s="9">
        <v>1</v>
      </c>
      <c r="L2256" s="9">
        <v>10</v>
      </c>
      <c r="M2256" s="9">
        <v>2006</v>
      </c>
      <c r="O2256" s="9" t="str">
        <f t="shared" si="106"/>
        <v>NO</v>
      </c>
      <c r="P2256" s="9" t="str">
        <f t="shared" si="107"/>
        <v>YES</v>
      </c>
      <c r="Q2256" s="9" t="str">
        <f t="shared" si="108"/>
        <v>Conditioned</v>
      </c>
    </row>
    <row r="2257" spans="1:17">
      <c r="A2257" s="9">
        <v>23763</v>
      </c>
      <c r="B2257" s="9">
        <v>1</v>
      </c>
      <c r="C2257" s="9" t="s">
        <v>1589</v>
      </c>
      <c r="D2257" s="9" t="s">
        <v>1590</v>
      </c>
      <c r="E2257" s="9" t="s">
        <v>1591</v>
      </c>
      <c r="F2257" s="9" t="s">
        <v>1589</v>
      </c>
      <c r="G2257" s="9" t="s">
        <v>1592</v>
      </c>
      <c r="H2257" s="9" t="s">
        <v>173</v>
      </c>
      <c r="I2257" s="9" t="s">
        <v>3665</v>
      </c>
      <c r="J2257" s="9" t="s">
        <v>1597</v>
      </c>
      <c r="K2257" s="9">
        <v>1</v>
      </c>
      <c r="L2257" s="9">
        <v>18</v>
      </c>
      <c r="M2257" s="9">
        <v>1980</v>
      </c>
      <c r="O2257" s="9" t="str">
        <f t="shared" si="106"/>
        <v>NO</v>
      </c>
      <c r="P2257" s="9" t="str">
        <f t="shared" si="107"/>
        <v>NO</v>
      </c>
      <c r="Q2257" s="9" t="str">
        <f t="shared" si="108"/>
        <v>Conditioned</v>
      </c>
    </row>
    <row r="2258" spans="1:17">
      <c r="A2258" s="9">
        <v>23763</v>
      </c>
      <c r="B2258" s="9">
        <v>2</v>
      </c>
      <c r="C2258" s="9" t="s">
        <v>1589</v>
      </c>
      <c r="D2258" s="9" t="s">
        <v>1590</v>
      </c>
      <c r="E2258" s="9" t="s">
        <v>1591</v>
      </c>
      <c r="F2258" s="9" t="s">
        <v>1589</v>
      </c>
      <c r="G2258" s="9" t="s">
        <v>1592</v>
      </c>
      <c r="H2258" s="9" t="s">
        <v>170</v>
      </c>
      <c r="I2258" s="9" t="s">
        <v>1589</v>
      </c>
      <c r="J2258" s="9" t="s">
        <v>1587</v>
      </c>
      <c r="K2258" s="9">
        <v>1</v>
      </c>
      <c r="L2258" s="9">
        <v>20</v>
      </c>
      <c r="M2258" s="9">
        <v>2000</v>
      </c>
      <c r="O2258" s="9" t="str">
        <f t="shared" si="106"/>
        <v>NO</v>
      </c>
      <c r="P2258" s="9" t="str">
        <f t="shared" si="107"/>
        <v>YES</v>
      </c>
      <c r="Q2258" s="9" t="str">
        <f t="shared" si="108"/>
        <v>Conditioned</v>
      </c>
    </row>
    <row r="2259" spans="1:17">
      <c r="A2259" s="9">
        <v>23765</v>
      </c>
      <c r="B2259" s="9">
        <v>1</v>
      </c>
      <c r="C2259" s="9" t="s">
        <v>1589</v>
      </c>
      <c r="D2259" s="9" t="s">
        <v>1590</v>
      </c>
      <c r="E2259" s="9" t="s">
        <v>1602</v>
      </c>
      <c r="F2259" s="9" t="s">
        <v>1603</v>
      </c>
      <c r="G2259" s="9" t="s">
        <v>1592</v>
      </c>
      <c r="H2259" s="9" t="s">
        <v>177</v>
      </c>
      <c r="I2259" s="9" t="s">
        <v>3666</v>
      </c>
      <c r="J2259" s="9" t="s">
        <v>1601</v>
      </c>
      <c r="K2259" s="9">
        <v>1</v>
      </c>
      <c r="L2259" s="9">
        <v>22</v>
      </c>
      <c r="M2259" s="9">
        <v>1994</v>
      </c>
      <c r="O2259" s="9" t="str">
        <f t="shared" si="106"/>
        <v>NO</v>
      </c>
      <c r="P2259" s="9" t="str">
        <f t="shared" si="107"/>
        <v>NO</v>
      </c>
      <c r="Q2259" s="9" t="str">
        <f t="shared" si="108"/>
        <v>Conditioned</v>
      </c>
    </row>
    <row r="2260" spans="1:17">
      <c r="A2260" s="9">
        <v>23765</v>
      </c>
      <c r="B2260" s="9">
        <v>2</v>
      </c>
      <c r="C2260" s="9" t="s">
        <v>1589</v>
      </c>
      <c r="D2260" s="9" t="s">
        <v>1590</v>
      </c>
      <c r="E2260" s="9" t="s">
        <v>1591</v>
      </c>
      <c r="F2260" s="9" t="s">
        <v>1589</v>
      </c>
      <c r="G2260" s="9" t="s">
        <v>1592</v>
      </c>
      <c r="H2260" s="9" t="s">
        <v>1766</v>
      </c>
      <c r="I2260" s="9" t="s">
        <v>3667</v>
      </c>
      <c r="J2260" s="9" t="s">
        <v>1587</v>
      </c>
      <c r="K2260" s="9">
        <v>1</v>
      </c>
      <c r="L2260" s="9">
        <v>24</v>
      </c>
      <c r="M2260" s="9">
        <v>1981</v>
      </c>
      <c r="O2260" s="9" t="str">
        <f t="shared" si="106"/>
        <v>NO</v>
      </c>
      <c r="P2260" s="9" t="str">
        <f t="shared" si="107"/>
        <v>YES</v>
      </c>
      <c r="Q2260" s="9" t="str">
        <f t="shared" si="108"/>
        <v>Conditioned</v>
      </c>
    </row>
    <row r="2261" spans="1:17">
      <c r="A2261" s="9">
        <v>23788</v>
      </c>
      <c r="B2261" s="9">
        <v>1</v>
      </c>
      <c r="C2261" s="9" t="s">
        <v>1589</v>
      </c>
      <c r="D2261" s="9" t="s">
        <v>1590</v>
      </c>
      <c r="E2261" s="9" t="s">
        <v>1591</v>
      </c>
      <c r="F2261" s="9" t="s">
        <v>1589</v>
      </c>
      <c r="G2261" s="9" t="s">
        <v>1592</v>
      </c>
      <c r="H2261" s="9" t="s">
        <v>1638</v>
      </c>
      <c r="I2261" s="9" t="s">
        <v>3668</v>
      </c>
      <c r="J2261" s="9" t="s">
        <v>1597</v>
      </c>
      <c r="K2261" s="9">
        <v>1</v>
      </c>
      <c r="L2261" s="9">
        <v>14</v>
      </c>
      <c r="M2261" s="9">
        <v>1978</v>
      </c>
      <c r="O2261" s="9" t="str">
        <f t="shared" si="106"/>
        <v>NO</v>
      </c>
      <c r="P2261" s="9" t="str">
        <f t="shared" si="107"/>
        <v>NO</v>
      </c>
      <c r="Q2261" s="9" t="str">
        <f t="shared" si="108"/>
        <v>Conditioned</v>
      </c>
    </row>
    <row r="2262" spans="1:17">
      <c r="A2262" s="9">
        <v>23788</v>
      </c>
      <c r="B2262" s="9">
        <v>2</v>
      </c>
      <c r="C2262" s="9" t="s">
        <v>1589</v>
      </c>
      <c r="D2262" s="9" t="s">
        <v>1590</v>
      </c>
      <c r="E2262" s="9" t="s">
        <v>1591</v>
      </c>
      <c r="F2262" s="9" t="s">
        <v>1589</v>
      </c>
      <c r="G2262" s="9" t="s">
        <v>1592</v>
      </c>
      <c r="H2262" s="9" t="s">
        <v>1638</v>
      </c>
      <c r="I2262" s="9" t="s">
        <v>1589</v>
      </c>
      <c r="J2262" s="9" t="s">
        <v>1587</v>
      </c>
      <c r="K2262" s="9">
        <v>1</v>
      </c>
      <c r="L2262" s="9">
        <v>12</v>
      </c>
      <c r="O2262" s="9" t="str">
        <f t="shared" si="106"/>
        <v>NO</v>
      </c>
      <c r="P2262" s="9" t="str">
        <f t="shared" si="107"/>
        <v>YES</v>
      </c>
      <c r="Q2262" s="9" t="str">
        <f t="shared" si="108"/>
        <v>Conditioned</v>
      </c>
    </row>
    <row r="2263" spans="1:17">
      <c r="A2263" s="9">
        <v>23791</v>
      </c>
      <c r="B2263" s="9">
        <v>1</v>
      </c>
      <c r="C2263" s="9" t="s">
        <v>1589</v>
      </c>
      <c r="D2263" s="9" t="s">
        <v>1590</v>
      </c>
      <c r="E2263" s="9" t="s">
        <v>1591</v>
      </c>
      <c r="F2263" s="9" t="s">
        <v>1589</v>
      </c>
      <c r="G2263" s="9" t="s">
        <v>1592</v>
      </c>
      <c r="H2263" s="9" t="s">
        <v>170</v>
      </c>
      <c r="I2263" s="9" t="s">
        <v>3669</v>
      </c>
      <c r="J2263" s="9" t="s">
        <v>1608</v>
      </c>
      <c r="K2263" s="9">
        <v>1</v>
      </c>
      <c r="L2263" s="9">
        <v>25</v>
      </c>
      <c r="M2263" s="9">
        <v>1984</v>
      </c>
      <c r="O2263" s="9" t="str">
        <f t="shared" ref="O2263:O2326" si="109">IF(L2263&lt;7.75,"YES","NO")</f>
        <v>NO</v>
      </c>
      <c r="P2263" s="9" t="str">
        <f t="shared" ref="P2263:P2326" si="110">VLOOKUP(J2263,$Z$21:$AA$27,2,FALSE)</f>
        <v>NO</v>
      </c>
      <c r="Q2263" s="9" t="str">
        <f t="shared" ref="Q2263:Q2326" si="111">G2263</f>
        <v>Conditioned</v>
      </c>
    </row>
    <row r="2264" spans="1:17">
      <c r="A2264" s="9">
        <v>23791</v>
      </c>
      <c r="B2264" s="9">
        <v>2</v>
      </c>
      <c r="C2264" s="9" t="s">
        <v>1589</v>
      </c>
      <c r="D2264" s="9" t="s">
        <v>1590</v>
      </c>
      <c r="E2264" s="9" t="s">
        <v>1591</v>
      </c>
      <c r="F2264" s="9" t="s">
        <v>1589</v>
      </c>
      <c r="G2264" s="9" t="s">
        <v>1592</v>
      </c>
      <c r="H2264" s="9" t="s">
        <v>170</v>
      </c>
      <c r="I2264" s="9" t="s">
        <v>3670</v>
      </c>
      <c r="J2264" s="9" t="s">
        <v>1587</v>
      </c>
      <c r="K2264" s="9">
        <v>1</v>
      </c>
      <c r="L2264" s="9">
        <v>18</v>
      </c>
      <c r="M2264" s="9">
        <v>1990</v>
      </c>
      <c r="O2264" s="9" t="str">
        <f t="shared" si="109"/>
        <v>NO</v>
      </c>
      <c r="P2264" s="9" t="str">
        <f t="shared" si="110"/>
        <v>YES</v>
      </c>
      <c r="Q2264" s="9" t="str">
        <f t="shared" si="111"/>
        <v>Conditioned</v>
      </c>
    </row>
    <row r="2265" spans="1:17">
      <c r="A2265" s="9">
        <v>23791</v>
      </c>
      <c r="B2265" s="9">
        <v>3</v>
      </c>
      <c r="C2265" s="9" t="s">
        <v>1589</v>
      </c>
      <c r="D2265" s="9" t="s">
        <v>1590</v>
      </c>
      <c r="E2265" s="9" t="s">
        <v>1591</v>
      </c>
      <c r="F2265" s="9" t="s">
        <v>1589</v>
      </c>
      <c r="G2265" s="9" t="s">
        <v>1592</v>
      </c>
      <c r="H2265" s="9" t="s">
        <v>170</v>
      </c>
      <c r="I2265" s="9" t="s">
        <v>3671</v>
      </c>
      <c r="J2265" s="9" t="s">
        <v>1597</v>
      </c>
      <c r="K2265" s="9">
        <v>1</v>
      </c>
      <c r="L2265" s="9">
        <v>25</v>
      </c>
      <c r="M2265" s="9">
        <v>1993</v>
      </c>
      <c r="O2265" s="9" t="str">
        <f t="shared" si="109"/>
        <v>NO</v>
      </c>
      <c r="P2265" s="9" t="str">
        <f t="shared" si="110"/>
        <v>NO</v>
      </c>
      <c r="Q2265" s="9" t="str">
        <f t="shared" si="111"/>
        <v>Conditioned</v>
      </c>
    </row>
    <row r="2266" spans="1:17">
      <c r="A2266" s="9">
        <v>23791</v>
      </c>
      <c r="B2266" s="9">
        <v>4</v>
      </c>
      <c r="C2266" s="9" t="s">
        <v>3672</v>
      </c>
      <c r="D2266" s="9" t="s">
        <v>1590</v>
      </c>
      <c r="E2266" s="9" t="s">
        <v>1591</v>
      </c>
      <c r="F2266" s="9" t="s">
        <v>1589</v>
      </c>
      <c r="G2266" s="9" t="s">
        <v>1606</v>
      </c>
      <c r="H2266" s="9" t="s">
        <v>1900</v>
      </c>
      <c r="I2266" s="9" t="s">
        <v>1589</v>
      </c>
      <c r="J2266" s="9" t="s">
        <v>1587</v>
      </c>
      <c r="K2266" s="9">
        <v>1</v>
      </c>
      <c r="L2266" s="9">
        <v>18</v>
      </c>
      <c r="O2266" s="9" t="str">
        <f t="shared" si="109"/>
        <v>NO</v>
      </c>
      <c r="P2266" s="9" t="str">
        <f t="shared" si="110"/>
        <v>YES</v>
      </c>
      <c r="Q2266" s="9" t="str">
        <f t="shared" si="111"/>
        <v>Unconditioned</v>
      </c>
    </row>
    <row r="2267" spans="1:17">
      <c r="A2267" s="9">
        <v>23813</v>
      </c>
      <c r="B2267" s="9">
        <v>1</v>
      </c>
      <c r="C2267" s="9" t="s">
        <v>1589</v>
      </c>
      <c r="D2267" s="9" t="s">
        <v>1590</v>
      </c>
      <c r="E2267" s="9" t="s">
        <v>1591</v>
      </c>
      <c r="F2267" s="9" t="s">
        <v>1589</v>
      </c>
      <c r="G2267" s="9" t="s">
        <v>1592</v>
      </c>
      <c r="H2267" s="9" t="s">
        <v>177</v>
      </c>
      <c r="I2267" s="9" t="s">
        <v>3673</v>
      </c>
      <c r="J2267" s="9" t="s">
        <v>1610</v>
      </c>
      <c r="K2267" s="9">
        <v>1</v>
      </c>
      <c r="L2267" s="9">
        <v>25</v>
      </c>
      <c r="M2267" s="9">
        <v>2004</v>
      </c>
      <c r="O2267" s="9" t="str">
        <f t="shared" si="109"/>
        <v>NO</v>
      </c>
      <c r="P2267" s="9" t="str">
        <f t="shared" si="110"/>
        <v>NO</v>
      </c>
      <c r="Q2267" s="9" t="str">
        <f t="shared" si="111"/>
        <v>Conditioned</v>
      </c>
    </row>
    <row r="2268" spans="1:17">
      <c r="A2268" s="9">
        <v>23813</v>
      </c>
      <c r="B2268" s="9">
        <v>2</v>
      </c>
      <c r="C2268" s="9" t="s">
        <v>1589</v>
      </c>
      <c r="D2268" s="9" t="s">
        <v>1590</v>
      </c>
      <c r="E2268" s="9" t="s">
        <v>1602</v>
      </c>
      <c r="F2268" s="9" t="s">
        <v>1590</v>
      </c>
      <c r="G2268" s="9" t="s">
        <v>1606</v>
      </c>
      <c r="H2268" s="9" t="s">
        <v>169</v>
      </c>
      <c r="I2268" s="9" t="s">
        <v>3674</v>
      </c>
      <c r="J2268" s="9" t="s">
        <v>1601</v>
      </c>
      <c r="K2268" s="9">
        <v>1</v>
      </c>
      <c r="L2268" s="9">
        <v>26</v>
      </c>
      <c r="M2268" s="9">
        <v>2003</v>
      </c>
      <c r="O2268" s="9" t="str">
        <f t="shared" si="109"/>
        <v>NO</v>
      </c>
      <c r="P2268" s="9" t="str">
        <f t="shared" si="110"/>
        <v>NO</v>
      </c>
      <c r="Q2268" s="9" t="str">
        <f t="shared" si="111"/>
        <v>Unconditioned</v>
      </c>
    </row>
    <row r="2269" spans="1:17">
      <c r="A2269" s="9">
        <v>23824</v>
      </c>
      <c r="B2269" s="9">
        <v>1</v>
      </c>
      <c r="C2269" s="9" t="s">
        <v>1589</v>
      </c>
      <c r="D2269" s="9" t="s">
        <v>1590</v>
      </c>
      <c r="E2269" s="9" t="s">
        <v>1602</v>
      </c>
      <c r="F2269" s="9" t="s">
        <v>1603</v>
      </c>
      <c r="G2269" s="9" t="s">
        <v>1592</v>
      </c>
      <c r="H2269" s="9" t="s">
        <v>1638</v>
      </c>
      <c r="I2269" s="9" t="s">
        <v>2659</v>
      </c>
      <c r="J2269" s="9" t="s">
        <v>1601</v>
      </c>
      <c r="K2269" s="9">
        <v>1</v>
      </c>
      <c r="L2269" s="9">
        <v>22</v>
      </c>
      <c r="M2269" s="9">
        <v>2003</v>
      </c>
      <c r="O2269" s="9" t="str">
        <f t="shared" si="109"/>
        <v>NO</v>
      </c>
      <c r="P2269" s="9" t="str">
        <f t="shared" si="110"/>
        <v>NO</v>
      </c>
      <c r="Q2269" s="9" t="str">
        <f t="shared" si="111"/>
        <v>Conditioned</v>
      </c>
    </row>
    <row r="2270" spans="1:17">
      <c r="A2270" s="9">
        <v>23830</v>
      </c>
      <c r="B2270" s="9">
        <v>1</v>
      </c>
      <c r="C2270" s="9" t="s">
        <v>1589</v>
      </c>
      <c r="D2270" s="9" t="s">
        <v>1590</v>
      </c>
      <c r="E2270" s="9" t="s">
        <v>1591</v>
      </c>
      <c r="F2270" s="9" t="s">
        <v>1589</v>
      </c>
      <c r="G2270" s="9" t="s">
        <v>1592</v>
      </c>
      <c r="H2270" s="9" t="s">
        <v>174</v>
      </c>
      <c r="I2270" s="9" t="s">
        <v>3675</v>
      </c>
      <c r="J2270" s="9" t="s">
        <v>1608</v>
      </c>
      <c r="K2270" s="9">
        <v>1</v>
      </c>
      <c r="L2270" s="9">
        <v>17</v>
      </c>
      <c r="M2270" s="9">
        <v>1999</v>
      </c>
      <c r="O2270" s="9" t="str">
        <f t="shared" si="109"/>
        <v>NO</v>
      </c>
      <c r="P2270" s="9" t="str">
        <f t="shared" si="110"/>
        <v>NO</v>
      </c>
      <c r="Q2270" s="9" t="str">
        <f t="shared" si="111"/>
        <v>Conditioned</v>
      </c>
    </row>
    <row r="2271" spans="1:17">
      <c r="A2271" s="9">
        <v>23830</v>
      </c>
      <c r="B2271" s="9">
        <v>2</v>
      </c>
      <c r="C2271" s="9" t="s">
        <v>1589</v>
      </c>
      <c r="D2271" s="9" t="s">
        <v>1590</v>
      </c>
      <c r="E2271" s="9" t="s">
        <v>1589</v>
      </c>
      <c r="F2271" s="9" t="s">
        <v>1589</v>
      </c>
      <c r="G2271" s="9" t="s">
        <v>1606</v>
      </c>
      <c r="H2271" s="9" t="s">
        <v>169</v>
      </c>
      <c r="I2271" s="9" t="s">
        <v>2872</v>
      </c>
      <c r="J2271" s="9" t="s">
        <v>1612</v>
      </c>
      <c r="K2271" s="9">
        <v>1</v>
      </c>
      <c r="L2271" s="9">
        <v>18</v>
      </c>
      <c r="M2271" s="9">
        <v>2009</v>
      </c>
      <c r="O2271" s="9" t="str">
        <f t="shared" si="109"/>
        <v>NO</v>
      </c>
      <c r="P2271" s="9" t="str">
        <f t="shared" si="110"/>
        <v>NO</v>
      </c>
      <c r="Q2271" s="9" t="str">
        <f t="shared" si="111"/>
        <v>Unconditioned</v>
      </c>
    </row>
    <row r="2272" spans="1:17">
      <c r="A2272" s="9">
        <v>23830</v>
      </c>
      <c r="B2272" s="9">
        <v>3</v>
      </c>
      <c r="C2272" s="9" t="s">
        <v>1589</v>
      </c>
      <c r="D2272" s="9" t="s">
        <v>1590</v>
      </c>
      <c r="E2272" s="9" t="s">
        <v>1591</v>
      </c>
      <c r="F2272" s="9" t="s">
        <v>1589</v>
      </c>
      <c r="G2272" s="9" t="s">
        <v>1592</v>
      </c>
      <c r="H2272" s="9" t="s">
        <v>170</v>
      </c>
      <c r="I2272" s="9" t="s">
        <v>3676</v>
      </c>
      <c r="J2272" s="9" t="s">
        <v>1605</v>
      </c>
      <c r="K2272" s="9">
        <v>1</v>
      </c>
      <c r="L2272" s="9">
        <v>18</v>
      </c>
      <c r="M2272" s="9">
        <v>1998</v>
      </c>
      <c r="O2272" s="9" t="str">
        <f t="shared" si="109"/>
        <v>NO</v>
      </c>
      <c r="P2272" s="9" t="str">
        <f t="shared" si="110"/>
        <v>YES</v>
      </c>
      <c r="Q2272" s="9" t="str">
        <f t="shared" si="111"/>
        <v>Conditioned</v>
      </c>
    </row>
    <row r="2273" spans="1:17">
      <c r="A2273" s="9">
        <v>23830</v>
      </c>
      <c r="B2273" s="9">
        <v>4</v>
      </c>
      <c r="C2273" s="9" t="s">
        <v>3677</v>
      </c>
      <c r="D2273" s="9" t="s">
        <v>1590</v>
      </c>
      <c r="E2273" s="9" t="s">
        <v>1591</v>
      </c>
      <c r="F2273" s="9" t="s">
        <v>1589</v>
      </c>
      <c r="G2273" s="9" t="s">
        <v>1592</v>
      </c>
      <c r="H2273" s="9" t="s">
        <v>1900</v>
      </c>
      <c r="I2273" s="9" t="s">
        <v>1589</v>
      </c>
      <c r="J2273" s="9" t="s">
        <v>1587</v>
      </c>
      <c r="K2273" s="9">
        <v>1</v>
      </c>
      <c r="L2273" s="9">
        <v>23</v>
      </c>
      <c r="O2273" s="9" t="str">
        <f t="shared" si="109"/>
        <v>NO</v>
      </c>
      <c r="P2273" s="9" t="str">
        <f t="shared" si="110"/>
        <v>YES</v>
      </c>
      <c r="Q2273" s="9" t="str">
        <f t="shared" si="111"/>
        <v>Conditioned</v>
      </c>
    </row>
    <row r="2274" spans="1:17">
      <c r="A2274" s="9">
        <v>23835</v>
      </c>
      <c r="B2274" s="9">
        <v>1</v>
      </c>
      <c r="C2274" s="9" t="s">
        <v>1589</v>
      </c>
      <c r="D2274" s="9" t="s">
        <v>1590</v>
      </c>
      <c r="E2274" s="9" t="s">
        <v>1591</v>
      </c>
      <c r="F2274" s="9" t="s">
        <v>1589</v>
      </c>
      <c r="G2274" s="9" t="s">
        <v>1592</v>
      </c>
      <c r="H2274" s="9" t="s">
        <v>170</v>
      </c>
      <c r="I2274" s="9" t="s">
        <v>3678</v>
      </c>
      <c r="J2274" s="9" t="s">
        <v>1597</v>
      </c>
      <c r="K2274" s="9">
        <v>1</v>
      </c>
      <c r="L2274" s="9">
        <v>18</v>
      </c>
      <c r="M2274" s="9">
        <v>2011</v>
      </c>
      <c r="O2274" s="9" t="str">
        <f t="shared" si="109"/>
        <v>NO</v>
      </c>
      <c r="P2274" s="9" t="str">
        <f t="shared" si="110"/>
        <v>NO</v>
      </c>
      <c r="Q2274" s="9" t="str">
        <f t="shared" si="111"/>
        <v>Conditioned</v>
      </c>
    </row>
    <row r="2275" spans="1:17">
      <c r="A2275" s="9">
        <v>23835</v>
      </c>
      <c r="B2275" s="9">
        <v>2</v>
      </c>
      <c r="C2275" s="9" t="s">
        <v>1589</v>
      </c>
      <c r="D2275" s="9" t="s">
        <v>1590</v>
      </c>
      <c r="E2275" s="9" t="s">
        <v>1591</v>
      </c>
      <c r="F2275" s="9" t="s">
        <v>1589</v>
      </c>
      <c r="G2275" s="9" t="s">
        <v>1592</v>
      </c>
      <c r="H2275" s="9" t="s">
        <v>172</v>
      </c>
      <c r="I2275" s="9" t="s">
        <v>3679</v>
      </c>
      <c r="J2275" s="9" t="s">
        <v>1597</v>
      </c>
      <c r="K2275" s="9">
        <v>1</v>
      </c>
      <c r="L2275" s="9">
        <v>18</v>
      </c>
      <c r="M2275" s="9">
        <v>1992</v>
      </c>
      <c r="O2275" s="9" t="str">
        <f t="shared" si="109"/>
        <v>NO</v>
      </c>
      <c r="P2275" s="9" t="str">
        <f t="shared" si="110"/>
        <v>NO</v>
      </c>
      <c r="Q2275" s="9" t="str">
        <f t="shared" si="111"/>
        <v>Conditioned</v>
      </c>
    </row>
    <row r="2276" spans="1:17">
      <c r="A2276" s="9">
        <v>23835</v>
      </c>
      <c r="B2276" s="9">
        <v>3</v>
      </c>
      <c r="C2276" s="9" t="s">
        <v>1589</v>
      </c>
      <c r="D2276" s="9" t="s">
        <v>1590</v>
      </c>
      <c r="E2276" s="9" t="s">
        <v>1591</v>
      </c>
      <c r="F2276" s="9" t="s">
        <v>1589</v>
      </c>
      <c r="G2276" s="9" t="s">
        <v>1592</v>
      </c>
      <c r="H2276" s="9" t="s">
        <v>170</v>
      </c>
      <c r="I2276" s="9" t="s">
        <v>3680</v>
      </c>
      <c r="J2276" s="9" t="s">
        <v>1605</v>
      </c>
      <c r="K2276" s="9">
        <v>1</v>
      </c>
      <c r="L2276" s="9">
        <v>15</v>
      </c>
      <c r="M2276" s="9">
        <v>2010</v>
      </c>
      <c r="O2276" s="9" t="str">
        <f t="shared" si="109"/>
        <v>NO</v>
      </c>
      <c r="P2276" s="9" t="str">
        <f t="shared" si="110"/>
        <v>YES</v>
      </c>
      <c r="Q2276" s="9" t="str">
        <f t="shared" si="111"/>
        <v>Conditioned</v>
      </c>
    </row>
    <row r="2277" spans="1:17">
      <c r="A2277" s="9">
        <v>23840</v>
      </c>
      <c r="B2277" s="9">
        <v>1</v>
      </c>
      <c r="C2277" s="9" t="s">
        <v>1589</v>
      </c>
      <c r="D2277" s="9" t="s">
        <v>1590</v>
      </c>
      <c r="E2277" s="9" t="s">
        <v>1613</v>
      </c>
      <c r="F2277" s="9" t="s">
        <v>1603</v>
      </c>
      <c r="G2277" s="9" t="s">
        <v>1592</v>
      </c>
      <c r="H2277" s="9" t="s">
        <v>170</v>
      </c>
      <c r="I2277" s="9" t="s">
        <v>3681</v>
      </c>
      <c r="J2277" s="9" t="s">
        <v>1608</v>
      </c>
      <c r="K2277" s="9">
        <v>1</v>
      </c>
      <c r="L2277" s="9">
        <v>21</v>
      </c>
      <c r="M2277" s="9">
        <v>2007</v>
      </c>
      <c r="O2277" s="9" t="str">
        <f t="shared" si="109"/>
        <v>NO</v>
      </c>
      <c r="P2277" s="9" t="str">
        <f t="shared" si="110"/>
        <v>NO</v>
      </c>
      <c r="Q2277" s="9" t="str">
        <f t="shared" si="111"/>
        <v>Conditioned</v>
      </c>
    </row>
    <row r="2278" spans="1:17">
      <c r="A2278" s="9">
        <v>23846</v>
      </c>
      <c r="B2278" s="9">
        <v>1</v>
      </c>
      <c r="C2278" s="9" t="s">
        <v>1589</v>
      </c>
      <c r="D2278" s="9" t="s">
        <v>1590</v>
      </c>
      <c r="E2278" s="9" t="s">
        <v>1591</v>
      </c>
      <c r="F2278" s="9" t="s">
        <v>1589</v>
      </c>
      <c r="G2278" s="9" t="s">
        <v>1592</v>
      </c>
      <c r="H2278" s="9" t="s">
        <v>1638</v>
      </c>
      <c r="I2278" s="9" t="s">
        <v>3682</v>
      </c>
      <c r="J2278" s="9" t="s">
        <v>1597</v>
      </c>
      <c r="K2278" s="9">
        <v>1</v>
      </c>
      <c r="L2278" s="9">
        <v>19</v>
      </c>
      <c r="M2278" s="9">
        <v>1995</v>
      </c>
      <c r="O2278" s="9" t="str">
        <f t="shared" si="109"/>
        <v>NO</v>
      </c>
      <c r="P2278" s="9" t="str">
        <f t="shared" si="110"/>
        <v>NO</v>
      </c>
      <c r="Q2278" s="9" t="str">
        <f t="shared" si="111"/>
        <v>Conditioned</v>
      </c>
    </row>
    <row r="2279" spans="1:17">
      <c r="A2279" s="9">
        <v>23847</v>
      </c>
      <c r="B2279" s="9">
        <v>1</v>
      </c>
      <c r="C2279" s="9" t="s">
        <v>1589</v>
      </c>
      <c r="D2279" s="9" t="s">
        <v>1590</v>
      </c>
      <c r="E2279" s="9" t="s">
        <v>1591</v>
      </c>
      <c r="F2279" s="9" t="s">
        <v>1589</v>
      </c>
      <c r="G2279" s="9" t="s">
        <v>1592</v>
      </c>
      <c r="H2279" s="9" t="s">
        <v>1552</v>
      </c>
      <c r="I2279" s="9" t="s">
        <v>3683</v>
      </c>
      <c r="J2279" s="9" t="s">
        <v>1597</v>
      </c>
      <c r="K2279" s="9">
        <v>1</v>
      </c>
      <c r="L2279" s="9">
        <v>18</v>
      </c>
      <c r="M2279" s="9">
        <v>1999</v>
      </c>
      <c r="O2279" s="9" t="str">
        <f t="shared" si="109"/>
        <v>NO</v>
      </c>
      <c r="P2279" s="9" t="str">
        <f t="shared" si="110"/>
        <v>NO</v>
      </c>
      <c r="Q2279" s="9" t="str">
        <f t="shared" si="111"/>
        <v>Conditioned</v>
      </c>
    </row>
    <row r="2280" spans="1:17">
      <c r="A2280" s="9">
        <v>23847</v>
      </c>
      <c r="B2280" s="9">
        <v>2</v>
      </c>
      <c r="C2280" s="9" t="s">
        <v>1589</v>
      </c>
      <c r="D2280" s="9" t="s">
        <v>1603</v>
      </c>
      <c r="E2280" s="9" t="s">
        <v>1591</v>
      </c>
      <c r="F2280" s="9" t="s">
        <v>1589</v>
      </c>
      <c r="G2280" s="9" t="s">
        <v>1606</v>
      </c>
      <c r="H2280" s="9" t="s">
        <v>1552</v>
      </c>
      <c r="I2280" s="9" t="s">
        <v>1589</v>
      </c>
      <c r="J2280" s="9" t="s">
        <v>1605</v>
      </c>
      <c r="K2280" s="9">
        <v>1</v>
      </c>
      <c r="L2280" s="9">
        <v>14</v>
      </c>
      <c r="M2280" s="9">
        <v>1999</v>
      </c>
      <c r="O2280" s="9" t="str">
        <f t="shared" si="109"/>
        <v>NO</v>
      </c>
      <c r="P2280" s="9" t="str">
        <f t="shared" si="110"/>
        <v>YES</v>
      </c>
      <c r="Q2280" s="9" t="str">
        <f t="shared" si="111"/>
        <v>Unconditioned</v>
      </c>
    </row>
    <row r="2281" spans="1:17">
      <c r="A2281" s="9">
        <v>23857</v>
      </c>
      <c r="B2281" s="9">
        <v>1</v>
      </c>
      <c r="C2281" s="9" t="s">
        <v>1589</v>
      </c>
      <c r="D2281" s="9" t="s">
        <v>1590</v>
      </c>
      <c r="E2281" s="9" t="s">
        <v>1602</v>
      </c>
      <c r="F2281" s="9" t="s">
        <v>1603</v>
      </c>
      <c r="G2281" s="9" t="s">
        <v>1592</v>
      </c>
      <c r="H2281" s="9" t="s">
        <v>173</v>
      </c>
      <c r="I2281" s="9" t="s">
        <v>3684</v>
      </c>
      <c r="J2281" s="9" t="s">
        <v>1601</v>
      </c>
      <c r="K2281" s="9">
        <v>1</v>
      </c>
      <c r="L2281" s="9">
        <v>24</v>
      </c>
      <c r="M2281" s="9">
        <v>2010</v>
      </c>
      <c r="O2281" s="9" t="str">
        <f t="shared" si="109"/>
        <v>NO</v>
      </c>
      <c r="P2281" s="9" t="str">
        <f t="shared" si="110"/>
        <v>NO</v>
      </c>
      <c r="Q2281" s="9" t="str">
        <f t="shared" si="111"/>
        <v>Conditioned</v>
      </c>
    </row>
    <row r="2282" spans="1:17">
      <c r="A2282" s="9">
        <v>23857</v>
      </c>
      <c r="B2282" s="9">
        <v>2</v>
      </c>
      <c r="C2282" s="9" t="s">
        <v>1589</v>
      </c>
      <c r="D2282" s="9" t="s">
        <v>1590</v>
      </c>
      <c r="E2282" s="9" t="s">
        <v>1591</v>
      </c>
      <c r="F2282" s="9" t="s">
        <v>1589</v>
      </c>
      <c r="G2282" s="9" t="s">
        <v>1592</v>
      </c>
      <c r="H2282" s="9" t="s">
        <v>169</v>
      </c>
      <c r="I2282" s="9" t="s">
        <v>3458</v>
      </c>
      <c r="J2282" s="9" t="s">
        <v>1605</v>
      </c>
      <c r="K2282" s="9">
        <v>1</v>
      </c>
      <c r="L2282" s="9">
        <v>18</v>
      </c>
      <c r="M2282" s="9">
        <v>2008</v>
      </c>
      <c r="O2282" s="9" t="str">
        <f t="shared" si="109"/>
        <v>NO</v>
      </c>
      <c r="P2282" s="9" t="str">
        <f t="shared" si="110"/>
        <v>YES</v>
      </c>
      <c r="Q2282" s="9" t="str">
        <f t="shared" si="111"/>
        <v>Conditioned</v>
      </c>
    </row>
    <row r="2283" spans="1:17">
      <c r="A2283" s="9">
        <v>23857</v>
      </c>
      <c r="B2283" s="9">
        <v>3</v>
      </c>
      <c r="C2283" s="9" t="s">
        <v>1589</v>
      </c>
      <c r="D2283" s="9" t="s">
        <v>1590</v>
      </c>
      <c r="E2283" s="9" t="s">
        <v>1591</v>
      </c>
      <c r="F2283" s="9" t="s">
        <v>1589</v>
      </c>
      <c r="G2283" s="9" t="s">
        <v>1592</v>
      </c>
      <c r="H2283" s="9" t="s">
        <v>1632</v>
      </c>
      <c r="I2283" s="9" t="s">
        <v>3685</v>
      </c>
      <c r="J2283" s="9" t="s">
        <v>1605</v>
      </c>
      <c r="K2283" s="9">
        <v>1</v>
      </c>
      <c r="L2283" s="9">
        <v>22</v>
      </c>
      <c r="M2283" s="9">
        <v>2008</v>
      </c>
      <c r="O2283" s="9" t="str">
        <f t="shared" si="109"/>
        <v>NO</v>
      </c>
      <c r="P2283" s="9" t="str">
        <f t="shared" si="110"/>
        <v>YES</v>
      </c>
      <c r="Q2283" s="9" t="str">
        <f t="shared" si="111"/>
        <v>Conditioned</v>
      </c>
    </row>
    <row r="2284" spans="1:17">
      <c r="A2284" s="9">
        <v>23857</v>
      </c>
      <c r="B2284" s="9">
        <v>4</v>
      </c>
      <c r="C2284" s="9" t="s">
        <v>3686</v>
      </c>
      <c r="D2284" s="9" t="s">
        <v>1590</v>
      </c>
      <c r="E2284" s="9" t="s">
        <v>1591</v>
      </c>
      <c r="F2284" s="9" t="s">
        <v>1589</v>
      </c>
      <c r="G2284" s="9" t="s">
        <v>1592</v>
      </c>
      <c r="H2284" s="9" t="s">
        <v>167</v>
      </c>
      <c r="I2284" s="9" t="s">
        <v>1589</v>
      </c>
      <c r="J2284" s="9" t="s">
        <v>1589</v>
      </c>
      <c r="K2284" s="9">
        <v>1</v>
      </c>
      <c r="L2284" s="9">
        <v>10</v>
      </c>
      <c r="O2284" s="9" t="str">
        <f t="shared" si="109"/>
        <v>NO</v>
      </c>
      <c r="P2284" s="9" t="e">
        <f t="shared" si="110"/>
        <v>#N/A</v>
      </c>
      <c r="Q2284" s="9" t="str">
        <f t="shared" si="111"/>
        <v>Conditioned</v>
      </c>
    </row>
    <row r="2285" spans="1:17">
      <c r="A2285" s="9">
        <v>23859</v>
      </c>
      <c r="B2285" s="9">
        <v>1</v>
      </c>
      <c r="C2285" s="9" t="s">
        <v>1589</v>
      </c>
      <c r="D2285" s="9" t="s">
        <v>1590</v>
      </c>
      <c r="E2285" s="9" t="s">
        <v>1591</v>
      </c>
      <c r="F2285" s="9" t="s">
        <v>1589</v>
      </c>
      <c r="G2285" s="9" t="s">
        <v>1592</v>
      </c>
      <c r="H2285" s="9" t="s">
        <v>170</v>
      </c>
      <c r="I2285" s="9" t="s">
        <v>3687</v>
      </c>
      <c r="J2285" s="9" t="s">
        <v>1597</v>
      </c>
      <c r="K2285" s="9">
        <v>1</v>
      </c>
      <c r="L2285" s="9">
        <v>22</v>
      </c>
      <c r="M2285" s="9">
        <v>1991</v>
      </c>
      <c r="O2285" s="9" t="str">
        <f t="shared" si="109"/>
        <v>NO</v>
      </c>
      <c r="P2285" s="9" t="str">
        <f t="shared" si="110"/>
        <v>NO</v>
      </c>
      <c r="Q2285" s="9" t="str">
        <f t="shared" si="111"/>
        <v>Conditioned</v>
      </c>
    </row>
    <row r="2286" spans="1:17">
      <c r="A2286" s="9">
        <v>23860</v>
      </c>
      <c r="B2286" s="9">
        <v>1</v>
      </c>
      <c r="C2286" s="9" t="s">
        <v>1589</v>
      </c>
      <c r="D2286" s="9" t="s">
        <v>1590</v>
      </c>
      <c r="E2286" s="9" t="s">
        <v>1613</v>
      </c>
      <c r="F2286" s="9" t="s">
        <v>1603</v>
      </c>
      <c r="G2286" s="9" t="s">
        <v>1592</v>
      </c>
      <c r="H2286" s="9" t="s">
        <v>174</v>
      </c>
      <c r="I2286" s="9" t="s">
        <v>3688</v>
      </c>
      <c r="J2286" s="9" t="s">
        <v>1608</v>
      </c>
      <c r="K2286" s="9">
        <v>1</v>
      </c>
      <c r="L2286" s="9">
        <v>26</v>
      </c>
      <c r="M2286" s="9">
        <v>2001</v>
      </c>
      <c r="O2286" s="9" t="str">
        <f t="shared" si="109"/>
        <v>NO</v>
      </c>
      <c r="P2286" s="9" t="str">
        <f t="shared" si="110"/>
        <v>NO</v>
      </c>
      <c r="Q2286" s="9" t="str">
        <f t="shared" si="111"/>
        <v>Conditioned</v>
      </c>
    </row>
    <row r="2287" spans="1:17">
      <c r="A2287" s="9">
        <v>23860</v>
      </c>
      <c r="B2287" s="9">
        <v>2</v>
      </c>
      <c r="C2287" s="9" t="s">
        <v>1589</v>
      </c>
      <c r="D2287" s="9" t="s">
        <v>1590</v>
      </c>
      <c r="E2287" s="9" t="s">
        <v>1591</v>
      </c>
      <c r="F2287" s="9" t="s">
        <v>1589</v>
      </c>
      <c r="G2287" s="9" t="s">
        <v>1606</v>
      </c>
      <c r="H2287" s="9" t="s">
        <v>169</v>
      </c>
      <c r="I2287" s="9" t="s">
        <v>3689</v>
      </c>
      <c r="J2287" s="9" t="s">
        <v>1605</v>
      </c>
      <c r="K2287" s="9">
        <v>1</v>
      </c>
      <c r="L2287" s="9">
        <v>22</v>
      </c>
      <c r="M2287" s="9">
        <v>1987</v>
      </c>
      <c r="O2287" s="9" t="str">
        <f t="shared" si="109"/>
        <v>NO</v>
      </c>
      <c r="P2287" s="9" t="str">
        <f t="shared" si="110"/>
        <v>YES</v>
      </c>
      <c r="Q2287" s="9" t="str">
        <f t="shared" si="111"/>
        <v>Unconditioned</v>
      </c>
    </row>
    <row r="2288" spans="1:17">
      <c r="A2288" s="9">
        <v>23870</v>
      </c>
      <c r="B2288" s="9">
        <v>1</v>
      </c>
      <c r="C2288" s="9" t="s">
        <v>1589</v>
      </c>
      <c r="D2288" s="9" t="s">
        <v>1590</v>
      </c>
      <c r="E2288" s="9" t="s">
        <v>1591</v>
      </c>
      <c r="F2288" s="9" t="s">
        <v>1589</v>
      </c>
      <c r="G2288" s="9" t="s">
        <v>1592</v>
      </c>
      <c r="H2288" s="9" t="s">
        <v>177</v>
      </c>
      <c r="I2288" s="9" t="s">
        <v>3690</v>
      </c>
      <c r="J2288" s="9" t="s">
        <v>1597</v>
      </c>
      <c r="K2288" s="9">
        <v>1</v>
      </c>
      <c r="L2288" s="9">
        <v>26</v>
      </c>
      <c r="M2288" s="9">
        <v>2003</v>
      </c>
      <c r="O2288" s="9" t="str">
        <f t="shared" si="109"/>
        <v>NO</v>
      </c>
      <c r="P2288" s="9" t="str">
        <f t="shared" si="110"/>
        <v>NO</v>
      </c>
      <c r="Q2288" s="9" t="str">
        <f t="shared" si="111"/>
        <v>Conditioned</v>
      </c>
    </row>
    <row r="2289" spans="1:17">
      <c r="A2289" s="9">
        <v>23870</v>
      </c>
      <c r="B2289" s="9">
        <v>2</v>
      </c>
      <c r="C2289" s="9" t="s">
        <v>1589</v>
      </c>
      <c r="D2289" s="9" t="s">
        <v>1590</v>
      </c>
      <c r="E2289" s="9" t="s">
        <v>1591</v>
      </c>
      <c r="F2289" s="9" t="s">
        <v>1589</v>
      </c>
      <c r="G2289" s="9" t="s">
        <v>1592</v>
      </c>
      <c r="H2289" s="9" t="s">
        <v>1552</v>
      </c>
      <c r="I2289" s="9" t="s">
        <v>3691</v>
      </c>
      <c r="J2289" s="9" t="s">
        <v>1597</v>
      </c>
      <c r="K2289" s="9">
        <v>1</v>
      </c>
      <c r="L2289" s="9">
        <v>26</v>
      </c>
      <c r="M2289" s="9">
        <v>2002</v>
      </c>
      <c r="O2289" s="9" t="str">
        <f t="shared" si="109"/>
        <v>NO</v>
      </c>
      <c r="P2289" s="9" t="str">
        <f t="shared" si="110"/>
        <v>NO</v>
      </c>
      <c r="Q2289" s="9" t="str">
        <f t="shared" si="111"/>
        <v>Conditioned</v>
      </c>
    </row>
    <row r="2290" spans="1:17">
      <c r="A2290" s="9">
        <v>23870</v>
      </c>
      <c r="B2290" s="9">
        <v>3</v>
      </c>
      <c r="C2290" s="9" t="s">
        <v>1589</v>
      </c>
      <c r="D2290" s="9" t="s">
        <v>1590</v>
      </c>
      <c r="E2290" s="9" t="s">
        <v>1591</v>
      </c>
      <c r="F2290" s="9" t="s">
        <v>1589</v>
      </c>
      <c r="G2290" s="9" t="s">
        <v>1592</v>
      </c>
      <c r="H2290" s="9" t="s">
        <v>1638</v>
      </c>
      <c r="I2290" s="9" t="s">
        <v>3692</v>
      </c>
      <c r="J2290" s="9" t="s">
        <v>1587</v>
      </c>
      <c r="K2290" s="9">
        <v>1</v>
      </c>
      <c r="L2290" s="9">
        <v>20</v>
      </c>
      <c r="M2290" s="9">
        <v>1994</v>
      </c>
      <c r="O2290" s="9" t="str">
        <f t="shared" si="109"/>
        <v>NO</v>
      </c>
      <c r="P2290" s="9" t="str">
        <f t="shared" si="110"/>
        <v>YES</v>
      </c>
      <c r="Q2290" s="9" t="str">
        <f t="shared" si="111"/>
        <v>Conditioned</v>
      </c>
    </row>
    <row r="2291" spans="1:17">
      <c r="A2291" s="9">
        <v>23879</v>
      </c>
      <c r="B2291" s="9">
        <v>1</v>
      </c>
      <c r="C2291" s="9" t="s">
        <v>1589</v>
      </c>
      <c r="D2291" s="9" t="s">
        <v>1590</v>
      </c>
      <c r="E2291" s="9" t="s">
        <v>1602</v>
      </c>
      <c r="F2291" s="9" t="s">
        <v>1603</v>
      </c>
      <c r="G2291" s="9" t="s">
        <v>1592</v>
      </c>
      <c r="H2291" s="9" t="s">
        <v>170</v>
      </c>
      <c r="I2291" s="9" t="s">
        <v>3693</v>
      </c>
      <c r="J2291" s="9" t="s">
        <v>1601</v>
      </c>
      <c r="K2291" s="9">
        <v>1</v>
      </c>
      <c r="L2291" s="9">
        <v>21</v>
      </c>
      <c r="M2291" s="9">
        <v>2008</v>
      </c>
      <c r="O2291" s="9" t="str">
        <f t="shared" si="109"/>
        <v>NO</v>
      </c>
      <c r="P2291" s="9" t="str">
        <f t="shared" si="110"/>
        <v>NO</v>
      </c>
      <c r="Q2291" s="9" t="str">
        <f t="shared" si="111"/>
        <v>Conditioned</v>
      </c>
    </row>
    <row r="2292" spans="1:17">
      <c r="A2292" s="9">
        <v>23882</v>
      </c>
      <c r="B2292" s="9">
        <v>1</v>
      </c>
      <c r="C2292" s="9" t="s">
        <v>1589</v>
      </c>
      <c r="D2292" s="9" t="s">
        <v>1590</v>
      </c>
      <c r="E2292" s="9" t="s">
        <v>1602</v>
      </c>
      <c r="F2292" s="9" t="s">
        <v>1603</v>
      </c>
      <c r="G2292" s="9" t="s">
        <v>1592</v>
      </c>
      <c r="H2292" s="9" t="s">
        <v>1638</v>
      </c>
      <c r="I2292" s="9" t="s">
        <v>3694</v>
      </c>
      <c r="J2292" s="9" t="s">
        <v>1601</v>
      </c>
      <c r="K2292" s="9">
        <v>1</v>
      </c>
      <c r="L2292" s="9">
        <v>27</v>
      </c>
      <c r="M2292" s="9">
        <v>1992</v>
      </c>
      <c r="O2292" s="9" t="str">
        <f t="shared" si="109"/>
        <v>NO</v>
      </c>
      <c r="P2292" s="9" t="str">
        <f t="shared" si="110"/>
        <v>NO</v>
      </c>
      <c r="Q2292" s="9" t="str">
        <f t="shared" si="111"/>
        <v>Conditioned</v>
      </c>
    </row>
    <row r="2293" spans="1:17">
      <c r="A2293" s="9">
        <v>23886</v>
      </c>
      <c r="B2293" s="9">
        <v>1</v>
      </c>
      <c r="C2293" s="9" t="s">
        <v>1589</v>
      </c>
      <c r="D2293" s="9" t="s">
        <v>1590</v>
      </c>
      <c r="E2293" s="9" t="s">
        <v>1602</v>
      </c>
      <c r="F2293" s="9" t="s">
        <v>1603</v>
      </c>
      <c r="G2293" s="9" t="s">
        <v>1592</v>
      </c>
      <c r="H2293" s="9" t="s">
        <v>1638</v>
      </c>
      <c r="I2293" s="9" t="s">
        <v>3695</v>
      </c>
      <c r="J2293" s="9" t="s">
        <v>1601</v>
      </c>
      <c r="K2293" s="9">
        <v>1</v>
      </c>
      <c r="L2293" s="9">
        <v>25</v>
      </c>
      <c r="M2293" s="9">
        <v>2010</v>
      </c>
      <c r="O2293" s="9" t="str">
        <f t="shared" si="109"/>
        <v>NO</v>
      </c>
      <c r="P2293" s="9" t="str">
        <f t="shared" si="110"/>
        <v>NO</v>
      </c>
      <c r="Q2293" s="9" t="str">
        <f t="shared" si="111"/>
        <v>Conditioned</v>
      </c>
    </row>
    <row r="2294" spans="1:17">
      <c r="A2294" s="9">
        <v>23889</v>
      </c>
      <c r="B2294" s="9">
        <v>1</v>
      </c>
      <c r="C2294" s="9" t="s">
        <v>1589</v>
      </c>
      <c r="D2294" s="9" t="s">
        <v>1590</v>
      </c>
      <c r="E2294" s="9" t="s">
        <v>1613</v>
      </c>
      <c r="F2294" s="9" t="s">
        <v>1603</v>
      </c>
      <c r="G2294" s="9" t="s">
        <v>1592</v>
      </c>
      <c r="H2294" s="9" t="s">
        <v>170</v>
      </c>
      <c r="I2294" s="9" t="s">
        <v>3696</v>
      </c>
      <c r="J2294" s="9" t="s">
        <v>1601</v>
      </c>
      <c r="K2294" s="9">
        <v>1</v>
      </c>
      <c r="L2294" s="9">
        <v>22</v>
      </c>
      <c r="M2294" s="9">
        <v>1993</v>
      </c>
      <c r="O2294" s="9" t="str">
        <f t="shared" si="109"/>
        <v>NO</v>
      </c>
      <c r="P2294" s="9" t="str">
        <f t="shared" si="110"/>
        <v>NO</v>
      </c>
      <c r="Q2294" s="9" t="str">
        <f t="shared" si="111"/>
        <v>Conditioned</v>
      </c>
    </row>
    <row r="2295" spans="1:17">
      <c r="A2295" s="9">
        <v>23889</v>
      </c>
      <c r="B2295" s="9">
        <v>2</v>
      </c>
      <c r="C2295" s="9" t="s">
        <v>1589</v>
      </c>
      <c r="D2295" s="9" t="s">
        <v>1590</v>
      </c>
      <c r="E2295" s="9" t="s">
        <v>1591</v>
      </c>
      <c r="F2295" s="9" t="s">
        <v>1589</v>
      </c>
      <c r="G2295" s="9" t="s">
        <v>1606</v>
      </c>
      <c r="H2295" s="9" t="s">
        <v>1552</v>
      </c>
      <c r="I2295" s="9" t="s">
        <v>3697</v>
      </c>
      <c r="J2295" s="9" t="s">
        <v>1597</v>
      </c>
      <c r="K2295" s="9">
        <v>1</v>
      </c>
      <c r="L2295" s="9">
        <v>20</v>
      </c>
      <c r="M2295" s="9">
        <v>1984</v>
      </c>
      <c r="O2295" s="9" t="str">
        <f t="shared" si="109"/>
        <v>NO</v>
      </c>
      <c r="P2295" s="9" t="str">
        <f t="shared" si="110"/>
        <v>NO</v>
      </c>
      <c r="Q2295" s="9" t="str">
        <f t="shared" si="111"/>
        <v>Unconditioned</v>
      </c>
    </row>
    <row r="2296" spans="1:17">
      <c r="A2296" s="9">
        <v>23889</v>
      </c>
      <c r="B2296" s="9">
        <v>3</v>
      </c>
      <c r="C2296" s="9" t="s">
        <v>1589</v>
      </c>
      <c r="D2296" s="9" t="s">
        <v>1590</v>
      </c>
      <c r="E2296" s="9" t="s">
        <v>1591</v>
      </c>
      <c r="F2296" s="9" t="s">
        <v>1589</v>
      </c>
      <c r="G2296" s="9" t="s">
        <v>1606</v>
      </c>
      <c r="H2296" s="9" t="s">
        <v>1900</v>
      </c>
      <c r="I2296" s="9" t="s">
        <v>3698</v>
      </c>
      <c r="J2296" s="9" t="s">
        <v>1605</v>
      </c>
      <c r="K2296" s="9">
        <v>1</v>
      </c>
      <c r="L2296" s="9">
        <v>10</v>
      </c>
      <c r="M2296" s="9">
        <v>1979</v>
      </c>
      <c r="O2296" s="9" t="str">
        <f t="shared" si="109"/>
        <v>NO</v>
      </c>
      <c r="P2296" s="9" t="str">
        <f t="shared" si="110"/>
        <v>YES</v>
      </c>
      <c r="Q2296" s="9" t="str">
        <f t="shared" si="111"/>
        <v>Unconditioned</v>
      </c>
    </row>
    <row r="2297" spans="1:17">
      <c r="A2297" s="9">
        <v>23905</v>
      </c>
      <c r="B2297" s="9">
        <v>1</v>
      </c>
      <c r="C2297" s="9" t="s">
        <v>1589</v>
      </c>
      <c r="D2297" s="9" t="s">
        <v>1590</v>
      </c>
      <c r="E2297" s="9" t="s">
        <v>1591</v>
      </c>
      <c r="F2297" s="9" t="s">
        <v>1589</v>
      </c>
      <c r="G2297" s="9" t="s">
        <v>1592</v>
      </c>
      <c r="H2297" s="9" t="s">
        <v>177</v>
      </c>
      <c r="I2297" s="9" t="s">
        <v>3699</v>
      </c>
      <c r="J2297" s="9" t="s">
        <v>1605</v>
      </c>
      <c r="K2297" s="9">
        <v>1</v>
      </c>
      <c r="L2297" s="9">
        <v>20</v>
      </c>
      <c r="M2297" s="9">
        <v>2007</v>
      </c>
      <c r="O2297" s="9" t="str">
        <f t="shared" si="109"/>
        <v>NO</v>
      </c>
      <c r="P2297" s="9" t="str">
        <f t="shared" si="110"/>
        <v>YES</v>
      </c>
      <c r="Q2297" s="9" t="str">
        <f t="shared" si="111"/>
        <v>Conditioned</v>
      </c>
    </row>
    <row r="2298" spans="1:17">
      <c r="A2298" s="9">
        <v>23905</v>
      </c>
      <c r="B2298" s="9">
        <v>2</v>
      </c>
      <c r="C2298" s="9" t="s">
        <v>1589</v>
      </c>
      <c r="D2298" s="9" t="s">
        <v>1590</v>
      </c>
      <c r="E2298" s="9" t="s">
        <v>1602</v>
      </c>
      <c r="F2298" s="9" t="s">
        <v>1603</v>
      </c>
      <c r="G2298" s="9" t="s">
        <v>1592</v>
      </c>
      <c r="H2298" s="9" t="s">
        <v>177</v>
      </c>
      <c r="I2298" s="9" t="s">
        <v>3700</v>
      </c>
      <c r="J2298" s="9" t="s">
        <v>1601</v>
      </c>
      <c r="K2298" s="9">
        <v>1</v>
      </c>
      <c r="L2298" s="9">
        <v>22</v>
      </c>
      <c r="M2298" s="9">
        <v>2011</v>
      </c>
      <c r="O2298" s="9" t="str">
        <f t="shared" si="109"/>
        <v>NO</v>
      </c>
      <c r="P2298" s="9" t="str">
        <f t="shared" si="110"/>
        <v>NO</v>
      </c>
      <c r="Q2298" s="9" t="str">
        <f t="shared" si="111"/>
        <v>Conditioned</v>
      </c>
    </row>
    <row r="2299" spans="1:17">
      <c r="A2299" s="9">
        <v>23909</v>
      </c>
      <c r="B2299" s="9">
        <v>1</v>
      </c>
      <c r="C2299" s="9" t="s">
        <v>1589</v>
      </c>
      <c r="D2299" s="9" t="s">
        <v>1603</v>
      </c>
      <c r="E2299" s="9" t="s">
        <v>1591</v>
      </c>
      <c r="F2299" s="9" t="s">
        <v>1589</v>
      </c>
      <c r="G2299" s="9" t="s">
        <v>1592</v>
      </c>
      <c r="H2299" s="9" t="s">
        <v>169</v>
      </c>
      <c r="I2299" s="9" t="s">
        <v>3701</v>
      </c>
      <c r="J2299" s="9" t="s">
        <v>1597</v>
      </c>
      <c r="K2299" s="9">
        <v>1</v>
      </c>
      <c r="L2299" s="9">
        <v>18</v>
      </c>
      <c r="M2299" s="9">
        <v>2003</v>
      </c>
      <c r="O2299" s="9" t="str">
        <f t="shared" si="109"/>
        <v>NO</v>
      </c>
      <c r="P2299" s="9" t="str">
        <f t="shared" si="110"/>
        <v>NO</v>
      </c>
      <c r="Q2299" s="9" t="str">
        <f t="shared" si="111"/>
        <v>Conditioned</v>
      </c>
    </row>
    <row r="2300" spans="1:17">
      <c r="A2300" s="9">
        <v>23910</v>
      </c>
      <c r="B2300" s="9">
        <v>1</v>
      </c>
      <c r="C2300" s="9" t="s">
        <v>1589</v>
      </c>
      <c r="D2300" s="9" t="s">
        <v>1590</v>
      </c>
      <c r="E2300" s="9" t="s">
        <v>1613</v>
      </c>
      <c r="F2300" s="9" t="s">
        <v>1603</v>
      </c>
      <c r="G2300" s="9" t="s">
        <v>1592</v>
      </c>
      <c r="H2300" s="9" t="s">
        <v>1463</v>
      </c>
      <c r="I2300" s="9" t="s">
        <v>3702</v>
      </c>
      <c r="J2300" s="9" t="s">
        <v>1601</v>
      </c>
      <c r="K2300" s="9">
        <v>1</v>
      </c>
      <c r="L2300" s="9">
        <v>32</v>
      </c>
      <c r="M2300" s="9">
        <v>1997</v>
      </c>
      <c r="O2300" s="9" t="str">
        <f t="shared" si="109"/>
        <v>NO</v>
      </c>
      <c r="P2300" s="9" t="str">
        <f t="shared" si="110"/>
        <v>NO</v>
      </c>
      <c r="Q2300" s="9" t="str">
        <f t="shared" si="111"/>
        <v>Conditioned</v>
      </c>
    </row>
    <row r="2301" spans="1:17">
      <c r="A2301" s="9">
        <v>23910</v>
      </c>
      <c r="B2301" s="9">
        <v>2</v>
      </c>
      <c r="C2301" s="9" t="s">
        <v>3703</v>
      </c>
      <c r="D2301" s="9" t="s">
        <v>1590</v>
      </c>
      <c r="E2301" s="9" t="s">
        <v>1613</v>
      </c>
      <c r="F2301" s="9" t="s">
        <v>1603</v>
      </c>
      <c r="G2301" s="9" t="s">
        <v>1592</v>
      </c>
      <c r="H2301" s="9" t="s">
        <v>170</v>
      </c>
      <c r="I2301" s="9" t="s">
        <v>1589</v>
      </c>
      <c r="J2301" s="9" t="s">
        <v>1597</v>
      </c>
      <c r="K2301" s="9">
        <v>1</v>
      </c>
      <c r="L2301" s="9">
        <v>21</v>
      </c>
      <c r="O2301" s="9" t="str">
        <f t="shared" si="109"/>
        <v>NO</v>
      </c>
      <c r="P2301" s="9" t="str">
        <f t="shared" si="110"/>
        <v>NO</v>
      </c>
      <c r="Q2301" s="9" t="str">
        <f t="shared" si="111"/>
        <v>Conditioned</v>
      </c>
    </row>
    <row r="2302" spans="1:17">
      <c r="A2302" s="9">
        <v>23913</v>
      </c>
      <c r="B2302" s="9">
        <v>1</v>
      </c>
      <c r="C2302" s="9" t="s">
        <v>1589</v>
      </c>
      <c r="D2302" s="9" t="s">
        <v>1590</v>
      </c>
      <c r="E2302" s="9" t="s">
        <v>1602</v>
      </c>
      <c r="F2302" s="9" t="s">
        <v>1603</v>
      </c>
      <c r="G2302" s="9" t="s">
        <v>1592</v>
      </c>
      <c r="H2302" s="9" t="s">
        <v>173</v>
      </c>
      <c r="I2302" s="9" t="s">
        <v>3704</v>
      </c>
      <c r="J2302" s="9" t="s">
        <v>1601</v>
      </c>
      <c r="K2302" s="9">
        <v>1</v>
      </c>
      <c r="L2302" s="9">
        <v>22</v>
      </c>
      <c r="M2302" s="9">
        <v>2009</v>
      </c>
      <c r="O2302" s="9" t="str">
        <f t="shared" si="109"/>
        <v>NO</v>
      </c>
      <c r="P2302" s="9" t="str">
        <f t="shared" si="110"/>
        <v>NO</v>
      </c>
      <c r="Q2302" s="9" t="str">
        <f t="shared" si="111"/>
        <v>Conditioned</v>
      </c>
    </row>
    <row r="2303" spans="1:17">
      <c r="A2303" s="9">
        <v>23914</v>
      </c>
      <c r="B2303" s="9">
        <v>1</v>
      </c>
      <c r="C2303" s="9" t="s">
        <v>1589</v>
      </c>
      <c r="D2303" s="9" t="s">
        <v>1590</v>
      </c>
      <c r="E2303" s="9" t="s">
        <v>1602</v>
      </c>
      <c r="F2303" s="9" t="s">
        <v>1603</v>
      </c>
      <c r="G2303" s="9" t="s">
        <v>1592</v>
      </c>
      <c r="H2303" s="9" t="s">
        <v>177</v>
      </c>
      <c r="I2303" s="9" t="s">
        <v>3705</v>
      </c>
      <c r="J2303" s="9" t="s">
        <v>1601</v>
      </c>
      <c r="K2303" s="9">
        <v>1</v>
      </c>
      <c r="L2303" s="9">
        <v>30</v>
      </c>
      <c r="M2303" s="9">
        <v>1998</v>
      </c>
      <c r="O2303" s="9" t="str">
        <f t="shared" si="109"/>
        <v>NO</v>
      </c>
      <c r="P2303" s="9" t="str">
        <f t="shared" si="110"/>
        <v>NO</v>
      </c>
      <c r="Q2303" s="9" t="str">
        <f t="shared" si="111"/>
        <v>Conditioned</v>
      </c>
    </row>
    <row r="2304" spans="1:17">
      <c r="A2304" s="9">
        <v>23926</v>
      </c>
      <c r="B2304" s="9">
        <v>1</v>
      </c>
      <c r="C2304" s="9" t="s">
        <v>1589</v>
      </c>
      <c r="D2304" s="9" t="s">
        <v>1590</v>
      </c>
      <c r="E2304" s="9" t="s">
        <v>1613</v>
      </c>
      <c r="F2304" s="9" t="s">
        <v>1603</v>
      </c>
      <c r="G2304" s="9" t="s">
        <v>1592</v>
      </c>
      <c r="H2304" s="9" t="s">
        <v>170</v>
      </c>
      <c r="I2304" s="9" t="s">
        <v>3706</v>
      </c>
      <c r="J2304" s="9" t="s">
        <v>1597</v>
      </c>
      <c r="K2304" s="9">
        <v>1</v>
      </c>
      <c r="L2304" s="9">
        <v>17</v>
      </c>
      <c r="M2304" s="9">
        <v>2005</v>
      </c>
      <c r="O2304" s="9" t="str">
        <f t="shared" si="109"/>
        <v>NO</v>
      </c>
      <c r="P2304" s="9" t="str">
        <f t="shared" si="110"/>
        <v>NO</v>
      </c>
      <c r="Q2304" s="9" t="str">
        <f t="shared" si="111"/>
        <v>Conditioned</v>
      </c>
    </row>
    <row r="2305" spans="1:17">
      <c r="A2305" s="9">
        <v>23926</v>
      </c>
      <c r="B2305" s="9">
        <v>2</v>
      </c>
      <c r="C2305" s="9" t="s">
        <v>1589</v>
      </c>
      <c r="D2305" s="9" t="s">
        <v>1590</v>
      </c>
      <c r="E2305" s="9" t="s">
        <v>1591</v>
      </c>
      <c r="F2305" s="9" t="s">
        <v>1589</v>
      </c>
      <c r="G2305" s="9" t="s">
        <v>1606</v>
      </c>
      <c r="H2305" s="9" t="s">
        <v>169</v>
      </c>
      <c r="I2305" s="9" t="s">
        <v>3707</v>
      </c>
      <c r="J2305" s="9" t="s">
        <v>1587</v>
      </c>
      <c r="K2305" s="9">
        <v>1</v>
      </c>
      <c r="L2305" s="9">
        <v>25</v>
      </c>
      <c r="M2305" s="9">
        <v>2009</v>
      </c>
      <c r="O2305" s="9" t="str">
        <f t="shared" si="109"/>
        <v>NO</v>
      </c>
      <c r="P2305" s="9" t="str">
        <f t="shared" si="110"/>
        <v>YES</v>
      </c>
      <c r="Q2305" s="9" t="str">
        <f t="shared" si="111"/>
        <v>Unconditioned</v>
      </c>
    </row>
    <row r="2306" spans="1:17">
      <c r="A2306" s="9">
        <v>23931</v>
      </c>
      <c r="B2306" s="9">
        <v>1</v>
      </c>
      <c r="C2306" s="9" t="s">
        <v>1589</v>
      </c>
      <c r="D2306" s="9" t="s">
        <v>1603</v>
      </c>
      <c r="E2306" s="9" t="s">
        <v>1602</v>
      </c>
      <c r="F2306" s="9" t="s">
        <v>1603</v>
      </c>
      <c r="G2306" s="9" t="s">
        <v>1592</v>
      </c>
      <c r="H2306" s="9" t="s">
        <v>174</v>
      </c>
      <c r="I2306" s="9" t="s">
        <v>3708</v>
      </c>
      <c r="J2306" s="9" t="s">
        <v>1601</v>
      </c>
      <c r="K2306" s="9">
        <v>1</v>
      </c>
      <c r="L2306" s="9">
        <v>26</v>
      </c>
      <c r="M2306" s="9">
        <v>2006</v>
      </c>
      <c r="O2306" s="9" t="str">
        <f t="shared" si="109"/>
        <v>NO</v>
      </c>
      <c r="P2306" s="9" t="str">
        <f t="shared" si="110"/>
        <v>NO</v>
      </c>
      <c r="Q2306" s="9" t="str">
        <f t="shared" si="111"/>
        <v>Conditioned</v>
      </c>
    </row>
    <row r="2307" spans="1:17">
      <c r="A2307" s="9">
        <v>23932</v>
      </c>
      <c r="B2307" s="9">
        <v>1</v>
      </c>
      <c r="C2307" s="9" t="s">
        <v>1589</v>
      </c>
      <c r="D2307" s="9" t="s">
        <v>1590</v>
      </c>
      <c r="E2307" s="9" t="s">
        <v>1602</v>
      </c>
      <c r="F2307" s="9" t="s">
        <v>1603</v>
      </c>
      <c r="G2307" s="9" t="s">
        <v>1592</v>
      </c>
      <c r="H2307" s="9" t="s">
        <v>174</v>
      </c>
      <c r="I2307" s="9" t="s">
        <v>3709</v>
      </c>
      <c r="J2307" s="9" t="s">
        <v>1601</v>
      </c>
      <c r="K2307" s="9">
        <v>1</v>
      </c>
      <c r="L2307" s="9">
        <v>18</v>
      </c>
      <c r="M2307" s="9">
        <v>2009</v>
      </c>
      <c r="O2307" s="9" t="str">
        <f t="shared" si="109"/>
        <v>NO</v>
      </c>
      <c r="P2307" s="9" t="str">
        <f t="shared" si="110"/>
        <v>NO</v>
      </c>
      <c r="Q2307" s="9" t="str">
        <f t="shared" si="111"/>
        <v>Conditioned</v>
      </c>
    </row>
    <row r="2308" spans="1:17">
      <c r="A2308" s="9">
        <v>23932</v>
      </c>
      <c r="B2308" s="9">
        <v>2</v>
      </c>
      <c r="C2308" s="9" t="s">
        <v>1589</v>
      </c>
      <c r="D2308" s="9" t="s">
        <v>1590</v>
      </c>
      <c r="E2308" s="9" t="s">
        <v>1591</v>
      </c>
      <c r="F2308" s="9" t="s">
        <v>1589</v>
      </c>
      <c r="G2308" s="9" t="s">
        <v>1606</v>
      </c>
      <c r="H2308" s="9" t="s">
        <v>170</v>
      </c>
      <c r="I2308" s="9" t="s">
        <v>3710</v>
      </c>
      <c r="J2308" s="9" t="s">
        <v>1605</v>
      </c>
      <c r="K2308" s="9">
        <v>1</v>
      </c>
      <c r="L2308" s="9">
        <v>21</v>
      </c>
      <c r="M2308" s="9">
        <v>1980</v>
      </c>
      <c r="O2308" s="9" t="str">
        <f t="shared" si="109"/>
        <v>NO</v>
      </c>
      <c r="P2308" s="9" t="str">
        <f t="shared" si="110"/>
        <v>YES</v>
      </c>
      <c r="Q2308" s="9" t="str">
        <f t="shared" si="111"/>
        <v>Unconditioned</v>
      </c>
    </row>
    <row r="2309" spans="1:17">
      <c r="A2309" s="9">
        <v>23932</v>
      </c>
      <c r="B2309" s="9">
        <v>3</v>
      </c>
      <c r="C2309" s="9" t="s">
        <v>1589</v>
      </c>
      <c r="D2309" s="9" t="s">
        <v>1590</v>
      </c>
      <c r="E2309" s="9" t="s">
        <v>1591</v>
      </c>
      <c r="F2309" s="9" t="s">
        <v>1589</v>
      </c>
      <c r="G2309" s="9" t="s">
        <v>1606</v>
      </c>
      <c r="H2309" s="9" t="s">
        <v>177</v>
      </c>
      <c r="I2309" s="9" t="s">
        <v>3711</v>
      </c>
      <c r="J2309" s="9" t="s">
        <v>1587</v>
      </c>
      <c r="K2309" s="9">
        <v>0.75</v>
      </c>
      <c r="L2309" s="9">
        <v>18</v>
      </c>
      <c r="M2309" s="9">
        <v>1979</v>
      </c>
      <c r="O2309" s="9" t="str">
        <f t="shared" si="109"/>
        <v>NO</v>
      </c>
      <c r="P2309" s="9" t="str">
        <f t="shared" si="110"/>
        <v>YES</v>
      </c>
      <c r="Q2309" s="9" t="str">
        <f t="shared" si="111"/>
        <v>Unconditioned</v>
      </c>
    </row>
    <row r="2310" spans="1:17">
      <c r="A2310" s="9">
        <v>23932</v>
      </c>
      <c r="B2310" s="9">
        <v>4</v>
      </c>
      <c r="C2310" s="9" t="s">
        <v>1589</v>
      </c>
      <c r="D2310" s="9" t="s">
        <v>1590</v>
      </c>
      <c r="E2310" s="9" t="s">
        <v>1591</v>
      </c>
      <c r="F2310" s="9" t="s">
        <v>1589</v>
      </c>
      <c r="G2310" s="9" t="s">
        <v>1606</v>
      </c>
      <c r="H2310" s="9" t="s">
        <v>1638</v>
      </c>
      <c r="I2310" s="9" t="s">
        <v>2097</v>
      </c>
      <c r="J2310" s="9" t="s">
        <v>1597</v>
      </c>
      <c r="K2310" s="9">
        <v>1</v>
      </c>
      <c r="L2310" s="9">
        <v>18</v>
      </c>
      <c r="M2310" s="9">
        <v>2010</v>
      </c>
      <c r="O2310" s="9" t="str">
        <f t="shared" si="109"/>
        <v>NO</v>
      </c>
      <c r="P2310" s="9" t="str">
        <f t="shared" si="110"/>
        <v>NO</v>
      </c>
      <c r="Q2310" s="9" t="str">
        <f t="shared" si="111"/>
        <v>Unconditioned</v>
      </c>
    </row>
    <row r="2311" spans="1:17">
      <c r="A2311" s="9">
        <v>23933</v>
      </c>
      <c r="B2311" s="9">
        <v>1</v>
      </c>
      <c r="C2311" s="9" t="s">
        <v>1589</v>
      </c>
      <c r="D2311" s="9" t="s">
        <v>1590</v>
      </c>
      <c r="E2311" s="9" t="s">
        <v>1591</v>
      </c>
      <c r="F2311" s="9" t="s">
        <v>1589</v>
      </c>
      <c r="G2311" s="9" t="s">
        <v>1592</v>
      </c>
      <c r="H2311" s="9" t="s">
        <v>170</v>
      </c>
      <c r="I2311" s="9" t="s">
        <v>3712</v>
      </c>
      <c r="J2311" s="9" t="s">
        <v>1597</v>
      </c>
      <c r="K2311" s="9">
        <v>1</v>
      </c>
      <c r="L2311" s="9">
        <v>14</v>
      </c>
      <c r="M2311" s="9">
        <v>1982</v>
      </c>
      <c r="O2311" s="9" t="str">
        <f t="shared" si="109"/>
        <v>NO</v>
      </c>
      <c r="P2311" s="9" t="str">
        <f t="shared" si="110"/>
        <v>NO</v>
      </c>
      <c r="Q2311" s="9" t="str">
        <f t="shared" si="111"/>
        <v>Conditioned</v>
      </c>
    </row>
    <row r="2312" spans="1:17">
      <c r="A2312" s="9">
        <v>23933</v>
      </c>
      <c r="B2312" s="9">
        <v>2</v>
      </c>
      <c r="C2312" s="9" t="s">
        <v>1589</v>
      </c>
      <c r="D2312" s="9" t="s">
        <v>1590</v>
      </c>
      <c r="E2312" s="9" t="s">
        <v>1591</v>
      </c>
      <c r="F2312" s="9" t="s">
        <v>1589</v>
      </c>
      <c r="G2312" s="9" t="s">
        <v>1592</v>
      </c>
      <c r="H2312" s="9" t="s">
        <v>1638</v>
      </c>
      <c r="I2312" s="9" t="s">
        <v>3713</v>
      </c>
      <c r="J2312" s="9" t="s">
        <v>1597</v>
      </c>
      <c r="K2312" s="9">
        <v>1</v>
      </c>
      <c r="L2312" s="9">
        <v>14</v>
      </c>
      <c r="M2312" s="9">
        <v>1973</v>
      </c>
      <c r="O2312" s="9" t="str">
        <f t="shared" si="109"/>
        <v>NO</v>
      </c>
      <c r="P2312" s="9" t="str">
        <f t="shared" si="110"/>
        <v>NO</v>
      </c>
      <c r="Q2312" s="9" t="str">
        <f t="shared" si="111"/>
        <v>Conditioned</v>
      </c>
    </row>
    <row r="2313" spans="1:17">
      <c r="A2313" s="9">
        <v>23933</v>
      </c>
      <c r="B2313" s="9">
        <v>3</v>
      </c>
      <c r="C2313" s="9" t="s">
        <v>3714</v>
      </c>
      <c r="D2313" s="9" t="s">
        <v>1590</v>
      </c>
      <c r="E2313" s="9" t="s">
        <v>1591</v>
      </c>
      <c r="F2313" s="9" t="s">
        <v>1589</v>
      </c>
      <c r="G2313" s="9" t="s">
        <v>1592</v>
      </c>
      <c r="H2313" s="9" t="s">
        <v>181</v>
      </c>
      <c r="I2313" s="9" t="s">
        <v>1589</v>
      </c>
      <c r="J2313" s="9" t="s">
        <v>1589</v>
      </c>
      <c r="K2313" s="9">
        <v>1</v>
      </c>
      <c r="L2313" s="9">
        <v>3</v>
      </c>
      <c r="O2313" s="9" t="str">
        <f t="shared" si="109"/>
        <v>YES</v>
      </c>
      <c r="P2313" s="9" t="e">
        <f t="shared" si="110"/>
        <v>#N/A</v>
      </c>
      <c r="Q2313" s="9" t="str">
        <f t="shared" si="111"/>
        <v>Conditioned</v>
      </c>
    </row>
    <row r="2314" spans="1:17">
      <c r="A2314" s="9">
        <v>23936</v>
      </c>
      <c r="B2314" s="9">
        <v>1</v>
      </c>
      <c r="C2314" s="9" t="s">
        <v>1589</v>
      </c>
      <c r="D2314" s="9" t="s">
        <v>1590</v>
      </c>
      <c r="E2314" s="9" t="s">
        <v>1591</v>
      </c>
      <c r="F2314" s="9" t="s">
        <v>1589</v>
      </c>
      <c r="G2314" s="9" t="s">
        <v>1592</v>
      </c>
      <c r="H2314" s="9" t="s">
        <v>1624</v>
      </c>
      <c r="I2314" s="9" t="s">
        <v>3715</v>
      </c>
      <c r="J2314" s="9" t="s">
        <v>1605</v>
      </c>
      <c r="K2314" s="9">
        <v>1</v>
      </c>
      <c r="L2314" s="9">
        <v>30</v>
      </c>
      <c r="M2314" s="9">
        <v>1996</v>
      </c>
      <c r="O2314" s="9" t="str">
        <f t="shared" si="109"/>
        <v>NO</v>
      </c>
      <c r="P2314" s="9" t="str">
        <f t="shared" si="110"/>
        <v>YES</v>
      </c>
      <c r="Q2314" s="9" t="str">
        <f t="shared" si="111"/>
        <v>Conditioned</v>
      </c>
    </row>
    <row r="2315" spans="1:17">
      <c r="A2315" s="9">
        <v>23936</v>
      </c>
      <c r="B2315" s="9">
        <v>2</v>
      </c>
      <c r="C2315" s="9" t="s">
        <v>1589</v>
      </c>
      <c r="D2315" s="9" t="s">
        <v>1590</v>
      </c>
      <c r="E2315" s="9" t="s">
        <v>1602</v>
      </c>
      <c r="F2315" s="9" t="s">
        <v>1603</v>
      </c>
      <c r="G2315" s="9" t="s">
        <v>1592</v>
      </c>
      <c r="H2315" s="9" t="s">
        <v>174</v>
      </c>
      <c r="I2315" s="9" t="s">
        <v>3716</v>
      </c>
      <c r="J2315" s="9" t="s">
        <v>1601</v>
      </c>
      <c r="K2315" s="9">
        <v>1</v>
      </c>
      <c r="L2315" s="9">
        <v>18</v>
      </c>
      <c r="M2315" s="9">
        <v>1995</v>
      </c>
      <c r="O2315" s="9" t="str">
        <f t="shared" si="109"/>
        <v>NO</v>
      </c>
      <c r="P2315" s="9" t="str">
        <f t="shared" si="110"/>
        <v>NO</v>
      </c>
      <c r="Q2315" s="9" t="str">
        <f t="shared" si="111"/>
        <v>Conditioned</v>
      </c>
    </row>
    <row r="2316" spans="1:17">
      <c r="A2316" s="9">
        <v>23936</v>
      </c>
      <c r="B2316" s="9">
        <v>3</v>
      </c>
      <c r="C2316" s="9" t="s">
        <v>1589</v>
      </c>
      <c r="D2316" s="9" t="s">
        <v>1590</v>
      </c>
      <c r="E2316" s="9" t="s">
        <v>1591</v>
      </c>
      <c r="F2316" s="9" t="s">
        <v>1589</v>
      </c>
      <c r="G2316" s="9" t="s">
        <v>1592</v>
      </c>
      <c r="H2316" s="9" t="s">
        <v>3717</v>
      </c>
      <c r="I2316" s="9" t="s">
        <v>3718</v>
      </c>
      <c r="J2316" s="9" t="s">
        <v>1587</v>
      </c>
      <c r="K2316" s="9">
        <v>1</v>
      </c>
      <c r="L2316" s="9">
        <v>14</v>
      </c>
      <c r="M2316" s="9">
        <v>1950</v>
      </c>
      <c r="O2316" s="9" t="str">
        <f t="shared" si="109"/>
        <v>NO</v>
      </c>
      <c r="P2316" s="9" t="str">
        <f t="shared" si="110"/>
        <v>YES</v>
      </c>
      <c r="Q2316" s="9" t="str">
        <f t="shared" si="111"/>
        <v>Conditioned</v>
      </c>
    </row>
    <row r="2317" spans="1:17">
      <c r="A2317" s="9">
        <v>23939</v>
      </c>
      <c r="B2317" s="9">
        <v>1</v>
      </c>
      <c r="C2317" s="9" t="s">
        <v>1589</v>
      </c>
      <c r="D2317" s="9" t="s">
        <v>1590</v>
      </c>
      <c r="E2317" s="9" t="s">
        <v>1591</v>
      </c>
      <c r="F2317" s="9" t="s">
        <v>1589</v>
      </c>
      <c r="G2317" s="9" t="s">
        <v>1592</v>
      </c>
      <c r="H2317" s="9" t="s">
        <v>178</v>
      </c>
      <c r="I2317" s="9" t="s">
        <v>3719</v>
      </c>
      <c r="J2317" s="9" t="s">
        <v>1597</v>
      </c>
      <c r="K2317" s="9">
        <v>1</v>
      </c>
      <c r="L2317" s="9">
        <v>18</v>
      </c>
      <c r="O2317" s="9" t="str">
        <f t="shared" si="109"/>
        <v>NO</v>
      </c>
      <c r="P2317" s="9" t="str">
        <f t="shared" si="110"/>
        <v>NO</v>
      </c>
      <c r="Q2317" s="9" t="str">
        <f t="shared" si="111"/>
        <v>Conditioned</v>
      </c>
    </row>
    <row r="2318" spans="1:17">
      <c r="A2318" s="9">
        <v>23946</v>
      </c>
      <c r="B2318" s="9">
        <v>1</v>
      </c>
      <c r="C2318" s="9" t="s">
        <v>1589</v>
      </c>
      <c r="D2318" s="9" t="s">
        <v>1590</v>
      </c>
      <c r="E2318" s="9" t="s">
        <v>1602</v>
      </c>
      <c r="F2318" s="9" t="s">
        <v>1603</v>
      </c>
      <c r="G2318" s="9" t="s">
        <v>1592</v>
      </c>
      <c r="H2318" s="9" t="s">
        <v>172</v>
      </c>
      <c r="I2318" s="9" t="s">
        <v>3720</v>
      </c>
      <c r="J2318" s="9" t="s">
        <v>1601</v>
      </c>
      <c r="K2318" s="9">
        <v>1</v>
      </c>
      <c r="L2318" s="9">
        <v>22</v>
      </c>
      <c r="M2318" s="9">
        <v>2005</v>
      </c>
      <c r="O2318" s="9" t="str">
        <f t="shared" si="109"/>
        <v>NO</v>
      </c>
      <c r="P2318" s="9" t="str">
        <f t="shared" si="110"/>
        <v>NO</v>
      </c>
      <c r="Q2318" s="9" t="str">
        <f t="shared" si="111"/>
        <v>Conditioned</v>
      </c>
    </row>
    <row r="2319" spans="1:17">
      <c r="A2319" s="9">
        <v>23946</v>
      </c>
      <c r="B2319" s="9">
        <v>2</v>
      </c>
      <c r="C2319" s="9" t="s">
        <v>1589</v>
      </c>
      <c r="D2319" s="9" t="s">
        <v>1590</v>
      </c>
      <c r="E2319" s="9" t="s">
        <v>1591</v>
      </c>
      <c r="F2319" s="9" t="s">
        <v>1589</v>
      </c>
      <c r="G2319" s="9" t="s">
        <v>1606</v>
      </c>
      <c r="H2319" s="9" t="s">
        <v>1624</v>
      </c>
      <c r="I2319" s="9" t="s">
        <v>3721</v>
      </c>
      <c r="J2319" s="9" t="s">
        <v>1587</v>
      </c>
      <c r="K2319" s="9">
        <v>1</v>
      </c>
      <c r="L2319" s="9">
        <v>10</v>
      </c>
      <c r="M2319" s="9">
        <v>1999</v>
      </c>
      <c r="O2319" s="9" t="str">
        <f t="shared" si="109"/>
        <v>NO</v>
      </c>
      <c r="P2319" s="9" t="str">
        <f t="shared" si="110"/>
        <v>YES</v>
      </c>
      <c r="Q2319" s="9" t="str">
        <f t="shared" si="111"/>
        <v>Unconditioned</v>
      </c>
    </row>
    <row r="2320" spans="1:17">
      <c r="A2320" s="9">
        <v>23948</v>
      </c>
      <c r="B2320" s="9">
        <v>1</v>
      </c>
      <c r="C2320" s="9" t="s">
        <v>1589</v>
      </c>
      <c r="D2320" s="9" t="s">
        <v>1590</v>
      </c>
      <c r="E2320" s="9" t="s">
        <v>1591</v>
      </c>
      <c r="F2320" s="9" t="s">
        <v>1589</v>
      </c>
      <c r="G2320" s="9" t="s">
        <v>1592</v>
      </c>
      <c r="H2320" s="9" t="s">
        <v>170</v>
      </c>
      <c r="I2320" s="9" t="s">
        <v>1589</v>
      </c>
      <c r="J2320" s="9" t="s">
        <v>1605</v>
      </c>
      <c r="K2320" s="9">
        <v>1</v>
      </c>
      <c r="L2320" s="9">
        <v>24</v>
      </c>
      <c r="M2320" s="9">
        <v>2011</v>
      </c>
      <c r="O2320" s="9" t="str">
        <f t="shared" si="109"/>
        <v>NO</v>
      </c>
      <c r="P2320" s="9" t="str">
        <f t="shared" si="110"/>
        <v>YES</v>
      </c>
      <c r="Q2320" s="9" t="str">
        <f t="shared" si="111"/>
        <v>Conditioned</v>
      </c>
    </row>
    <row r="2321" spans="1:17">
      <c r="A2321" s="9">
        <v>23948</v>
      </c>
      <c r="B2321" s="9">
        <v>2</v>
      </c>
      <c r="C2321" s="9" t="s">
        <v>1589</v>
      </c>
      <c r="D2321" s="9" t="s">
        <v>1590</v>
      </c>
      <c r="E2321" s="9" t="s">
        <v>1602</v>
      </c>
      <c r="F2321" s="9" t="s">
        <v>1590</v>
      </c>
      <c r="G2321" s="9" t="s">
        <v>1592</v>
      </c>
      <c r="H2321" s="9" t="s">
        <v>170</v>
      </c>
      <c r="I2321" s="9" t="s">
        <v>1589</v>
      </c>
      <c r="J2321" s="9" t="s">
        <v>1601</v>
      </c>
      <c r="K2321" s="9">
        <v>1</v>
      </c>
      <c r="L2321" s="9">
        <v>24</v>
      </c>
      <c r="O2321" s="9" t="str">
        <f t="shared" si="109"/>
        <v>NO</v>
      </c>
      <c r="P2321" s="9" t="str">
        <f t="shared" si="110"/>
        <v>NO</v>
      </c>
      <c r="Q2321" s="9" t="str">
        <f t="shared" si="111"/>
        <v>Conditioned</v>
      </c>
    </row>
    <row r="2322" spans="1:17">
      <c r="A2322" s="9">
        <v>23952</v>
      </c>
      <c r="B2322" s="9">
        <v>1</v>
      </c>
      <c r="C2322" s="9" t="s">
        <v>3722</v>
      </c>
      <c r="D2322" s="9" t="s">
        <v>1590</v>
      </c>
      <c r="E2322" s="9" t="s">
        <v>1613</v>
      </c>
      <c r="F2322" s="9" t="s">
        <v>1603</v>
      </c>
      <c r="G2322" s="9" t="s">
        <v>1592</v>
      </c>
      <c r="H2322" s="9" t="s">
        <v>173</v>
      </c>
      <c r="I2322" s="9" t="s">
        <v>3723</v>
      </c>
      <c r="J2322" s="9" t="s">
        <v>1608</v>
      </c>
      <c r="K2322" s="9">
        <v>1</v>
      </c>
      <c r="L2322" s="9">
        <v>21</v>
      </c>
      <c r="O2322" s="9" t="str">
        <f t="shared" si="109"/>
        <v>NO</v>
      </c>
      <c r="P2322" s="9" t="str">
        <f t="shared" si="110"/>
        <v>NO</v>
      </c>
      <c r="Q2322" s="9" t="str">
        <f t="shared" si="111"/>
        <v>Conditioned</v>
      </c>
    </row>
    <row r="2323" spans="1:17">
      <c r="A2323" s="9">
        <v>23952</v>
      </c>
      <c r="B2323" s="9">
        <v>2</v>
      </c>
      <c r="C2323" s="9" t="s">
        <v>1589</v>
      </c>
      <c r="D2323" s="9" t="s">
        <v>1590</v>
      </c>
      <c r="E2323" s="9" t="s">
        <v>1591</v>
      </c>
      <c r="F2323" s="9" t="s">
        <v>1589</v>
      </c>
      <c r="G2323" s="9" t="s">
        <v>1592</v>
      </c>
      <c r="H2323" s="9" t="s">
        <v>169</v>
      </c>
      <c r="I2323" s="9" t="s">
        <v>3724</v>
      </c>
      <c r="J2323" s="9" t="s">
        <v>1605</v>
      </c>
      <c r="K2323" s="9">
        <v>1</v>
      </c>
      <c r="L2323" s="9">
        <v>22</v>
      </c>
      <c r="M2323" s="9">
        <v>2009</v>
      </c>
      <c r="O2323" s="9" t="str">
        <f t="shared" si="109"/>
        <v>NO</v>
      </c>
      <c r="P2323" s="9" t="str">
        <f t="shared" si="110"/>
        <v>YES</v>
      </c>
      <c r="Q2323" s="9" t="str">
        <f t="shared" si="111"/>
        <v>Conditioned</v>
      </c>
    </row>
    <row r="2324" spans="1:17">
      <c r="A2324" s="9">
        <v>23952</v>
      </c>
      <c r="B2324" s="9">
        <v>3</v>
      </c>
      <c r="C2324" s="9" t="s">
        <v>1589</v>
      </c>
      <c r="D2324" s="9" t="s">
        <v>1590</v>
      </c>
      <c r="E2324" s="9" t="s">
        <v>1602</v>
      </c>
      <c r="F2324" s="9" t="s">
        <v>1603</v>
      </c>
      <c r="G2324" s="9" t="s">
        <v>1592</v>
      </c>
      <c r="H2324" s="9" t="s">
        <v>170</v>
      </c>
      <c r="I2324" s="9" t="s">
        <v>3725</v>
      </c>
      <c r="J2324" s="9" t="s">
        <v>1601</v>
      </c>
      <c r="K2324" s="9">
        <v>1</v>
      </c>
      <c r="L2324" s="9">
        <v>18</v>
      </c>
      <c r="M2324" s="9">
        <v>1999</v>
      </c>
      <c r="O2324" s="9" t="str">
        <f t="shared" si="109"/>
        <v>NO</v>
      </c>
      <c r="P2324" s="9" t="str">
        <f t="shared" si="110"/>
        <v>NO</v>
      </c>
      <c r="Q2324" s="9" t="str">
        <f t="shared" si="111"/>
        <v>Conditioned</v>
      </c>
    </row>
    <row r="2325" spans="1:17">
      <c r="A2325" s="9">
        <v>23960</v>
      </c>
      <c r="B2325" s="9">
        <v>1</v>
      </c>
      <c r="C2325" s="9" t="s">
        <v>1589</v>
      </c>
      <c r="D2325" s="9" t="s">
        <v>1590</v>
      </c>
      <c r="E2325" s="9" t="s">
        <v>1591</v>
      </c>
      <c r="F2325" s="9" t="s">
        <v>1589</v>
      </c>
      <c r="G2325" s="9" t="s">
        <v>1592</v>
      </c>
      <c r="H2325" s="9" t="s">
        <v>170</v>
      </c>
      <c r="I2325" s="9" t="s">
        <v>3726</v>
      </c>
      <c r="J2325" s="9" t="s">
        <v>1608</v>
      </c>
      <c r="K2325" s="9">
        <v>1</v>
      </c>
      <c r="L2325" s="9">
        <v>16</v>
      </c>
      <c r="M2325" s="9">
        <v>2001</v>
      </c>
      <c r="O2325" s="9" t="str">
        <f t="shared" si="109"/>
        <v>NO</v>
      </c>
      <c r="P2325" s="9" t="str">
        <f t="shared" si="110"/>
        <v>NO</v>
      </c>
      <c r="Q2325" s="9" t="str">
        <f t="shared" si="111"/>
        <v>Conditioned</v>
      </c>
    </row>
    <row r="2326" spans="1:17">
      <c r="A2326" s="9">
        <v>23965</v>
      </c>
      <c r="B2326" s="9">
        <v>1</v>
      </c>
      <c r="C2326" s="9" t="s">
        <v>1589</v>
      </c>
      <c r="D2326" s="9" t="s">
        <v>1603</v>
      </c>
      <c r="E2326" s="9" t="s">
        <v>1613</v>
      </c>
      <c r="F2326" s="9" t="s">
        <v>1603</v>
      </c>
      <c r="G2326" s="9" t="s">
        <v>1592</v>
      </c>
      <c r="H2326" s="9" t="s">
        <v>176</v>
      </c>
      <c r="I2326" s="9" t="s">
        <v>3727</v>
      </c>
      <c r="J2326" s="9" t="s">
        <v>1610</v>
      </c>
      <c r="K2326" s="9">
        <v>1</v>
      </c>
      <c r="L2326" s="9">
        <v>20</v>
      </c>
      <c r="M2326" s="9">
        <v>2010</v>
      </c>
      <c r="O2326" s="9" t="str">
        <f t="shared" si="109"/>
        <v>NO</v>
      </c>
      <c r="P2326" s="9" t="str">
        <f t="shared" si="110"/>
        <v>NO</v>
      </c>
      <c r="Q2326" s="9" t="str">
        <f t="shared" si="111"/>
        <v>Conditioned</v>
      </c>
    </row>
    <row r="2327" spans="1:17">
      <c r="A2327" s="9">
        <v>23966</v>
      </c>
      <c r="B2327" s="9">
        <v>1</v>
      </c>
      <c r="C2327" s="9" t="s">
        <v>1589</v>
      </c>
      <c r="D2327" s="9" t="s">
        <v>1590</v>
      </c>
      <c r="E2327" s="9" t="s">
        <v>1591</v>
      </c>
      <c r="F2327" s="9" t="s">
        <v>1589</v>
      </c>
      <c r="G2327" s="9" t="s">
        <v>1592</v>
      </c>
      <c r="H2327" s="9" t="s">
        <v>169</v>
      </c>
      <c r="I2327" s="9" t="s">
        <v>3728</v>
      </c>
      <c r="J2327" s="9" t="s">
        <v>1597</v>
      </c>
      <c r="K2327" s="9">
        <v>1</v>
      </c>
      <c r="L2327" s="9">
        <v>21</v>
      </c>
      <c r="M2327" s="9">
        <v>2004</v>
      </c>
      <c r="O2327" s="9" t="str">
        <f t="shared" ref="O2327:O2390" si="112">IF(L2327&lt;7.75,"YES","NO")</f>
        <v>NO</v>
      </c>
      <c r="P2327" s="9" t="str">
        <f t="shared" ref="P2327:P2390" si="113">VLOOKUP(J2327,$Z$21:$AA$27,2,FALSE)</f>
        <v>NO</v>
      </c>
      <c r="Q2327" s="9" t="str">
        <f t="shared" ref="Q2327:Q2390" si="114">G2327</f>
        <v>Conditioned</v>
      </c>
    </row>
    <row r="2328" spans="1:17">
      <c r="A2328" s="9">
        <v>23972</v>
      </c>
      <c r="B2328" s="9">
        <v>1</v>
      </c>
      <c r="C2328" s="9" t="s">
        <v>1589</v>
      </c>
      <c r="D2328" s="9" t="s">
        <v>1590</v>
      </c>
      <c r="E2328" s="9" t="s">
        <v>1613</v>
      </c>
      <c r="F2328" s="9" t="s">
        <v>1603</v>
      </c>
      <c r="G2328" s="9" t="s">
        <v>1592</v>
      </c>
      <c r="H2328" s="9" t="s">
        <v>178</v>
      </c>
      <c r="I2328" s="9" t="s">
        <v>3729</v>
      </c>
      <c r="J2328" s="9" t="s">
        <v>1597</v>
      </c>
      <c r="K2328" s="9">
        <v>1</v>
      </c>
      <c r="L2328" s="9">
        <v>26</v>
      </c>
      <c r="M2328" s="9">
        <v>2010</v>
      </c>
      <c r="O2328" s="9" t="str">
        <f t="shared" si="112"/>
        <v>NO</v>
      </c>
      <c r="P2328" s="9" t="str">
        <f t="shared" si="113"/>
        <v>NO</v>
      </c>
      <c r="Q2328" s="9" t="str">
        <f t="shared" si="114"/>
        <v>Conditioned</v>
      </c>
    </row>
    <row r="2329" spans="1:17">
      <c r="A2329" s="9">
        <v>23972</v>
      </c>
      <c r="B2329" s="9">
        <v>2</v>
      </c>
      <c r="C2329" s="9" t="s">
        <v>1589</v>
      </c>
      <c r="D2329" s="9" t="s">
        <v>1590</v>
      </c>
      <c r="E2329" s="9" t="s">
        <v>1591</v>
      </c>
      <c r="F2329" s="9" t="s">
        <v>1589</v>
      </c>
      <c r="G2329" s="9" t="s">
        <v>1592</v>
      </c>
      <c r="H2329" s="9" t="s">
        <v>1552</v>
      </c>
      <c r="I2329" s="9" t="s">
        <v>3730</v>
      </c>
      <c r="J2329" s="9" t="s">
        <v>1587</v>
      </c>
      <c r="K2329" s="9">
        <v>1</v>
      </c>
      <c r="L2329" s="9">
        <v>30</v>
      </c>
      <c r="M2329" s="9">
        <v>1995</v>
      </c>
      <c r="O2329" s="9" t="str">
        <f t="shared" si="112"/>
        <v>NO</v>
      </c>
      <c r="P2329" s="9" t="str">
        <f t="shared" si="113"/>
        <v>YES</v>
      </c>
      <c r="Q2329" s="9" t="str">
        <f t="shared" si="114"/>
        <v>Conditioned</v>
      </c>
    </row>
    <row r="2330" spans="1:17">
      <c r="A2330" s="9">
        <v>23972</v>
      </c>
      <c r="B2330" s="9">
        <v>3</v>
      </c>
      <c r="C2330" s="9" t="s">
        <v>1589</v>
      </c>
      <c r="D2330" s="9" t="s">
        <v>1590</v>
      </c>
      <c r="E2330" s="9" t="s">
        <v>1591</v>
      </c>
      <c r="F2330" s="9" t="s">
        <v>1589</v>
      </c>
      <c r="G2330" s="9" t="s">
        <v>1592</v>
      </c>
      <c r="H2330" s="9" t="s">
        <v>1766</v>
      </c>
      <c r="I2330" s="9" t="s">
        <v>1589</v>
      </c>
      <c r="J2330" s="9" t="s">
        <v>1601</v>
      </c>
      <c r="K2330" s="9">
        <v>1</v>
      </c>
      <c r="L2330" s="9">
        <v>26</v>
      </c>
      <c r="O2330" s="9" t="str">
        <f t="shared" si="112"/>
        <v>NO</v>
      </c>
      <c r="P2330" s="9" t="str">
        <f t="shared" si="113"/>
        <v>NO</v>
      </c>
      <c r="Q2330" s="9" t="str">
        <f t="shared" si="114"/>
        <v>Conditioned</v>
      </c>
    </row>
    <row r="2331" spans="1:17">
      <c r="A2331" s="9">
        <v>23973</v>
      </c>
      <c r="B2331" s="9">
        <v>1</v>
      </c>
      <c r="C2331" s="9" t="s">
        <v>1589</v>
      </c>
      <c r="D2331" s="9" t="s">
        <v>1590</v>
      </c>
      <c r="E2331" s="9" t="s">
        <v>1591</v>
      </c>
      <c r="F2331" s="9" t="s">
        <v>1589</v>
      </c>
      <c r="G2331" s="9" t="s">
        <v>1592</v>
      </c>
      <c r="H2331" s="9" t="s">
        <v>1624</v>
      </c>
      <c r="I2331" s="9" t="s">
        <v>3731</v>
      </c>
      <c r="J2331" s="9" t="s">
        <v>1597</v>
      </c>
      <c r="K2331" s="9">
        <v>1</v>
      </c>
      <c r="L2331" s="9">
        <v>16</v>
      </c>
      <c r="M2331" s="9">
        <v>1983</v>
      </c>
      <c r="O2331" s="9" t="str">
        <f t="shared" si="112"/>
        <v>NO</v>
      </c>
      <c r="P2331" s="9" t="str">
        <f t="shared" si="113"/>
        <v>NO</v>
      </c>
      <c r="Q2331" s="9" t="str">
        <f t="shared" si="114"/>
        <v>Conditioned</v>
      </c>
    </row>
    <row r="2332" spans="1:17">
      <c r="A2332" s="9">
        <v>23973</v>
      </c>
      <c r="B2332" s="9">
        <v>2</v>
      </c>
      <c r="C2332" s="9" t="s">
        <v>1589</v>
      </c>
      <c r="D2332" s="9" t="s">
        <v>1590</v>
      </c>
      <c r="E2332" s="9" t="s">
        <v>1591</v>
      </c>
      <c r="F2332" s="9" t="s">
        <v>1589</v>
      </c>
      <c r="G2332" s="9" t="s">
        <v>1606</v>
      </c>
      <c r="H2332" s="9" t="s">
        <v>2683</v>
      </c>
      <c r="I2332" s="9" t="s">
        <v>3732</v>
      </c>
      <c r="J2332" s="9" t="s">
        <v>1597</v>
      </c>
      <c r="K2332" s="9">
        <v>1</v>
      </c>
      <c r="L2332" s="9">
        <v>12</v>
      </c>
      <c r="M2332" s="9">
        <v>1950</v>
      </c>
      <c r="O2332" s="9" t="str">
        <f t="shared" si="112"/>
        <v>NO</v>
      </c>
      <c r="P2332" s="9" t="str">
        <f t="shared" si="113"/>
        <v>NO</v>
      </c>
      <c r="Q2332" s="9" t="str">
        <f t="shared" si="114"/>
        <v>Unconditioned</v>
      </c>
    </row>
    <row r="2333" spans="1:17">
      <c r="A2333" s="9">
        <v>23973</v>
      </c>
      <c r="B2333" s="9">
        <v>3</v>
      </c>
      <c r="C2333" s="9" t="s">
        <v>1589</v>
      </c>
      <c r="D2333" s="9" t="s">
        <v>1590</v>
      </c>
      <c r="E2333" s="9" t="s">
        <v>1591</v>
      </c>
      <c r="F2333" s="9" t="s">
        <v>1589</v>
      </c>
      <c r="G2333" s="9" t="s">
        <v>1606</v>
      </c>
      <c r="H2333" s="9" t="s">
        <v>1638</v>
      </c>
      <c r="I2333" s="9" t="s">
        <v>3733</v>
      </c>
      <c r="J2333" s="9" t="s">
        <v>1605</v>
      </c>
      <c r="K2333" s="9">
        <v>1</v>
      </c>
      <c r="L2333" s="9">
        <v>21</v>
      </c>
      <c r="M2333" s="9">
        <v>2006</v>
      </c>
      <c r="O2333" s="9" t="str">
        <f t="shared" si="112"/>
        <v>NO</v>
      </c>
      <c r="P2333" s="9" t="str">
        <f t="shared" si="113"/>
        <v>YES</v>
      </c>
      <c r="Q2333" s="9" t="str">
        <f t="shared" si="114"/>
        <v>Unconditioned</v>
      </c>
    </row>
    <row r="2334" spans="1:17">
      <c r="A2334" s="9">
        <v>23986</v>
      </c>
      <c r="B2334" s="9">
        <v>1</v>
      </c>
      <c r="C2334" s="9" t="s">
        <v>1589</v>
      </c>
      <c r="D2334" s="9" t="s">
        <v>1590</v>
      </c>
      <c r="E2334" s="9" t="s">
        <v>1591</v>
      </c>
      <c r="F2334" s="9" t="s">
        <v>1589</v>
      </c>
      <c r="G2334" s="9" t="s">
        <v>1592</v>
      </c>
      <c r="H2334" s="9" t="s">
        <v>1678</v>
      </c>
      <c r="I2334" s="9" t="s">
        <v>1589</v>
      </c>
      <c r="J2334" s="9" t="s">
        <v>1597</v>
      </c>
      <c r="K2334" s="9">
        <v>1</v>
      </c>
      <c r="L2334" s="9">
        <v>21</v>
      </c>
      <c r="O2334" s="9" t="str">
        <f t="shared" si="112"/>
        <v>NO</v>
      </c>
      <c r="P2334" s="9" t="str">
        <f t="shared" si="113"/>
        <v>NO</v>
      </c>
      <c r="Q2334" s="9" t="str">
        <f t="shared" si="114"/>
        <v>Conditioned</v>
      </c>
    </row>
    <row r="2335" spans="1:17">
      <c r="A2335" s="9">
        <v>23986</v>
      </c>
      <c r="B2335" s="9">
        <v>2</v>
      </c>
      <c r="C2335" s="9" t="s">
        <v>1589</v>
      </c>
      <c r="D2335" s="9" t="s">
        <v>1590</v>
      </c>
      <c r="E2335" s="9" t="s">
        <v>1591</v>
      </c>
      <c r="F2335" s="9" t="s">
        <v>1589</v>
      </c>
      <c r="G2335" s="9" t="s">
        <v>1592</v>
      </c>
      <c r="H2335" s="9" t="s">
        <v>177</v>
      </c>
      <c r="I2335" s="9" t="s">
        <v>3734</v>
      </c>
      <c r="J2335" s="9" t="s">
        <v>1597</v>
      </c>
      <c r="K2335" s="9">
        <v>1</v>
      </c>
      <c r="L2335" s="9">
        <v>25</v>
      </c>
      <c r="M2335" s="9">
        <v>1991</v>
      </c>
      <c r="O2335" s="9" t="str">
        <f t="shared" si="112"/>
        <v>NO</v>
      </c>
      <c r="P2335" s="9" t="str">
        <f t="shared" si="113"/>
        <v>NO</v>
      </c>
      <c r="Q2335" s="9" t="str">
        <f t="shared" si="114"/>
        <v>Conditioned</v>
      </c>
    </row>
    <row r="2336" spans="1:17">
      <c r="A2336" s="9">
        <v>23986</v>
      </c>
      <c r="B2336" s="9">
        <v>3</v>
      </c>
      <c r="C2336" s="9" t="s">
        <v>1589</v>
      </c>
      <c r="D2336" s="9" t="s">
        <v>1590</v>
      </c>
      <c r="E2336" s="9" t="s">
        <v>1591</v>
      </c>
      <c r="F2336" s="9" t="s">
        <v>1589</v>
      </c>
      <c r="G2336" s="9" t="s">
        <v>1592</v>
      </c>
      <c r="H2336" s="9" t="s">
        <v>2683</v>
      </c>
      <c r="I2336" s="9" t="s">
        <v>1589</v>
      </c>
      <c r="J2336" s="9" t="s">
        <v>1605</v>
      </c>
      <c r="K2336" s="9">
        <v>1</v>
      </c>
      <c r="L2336" s="9">
        <v>21</v>
      </c>
      <c r="O2336" s="9" t="str">
        <f t="shared" si="112"/>
        <v>NO</v>
      </c>
      <c r="P2336" s="9" t="str">
        <f t="shared" si="113"/>
        <v>YES</v>
      </c>
      <c r="Q2336" s="9" t="str">
        <f t="shared" si="114"/>
        <v>Conditioned</v>
      </c>
    </row>
    <row r="2337" spans="1:17">
      <c r="A2337" s="9">
        <v>23994</v>
      </c>
      <c r="B2337" s="9">
        <v>1</v>
      </c>
      <c r="C2337" s="9" t="s">
        <v>1589</v>
      </c>
      <c r="D2337" s="9" t="s">
        <v>1590</v>
      </c>
      <c r="E2337" s="9" t="s">
        <v>1591</v>
      </c>
      <c r="F2337" s="9" t="s">
        <v>1589</v>
      </c>
      <c r="G2337" s="9" t="s">
        <v>1592</v>
      </c>
      <c r="H2337" s="9" t="s">
        <v>178</v>
      </c>
      <c r="I2337" s="9" t="s">
        <v>3735</v>
      </c>
      <c r="J2337" s="9" t="s">
        <v>1597</v>
      </c>
      <c r="K2337" s="9">
        <v>1</v>
      </c>
      <c r="L2337" s="9">
        <v>18</v>
      </c>
      <c r="M2337" s="9">
        <v>2005</v>
      </c>
      <c r="O2337" s="9" t="str">
        <f t="shared" si="112"/>
        <v>NO</v>
      </c>
      <c r="P2337" s="9" t="str">
        <f t="shared" si="113"/>
        <v>NO</v>
      </c>
      <c r="Q2337" s="9" t="str">
        <f t="shared" si="114"/>
        <v>Conditioned</v>
      </c>
    </row>
    <row r="2338" spans="1:17">
      <c r="A2338" s="9">
        <v>23994</v>
      </c>
      <c r="B2338" s="9">
        <v>2</v>
      </c>
      <c r="C2338" s="9" t="s">
        <v>1589</v>
      </c>
      <c r="D2338" s="9" t="s">
        <v>1590</v>
      </c>
      <c r="E2338" s="9" t="s">
        <v>1591</v>
      </c>
      <c r="F2338" s="9" t="s">
        <v>1589</v>
      </c>
      <c r="G2338" s="9" t="s">
        <v>1592</v>
      </c>
      <c r="H2338" s="9" t="s">
        <v>169</v>
      </c>
      <c r="I2338" s="9" t="s">
        <v>3736</v>
      </c>
      <c r="J2338" s="9" t="s">
        <v>1597</v>
      </c>
      <c r="K2338" s="9">
        <v>1</v>
      </c>
      <c r="L2338" s="9">
        <v>18</v>
      </c>
      <c r="M2338" s="9">
        <v>1991</v>
      </c>
      <c r="O2338" s="9" t="str">
        <f t="shared" si="112"/>
        <v>NO</v>
      </c>
      <c r="P2338" s="9" t="str">
        <f t="shared" si="113"/>
        <v>NO</v>
      </c>
      <c r="Q2338" s="9" t="str">
        <f t="shared" si="114"/>
        <v>Conditioned</v>
      </c>
    </row>
    <row r="2339" spans="1:17">
      <c r="A2339" s="9">
        <v>23995</v>
      </c>
      <c r="B2339" s="9">
        <v>1</v>
      </c>
      <c r="C2339" s="9" t="s">
        <v>1589</v>
      </c>
      <c r="D2339" s="9" t="s">
        <v>1590</v>
      </c>
      <c r="E2339" s="9" t="s">
        <v>1602</v>
      </c>
      <c r="F2339" s="9" t="s">
        <v>1603</v>
      </c>
      <c r="G2339" s="9" t="s">
        <v>1592</v>
      </c>
      <c r="H2339" s="9" t="s">
        <v>1599</v>
      </c>
      <c r="I2339" s="9" t="s">
        <v>3444</v>
      </c>
      <c r="J2339" s="9" t="s">
        <v>1601</v>
      </c>
      <c r="K2339" s="9">
        <v>1</v>
      </c>
      <c r="L2339" s="9">
        <v>26</v>
      </c>
      <c r="M2339" s="9">
        <v>2005</v>
      </c>
      <c r="O2339" s="9" t="str">
        <f t="shared" si="112"/>
        <v>NO</v>
      </c>
      <c r="P2339" s="9" t="str">
        <f t="shared" si="113"/>
        <v>NO</v>
      </c>
      <c r="Q2339" s="9" t="str">
        <f t="shared" si="114"/>
        <v>Conditioned</v>
      </c>
    </row>
    <row r="2340" spans="1:17">
      <c r="A2340" s="9">
        <v>23995</v>
      </c>
      <c r="B2340" s="9">
        <v>2</v>
      </c>
      <c r="C2340" s="9" t="s">
        <v>1589</v>
      </c>
      <c r="D2340" s="9" t="s">
        <v>1590</v>
      </c>
      <c r="E2340" s="9" t="s">
        <v>1591</v>
      </c>
      <c r="F2340" s="9" t="s">
        <v>1589</v>
      </c>
      <c r="G2340" s="9" t="s">
        <v>1592</v>
      </c>
      <c r="H2340" s="9" t="s">
        <v>1638</v>
      </c>
      <c r="I2340" s="9" t="s">
        <v>3737</v>
      </c>
      <c r="J2340" s="9" t="s">
        <v>1605</v>
      </c>
      <c r="K2340" s="9">
        <v>1</v>
      </c>
      <c r="L2340" s="9">
        <v>12</v>
      </c>
      <c r="M2340" s="9">
        <v>1977</v>
      </c>
      <c r="O2340" s="9" t="str">
        <f t="shared" si="112"/>
        <v>NO</v>
      </c>
      <c r="P2340" s="9" t="str">
        <f t="shared" si="113"/>
        <v>YES</v>
      </c>
      <c r="Q2340" s="9" t="str">
        <f t="shared" si="114"/>
        <v>Conditioned</v>
      </c>
    </row>
    <row r="2341" spans="1:17">
      <c r="A2341" s="9">
        <v>24016</v>
      </c>
      <c r="B2341" s="9">
        <v>1</v>
      </c>
      <c r="C2341" s="9" t="s">
        <v>1589</v>
      </c>
      <c r="D2341" s="9" t="s">
        <v>1590</v>
      </c>
      <c r="E2341" s="9" t="s">
        <v>1591</v>
      </c>
      <c r="F2341" s="9" t="s">
        <v>1589</v>
      </c>
      <c r="G2341" s="9" t="s">
        <v>1592</v>
      </c>
      <c r="H2341" s="9" t="s">
        <v>170</v>
      </c>
      <c r="I2341" s="9" t="s">
        <v>3738</v>
      </c>
      <c r="J2341" s="9" t="s">
        <v>1597</v>
      </c>
      <c r="K2341" s="9">
        <v>1</v>
      </c>
      <c r="L2341" s="9">
        <v>18</v>
      </c>
      <c r="M2341" s="9">
        <v>1993</v>
      </c>
      <c r="O2341" s="9" t="str">
        <f t="shared" si="112"/>
        <v>NO</v>
      </c>
      <c r="P2341" s="9" t="str">
        <f t="shared" si="113"/>
        <v>NO</v>
      </c>
      <c r="Q2341" s="9" t="str">
        <f t="shared" si="114"/>
        <v>Conditioned</v>
      </c>
    </row>
    <row r="2342" spans="1:17">
      <c r="A2342" s="9">
        <v>24027</v>
      </c>
      <c r="B2342" s="9">
        <v>1</v>
      </c>
      <c r="C2342" s="9" t="s">
        <v>1589</v>
      </c>
      <c r="D2342" s="9" t="s">
        <v>1590</v>
      </c>
      <c r="E2342" s="9" t="s">
        <v>1602</v>
      </c>
      <c r="F2342" s="9" t="s">
        <v>1603</v>
      </c>
      <c r="G2342" s="9" t="s">
        <v>1592</v>
      </c>
      <c r="H2342" s="9" t="s">
        <v>173</v>
      </c>
      <c r="I2342" s="9" t="s">
        <v>3739</v>
      </c>
      <c r="J2342" s="9" t="s">
        <v>1608</v>
      </c>
      <c r="K2342" s="9">
        <v>1</v>
      </c>
      <c r="L2342" s="9">
        <v>22</v>
      </c>
      <c r="M2342" s="9">
        <v>2009</v>
      </c>
      <c r="O2342" s="9" t="str">
        <f t="shared" si="112"/>
        <v>NO</v>
      </c>
      <c r="P2342" s="9" t="str">
        <f t="shared" si="113"/>
        <v>NO</v>
      </c>
      <c r="Q2342" s="9" t="str">
        <f t="shared" si="114"/>
        <v>Conditioned</v>
      </c>
    </row>
    <row r="2343" spans="1:17">
      <c r="A2343" s="9">
        <v>24027</v>
      </c>
      <c r="B2343" s="9">
        <v>2</v>
      </c>
      <c r="C2343" s="9" t="s">
        <v>1589</v>
      </c>
      <c r="D2343" s="9" t="s">
        <v>1590</v>
      </c>
      <c r="E2343" s="9" t="s">
        <v>1591</v>
      </c>
      <c r="F2343" s="9" t="s">
        <v>1589</v>
      </c>
      <c r="G2343" s="9" t="s">
        <v>1592</v>
      </c>
      <c r="H2343" s="9" t="s">
        <v>170</v>
      </c>
      <c r="I2343" s="9" t="s">
        <v>3740</v>
      </c>
      <c r="J2343" s="9" t="s">
        <v>1587</v>
      </c>
      <c r="K2343" s="9">
        <v>1</v>
      </c>
      <c r="L2343" s="9">
        <v>16</v>
      </c>
      <c r="M2343" s="9">
        <v>2002</v>
      </c>
      <c r="O2343" s="9" t="str">
        <f t="shared" si="112"/>
        <v>NO</v>
      </c>
      <c r="P2343" s="9" t="str">
        <f t="shared" si="113"/>
        <v>YES</v>
      </c>
      <c r="Q2343" s="9" t="str">
        <f t="shared" si="114"/>
        <v>Conditioned</v>
      </c>
    </row>
    <row r="2344" spans="1:17">
      <c r="A2344" s="9">
        <v>24027</v>
      </c>
      <c r="B2344" s="9">
        <v>3</v>
      </c>
      <c r="C2344" s="9" t="s">
        <v>1589</v>
      </c>
      <c r="D2344" s="9" t="s">
        <v>1590</v>
      </c>
      <c r="E2344" s="9" t="s">
        <v>1591</v>
      </c>
      <c r="F2344" s="9" t="s">
        <v>1589</v>
      </c>
      <c r="G2344" s="9" t="s">
        <v>1606</v>
      </c>
      <c r="H2344" s="9" t="s">
        <v>170</v>
      </c>
      <c r="I2344" s="9" t="s">
        <v>3358</v>
      </c>
      <c r="J2344" s="9" t="s">
        <v>1587</v>
      </c>
      <c r="K2344" s="9">
        <v>1</v>
      </c>
      <c r="L2344" s="9">
        <v>22</v>
      </c>
      <c r="M2344" s="9">
        <v>2010</v>
      </c>
      <c r="O2344" s="9" t="str">
        <f t="shared" si="112"/>
        <v>NO</v>
      </c>
      <c r="P2344" s="9" t="str">
        <f t="shared" si="113"/>
        <v>YES</v>
      </c>
      <c r="Q2344" s="9" t="str">
        <f t="shared" si="114"/>
        <v>Unconditioned</v>
      </c>
    </row>
    <row r="2345" spans="1:17">
      <c r="A2345" s="9">
        <v>24027</v>
      </c>
      <c r="B2345" s="9">
        <v>4</v>
      </c>
      <c r="C2345" s="9" t="s">
        <v>1589</v>
      </c>
      <c r="D2345" s="9" t="s">
        <v>1590</v>
      </c>
      <c r="E2345" s="9" t="s">
        <v>1591</v>
      </c>
      <c r="F2345" s="9" t="s">
        <v>1589</v>
      </c>
      <c r="G2345" s="9" t="s">
        <v>1606</v>
      </c>
      <c r="H2345" s="9" t="s">
        <v>1638</v>
      </c>
      <c r="I2345" s="9" t="s">
        <v>3741</v>
      </c>
      <c r="J2345" s="9" t="s">
        <v>1612</v>
      </c>
      <c r="K2345" s="9">
        <v>1</v>
      </c>
      <c r="L2345" s="9">
        <v>6</v>
      </c>
      <c r="M2345" s="9">
        <v>2011</v>
      </c>
      <c r="O2345" s="9" t="str">
        <f t="shared" si="112"/>
        <v>YES</v>
      </c>
      <c r="P2345" s="9" t="str">
        <f t="shared" si="113"/>
        <v>NO</v>
      </c>
      <c r="Q2345" s="9" t="str">
        <f t="shared" si="114"/>
        <v>Unconditioned</v>
      </c>
    </row>
    <row r="2346" spans="1:17">
      <c r="A2346" s="9">
        <v>24027</v>
      </c>
      <c r="B2346" s="9">
        <v>5</v>
      </c>
      <c r="C2346" s="9" t="s">
        <v>1589</v>
      </c>
      <c r="D2346" s="9" t="s">
        <v>1590</v>
      </c>
      <c r="E2346" s="9" t="s">
        <v>1591</v>
      </c>
      <c r="F2346" s="9" t="s">
        <v>1589</v>
      </c>
      <c r="G2346" s="9" t="s">
        <v>1592</v>
      </c>
      <c r="H2346" s="9" t="s">
        <v>3742</v>
      </c>
      <c r="I2346" s="9" t="s">
        <v>3743</v>
      </c>
      <c r="J2346" s="9" t="s">
        <v>1597</v>
      </c>
      <c r="K2346" s="9">
        <v>1</v>
      </c>
      <c r="L2346" s="9">
        <v>20</v>
      </c>
      <c r="O2346" s="9" t="str">
        <f t="shared" si="112"/>
        <v>NO</v>
      </c>
      <c r="P2346" s="9" t="str">
        <f t="shared" si="113"/>
        <v>NO</v>
      </c>
      <c r="Q2346" s="9" t="str">
        <f t="shared" si="114"/>
        <v>Conditioned</v>
      </c>
    </row>
    <row r="2347" spans="1:17">
      <c r="A2347" s="9">
        <v>24033</v>
      </c>
      <c r="B2347" s="9">
        <v>1</v>
      </c>
      <c r="C2347" s="9" t="s">
        <v>1589</v>
      </c>
      <c r="D2347" s="9" t="s">
        <v>1590</v>
      </c>
      <c r="E2347" s="9" t="s">
        <v>1602</v>
      </c>
      <c r="F2347" s="9" t="s">
        <v>1603</v>
      </c>
      <c r="G2347" s="9" t="s">
        <v>1592</v>
      </c>
      <c r="H2347" s="9" t="s">
        <v>170</v>
      </c>
      <c r="I2347" s="9" t="s">
        <v>3744</v>
      </c>
      <c r="J2347" s="9" t="s">
        <v>1601</v>
      </c>
      <c r="K2347" s="9">
        <v>1</v>
      </c>
      <c r="L2347" s="9">
        <v>22</v>
      </c>
      <c r="M2347" s="9">
        <v>1996</v>
      </c>
      <c r="O2347" s="9" t="str">
        <f t="shared" si="112"/>
        <v>NO</v>
      </c>
      <c r="P2347" s="9" t="str">
        <f t="shared" si="113"/>
        <v>NO</v>
      </c>
      <c r="Q2347" s="9" t="str">
        <f t="shared" si="114"/>
        <v>Conditioned</v>
      </c>
    </row>
    <row r="2348" spans="1:17">
      <c r="A2348" s="9">
        <v>24033</v>
      </c>
      <c r="B2348" s="9">
        <v>2</v>
      </c>
      <c r="C2348" s="9" t="s">
        <v>1589</v>
      </c>
      <c r="D2348" s="9" t="s">
        <v>1590</v>
      </c>
      <c r="E2348" s="9" t="s">
        <v>1591</v>
      </c>
      <c r="F2348" s="9" t="s">
        <v>1589</v>
      </c>
      <c r="G2348" s="9" t="s">
        <v>1606</v>
      </c>
      <c r="H2348" s="9" t="s">
        <v>170</v>
      </c>
      <c r="I2348" s="9" t="s">
        <v>3745</v>
      </c>
      <c r="J2348" s="9" t="s">
        <v>1608</v>
      </c>
      <c r="K2348" s="9">
        <v>1</v>
      </c>
      <c r="L2348" s="9">
        <v>20</v>
      </c>
      <c r="M2348" s="9">
        <v>2010</v>
      </c>
      <c r="O2348" s="9" t="str">
        <f t="shared" si="112"/>
        <v>NO</v>
      </c>
      <c r="P2348" s="9" t="str">
        <f t="shared" si="113"/>
        <v>NO</v>
      </c>
      <c r="Q2348" s="9" t="str">
        <f t="shared" si="114"/>
        <v>Unconditioned</v>
      </c>
    </row>
    <row r="2349" spans="1:17">
      <c r="A2349" s="9">
        <v>24033</v>
      </c>
      <c r="B2349" s="9">
        <v>3</v>
      </c>
      <c r="C2349" s="9" t="s">
        <v>1589</v>
      </c>
      <c r="D2349" s="9" t="s">
        <v>1603</v>
      </c>
      <c r="E2349" s="9" t="s">
        <v>1591</v>
      </c>
      <c r="F2349" s="9" t="s">
        <v>1589</v>
      </c>
      <c r="G2349" s="9" t="s">
        <v>1592</v>
      </c>
      <c r="H2349" s="9" t="s">
        <v>169</v>
      </c>
      <c r="I2349" s="9" t="s">
        <v>2268</v>
      </c>
      <c r="J2349" s="9" t="s">
        <v>1605</v>
      </c>
      <c r="K2349" s="9">
        <v>1</v>
      </c>
      <c r="L2349" s="9">
        <v>16</v>
      </c>
      <c r="M2349" s="9">
        <v>2000</v>
      </c>
      <c r="O2349" s="9" t="str">
        <f t="shared" si="112"/>
        <v>NO</v>
      </c>
      <c r="P2349" s="9" t="str">
        <f t="shared" si="113"/>
        <v>YES</v>
      </c>
      <c r="Q2349" s="9" t="str">
        <f t="shared" si="114"/>
        <v>Conditioned</v>
      </c>
    </row>
    <row r="2350" spans="1:17">
      <c r="A2350" s="9">
        <v>24040</v>
      </c>
      <c r="B2350" s="9">
        <v>1</v>
      </c>
      <c r="C2350" s="9" t="s">
        <v>1589</v>
      </c>
      <c r="D2350" s="9" t="s">
        <v>1590</v>
      </c>
      <c r="E2350" s="9" t="s">
        <v>1602</v>
      </c>
      <c r="F2350" s="9" t="s">
        <v>1603</v>
      </c>
      <c r="G2350" s="9" t="s">
        <v>1592</v>
      </c>
      <c r="H2350" s="9" t="s">
        <v>177</v>
      </c>
      <c r="I2350" s="9" t="s">
        <v>3746</v>
      </c>
      <c r="J2350" s="9" t="s">
        <v>1601</v>
      </c>
      <c r="K2350" s="9">
        <v>1</v>
      </c>
      <c r="L2350" s="9">
        <v>22</v>
      </c>
      <c r="M2350" s="9">
        <v>2006</v>
      </c>
      <c r="O2350" s="9" t="str">
        <f t="shared" si="112"/>
        <v>NO</v>
      </c>
      <c r="P2350" s="9" t="str">
        <f t="shared" si="113"/>
        <v>NO</v>
      </c>
      <c r="Q2350" s="9" t="str">
        <f t="shared" si="114"/>
        <v>Conditioned</v>
      </c>
    </row>
    <row r="2351" spans="1:17">
      <c r="A2351" s="9">
        <v>24048</v>
      </c>
      <c r="B2351" s="9">
        <v>1</v>
      </c>
      <c r="C2351" s="9" t="s">
        <v>1589</v>
      </c>
      <c r="D2351" s="9" t="s">
        <v>1590</v>
      </c>
      <c r="E2351" s="9" t="s">
        <v>1613</v>
      </c>
      <c r="F2351" s="9" t="s">
        <v>1603</v>
      </c>
      <c r="G2351" s="9" t="s">
        <v>1592</v>
      </c>
      <c r="H2351" s="9" t="s">
        <v>174</v>
      </c>
      <c r="I2351" s="9" t="s">
        <v>3747</v>
      </c>
      <c r="J2351" s="9" t="s">
        <v>1608</v>
      </c>
      <c r="K2351" s="9">
        <v>1</v>
      </c>
      <c r="L2351" s="9">
        <v>23</v>
      </c>
      <c r="M2351" s="9">
        <v>2009</v>
      </c>
      <c r="O2351" s="9" t="str">
        <f t="shared" si="112"/>
        <v>NO</v>
      </c>
      <c r="P2351" s="9" t="str">
        <f t="shared" si="113"/>
        <v>NO</v>
      </c>
      <c r="Q2351" s="9" t="str">
        <f t="shared" si="114"/>
        <v>Conditioned</v>
      </c>
    </row>
    <row r="2352" spans="1:17">
      <c r="A2352" s="9">
        <v>24048</v>
      </c>
      <c r="B2352" s="9">
        <v>2</v>
      </c>
      <c r="C2352" s="9" t="s">
        <v>1589</v>
      </c>
      <c r="D2352" s="9" t="s">
        <v>1590</v>
      </c>
      <c r="E2352" s="9" t="s">
        <v>1591</v>
      </c>
      <c r="F2352" s="9" t="s">
        <v>1589</v>
      </c>
      <c r="G2352" s="9" t="s">
        <v>1592</v>
      </c>
      <c r="H2352" s="9" t="s">
        <v>170</v>
      </c>
      <c r="I2352" s="9" t="s">
        <v>1589</v>
      </c>
      <c r="J2352" s="9" t="s">
        <v>1597</v>
      </c>
      <c r="K2352" s="9">
        <v>1</v>
      </c>
      <c r="L2352" s="9">
        <v>18</v>
      </c>
      <c r="M2352" s="9">
        <v>1981</v>
      </c>
      <c r="O2352" s="9" t="str">
        <f t="shared" si="112"/>
        <v>NO</v>
      </c>
      <c r="P2352" s="9" t="str">
        <f t="shared" si="113"/>
        <v>NO</v>
      </c>
      <c r="Q2352" s="9" t="str">
        <f t="shared" si="114"/>
        <v>Conditioned</v>
      </c>
    </row>
    <row r="2353" spans="1:17">
      <c r="A2353" s="9">
        <v>24083</v>
      </c>
      <c r="B2353" s="9">
        <v>1</v>
      </c>
      <c r="C2353" s="9" t="s">
        <v>1589</v>
      </c>
      <c r="D2353" s="9" t="s">
        <v>1590</v>
      </c>
      <c r="E2353" s="9" t="s">
        <v>1591</v>
      </c>
      <c r="F2353" s="9" t="s">
        <v>1589</v>
      </c>
      <c r="G2353" s="9" t="s">
        <v>1592</v>
      </c>
      <c r="H2353" s="9" t="s">
        <v>170</v>
      </c>
      <c r="I2353" s="9" t="s">
        <v>3748</v>
      </c>
      <c r="J2353" s="9" t="s">
        <v>1597</v>
      </c>
      <c r="K2353" s="9">
        <v>1</v>
      </c>
      <c r="L2353" s="9">
        <v>20</v>
      </c>
      <c r="M2353" s="9">
        <v>1988</v>
      </c>
      <c r="O2353" s="9" t="str">
        <f t="shared" si="112"/>
        <v>NO</v>
      </c>
      <c r="P2353" s="9" t="str">
        <f t="shared" si="113"/>
        <v>NO</v>
      </c>
      <c r="Q2353" s="9" t="str">
        <f t="shared" si="114"/>
        <v>Conditioned</v>
      </c>
    </row>
    <row r="2354" spans="1:17">
      <c r="A2354" s="9">
        <v>24093</v>
      </c>
      <c r="B2354" s="9">
        <v>1</v>
      </c>
      <c r="C2354" s="9" t="s">
        <v>1589</v>
      </c>
      <c r="D2354" s="9" t="s">
        <v>1603</v>
      </c>
      <c r="E2354" s="9" t="s">
        <v>1602</v>
      </c>
      <c r="F2354" s="9" t="s">
        <v>1603</v>
      </c>
      <c r="G2354" s="9" t="s">
        <v>1592</v>
      </c>
      <c r="H2354" s="9" t="s">
        <v>177</v>
      </c>
      <c r="I2354" s="9" t="s">
        <v>3749</v>
      </c>
      <c r="J2354" s="9" t="s">
        <v>1601</v>
      </c>
      <c r="K2354" s="9">
        <v>1</v>
      </c>
      <c r="L2354" s="9">
        <v>25</v>
      </c>
      <c r="M2354" s="9">
        <v>2008</v>
      </c>
      <c r="O2354" s="9" t="str">
        <f t="shared" si="112"/>
        <v>NO</v>
      </c>
      <c r="P2354" s="9" t="str">
        <f t="shared" si="113"/>
        <v>NO</v>
      </c>
      <c r="Q2354" s="9" t="str">
        <f t="shared" si="114"/>
        <v>Conditioned</v>
      </c>
    </row>
    <row r="2355" spans="1:17">
      <c r="A2355" s="9">
        <v>24093</v>
      </c>
      <c r="B2355" s="9">
        <v>2</v>
      </c>
      <c r="C2355" s="9" t="s">
        <v>1589</v>
      </c>
      <c r="D2355" s="9" t="s">
        <v>1590</v>
      </c>
      <c r="E2355" s="9" t="s">
        <v>1591</v>
      </c>
      <c r="F2355" s="9" t="s">
        <v>1589</v>
      </c>
      <c r="G2355" s="9" t="s">
        <v>1606</v>
      </c>
      <c r="H2355" s="9" t="s">
        <v>170</v>
      </c>
      <c r="I2355" s="9" t="s">
        <v>1589</v>
      </c>
      <c r="J2355" s="9" t="s">
        <v>1605</v>
      </c>
      <c r="K2355" s="9">
        <v>1</v>
      </c>
      <c r="L2355" s="9">
        <v>15</v>
      </c>
      <c r="O2355" s="9" t="str">
        <f t="shared" si="112"/>
        <v>NO</v>
      </c>
      <c r="P2355" s="9" t="str">
        <f t="shared" si="113"/>
        <v>YES</v>
      </c>
      <c r="Q2355" s="9" t="str">
        <f t="shared" si="114"/>
        <v>Unconditioned</v>
      </c>
    </row>
    <row r="2356" spans="1:17">
      <c r="A2356" s="9">
        <v>24093</v>
      </c>
      <c r="B2356" s="9">
        <v>3</v>
      </c>
      <c r="C2356" s="9" t="s">
        <v>1589</v>
      </c>
      <c r="D2356" s="9" t="s">
        <v>1590</v>
      </c>
      <c r="E2356" s="9" t="s">
        <v>1591</v>
      </c>
      <c r="F2356" s="9" t="s">
        <v>1589</v>
      </c>
      <c r="G2356" s="9" t="s">
        <v>1592</v>
      </c>
      <c r="H2356" s="9" t="s">
        <v>181</v>
      </c>
      <c r="I2356" s="9" t="s">
        <v>3750</v>
      </c>
      <c r="J2356" s="9" t="s">
        <v>1589</v>
      </c>
      <c r="K2356" s="9">
        <v>1</v>
      </c>
      <c r="L2356" s="9">
        <v>7</v>
      </c>
      <c r="O2356" s="9" t="str">
        <f t="shared" si="112"/>
        <v>YES</v>
      </c>
      <c r="P2356" s="9" t="e">
        <f t="shared" si="113"/>
        <v>#N/A</v>
      </c>
      <c r="Q2356" s="9" t="str">
        <f t="shared" si="114"/>
        <v>Conditioned</v>
      </c>
    </row>
    <row r="2357" spans="1:17">
      <c r="A2357" s="9">
        <v>24119</v>
      </c>
      <c r="B2357" s="9">
        <v>1</v>
      </c>
      <c r="C2357" s="9" t="s">
        <v>1589</v>
      </c>
      <c r="D2357" s="9" t="s">
        <v>1590</v>
      </c>
      <c r="E2357" s="9" t="s">
        <v>1602</v>
      </c>
      <c r="F2357" s="9" t="s">
        <v>1603</v>
      </c>
      <c r="G2357" s="9" t="s">
        <v>1592</v>
      </c>
      <c r="H2357" s="9" t="s">
        <v>1017</v>
      </c>
      <c r="I2357" s="9" t="s">
        <v>2410</v>
      </c>
      <c r="J2357" s="9" t="s">
        <v>1601</v>
      </c>
      <c r="K2357" s="9">
        <v>1</v>
      </c>
      <c r="L2357" s="9">
        <v>24</v>
      </c>
      <c r="M2357" s="9">
        <v>2007</v>
      </c>
      <c r="O2357" s="9" t="str">
        <f t="shared" si="112"/>
        <v>NO</v>
      </c>
      <c r="P2357" s="9" t="str">
        <f t="shared" si="113"/>
        <v>NO</v>
      </c>
      <c r="Q2357" s="9" t="str">
        <f t="shared" si="114"/>
        <v>Conditioned</v>
      </c>
    </row>
    <row r="2358" spans="1:17">
      <c r="A2358" s="9">
        <v>24119</v>
      </c>
      <c r="B2358" s="9">
        <v>2</v>
      </c>
      <c r="C2358" s="9" t="s">
        <v>3751</v>
      </c>
      <c r="D2358" s="9" t="s">
        <v>1590</v>
      </c>
      <c r="E2358" s="9" t="s">
        <v>1591</v>
      </c>
      <c r="F2358" s="9" t="s">
        <v>1589</v>
      </c>
      <c r="G2358" s="9" t="s">
        <v>1606</v>
      </c>
      <c r="H2358" s="9" t="s">
        <v>1766</v>
      </c>
      <c r="I2358" s="9" t="s">
        <v>1589</v>
      </c>
      <c r="J2358" s="9" t="s">
        <v>1605</v>
      </c>
      <c r="K2358" s="9">
        <v>1</v>
      </c>
      <c r="L2358" s="9">
        <v>20</v>
      </c>
      <c r="O2358" s="9" t="str">
        <f t="shared" si="112"/>
        <v>NO</v>
      </c>
      <c r="P2358" s="9" t="str">
        <f t="shared" si="113"/>
        <v>YES</v>
      </c>
      <c r="Q2358" s="9" t="str">
        <f t="shared" si="114"/>
        <v>Unconditioned</v>
      </c>
    </row>
    <row r="2359" spans="1:17">
      <c r="A2359" s="9">
        <v>24119</v>
      </c>
      <c r="B2359" s="9">
        <v>3</v>
      </c>
      <c r="C2359" s="9" t="s">
        <v>1589</v>
      </c>
      <c r="D2359" s="9" t="s">
        <v>1590</v>
      </c>
      <c r="E2359" s="9" t="s">
        <v>1613</v>
      </c>
      <c r="F2359" s="9" t="s">
        <v>1590</v>
      </c>
      <c r="G2359" s="9" t="s">
        <v>1606</v>
      </c>
      <c r="H2359" s="9" t="s">
        <v>174</v>
      </c>
      <c r="I2359" s="9" t="s">
        <v>3752</v>
      </c>
      <c r="J2359" s="9" t="s">
        <v>1597</v>
      </c>
      <c r="K2359" s="9">
        <v>1</v>
      </c>
      <c r="L2359" s="9">
        <v>18</v>
      </c>
      <c r="M2359" s="9">
        <v>1986</v>
      </c>
      <c r="O2359" s="9" t="str">
        <f t="shared" si="112"/>
        <v>NO</v>
      </c>
      <c r="P2359" s="9" t="str">
        <f t="shared" si="113"/>
        <v>NO</v>
      </c>
      <c r="Q2359" s="9" t="str">
        <f t="shared" si="114"/>
        <v>Unconditioned</v>
      </c>
    </row>
    <row r="2360" spans="1:17">
      <c r="A2360" s="9">
        <v>24119</v>
      </c>
      <c r="B2360" s="9">
        <v>4</v>
      </c>
      <c r="C2360" s="9" t="s">
        <v>3753</v>
      </c>
      <c r="D2360" s="9" t="s">
        <v>1590</v>
      </c>
      <c r="E2360" s="9" t="s">
        <v>1591</v>
      </c>
      <c r="F2360" s="9" t="s">
        <v>1589</v>
      </c>
      <c r="G2360" s="9" t="s">
        <v>1606</v>
      </c>
      <c r="H2360" s="9" t="s">
        <v>2979</v>
      </c>
      <c r="I2360" s="9" t="s">
        <v>1589</v>
      </c>
      <c r="J2360" s="9" t="s">
        <v>1587</v>
      </c>
      <c r="K2360" s="9">
        <v>1</v>
      </c>
      <c r="L2360" s="9">
        <v>12</v>
      </c>
      <c r="O2360" s="9" t="str">
        <f t="shared" si="112"/>
        <v>NO</v>
      </c>
      <c r="P2360" s="9" t="str">
        <f t="shared" si="113"/>
        <v>YES</v>
      </c>
      <c r="Q2360" s="9" t="str">
        <f t="shared" si="114"/>
        <v>Unconditioned</v>
      </c>
    </row>
    <row r="2361" spans="1:17">
      <c r="A2361" s="9">
        <v>24120</v>
      </c>
      <c r="B2361" s="9">
        <v>1</v>
      </c>
      <c r="C2361" s="9" t="s">
        <v>1589</v>
      </c>
      <c r="D2361" s="9" t="s">
        <v>1590</v>
      </c>
      <c r="E2361" s="9" t="s">
        <v>1591</v>
      </c>
      <c r="F2361" s="9" t="s">
        <v>1589</v>
      </c>
      <c r="G2361" s="9" t="s">
        <v>1592</v>
      </c>
      <c r="H2361" s="9" t="s">
        <v>1589</v>
      </c>
      <c r="I2361" s="9" t="s">
        <v>3754</v>
      </c>
      <c r="J2361" s="9" t="s">
        <v>1605</v>
      </c>
      <c r="K2361" s="9">
        <v>1</v>
      </c>
      <c r="L2361" s="9">
        <v>19</v>
      </c>
      <c r="M2361" s="9">
        <v>2009</v>
      </c>
      <c r="O2361" s="9" t="str">
        <f t="shared" si="112"/>
        <v>NO</v>
      </c>
      <c r="P2361" s="9" t="str">
        <f t="shared" si="113"/>
        <v>YES</v>
      </c>
      <c r="Q2361" s="9" t="str">
        <f t="shared" si="114"/>
        <v>Conditioned</v>
      </c>
    </row>
    <row r="2362" spans="1:17">
      <c r="A2362" s="9">
        <v>24120</v>
      </c>
      <c r="B2362" s="9">
        <v>2</v>
      </c>
      <c r="C2362" s="9" t="s">
        <v>1589</v>
      </c>
      <c r="D2362" s="9" t="s">
        <v>1603</v>
      </c>
      <c r="E2362" s="9" t="s">
        <v>1602</v>
      </c>
      <c r="F2362" s="9" t="s">
        <v>1603</v>
      </c>
      <c r="G2362" s="9" t="s">
        <v>1592</v>
      </c>
      <c r="H2362" s="9" t="s">
        <v>177</v>
      </c>
      <c r="I2362" s="9" t="s">
        <v>3755</v>
      </c>
      <c r="J2362" s="9" t="s">
        <v>1601</v>
      </c>
      <c r="K2362" s="9">
        <v>1</v>
      </c>
      <c r="L2362" s="9">
        <v>25</v>
      </c>
      <c r="M2362" s="9">
        <v>2011</v>
      </c>
      <c r="O2362" s="9" t="str">
        <f t="shared" si="112"/>
        <v>NO</v>
      </c>
      <c r="P2362" s="9" t="str">
        <f t="shared" si="113"/>
        <v>NO</v>
      </c>
      <c r="Q2362" s="9" t="str">
        <f t="shared" si="114"/>
        <v>Conditioned</v>
      </c>
    </row>
    <row r="2363" spans="1:17">
      <c r="A2363" s="9">
        <v>24151</v>
      </c>
      <c r="B2363" s="9">
        <v>1</v>
      </c>
      <c r="C2363" s="9" t="s">
        <v>1589</v>
      </c>
      <c r="D2363" s="9" t="s">
        <v>1590</v>
      </c>
      <c r="E2363" s="9" t="s">
        <v>1613</v>
      </c>
      <c r="F2363" s="9" t="s">
        <v>1603</v>
      </c>
      <c r="G2363" s="9" t="s">
        <v>1592</v>
      </c>
      <c r="H2363" s="9" t="s">
        <v>170</v>
      </c>
      <c r="I2363" s="9" t="s">
        <v>3756</v>
      </c>
      <c r="J2363" s="9" t="s">
        <v>1601</v>
      </c>
      <c r="K2363" s="9">
        <v>1</v>
      </c>
      <c r="L2363" s="9">
        <v>25</v>
      </c>
      <c r="M2363" s="9">
        <v>2006</v>
      </c>
      <c r="O2363" s="9" t="str">
        <f t="shared" si="112"/>
        <v>NO</v>
      </c>
      <c r="P2363" s="9" t="str">
        <f t="shared" si="113"/>
        <v>NO</v>
      </c>
      <c r="Q2363" s="9" t="str">
        <f t="shared" si="114"/>
        <v>Conditioned</v>
      </c>
    </row>
    <row r="2364" spans="1:17">
      <c r="A2364" s="9">
        <v>24153</v>
      </c>
      <c r="B2364" s="9">
        <v>1</v>
      </c>
      <c r="C2364" s="9" t="s">
        <v>1589</v>
      </c>
      <c r="D2364" s="9" t="s">
        <v>1603</v>
      </c>
      <c r="E2364" s="9" t="s">
        <v>1589</v>
      </c>
      <c r="F2364" s="9" t="s">
        <v>1589</v>
      </c>
      <c r="G2364" s="9" t="s">
        <v>1592</v>
      </c>
      <c r="H2364" s="9" t="s">
        <v>177</v>
      </c>
      <c r="I2364" s="9" t="s">
        <v>3757</v>
      </c>
      <c r="J2364" s="9" t="s">
        <v>1612</v>
      </c>
      <c r="K2364" s="9">
        <v>1</v>
      </c>
      <c r="L2364" s="9">
        <v>19</v>
      </c>
      <c r="M2364" s="9">
        <v>2007</v>
      </c>
      <c r="O2364" s="9" t="str">
        <f t="shared" si="112"/>
        <v>NO</v>
      </c>
      <c r="P2364" s="9" t="str">
        <f t="shared" si="113"/>
        <v>NO</v>
      </c>
      <c r="Q2364" s="9" t="str">
        <f t="shared" si="114"/>
        <v>Conditioned</v>
      </c>
    </row>
    <row r="2365" spans="1:17">
      <c r="A2365" s="9">
        <v>24153</v>
      </c>
      <c r="B2365" s="9">
        <v>2</v>
      </c>
      <c r="C2365" s="9" t="s">
        <v>1589</v>
      </c>
      <c r="D2365" s="9" t="s">
        <v>1590</v>
      </c>
      <c r="E2365" s="9" t="s">
        <v>1591</v>
      </c>
      <c r="F2365" s="9" t="s">
        <v>1589</v>
      </c>
      <c r="G2365" s="9" t="s">
        <v>1592</v>
      </c>
      <c r="H2365" s="9" t="s">
        <v>173</v>
      </c>
      <c r="I2365" s="9" t="s">
        <v>3758</v>
      </c>
      <c r="J2365" s="9" t="s">
        <v>1597</v>
      </c>
      <c r="K2365" s="9">
        <v>1</v>
      </c>
      <c r="L2365" s="9">
        <v>19</v>
      </c>
      <c r="O2365" s="9" t="str">
        <f t="shared" si="112"/>
        <v>NO</v>
      </c>
      <c r="P2365" s="9" t="str">
        <f t="shared" si="113"/>
        <v>NO</v>
      </c>
      <c r="Q2365" s="9" t="str">
        <f t="shared" si="114"/>
        <v>Conditioned</v>
      </c>
    </row>
    <row r="2366" spans="1:17">
      <c r="A2366" s="9">
        <v>24153</v>
      </c>
      <c r="B2366" s="9">
        <v>3</v>
      </c>
      <c r="C2366" s="9" t="s">
        <v>1589</v>
      </c>
      <c r="D2366" s="9" t="s">
        <v>1590</v>
      </c>
      <c r="E2366" s="9" t="s">
        <v>1591</v>
      </c>
      <c r="F2366" s="9" t="s">
        <v>1589</v>
      </c>
      <c r="G2366" s="9" t="s">
        <v>1592</v>
      </c>
      <c r="H2366" s="9" t="s">
        <v>3759</v>
      </c>
      <c r="I2366" s="9" t="s">
        <v>1589</v>
      </c>
      <c r="J2366" s="9" t="s">
        <v>1605</v>
      </c>
      <c r="K2366" s="9">
        <v>1</v>
      </c>
      <c r="L2366" s="9">
        <v>18</v>
      </c>
      <c r="O2366" s="9" t="str">
        <f t="shared" si="112"/>
        <v>NO</v>
      </c>
      <c r="P2366" s="9" t="str">
        <f t="shared" si="113"/>
        <v>YES</v>
      </c>
      <c r="Q2366" s="9" t="str">
        <f t="shared" si="114"/>
        <v>Conditioned</v>
      </c>
    </row>
    <row r="2367" spans="1:17">
      <c r="A2367" s="9">
        <v>24158</v>
      </c>
      <c r="B2367" s="9">
        <v>1</v>
      </c>
      <c r="C2367" s="9" t="s">
        <v>1589</v>
      </c>
      <c r="D2367" s="9" t="s">
        <v>1590</v>
      </c>
      <c r="E2367" s="9" t="s">
        <v>1613</v>
      </c>
      <c r="F2367" s="9" t="s">
        <v>1603</v>
      </c>
      <c r="G2367" s="9" t="s">
        <v>1592</v>
      </c>
      <c r="H2367" s="9" t="s">
        <v>1017</v>
      </c>
      <c r="I2367" s="9" t="s">
        <v>3760</v>
      </c>
      <c r="J2367" s="9" t="s">
        <v>1608</v>
      </c>
      <c r="K2367" s="9">
        <v>1</v>
      </c>
      <c r="L2367" s="9">
        <v>22</v>
      </c>
      <c r="M2367" s="9">
        <v>2008</v>
      </c>
      <c r="O2367" s="9" t="str">
        <f t="shared" si="112"/>
        <v>NO</v>
      </c>
      <c r="P2367" s="9" t="str">
        <f t="shared" si="113"/>
        <v>NO</v>
      </c>
      <c r="Q2367" s="9" t="str">
        <f t="shared" si="114"/>
        <v>Conditioned</v>
      </c>
    </row>
    <row r="2368" spans="1:17">
      <c r="A2368" s="9">
        <v>24158</v>
      </c>
      <c r="B2368" s="9">
        <v>2</v>
      </c>
      <c r="C2368" s="9" t="s">
        <v>1589</v>
      </c>
      <c r="D2368" s="9" t="s">
        <v>1590</v>
      </c>
      <c r="E2368" s="9" t="s">
        <v>1591</v>
      </c>
      <c r="F2368" s="9" t="s">
        <v>1589</v>
      </c>
      <c r="G2368" s="9" t="s">
        <v>1606</v>
      </c>
      <c r="H2368" s="9" t="s">
        <v>1793</v>
      </c>
      <c r="I2368" s="9" t="s">
        <v>3761</v>
      </c>
      <c r="J2368" s="9" t="s">
        <v>1605</v>
      </c>
      <c r="K2368" s="9">
        <v>1</v>
      </c>
      <c r="L2368" s="9">
        <v>10</v>
      </c>
      <c r="M2368" s="9">
        <v>2010</v>
      </c>
      <c r="O2368" s="9" t="str">
        <f t="shared" si="112"/>
        <v>NO</v>
      </c>
      <c r="P2368" s="9" t="str">
        <f t="shared" si="113"/>
        <v>YES</v>
      </c>
      <c r="Q2368" s="9" t="str">
        <f t="shared" si="114"/>
        <v>Unconditioned</v>
      </c>
    </row>
    <row r="2369" spans="1:17">
      <c r="A2369" s="9">
        <v>24171</v>
      </c>
      <c r="B2369" s="9">
        <v>1</v>
      </c>
      <c r="C2369" s="9" t="s">
        <v>1589</v>
      </c>
      <c r="D2369" s="9" t="s">
        <v>1590</v>
      </c>
      <c r="E2369" s="9" t="s">
        <v>1602</v>
      </c>
      <c r="F2369" s="9" t="s">
        <v>1603</v>
      </c>
      <c r="G2369" s="9" t="s">
        <v>1592</v>
      </c>
      <c r="H2369" s="9" t="s">
        <v>170</v>
      </c>
      <c r="I2369" s="9" t="s">
        <v>3762</v>
      </c>
      <c r="J2369" s="9" t="s">
        <v>1601</v>
      </c>
      <c r="K2369" s="9">
        <v>1</v>
      </c>
      <c r="L2369" s="9">
        <v>18</v>
      </c>
      <c r="M2369" s="9">
        <v>2004</v>
      </c>
      <c r="O2369" s="9" t="str">
        <f t="shared" si="112"/>
        <v>NO</v>
      </c>
      <c r="P2369" s="9" t="str">
        <f t="shared" si="113"/>
        <v>NO</v>
      </c>
      <c r="Q2369" s="9" t="str">
        <f t="shared" si="114"/>
        <v>Conditioned</v>
      </c>
    </row>
    <row r="2370" spans="1:17">
      <c r="A2370" s="9">
        <v>24171</v>
      </c>
      <c r="B2370" s="9">
        <v>2</v>
      </c>
      <c r="C2370" s="9" t="s">
        <v>1589</v>
      </c>
      <c r="D2370" s="9" t="s">
        <v>1590</v>
      </c>
      <c r="E2370" s="9" t="s">
        <v>1591</v>
      </c>
      <c r="F2370" s="9" t="s">
        <v>1589</v>
      </c>
      <c r="G2370" s="9" t="s">
        <v>1606</v>
      </c>
      <c r="H2370" s="9" t="s">
        <v>1638</v>
      </c>
      <c r="I2370" s="9" t="s">
        <v>3763</v>
      </c>
      <c r="J2370" s="9" t="s">
        <v>1605</v>
      </c>
      <c r="K2370" s="9">
        <v>1</v>
      </c>
      <c r="L2370" s="9">
        <v>14</v>
      </c>
      <c r="M2370" s="9">
        <v>2003</v>
      </c>
      <c r="O2370" s="9" t="str">
        <f t="shared" si="112"/>
        <v>NO</v>
      </c>
      <c r="P2370" s="9" t="str">
        <f t="shared" si="113"/>
        <v>YES</v>
      </c>
      <c r="Q2370" s="9" t="str">
        <f t="shared" si="114"/>
        <v>Unconditioned</v>
      </c>
    </row>
    <row r="2371" spans="1:17">
      <c r="A2371" s="9">
        <v>24184</v>
      </c>
      <c r="B2371" s="9">
        <v>1</v>
      </c>
      <c r="C2371" s="9" t="s">
        <v>1589</v>
      </c>
      <c r="D2371" s="9" t="s">
        <v>1590</v>
      </c>
      <c r="E2371" s="9" t="s">
        <v>1602</v>
      </c>
      <c r="F2371" s="9" t="s">
        <v>1603</v>
      </c>
      <c r="G2371" s="9" t="s">
        <v>1592</v>
      </c>
      <c r="H2371" s="9" t="s">
        <v>1638</v>
      </c>
      <c r="I2371" s="9" t="s">
        <v>3764</v>
      </c>
      <c r="J2371" s="9" t="s">
        <v>1597</v>
      </c>
      <c r="K2371" s="9">
        <v>1</v>
      </c>
      <c r="L2371" s="9">
        <v>22</v>
      </c>
      <c r="M2371" s="9">
        <v>1989</v>
      </c>
      <c r="O2371" s="9" t="str">
        <f t="shared" si="112"/>
        <v>NO</v>
      </c>
      <c r="P2371" s="9" t="str">
        <f t="shared" si="113"/>
        <v>NO</v>
      </c>
      <c r="Q2371" s="9" t="str">
        <f t="shared" si="114"/>
        <v>Conditioned</v>
      </c>
    </row>
    <row r="2372" spans="1:17">
      <c r="A2372" s="9">
        <v>24184</v>
      </c>
      <c r="B2372" s="9">
        <v>2</v>
      </c>
      <c r="C2372" s="9" t="s">
        <v>1589</v>
      </c>
      <c r="D2372" s="9" t="s">
        <v>1590</v>
      </c>
      <c r="E2372" s="9" t="s">
        <v>1591</v>
      </c>
      <c r="F2372" s="9" t="s">
        <v>1589</v>
      </c>
      <c r="G2372" s="9" t="s">
        <v>1606</v>
      </c>
      <c r="H2372" s="9" t="s">
        <v>1678</v>
      </c>
      <c r="I2372" s="9" t="s">
        <v>3765</v>
      </c>
      <c r="J2372" s="9" t="s">
        <v>1605</v>
      </c>
      <c r="K2372" s="9">
        <v>1</v>
      </c>
      <c r="L2372" s="9">
        <v>16</v>
      </c>
      <c r="M2372" s="9">
        <v>1989</v>
      </c>
      <c r="O2372" s="9" t="str">
        <f t="shared" si="112"/>
        <v>NO</v>
      </c>
      <c r="P2372" s="9" t="str">
        <f t="shared" si="113"/>
        <v>YES</v>
      </c>
      <c r="Q2372" s="9" t="str">
        <f t="shared" si="114"/>
        <v>Unconditioned</v>
      </c>
    </row>
    <row r="2373" spans="1:17">
      <c r="A2373" s="9">
        <v>24196</v>
      </c>
      <c r="B2373" s="9">
        <v>1</v>
      </c>
      <c r="C2373" s="9" t="s">
        <v>1589</v>
      </c>
      <c r="D2373" s="9" t="s">
        <v>1603</v>
      </c>
      <c r="E2373" s="9" t="s">
        <v>1602</v>
      </c>
      <c r="F2373" s="9" t="s">
        <v>1603</v>
      </c>
      <c r="G2373" s="9" t="s">
        <v>1592</v>
      </c>
      <c r="H2373" s="9" t="s">
        <v>176</v>
      </c>
      <c r="I2373" s="9" t="s">
        <v>3766</v>
      </c>
      <c r="J2373" s="9" t="s">
        <v>1610</v>
      </c>
      <c r="K2373" s="9">
        <v>1</v>
      </c>
      <c r="L2373" s="9">
        <v>29</v>
      </c>
      <c r="M2373" s="9">
        <v>2009</v>
      </c>
      <c r="O2373" s="9" t="str">
        <f t="shared" si="112"/>
        <v>NO</v>
      </c>
      <c r="P2373" s="9" t="str">
        <f t="shared" si="113"/>
        <v>NO</v>
      </c>
      <c r="Q2373" s="9" t="str">
        <f t="shared" si="114"/>
        <v>Conditioned</v>
      </c>
    </row>
    <row r="2374" spans="1:17">
      <c r="A2374" s="9">
        <v>24196</v>
      </c>
      <c r="B2374" s="9">
        <v>2</v>
      </c>
      <c r="C2374" s="9" t="s">
        <v>1589</v>
      </c>
      <c r="D2374" s="9" t="s">
        <v>1590</v>
      </c>
      <c r="E2374" s="9" t="s">
        <v>1591</v>
      </c>
      <c r="F2374" s="9" t="s">
        <v>1589</v>
      </c>
      <c r="G2374" s="9" t="s">
        <v>1606</v>
      </c>
      <c r="H2374" s="9" t="s">
        <v>1638</v>
      </c>
      <c r="I2374" s="9" t="s">
        <v>3767</v>
      </c>
      <c r="J2374" s="9" t="s">
        <v>1605</v>
      </c>
      <c r="K2374" s="9">
        <v>1</v>
      </c>
      <c r="L2374" s="9">
        <v>20</v>
      </c>
      <c r="M2374" s="9">
        <v>2002</v>
      </c>
      <c r="O2374" s="9" t="str">
        <f t="shared" si="112"/>
        <v>NO</v>
      </c>
      <c r="P2374" s="9" t="str">
        <f t="shared" si="113"/>
        <v>YES</v>
      </c>
      <c r="Q2374" s="9" t="str">
        <f t="shared" si="114"/>
        <v>Unconditioned</v>
      </c>
    </row>
    <row r="2375" spans="1:17">
      <c r="A2375" s="9">
        <v>24202</v>
      </c>
      <c r="B2375" s="9">
        <v>1</v>
      </c>
      <c r="C2375" s="9" t="s">
        <v>1589</v>
      </c>
      <c r="D2375" s="9" t="s">
        <v>1590</v>
      </c>
      <c r="E2375" s="9" t="s">
        <v>1591</v>
      </c>
      <c r="F2375" s="9" t="s">
        <v>1589</v>
      </c>
      <c r="G2375" s="9" t="s">
        <v>1592</v>
      </c>
      <c r="H2375" s="9" t="s">
        <v>174</v>
      </c>
      <c r="I2375" s="9" t="s">
        <v>3768</v>
      </c>
      <c r="J2375" s="9" t="s">
        <v>1608</v>
      </c>
      <c r="K2375" s="9">
        <v>1</v>
      </c>
      <c r="L2375" s="9">
        <v>21</v>
      </c>
      <c r="M2375" s="9">
        <v>1994</v>
      </c>
      <c r="O2375" s="9" t="str">
        <f t="shared" si="112"/>
        <v>NO</v>
      </c>
      <c r="P2375" s="9" t="str">
        <f t="shared" si="113"/>
        <v>NO</v>
      </c>
      <c r="Q2375" s="9" t="str">
        <f t="shared" si="114"/>
        <v>Conditioned</v>
      </c>
    </row>
    <row r="2376" spans="1:17">
      <c r="A2376" s="9">
        <v>24203</v>
      </c>
      <c r="B2376" s="9">
        <v>1</v>
      </c>
      <c r="C2376" s="9" t="s">
        <v>1589</v>
      </c>
      <c r="D2376" s="9" t="s">
        <v>1590</v>
      </c>
      <c r="E2376" s="9" t="s">
        <v>1602</v>
      </c>
      <c r="F2376" s="9" t="s">
        <v>1603</v>
      </c>
      <c r="G2376" s="9" t="s">
        <v>1592</v>
      </c>
      <c r="H2376" s="9" t="s">
        <v>1638</v>
      </c>
      <c r="I2376" s="9" t="s">
        <v>3769</v>
      </c>
      <c r="J2376" s="9" t="s">
        <v>1601</v>
      </c>
      <c r="K2376" s="9">
        <v>1</v>
      </c>
      <c r="L2376" s="9">
        <v>25</v>
      </c>
      <c r="M2376" s="9">
        <v>2000</v>
      </c>
      <c r="O2376" s="9" t="str">
        <f t="shared" si="112"/>
        <v>NO</v>
      </c>
      <c r="P2376" s="9" t="str">
        <f t="shared" si="113"/>
        <v>NO</v>
      </c>
      <c r="Q2376" s="9" t="str">
        <f t="shared" si="114"/>
        <v>Conditioned</v>
      </c>
    </row>
    <row r="2377" spans="1:17">
      <c r="A2377" s="9">
        <v>24205</v>
      </c>
      <c r="B2377" s="9">
        <v>1</v>
      </c>
      <c r="C2377" s="9" t="s">
        <v>1589</v>
      </c>
      <c r="D2377" s="9" t="s">
        <v>1590</v>
      </c>
      <c r="E2377" s="9" t="s">
        <v>1602</v>
      </c>
      <c r="F2377" s="9" t="s">
        <v>1603</v>
      </c>
      <c r="G2377" s="9" t="s">
        <v>1592</v>
      </c>
      <c r="H2377" s="9" t="s">
        <v>170</v>
      </c>
      <c r="I2377" s="9" t="s">
        <v>3770</v>
      </c>
      <c r="J2377" s="9" t="s">
        <v>1610</v>
      </c>
      <c r="K2377" s="9">
        <v>1</v>
      </c>
      <c r="L2377" s="9">
        <v>25</v>
      </c>
      <c r="M2377" s="9">
        <v>2009</v>
      </c>
      <c r="O2377" s="9" t="str">
        <f t="shared" si="112"/>
        <v>NO</v>
      </c>
      <c r="P2377" s="9" t="str">
        <f t="shared" si="113"/>
        <v>NO</v>
      </c>
      <c r="Q2377" s="9" t="str">
        <f t="shared" si="114"/>
        <v>Conditioned</v>
      </c>
    </row>
    <row r="2378" spans="1:17">
      <c r="A2378" s="9">
        <v>24207</v>
      </c>
      <c r="B2378" s="9">
        <v>1</v>
      </c>
      <c r="C2378" s="9" t="s">
        <v>1589</v>
      </c>
      <c r="D2378" s="9" t="s">
        <v>1590</v>
      </c>
      <c r="E2378" s="9" t="s">
        <v>1591</v>
      </c>
      <c r="F2378" s="9" t="s">
        <v>1589</v>
      </c>
      <c r="G2378" s="9" t="s">
        <v>1592</v>
      </c>
      <c r="H2378" s="9" t="s">
        <v>1638</v>
      </c>
      <c r="I2378" s="9" t="s">
        <v>3161</v>
      </c>
      <c r="J2378" s="9" t="s">
        <v>1597</v>
      </c>
      <c r="K2378" s="9">
        <v>1</v>
      </c>
      <c r="L2378" s="9">
        <v>20</v>
      </c>
      <c r="M2378" s="9">
        <v>1993</v>
      </c>
      <c r="O2378" s="9" t="str">
        <f t="shared" si="112"/>
        <v>NO</v>
      </c>
      <c r="P2378" s="9" t="str">
        <f t="shared" si="113"/>
        <v>NO</v>
      </c>
      <c r="Q2378" s="9" t="str">
        <f t="shared" si="114"/>
        <v>Conditioned</v>
      </c>
    </row>
    <row r="2379" spans="1:17">
      <c r="A2379" s="9">
        <v>24207</v>
      </c>
      <c r="B2379" s="9">
        <v>2</v>
      </c>
      <c r="C2379" s="9" t="s">
        <v>1589</v>
      </c>
      <c r="D2379" s="9" t="s">
        <v>1590</v>
      </c>
      <c r="E2379" s="9" t="s">
        <v>1591</v>
      </c>
      <c r="F2379" s="9" t="s">
        <v>1589</v>
      </c>
      <c r="G2379" s="9" t="s">
        <v>1592</v>
      </c>
      <c r="H2379" s="9" t="s">
        <v>170</v>
      </c>
      <c r="I2379" s="9" t="s">
        <v>3771</v>
      </c>
      <c r="J2379" s="9" t="s">
        <v>1587</v>
      </c>
      <c r="L2379" s="9">
        <v>10</v>
      </c>
      <c r="M2379" s="9">
        <v>2009</v>
      </c>
      <c r="O2379" s="9" t="str">
        <f t="shared" si="112"/>
        <v>NO</v>
      </c>
      <c r="P2379" s="9" t="str">
        <f t="shared" si="113"/>
        <v>YES</v>
      </c>
      <c r="Q2379" s="9" t="str">
        <f t="shared" si="114"/>
        <v>Conditioned</v>
      </c>
    </row>
    <row r="2380" spans="1:17">
      <c r="A2380" s="9">
        <v>24209</v>
      </c>
      <c r="B2380" s="9">
        <v>1</v>
      </c>
      <c r="C2380" s="9" t="s">
        <v>1589</v>
      </c>
      <c r="D2380" s="9" t="s">
        <v>1590</v>
      </c>
      <c r="E2380" s="9" t="s">
        <v>1602</v>
      </c>
      <c r="F2380" s="9" t="s">
        <v>1603</v>
      </c>
      <c r="G2380" s="9" t="s">
        <v>1592</v>
      </c>
      <c r="H2380" s="9" t="s">
        <v>170</v>
      </c>
      <c r="I2380" s="9" t="s">
        <v>3772</v>
      </c>
      <c r="J2380" s="9" t="s">
        <v>1601</v>
      </c>
      <c r="K2380" s="9">
        <v>1</v>
      </c>
      <c r="L2380" s="9">
        <v>22</v>
      </c>
      <c r="M2380" s="9">
        <v>1994</v>
      </c>
      <c r="O2380" s="9" t="str">
        <f t="shared" si="112"/>
        <v>NO</v>
      </c>
      <c r="P2380" s="9" t="str">
        <f t="shared" si="113"/>
        <v>NO</v>
      </c>
      <c r="Q2380" s="9" t="str">
        <f t="shared" si="114"/>
        <v>Conditioned</v>
      </c>
    </row>
    <row r="2381" spans="1:17">
      <c r="A2381" s="9">
        <v>24209</v>
      </c>
      <c r="B2381" s="9">
        <v>2</v>
      </c>
      <c r="C2381" s="9" t="s">
        <v>1589</v>
      </c>
      <c r="D2381" s="9" t="s">
        <v>1590</v>
      </c>
      <c r="E2381" s="9" t="s">
        <v>1591</v>
      </c>
      <c r="F2381" s="9" t="s">
        <v>1589</v>
      </c>
      <c r="G2381" s="9" t="s">
        <v>1592</v>
      </c>
      <c r="H2381" s="9" t="s">
        <v>169</v>
      </c>
      <c r="I2381" s="9" t="s">
        <v>3773</v>
      </c>
      <c r="J2381" s="9" t="s">
        <v>1605</v>
      </c>
      <c r="K2381" s="9">
        <v>1</v>
      </c>
      <c r="L2381" s="9">
        <v>21</v>
      </c>
      <c r="M2381" s="9">
        <v>1998</v>
      </c>
      <c r="O2381" s="9" t="str">
        <f t="shared" si="112"/>
        <v>NO</v>
      </c>
      <c r="P2381" s="9" t="str">
        <f t="shared" si="113"/>
        <v>YES</v>
      </c>
      <c r="Q2381" s="9" t="str">
        <f t="shared" si="114"/>
        <v>Conditioned</v>
      </c>
    </row>
    <row r="2382" spans="1:17">
      <c r="A2382" s="9">
        <v>24209</v>
      </c>
      <c r="B2382" s="9">
        <v>3</v>
      </c>
      <c r="C2382" s="9" t="s">
        <v>1589</v>
      </c>
      <c r="D2382" s="9" t="s">
        <v>1590</v>
      </c>
      <c r="E2382" s="9" t="s">
        <v>1591</v>
      </c>
      <c r="F2382" s="9" t="s">
        <v>1589</v>
      </c>
      <c r="G2382" s="9" t="s">
        <v>1592</v>
      </c>
      <c r="H2382" s="9" t="s">
        <v>1552</v>
      </c>
      <c r="I2382" s="9" t="s">
        <v>3774</v>
      </c>
      <c r="J2382" s="9" t="s">
        <v>1597</v>
      </c>
      <c r="K2382" s="9">
        <v>1</v>
      </c>
      <c r="L2382" s="9">
        <v>17</v>
      </c>
      <c r="M2382" s="9">
        <v>1984</v>
      </c>
      <c r="O2382" s="9" t="str">
        <f t="shared" si="112"/>
        <v>NO</v>
      </c>
      <c r="P2382" s="9" t="str">
        <f t="shared" si="113"/>
        <v>NO</v>
      </c>
      <c r="Q2382" s="9" t="str">
        <f t="shared" si="114"/>
        <v>Conditioned</v>
      </c>
    </row>
    <row r="2383" spans="1:17">
      <c r="A2383" s="9">
        <v>24209</v>
      </c>
      <c r="B2383" s="9">
        <v>4</v>
      </c>
      <c r="C2383" s="9" t="s">
        <v>1589</v>
      </c>
      <c r="D2383" s="9" t="s">
        <v>1590</v>
      </c>
      <c r="E2383" s="9" t="s">
        <v>1602</v>
      </c>
      <c r="F2383" s="9" t="s">
        <v>1590</v>
      </c>
      <c r="G2383" s="9" t="s">
        <v>1592</v>
      </c>
      <c r="H2383" s="9" t="s">
        <v>1638</v>
      </c>
      <c r="I2383" s="9" t="s">
        <v>3775</v>
      </c>
      <c r="J2383" s="9" t="s">
        <v>1601</v>
      </c>
      <c r="K2383" s="9">
        <v>1</v>
      </c>
      <c r="L2383" s="9">
        <v>24</v>
      </c>
      <c r="M2383" s="9">
        <v>1994</v>
      </c>
      <c r="O2383" s="9" t="str">
        <f t="shared" si="112"/>
        <v>NO</v>
      </c>
      <c r="P2383" s="9" t="str">
        <f t="shared" si="113"/>
        <v>NO</v>
      </c>
      <c r="Q2383" s="9" t="str">
        <f t="shared" si="114"/>
        <v>Conditioned</v>
      </c>
    </row>
    <row r="2384" spans="1:17">
      <c r="A2384" s="9">
        <v>24209</v>
      </c>
      <c r="B2384" s="9">
        <v>5</v>
      </c>
      <c r="C2384" s="9" t="s">
        <v>1589</v>
      </c>
      <c r="D2384" s="9" t="s">
        <v>1590</v>
      </c>
      <c r="E2384" s="9" t="s">
        <v>1591</v>
      </c>
      <c r="F2384" s="9" t="s">
        <v>1589</v>
      </c>
      <c r="G2384" s="9" t="s">
        <v>1592</v>
      </c>
      <c r="H2384" s="9" t="s">
        <v>169</v>
      </c>
      <c r="I2384" s="9" t="s">
        <v>3776</v>
      </c>
      <c r="J2384" s="9" t="s">
        <v>1605</v>
      </c>
      <c r="K2384" s="9">
        <v>1</v>
      </c>
      <c r="L2384" s="9">
        <v>21</v>
      </c>
      <c r="M2384" s="9">
        <v>2003</v>
      </c>
      <c r="O2384" s="9" t="str">
        <f t="shared" si="112"/>
        <v>NO</v>
      </c>
      <c r="P2384" s="9" t="str">
        <f t="shared" si="113"/>
        <v>YES</v>
      </c>
      <c r="Q2384" s="9" t="str">
        <f t="shared" si="114"/>
        <v>Conditioned</v>
      </c>
    </row>
    <row r="2385" spans="1:17">
      <c r="A2385" s="9">
        <v>24221</v>
      </c>
      <c r="B2385" s="9">
        <v>1</v>
      </c>
      <c r="C2385" s="9" t="s">
        <v>1589</v>
      </c>
      <c r="D2385" s="9" t="s">
        <v>1590</v>
      </c>
      <c r="E2385" s="9" t="s">
        <v>1591</v>
      </c>
      <c r="F2385" s="9" t="s">
        <v>1589</v>
      </c>
      <c r="G2385" s="9" t="s">
        <v>1592</v>
      </c>
      <c r="H2385" s="9" t="s">
        <v>172</v>
      </c>
      <c r="I2385" s="9" t="s">
        <v>3777</v>
      </c>
      <c r="J2385" s="9" t="s">
        <v>1597</v>
      </c>
      <c r="K2385" s="9">
        <v>1</v>
      </c>
      <c r="L2385" s="9">
        <v>22</v>
      </c>
      <c r="M2385" s="9">
        <v>1992</v>
      </c>
      <c r="O2385" s="9" t="str">
        <f t="shared" si="112"/>
        <v>NO</v>
      </c>
      <c r="P2385" s="9" t="str">
        <f t="shared" si="113"/>
        <v>NO</v>
      </c>
      <c r="Q2385" s="9" t="str">
        <f t="shared" si="114"/>
        <v>Conditioned</v>
      </c>
    </row>
    <row r="2386" spans="1:17">
      <c r="A2386" s="9">
        <v>24221</v>
      </c>
      <c r="B2386" s="9">
        <v>2</v>
      </c>
      <c r="C2386" s="9" t="s">
        <v>1589</v>
      </c>
      <c r="D2386" s="9" t="s">
        <v>1590</v>
      </c>
      <c r="E2386" s="9" t="s">
        <v>1591</v>
      </c>
      <c r="F2386" s="9" t="s">
        <v>1589</v>
      </c>
      <c r="G2386" s="9" t="s">
        <v>1592</v>
      </c>
      <c r="H2386" s="9" t="s">
        <v>170</v>
      </c>
      <c r="I2386" s="9" t="s">
        <v>3778</v>
      </c>
      <c r="J2386" s="9" t="s">
        <v>1587</v>
      </c>
      <c r="K2386" s="9">
        <v>1</v>
      </c>
      <c r="L2386" s="9">
        <v>23</v>
      </c>
      <c r="O2386" s="9" t="str">
        <f t="shared" si="112"/>
        <v>NO</v>
      </c>
      <c r="P2386" s="9" t="str">
        <f t="shared" si="113"/>
        <v>YES</v>
      </c>
      <c r="Q2386" s="9" t="str">
        <f t="shared" si="114"/>
        <v>Conditioned</v>
      </c>
    </row>
    <row r="2387" spans="1:17">
      <c r="A2387" s="9">
        <v>24221</v>
      </c>
      <c r="B2387" s="9">
        <v>3</v>
      </c>
      <c r="C2387" s="9" t="s">
        <v>1589</v>
      </c>
      <c r="D2387" s="9" t="s">
        <v>1590</v>
      </c>
      <c r="E2387" s="9" t="s">
        <v>1591</v>
      </c>
      <c r="F2387" s="9" t="s">
        <v>1589</v>
      </c>
      <c r="G2387" s="9" t="s">
        <v>1592</v>
      </c>
      <c r="H2387" s="9" t="s">
        <v>169</v>
      </c>
      <c r="I2387" s="9" t="s">
        <v>3736</v>
      </c>
      <c r="J2387" s="9" t="s">
        <v>1597</v>
      </c>
      <c r="K2387" s="9">
        <v>1</v>
      </c>
      <c r="L2387" s="9">
        <v>18</v>
      </c>
      <c r="M2387" s="9">
        <v>1991</v>
      </c>
      <c r="O2387" s="9" t="str">
        <f t="shared" si="112"/>
        <v>NO</v>
      </c>
      <c r="P2387" s="9" t="str">
        <f t="shared" si="113"/>
        <v>NO</v>
      </c>
      <c r="Q2387" s="9" t="str">
        <f t="shared" si="114"/>
        <v>Conditioned</v>
      </c>
    </row>
    <row r="2388" spans="1:17">
      <c r="A2388" s="9">
        <v>24224</v>
      </c>
      <c r="B2388" s="9">
        <v>1</v>
      </c>
      <c r="C2388" s="9" t="s">
        <v>1589</v>
      </c>
      <c r="D2388" s="9" t="s">
        <v>1590</v>
      </c>
      <c r="E2388" s="9" t="s">
        <v>1591</v>
      </c>
      <c r="F2388" s="9" t="s">
        <v>1589</v>
      </c>
      <c r="G2388" s="9" t="s">
        <v>1592</v>
      </c>
      <c r="H2388" s="9" t="s">
        <v>170</v>
      </c>
      <c r="I2388" s="9" t="s">
        <v>3779</v>
      </c>
      <c r="J2388" s="9" t="s">
        <v>1597</v>
      </c>
      <c r="K2388" s="9">
        <v>1</v>
      </c>
      <c r="L2388" s="9">
        <v>22</v>
      </c>
      <c r="M2388" s="9">
        <v>1994</v>
      </c>
      <c r="O2388" s="9" t="str">
        <f t="shared" si="112"/>
        <v>NO</v>
      </c>
      <c r="P2388" s="9" t="str">
        <f t="shared" si="113"/>
        <v>NO</v>
      </c>
      <c r="Q2388" s="9" t="str">
        <f t="shared" si="114"/>
        <v>Conditioned</v>
      </c>
    </row>
    <row r="2389" spans="1:17">
      <c r="A2389" s="9">
        <v>24227</v>
      </c>
      <c r="B2389" s="9">
        <v>1</v>
      </c>
      <c r="C2389" s="9" t="s">
        <v>1589</v>
      </c>
      <c r="D2389" s="9" t="s">
        <v>1603</v>
      </c>
      <c r="E2389" s="9" t="s">
        <v>1613</v>
      </c>
      <c r="F2389" s="9" t="s">
        <v>1603</v>
      </c>
      <c r="G2389" s="9" t="s">
        <v>1592</v>
      </c>
      <c r="H2389" s="9" t="s">
        <v>177</v>
      </c>
      <c r="I2389" s="9" t="s">
        <v>3780</v>
      </c>
      <c r="J2389" s="9" t="s">
        <v>1601</v>
      </c>
      <c r="K2389" s="9">
        <v>1</v>
      </c>
      <c r="L2389" s="9">
        <v>24</v>
      </c>
      <c r="M2389" s="9">
        <v>2008</v>
      </c>
      <c r="O2389" s="9" t="str">
        <f t="shared" si="112"/>
        <v>NO</v>
      </c>
      <c r="P2389" s="9" t="str">
        <f t="shared" si="113"/>
        <v>NO</v>
      </c>
      <c r="Q2389" s="9" t="str">
        <f t="shared" si="114"/>
        <v>Conditioned</v>
      </c>
    </row>
    <row r="2390" spans="1:17">
      <c r="A2390" s="9">
        <v>24227</v>
      </c>
      <c r="B2390" s="9">
        <v>2</v>
      </c>
      <c r="C2390" s="9" t="s">
        <v>1589</v>
      </c>
      <c r="D2390" s="9" t="s">
        <v>1590</v>
      </c>
      <c r="E2390" s="9" t="s">
        <v>1591</v>
      </c>
      <c r="F2390" s="9" t="s">
        <v>1589</v>
      </c>
      <c r="G2390" s="9" t="s">
        <v>1592</v>
      </c>
      <c r="H2390" s="9" t="s">
        <v>177</v>
      </c>
      <c r="I2390" s="9" t="s">
        <v>3781</v>
      </c>
      <c r="J2390" s="9" t="s">
        <v>1587</v>
      </c>
      <c r="K2390" s="9">
        <v>1</v>
      </c>
      <c r="L2390" s="9">
        <v>16</v>
      </c>
      <c r="M2390" s="9">
        <v>2001</v>
      </c>
      <c r="O2390" s="9" t="str">
        <f t="shared" si="112"/>
        <v>NO</v>
      </c>
      <c r="P2390" s="9" t="str">
        <f t="shared" si="113"/>
        <v>YES</v>
      </c>
      <c r="Q2390" s="9" t="str">
        <f t="shared" si="114"/>
        <v>Conditioned</v>
      </c>
    </row>
    <row r="2391" spans="1:17">
      <c r="A2391" s="9">
        <v>24232</v>
      </c>
      <c r="B2391" s="9">
        <v>1</v>
      </c>
      <c r="C2391" s="9" t="s">
        <v>1589</v>
      </c>
      <c r="D2391" s="9" t="s">
        <v>1590</v>
      </c>
      <c r="E2391" s="9" t="s">
        <v>1591</v>
      </c>
      <c r="F2391" s="9" t="s">
        <v>1589</v>
      </c>
      <c r="G2391" s="9" t="s">
        <v>1592</v>
      </c>
      <c r="H2391" s="9" t="s">
        <v>169</v>
      </c>
      <c r="I2391" s="9" t="s">
        <v>3782</v>
      </c>
      <c r="J2391" s="9" t="s">
        <v>1597</v>
      </c>
      <c r="K2391" s="9">
        <v>1</v>
      </c>
      <c r="L2391" s="9">
        <v>15</v>
      </c>
      <c r="M2391" s="9">
        <v>2008</v>
      </c>
      <c r="O2391" s="9" t="str">
        <f t="shared" ref="O2391:O2454" si="115">IF(L2391&lt;7.75,"YES","NO")</f>
        <v>NO</v>
      </c>
      <c r="P2391" s="9" t="str">
        <f t="shared" ref="P2391:P2454" si="116">VLOOKUP(J2391,$Z$21:$AA$27,2,FALSE)</f>
        <v>NO</v>
      </c>
      <c r="Q2391" s="9" t="str">
        <f t="shared" ref="Q2391:Q2454" si="117">G2391</f>
        <v>Conditioned</v>
      </c>
    </row>
    <row r="2392" spans="1:17">
      <c r="A2392" s="9">
        <v>24242</v>
      </c>
      <c r="B2392" s="9">
        <v>1</v>
      </c>
      <c r="C2392" s="9" t="s">
        <v>1589</v>
      </c>
      <c r="D2392" s="9" t="s">
        <v>1590</v>
      </c>
      <c r="E2392" s="9" t="s">
        <v>1591</v>
      </c>
      <c r="F2392" s="9" t="s">
        <v>1589</v>
      </c>
      <c r="G2392" s="9" t="s">
        <v>1592</v>
      </c>
      <c r="H2392" s="9" t="s">
        <v>173</v>
      </c>
      <c r="I2392" s="9" t="s">
        <v>3783</v>
      </c>
      <c r="J2392" s="9" t="s">
        <v>1597</v>
      </c>
      <c r="K2392" s="9">
        <v>1</v>
      </c>
      <c r="L2392" s="9">
        <v>25</v>
      </c>
      <c r="M2392" s="9">
        <v>1999</v>
      </c>
      <c r="O2392" s="9" t="str">
        <f t="shared" si="115"/>
        <v>NO</v>
      </c>
      <c r="P2392" s="9" t="str">
        <f t="shared" si="116"/>
        <v>NO</v>
      </c>
      <c r="Q2392" s="9" t="str">
        <f t="shared" si="117"/>
        <v>Conditioned</v>
      </c>
    </row>
    <row r="2393" spans="1:17">
      <c r="A2393" s="9">
        <v>24245</v>
      </c>
      <c r="B2393" s="9">
        <v>1</v>
      </c>
      <c r="C2393" s="9" t="s">
        <v>1589</v>
      </c>
      <c r="D2393" s="9" t="s">
        <v>1590</v>
      </c>
      <c r="E2393" s="9" t="s">
        <v>1613</v>
      </c>
      <c r="F2393" s="9" t="s">
        <v>1590</v>
      </c>
      <c r="G2393" s="9" t="s">
        <v>1592</v>
      </c>
      <c r="H2393" s="9" t="s">
        <v>177</v>
      </c>
      <c r="I2393" s="9" t="s">
        <v>3784</v>
      </c>
      <c r="J2393" s="9" t="s">
        <v>1597</v>
      </c>
      <c r="K2393" s="9">
        <v>1</v>
      </c>
      <c r="L2393" s="9">
        <v>22</v>
      </c>
      <c r="M2393" s="9">
        <v>2001</v>
      </c>
      <c r="O2393" s="9" t="str">
        <f t="shared" si="115"/>
        <v>NO</v>
      </c>
      <c r="P2393" s="9" t="str">
        <f t="shared" si="116"/>
        <v>NO</v>
      </c>
      <c r="Q2393" s="9" t="str">
        <f t="shared" si="117"/>
        <v>Conditioned</v>
      </c>
    </row>
    <row r="2394" spans="1:17">
      <c r="A2394" s="9">
        <v>24246</v>
      </c>
      <c r="B2394" s="9">
        <v>1</v>
      </c>
      <c r="C2394" s="9" t="s">
        <v>1589</v>
      </c>
      <c r="D2394" s="9" t="s">
        <v>1590</v>
      </c>
      <c r="E2394" s="9" t="s">
        <v>1591</v>
      </c>
      <c r="F2394" s="9" t="s">
        <v>1589</v>
      </c>
      <c r="G2394" s="9" t="s">
        <v>1592</v>
      </c>
      <c r="H2394" s="9" t="s">
        <v>173</v>
      </c>
      <c r="I2394" s="9" t="s">
        <v>3785</v>
      </c>
      <c r="J2394" s="9" t="s">
        <v>1601</v>
      </c>
      <c r="K2394" s="9">
        <v>1</v>
      </c>
      <c r="L2394" s="9">
        <v>24</v>
      </c>
      <c r="M2394" s="9">
        <v>1996</v>
      </c>
      <c r="O2394" s="9" t="str">
        <f t="shared" si="115"/>
        <v>NO</v>
      </c>
      <c r="P2394" s="9" t="str">
        <f t="shared" si="116"/>
        <v>NO</v>
      </c>
      <c r="Q2394" s="9" t="str">
        <f t="shared" si="117"/>
        <v>Conditioned</v>
      </c>
    </row>
    <row r="2395" spans="1:17">
      <c r="A2395" s="9">
        <v>24247</v>
      </c>
      <c r="B2395" s="9">
        <v>1</v>
      </c>
      <c r="C2395" s="9" t="s">
        <v>3786</v>
      </c>
      <c r="D2395" s="9" t="s">
        <v>1590</v>
      </c>
      <c r="E2395" s="9" t="s">
        <v>1589</v>
      </c>
      <c r="F2395" s="9" t="s">
        <v>1589</v>
      </c>
      <c r="G2395" s="9" t="s">
        <v>1592</v>
      </c>
      <c r="H2395" s="9" t="s">
        <v>167</v>
      </c>
      <c r="I2395" s="9" t="s">
        <v>1589</v>
      </c>
      <c r="J2395" s="9" t="s">
        <v>1612</v>
      </c>
      <c r="K2395" s="9">
        <v>1</v>
      </c>
      <c r="L2395" s="9">
        <v>10</v>
      </c>
      <c r="O2395" s="9" t="str">
        <f t="shared" si="115"/>
        <v>NO</v>
      </c>
      <c r="P2395" s="9" t="str">
        <f t="shared" si="116"/>
        <v>NO</v>
      </c>
      <c r="Q2395" s="9" t="str">
        <f t="shared" si="117"/>
        <v>Conditioned</v>
      </c>
    </row>
    <row r="2396" spans="1:17">
      <c r="A2396" s="9">
        <v>24247</v>
      </c>
      <c r="B2396" s="9">
        <v>2</v>
      </c>
      <c r="C2396" s="9" t="s">
        <v>1589</v>
      </c>
      <c r="D2396" s="9" t="s">
        <v>1590</v>
      </c>
      <c r="E2396" s="9" t="s">
        <v>1602</v>
      </c>
      <c r="F2396" s="9" t="s">
        <v>1603</v>
      </c>
      <c r="G2396" s="9" t="s">
        <v>1592</v>
      </c>
      <c r="H2396" s="9" t="s">
        <v>1599</v>
      </c>
      <c r="I2396" s="9" t="s">
        <v>3787</v>
      </c>
      <c r="J2396" s="9" t="s">
        <v>1601</v>
      </c>
      <c r="K2396" s="9">
        <v>1</v>
      </c>
      <c r="L2396" s="9">
        <v>22</v>
      </c>
      <c r="M2396" s="9">
        <v>2008</v>
      </c>
      <c r="O2396" s="9" t="str">
        <f t="shared" si="115"/>
        <v>NO</v>
      </c>
      <c r="P2396" s="9" t="str">
        <f t="shared" si="116"/>
        <v>NO</v>
      </c>
      <c r="Q2396" s="9" t="str">
        <f t="shared" si="117"/>
        <v>Conditioned</v>
      </c>
    </row>
    <row r="2397" spans="1:17">
      <c r="A2397" s="9">
        <v>24249</v>
      </c>
      <c r="B2397" s="9">
        <v>1</v>
      </c>
      <c r="C2397" s="9" t="s">
        <v>1589</v>
      </c>
      <c r="D2397" s="9" t="s">
        <v>1590</v>
      </c>
      <c r="E2397" s="9" t="s">
        <v>1591</v>
      </c>
      <c r="F2397" s="9" t="s">
        <v>1589</v>
      </c>
      <c r="G2397" s="9" t="s">
        <v>1592</v>
      </c>
      <c r="H2397" s="9" t="s">
        <v>170</v>
      </c>
      <c r="I2397" s="9" t="s">
        <v>3788</v>
      </c>
      <c r="J2397" s="9" t="s">
        <v>1608</v>
      </c>
      <c r="K2397" s="9">
        <v>1</v>
      </c>
      <c r="L2397" s="9">
        <v>25</v>
      </c>
      <c r="M2397" s="9">
        <v>1998</v>
      </c>
      <c r="O2397" s="9" t="str">
        <f t="shared" si="115"/>
        <v>NO</v>
      </c>
      <c r="P2397" s="9" t="str">
        <f t="shared" si="116"/>
        <v>NO</v>
      </c>
      <c r="Q2397" s="9" t="str">
        <f t="shared" si="117"/>
        <v>Conditioned</v>
      </c>
    </row>
    <row r="2398" spans="1:17">
      <c r="A2398" s="9">
        <v>24259</v>
      </c>
      <c r="B2398" s="9">
        <v>1</v>
      </c>
      <c r="C2398" s="9" t="s">
        <v>1589</v>
      </c>
      <c r="D2398" s="9" t="s">
        <v>1590</v>
      </c>
      <c r="E2398" s="9" t="s">
        <v>1591</v>
      </c>
      <c r="F2398" s="9" t="s">
        <v>1589</v>
      </c>
      <c r="G2398" s="9" t="s">
        <v>1592</v>
      </c>
      <c r="H2398" s="9" t="s">
        <v>1900</v>
      </c>
      <c r="I2398" s="9" t="s">
        <v>3789</v>
      </c>
      <c r="J2398" s="9" t="s">
        <v>1597</v>
      </c>
      <c r="K2398" s="9">
        <v>1</v>
      </c>
      <c r="L2398" s="9">
        <v>19</v>
      </c>
      <c r="O2398" s="9" t="str">
        <f t="shared" si="115"/>
        <v>NO</v>
      </c>
      <c r="P2398" s="9" t="str">
        <f t="shared" si="116"/>
        <v>NO</v>
      </c>
      <c r="Q2398" s="9" t="str">
        <f t="shared" si="117"/>
        <v>Conditioned</v>
      </c>
    </row>
    <row r="2399" spans="1:17">
      <c r="A2399" s="9">
        <v>24266</v>
      </c>
      <c r="B2399" s="9">
        <v>1</v>
      </c>
      <c r="C2399" s="9" t="s">
        <v>1589</v>
      </c>
      <c r="D2399" s="9" t="s">
        <v>1590</v>
      </c>
      <c r="E2399" s="9" t="s">
        <v>1613</v>
      </c>
      <c r="F2399" s="9" t="s">
        <v>1603</v>
      </c>
      <c r="G2399" s="9" t="s">
        <v>1592</v>
      </c>
      <c r="H2399" s="9" t="s">
        <v>177</v>
      </c>
      <c r="I2399" s="9" t="s">
        <v>3790</v>
      </c>
      <c r="J2399" s="9" t="s">
        <v>1597</v>
      </c>
      <c r="K2399" s="9">
        <v>1</v>
      </c>
      <c r="L2399" s="9">
        <v>18</v>
      </c>
      <c r="M2399" s="9">
        <v>1998</v>
      </c>
      <c r="O2399" s="9" t="str">
        <f t="shared" si="115"/>
        <v>NO</v>
      </c>
      <c r="P2399" s="9" t="str">
        <f t="shared" si="116"/>
        <v>NO</v>
      </c>
      <c r="Q2399" s="9" t="str">
        <f t="shared" si="117"/>
        <v>Conditioned</v>
      </c>
    </row>
    <row r="2400" spans="1:17">
      <c r="A2400" s="9">
        <v>24288</v>
      </c>
      <c r="B2400" s="9">
        <v>1</v>
      </c>
      <c r="C2400" s="9" t="s">
        <v>1589</v>
      </c>
      <c r="D2400" s="9" t="s">
        <v>1590</v>
      </c>
      <c r="E2400" s="9" t="s">
        <v>1613</v>
      </c>
      <c r="F2400" s="9" t="s">
        <v>1603</v>
      </c>
      <c r="G2400" s="9" t="s">
        <v>1592</v>
      </c>
      <c r="H2400" s="9" t="s">
        <v>1463</v>
      </c>
      <c r="I2400" s="9" t="s">
        <v>3791</v>
      </c>
      <c r="J2400" s="9" t="s">
        <v>1608</v>
      </c>
      <c r="K2400" s="9">
        <v>1</v>
      </c>
      <c r="L2400" s="9">
        <v>21</v>
      </c>
      <c r="M2400" s="9">
        <v>1982</v>
      </c>
      <c r="O2400" s="9" t="str">
        <f t="shared" si="115"/>
        <v>NO</v>
      </c>
      <c r="P2400" s="9" t="str">
        <f t="shared" si="116"/>
        <v>NO</v>
      </c>
      <c r="Q2400" s="9" t="str">
        <f t="shared" si="117"/>
        <v>Conditioned</v>
      </c>
    </row>
    <row r="2401" spans="1:17">
      <c r="A2401" s="9">
        <v>24296</v>
      </c>
      <c r="B2401" s="9">
        <v>1</v>
      </c>
      <c r="C2401" s="9" t="s">
        <v>1589</v>
      </c>
      <c r="D2401" s="9" t="s">
        <v>1603</v>
      </c>
      <c r="E2401" s="9" t="s">
        <v>1602</v>
      </c>
      <c r="F2401" s="9" t="s">
        <v>1603</v>
      </c>
      <c r="G2401" s="9" t="s">
        <v>1592</v>
      </c>
      <c r="H2401" s="9" t="s">
        <v>174</v>
      </c>
      <c r="I2401" s="9" t="s">
        <v>3792</v>
      </c>
      <c r="J2401" s="9" t="s">
        <v>1601</v>
      </c>
      <c r="K2401" s="9">
        <v>1</v>
      </c>
      <c r="L2401" s="9">
        <v>21</v>
      </c>
      <c r="M2401" s="9">
        <v>1985</v>
      </c>
      <c r="O2401" s="9" t="str">
        <f t="shared" si="115"/>
        <v>NO</v>
      </c>
      <c r="P2401" s="9" t="str">
        <f t="shared" si="116"/>
        <v>NO</v>
      </c>
      <c r="Q2401" s="9" t="str">
        <f t="shared" si="117"/>
        <v>Conditioned</v>
      </c>
    </row>
    <row r="2402" spans="1:17">
      <c r="A2402" s="9">
        <v>24296</v>
      </c>
      <c r="B2402" s="9">
        <v>2</v>
      </c>
      <c r="C2402" s="9" t="s">
        <v>1589</v>
      </c>
      <c r="D2402" s="9" t="s">
        <v>1590</v>
      </c>
      <c r="E2402" s="9" t="s">
        <v>1591</v>
      </c>
      <c r="F2402" s="9" t="s">
        <v>1589</v>
      </c>
      <c r="G2402" s="9" t="s">
        <v>1606</v>
      </c>
      <c r="H2402" s="9" t="s">
        <v>1552</v>
      </c>
      <c r="I2402" s="9" t="s">
        <v>3793</v>
      </c>
      <c r="J2402" s="9" t="s">
        <v>1587</v>
      </c>
      <c r="K2402" s="9">
        <v>1</v>
      </c>
      <c r="L2402" s="9">
        <v>20</v>
      </c>
      <c r="M2402" s="9">
        <v>1997</v>
      </c>
      <c r="O2402" s="9" t="str">
        <f t="shared" si="115"/>
        <v>NO</v>
      </c>
      <c r="P2402" s="9" t="str">
        <f t="shared" si="116"/>
        <v>YES</v>
      </c>
      <c r="Q2402" s="9" t="str">
        <f t="shared" si="117"/>
        <v>Unconditioned</v>
      </c>
    </row>
    <row r="2403" spans="1:17">
      <c r="A2403" s="9">
        <v>24296</v>
      </c>
      <c r="B2403" s="9">
        <v>3</v>
      </c>
      <c r="C2403" s="9" t="s">
        <v>1589</v>
      </c>
      <c r="D2403" s="9" t="s">
        <v>1590</v>
      </c>
      <c r="E2403" s="9" t="s">
        <v>1591</v>
      </c>
      <c r="F2403" s="9" t="s">
        <v>1589</v>
      </c>
      <c r="G2403" s="9" t="s">
        <v>1606</v>
      </c>
      <c r="H2403" s="9" t="s">
        <v>174</v>
      </c>
      <c r="I2403" s="9" t="s">
        <v>1589</v>
      </c>
      <c r="J2403" s="9" t="s">
        <v>1605</v>
      </c>
      <c r="K2403" s="9">
        <v>1</v>
      </c>
      <c r="L2403" s="9">
        <v>20</v>
      </c>
      <c r="O2403" s="9" t="str">
        <f t="shared" si="115"/>
        <v>NO</v>
      </c>
      <c r="P2403" s="9" t="str">
        <f t="shared" si="116"/>
        <v>YES</v>
      </c>
      <c r="Q2403" s="9" t="str">
        <f t="shared" si="117"/>
        <v>Unconditioned</v>
      </c>
    </row>
    <row r="2404" spans="1:17">
      <c r="A2404" s="9">
        <v>24296</v>
      </c>
      <c r="B2404" s="9">
        <v>4</v>
      </c>
      <c r="C2404" s="9" t="s">
        <v>1589</v>
      </c>
      <c r="D2404" s="9" t="s">
        <v>1590</v>
      </c>
      <c r="E2404" s="9" t="s">
        <v>1591</v>
      </c>
      <c r="F2404" s="9" t="s">
        <v>1589</v>
      </c>
      <c r="G2404" s="9" t="s">
        <v>1606</v>
      </c>
      <c r="H2404" s="9" t="s">
        <v>170</v>
      </c>
      <c r="I2404" s="9" t="s">
        <v>3226</v>
      </c>
      <c r="J2404" s="9" t="s">
        <v>1587</v>
      </c>
      <c r="K2404" s="9">
        <v>0.75</v>
      </c>
      <c r="L2404" s="9">
        <v>15</v>
      </c>
      <c r="M2404" s="9">
        <v>1991</v>
      </c>
      <c r="O2404" s="9" t="str">
        <f t="shared" si="115"/>
        <v>NO</v>
      </c>
      <c r="P2404" s="9" t="str">
        <f t="shared" si="116"/>
        <v>YES</v>
      </c>
      <c r="Q2404" s="9" t="str">
        <f t="shared" si="117"/>
        <v>Unconditioned</v>
      </c>
    </row>
    <row r="2405" spans="1:17">
      <c r="A2405" s="9">
        <v>24296</v>
      </c>
      <c r="B2405" s="9">
        <v>5</v>
      </c>
      <c r="C2405" s="9" t="s">
        <v>1589</v>
      </c>
      <c r="D2405" s="9" t="s">
        <v>1590</v>
      </c>
      <c r="E2405" s="9" t="s">
        <v>1613</v>
      </c>
      <c r="F2405" s="9" t="s">
        <v>1590</v>
      </c>
      <c r="G2405" s="9" t="s">
        <v>1606</v>
      </c>
      <c r="H2405" s="9" t="s">
        <v>174</v>
      </c>
      <c r="I2405" s="9" t="s">
        <v>3794</v>
      </c>
      <c r="J2405" s="9" t="s">
        <v>1601</v>
      </c>
      <c r="K2405" s="9">
        <v>1</v>
      </c>
      <c r="L2405" s="9">
        <v>21</v>
      </c>
      <c r="M2405" s="9">
        <v>1990</v>
      </c>
      <c r="O2405" s="9" t="str">
        <f t="shared" si="115"/>
        <v>NO</v>
      </c>
      <c r="P2405" s="9" t="str">
        <f t="shared" si="116"/>
        <v>NO</v>
      </c>
      <c r="Q2405" s="9" t="str">
        <f t="shared" si="117"/>
        <v>Unconditioned</v>
      </c>
    </row>
    <row r="2406" spans="1:17">
      <c r="A2406" s="9">
        <v>24310</v>
      </c>
      <c r="B2406" s="9">
        <v>1</v>
      </c>
      <c r="C2406" s="9" t="s">
        <v>1589</v>
      </c>
      <c r="D2406" s="9" t="s">
        <v>1590</v>
      </c>
      <c r="E2406" s="9" t="s">
        <v>1602</v>
      </c>
      <c r="F2406" s="9" t="s">
        <v>1603</v>
      </c>
      <c r="G2406" s="9" t="s">
        <v>1592</v>
      </c>
      <c r="H2406" s="9" t="s">
        <v>170</v>
      </c>
      <c r="I2406" s="9" t="s">
        <v>3795</v>
      </c>
      <c r="J2406" s="9" t="s">
        <v>1601</v>
      </c>
      <c r="K2406" s="9">
        <v>1</v>
      </c>
      <c r="L2406" s="9">
        <v>24</v>
      </c>
      <c r="M2406" s="9">
        <v>2006</v>
      </c>
      <c r="O2406" s="9" t="str">
        <f t="shared" si="115"/>
        <v>NO</v>
      </c>
      <c r="P2406" s="9" t="str">
        <f t="shared" si="116"/>
        <v>NO</v>
      </c>
      <c r="Q2406" s="9" t="str">
        <f t="shared" si="117"/>
        <v>Conditioned</v>
      </c>
    </row>
    <row r="2407" spans="1:17">
      <c r="A2407" s="9">
        <v>24310</v>
      </c>
      <c r="B2407" s="9">
        <v>2</v>
      </c>
      <c r="C2407" s="9" t="s">
        <v>3796</v>
      </c>
      <c r="D2407" s="9" t="s">
        <v>1590</v>
      </c>
      <c r="E2407" s="9" t="s">
        <v>1591</v>
      </c>
      <c r="F2407" s="9" t="s">
        <v>1589</v>
      </c>
      <c r="G2407" s="9" t="s">
        <v>1606</v>
      </c>
      <c r="H2407" s="9" t="s">
        <v>3797</v>
      </c>
      <c r="I2407" s="9" t="s">
        <v>1589</v>
      </c>
      <c r="J2407" s="9" t="s">
        <v>1587</v>
      </c>
      <c r="K2407" s="9">
        <v>1</v>
      </c>
      <c r="L2407" s="9">
        <v>15</v>
      </c>
      <c r="O2407" s="9" t="str">
        <f t="shared" si="115"/>
        <v>NO</v>
      </c>
      <c r="P2407" s="9" t="str">
        <f t="shared" si="116"/>
        <v>YES</v>
      </c>
      <c r="Q2407" s="9" t="str">
        <f t="shared" si="117"/>
        <v>Unconditioned</v>
      </c>
    </row>
    <row r="2408" spans="1:17">
      <c r="A2408" s="9">
        <v>24311</v>
      </c>
      <c r="B2408" s="9">
        <v>1</v>
      </c>
      <c r="C2408" s="9" t="s">
        <v>1589</v>
      </c>
      <c r="D2408" s="9" t="s">
        <v>1590</v>
      </c>
      <c r="E2408" s="9" t="s">
        <v>1591</v>
      </c>
      <c r="F2408" s="9" t="s">
        <v>1589</v>
      </c>
      <c r="G2408" s="9" t="s">
        <v>1592</v>
      </c>
      <c r="H2408" s="9" t="s">
        <v>174</v>
      </c>
      <c r="I2408" s="9" t="s">
        <v>3798</v>
      </c>
      <c r="J2408" s="9" t="s">
        <v>1608</v>
      </c>
      <c r="K2408" s="9">
        <v>1</v>
      </c>
      <c r="L2408" s="9">
        <v>26</v>
      </c>
      <c r="M2408" s="9">
        <v>2010</v>
      </c>
      <c r="O2408" s="9" t="str">
        <f t="shared" si="115"/>
        <v>NO</v>
      </c>
      <c r="P2408" s="9" t="str">
        <f t="shared" si="116"/>
        <v>NO</v>
      </c>
      <c r="Q2408" s="9" t="str">
        <f t="shared" si="117"/>
        <v>Conditioned</v>
      </c>
    </row>
    <row r="2409" spans="1:17">
      <c r="A2409" s="9">
        <v>24312</v>
      </c>
      <c r="B2409" s="9">
        <v>1</v>
      </c>
      <c r="C2409" s="9" t="s">
        <v>1589</v>
      </c>
      <c r="D2409" s="9" t="s">
        <v>1590</v>
      </c>
      <c r="E2409" s="9" t="s">
        <v>1591</v>
      </c>
      <c r="F2409" s="9" t="s">
        <v>1589</v>
      </c>
      <c r="G2409" s="9" t="s">
        <v>1592</v>
      </c>
      <c r="H2409" s="9" t="s">
        <v>3799</v>
      </c>
      <c r="I2409" s="9" t="s">
        <v>3800</v>
      </c>
      <c r="J2409" s="9" t="s">
        <v>1601</v>
      </c>
      <c r="K2409" s="9">
        <v>1</v>
      </c>
      <c r="L2409" s="9">
        <v>20</v>
      </c>
      <c r="M2409" s="9">
        <v>1988</v>
      </c>
      <c r="O2409" s="9" t="str">
        <f t="shared" si="115"/>
        <v>NO</v>
      </c>
      <c r="P2409" s="9" t="str">
        <f t="shared" si="116"/>
        <v>NO</v>
      </c>
      <c r="Q2409" s="9" t="str">
        <f t="shared" si="117"/>
        <v>Conditioned</v>
      </c>
    </row>
    <row r="2410" spans="1:17">
      <c r="A2410" s="9">
        <v>24312</v>
      </c>
      <c r="B2410" s="9">
        <v>2</v>
      </c>
      <c r="C2410" s="9" t="s">
        <v>1589</v>
      </c>
      <c r="D2410" s="9" t="s">
        <v>1590</v>
      </c>
      <c r="E2410" s="9" t="s">
        <v>1591</v>
      </c>
      <c r="F2410" s="9" t="s">
        <v>1589</v>
      </c>
      <c r="G2410" s="9" t="s">
        <v>1592</v>
      </c>
      <c r="H2410" s="9" t="s">
        <v>3293</v>
      </c>
      <c r="I2410" s="9" t="s">
        <v>1589</v>
      </c>
      <c r="J2410" s="9" t="s">
        <v>1587</v>
      </c>
      <c r="K2410" s="9">
        <v>1</v>
      </c>
      <c r="L2410" s="9">
        <v>24</v>
      </c>
      <c r="O2410" s="9" t="str">
        <f t="shared" si="115"/>
        <v>NO</v>
      </c>
      <c r="P2410" s="9" t="str">
        <f t="shared" si="116"/>
        <v>YES</v>
      </c>
      <c r="Q2410" s="9" t="str">
        <f t="shared" si="117"/>
        <v>Conditioned</v>
      </c>
    </row>
    <row r="2411" spans="1:17">
      <c r="A2411" s="9">
        <v>24317</v>
      </c>
      <c r="B2411" s="9">
        <v>1</v>
      </c>
      <c r="C2411" s="9" t="s">
        <v>1589</v>
      </c>
      <c r="D2411" s="9" t="s">
        <v>1590</v>
      </c>
      <c r="E2411" s="9" t="s">
        <v>1602</v>
      </c>
      <c r="F2411" s="9" t="s">
        <v>1603</v>
      </c>
      <c r="G2411" s="9" t="s">
        <v>1592</v>
      </c>
      <c r="H2411" s="9" t="s">
        <v>177</v>
      </c>
      <c r="I2411" s="9" t="s">
        <v>3801</v>
      </c>
      <c r="J2411" s="9" t="s">
        <v>1601</v>
      </c>
      <c r="K2411" s="9">
        <v>1</v>
      </c>
      <c r="L2411" s="9">
        <v>25</v>
      </c>
      <c r="M2411" s="9">
        <v>2000</v>
      </c>
      <c r="O2411" s="9" t="str">
        <f t="shared" si="115"/>
        <v>NO</v>
      </c>
      <c r="P2411" s="9" t="str">
        <f t="shared" si="116"/>
        <v>NO</v>
      </c>
      <c r="Q2411" s="9" t="str">
        <f t="shared" si="117"/>
        <v>Conditioned</v>
      </c>
    </row>
    <row r="2412" spans="1:17">
      <c r="A2412" s="9">
        <v>24317</v>
      </c>
      <c r="B2412" s="9">
        <v>2</v>
      </c>
      <c r="C2412" s="9" t="s">
        <v>1589</v>
      </c>
      <c r="D2412" s="9" t="s">
        <v>1590</v>
      </c>
      <c r="E2412" s="9" t="s">
        <v>1591</v>
      </c>
      <c r="F2412" s="9" t="s">
        <v>1589</v>
      </c>
      <c r="G2412" s="9" t="s">
        <v>1592</v>
      </c>
      <c r="H2412" s="9" t="s">
        <v>1638</v>
      </c>
      <c r="I2412" s="9" t="s">
        <v>3802</v>
      </c>
      <c r="J2412" s="9" t="s">
        <v>1597</v>
      </c>
      <c r="K2412" s="9">
        <v>1</v>
      </c>
      <c r="L2412" s="9">
        <v>19</v>
      </c>
      <c r="M2412" s="9">
        <v>1978</v>
      </c>
      <c r="O2412" s="9" t="str">
        <f t="shared" si="115"/>
        <v>NO</v>
      </c>
      <c r="P2412" s="9" t="str">
        <f t="shared" si="116"/>
        <v>NO</v>
      </c>
      <c r="Q2412" s="9" t="str">
        <f t="shared" si="117"/>
        <v>Conditioned</v>
      </c>
    </row>
    <row r="2413" spans="1:17">
      <c r="A2413" s="9">
        <v>24317</v>
      </c>
      <c r="B2413" s="9">
        <v>3</v>
      </c>
      <c r="C2413" s="9" t="s">
        <v>1589</v>
      </c>
      <c r="D2413" s="9" t="s">
        <v>1590</v>
      </c>
      <c r="E2413" s="9" t="s">
        <v>1591</v>
      </c>
      <c r="F2413" s="9" t="s">
        <v>1589</v>
      </c>
      <c r="G2413" s="9" t="s">
        <v>1592</v>
      </c>
      <c r="H2413" s="9" t="s">
        <v>174</v>
      </c>
      <c r="I2413" s="9" t="s">
        <v>1589</v>
      </c>
      <c r="J2413" s="9" t="s">
        <v>1605</v>
      </c>
      <c r="K2413" s="9">
        <v>1</v>
      </c>
      <c r="L2413" s="9">
        <v>20</v>
      </c>
      <c r="M2413" s="9">
        <v>1966</v>
      </c>
      <c r="O2413" s="9" t="str">
        <f t="shared" si="115"/>
        <v>NO</v>
      </c>
      <c r="P2413" s="9" t="str">
        <f t="shared" si="116"/>
        <v>YES</v>
      </c>
      <c r="Q2413" s="9" t="str">
        <f t="shared" si="117"/>
        <v>Conditioned</v>
      </c>
    </row>
    <row r="2414" spans="1:17">
      <c r="A2414" s="9">
        <v>24317</v>
      </c>
      <c r="B2414" s="9">
        <v>4</v>
      </c>
      <c r="C2414" s="9" t="s">
        <v>1589</v>
      </c>
      <c r="D2414" s="9" t="s">
        <v>1590</v>
      </c>
      <c r="E2414" s="9" t="s">
        <v>1591</v>
      </c>
      <c r="F2414" s="9" t="s">
        <v>1589</v>
      </c>
      <c r="G2414" s="9" t="s">
        <v>1592</v>
      </c>
      <c r="H2414" s="9" t="s">
        <v>169</v>
      </c>
      <c r="I2414" s="9" t="s">
        <v>3518</v>
      </c>
      <c r="J2414" s="9" t="s">
        <v>1587</v>
      </c>
      <c r="K2414" s="9">
        <v>1</v>
      </c>
      <c r="L2414" s="9">
        <v>21</v>
      </c>
      <c r="M2414" s="9">
        <v>1982</v>
      </c>
      <c r="O2414" s="9" t="str">
        <f t="shared" si="115"/>
        <v>NO</v>
      </c>
      <c r="P2414" s="9" t="str">
        <f t="shared" si="116"/>
        <v>YES</v>
      </c>
      <c r="Q2414" s="9" t="str">
        <f t="shared" si="117"/>
        <v>Conditioned</v>
      </c>
    </row>
    <row r="2415" spans="1:17">
      <c r="A2415" s="9">
        <v>24332</v>
      </c>
      <c r="B2415" s="9">
        <v>1</v>
      </c>
      <c r="C2415" s="9" t="s">
        <v>1589</v>
      </c>
      <c r="D2415" s="9" t="s">
        <v>1590</v>
      </c>
      <c r="E2415" s="9" t="s">
        <v>1591</v>
      </c>
      <c r="F2415" s="9" t="s">
        <v>1589</v>
      </c>
      <c r="G2415" s="9" t="s">
        <v>1592</v>
      </c>
      <c r="H2415" s="9" t="s">
        <v>173</v>
      </c>
      <c r="I2415" s="9" t="s">
        <v>3544</v>
      </c>
      <c r="J2415" s="9" t="s">
        <v>1597</v>
      </c>
      <c r="K2415" s="9">
        <v>1</v>
      </c>
      <c r="L2415" s="9">
        <v>26</v>
      </c>
      <c r="M2415" s="9">
        <v>1986</v>
      </c>
      <c r="O2415" s="9" t="str">
        <f t="shared" si="115"/>
        <v>NO</v>
      </c>
      <c r="P2415" s="9" t="str">
        <f t="shared" si="116"/>
        <v>NO</v>
      </c>
      <c r="Q2415" s="9" t="str">
        <f t="shared" si="117"/>
        <v>Conditioned</v>
      </c>
    </row>
    <row r="2416" spans="1:17">
      <c r="A2416" s="9">
        <v>24341</v>
      </c>
      <c r="B2416" s="9">
        <v>1</v>
      </c>
      <c r="C2416" s="9" t="s">
        <v>1589</v>
      </c>
      <c r="D2416" s="9" t="s">
        <v>1590</v>
      </c>
      <c r="E2416" s="9" t="s">
        <v>1591</v>
      </c>
      <c r="F2416" s="9" t="s">
        <v>1589</v>
      </c>
      <c r="G2416" s="9" t="s">
        <v>1592</v>
      </c>
      <c r="H2416" s="9" t="s">
        <v>170</v>
      </c>
      <c r="I2416" s="9" t="s">
        <v>3803</v>
      </c>
      <c r="J2416" s="9" t="s">
        <v>1608</v>
      </c>
      <c r="K2416" s="9">
        <v>1</v>
      </c>
      <c r="L2416" s="9">
        <v>22</v>
      </c>
      <c r="M2416" s="9">
        <v>2005</v>
      </c>
      <c r="O2416" s="9" t="str">
        <f t="shared" si="115"/>
        <v>NO</v>
      </c>
      <c r="P2416" s="9" t="str">
        <f t="shared" si="116"/>
        <v>NO</v>
      </c>
      <c r="Q2416" s="9" t="str">
        <f t="shared" si="117"/>
        <v>Conditioned</v>
      </c>
    </row>
    <row r="2417" spans="1:17">
      <c r="A2417" s="9">
        <v>24341</v>
      </c>
      <c r="B2417" s="9">
        <v>2</v>
      </c>
      <c r="C2417" s="9" t="s">
        <v>1589</v>
      </c>
      <c r="D2417" s="9" t="s">
        <v>1590</v>
      </c>
      <c r="E2417" s="9" t="s">
        <v>1591</v>
      </c>
      <c r="F2417" s="9" t="s">
        <v>1589</v>
      </c>
      <c r="G2417" s="9" t="s">
        <v>1606</v>
      </c>
      <c r="H2417" s="9" t="s">
        <v>170</v>
      </c>
      <c r="I2417" s="9" t="s">
        <v>3804</v>
      </c>
      <c r="J2417" s="9" t="s">
        <v>1605</v>
      </c>
      <c r="K2417" s="9">
        <v>1</v>
      </c>
      <c r="L2417" s="9">
        <v>15</v>
      </c>
      <c r="M2417" s="9">
        <v>2001</v>
      </c>
      <c r="O2417" s="9" t="str">
        <f t="shared" si="115"/>
        <v>NO</v>
      </c>
      <c r="P2417" s="9" t="str">
        <f t="shared" si="116"/>
        <v>YES</v>
      </c>
      <c r="Q2417" s="9" t="str">
        <f t="shared" si="117"/>
        <v>Unconditioned</v>
      </c>
    </row>
    <row r="2418" spans="1:17">
      <c r="A2418" s="9">
        <v>24341</v>
      </c>
      <c r="B2418" s="9">
        <v>3</v>
      </c>
      <c r="C2418" s="9" t="s">
        <v>1589</v>
      </c>
      <c r="D2418" s="9" t="s">
        <v>1590</v>
      </c>
      <c r="E2418" s="9" t="s">
        <v>1591</v>
      </c>
      <c r="F2418" s="9" t="s">
        <v>1589</v>
      </c>
      <c r="G2418" s="9" t="s">
        <v>1592</v>
      </c>
      <c r="H2418" s="9" t="s">
        <v>170</v>
      </c>
      <c r="I2418" s="9" t="s">
        <v>3805</v>
      </c>
      <c r="J2418" s="9" t="s">
        <v>1612</v>
      </c>
      <c r="K2418" s="9">
        <v>1</v>
      </c>
      <c r="L2418" s="9">
        <v>18</v>
      </c>
      <c r="M2418" s="9">
        <v>2002</v>
      </c>
      <c r="O2418" s="9" t="str">
        <f t="shared" si="115"/>
        <v>NO</v>
      </c>
      <c r="P2418" s="9" t="str">
        <f t="shared" si="116"/>
        <v>NO</v>
      </c>
      <c r="Q2418" s="9" t="str">
        <f t="shared" si="117"/>
        <v>Conditioned</v>
      </c>
    </row>
    <row r="2419" spans="1:17">
      <c r="A2419" s="9">
        <v>24342</v>
      </c>
      <c r="B2419" s="9">
        <v>1</v>
      </c>
      <c r="C2419" s="9" t="s">
        <v>1589</v>
      </c>
      <c r="D2419" s="9" t="s">
        <v>1590</v>
      </c>
      <c r="E2419" s="9" t="s">
        <v>1591</v>
      </c>
      <c r="F2419" s="9" t="s">
        <v>1589</v>
      </c>
      <c r="G2419" s="9" t="s">
        <v>1592</v>
      </c>
      <c r="H2419" s="9" t="s">
        <v>1552</v>
      </c>
      <c r="I2419" s="9" t="s">
        <v>3806</v>
      </c>
      <c r="J2419" s="9" t="s">
        <v>1597</v>
      </c>
      <c r="K2419" s="9">
        <v>1</v>
      </c>
      <c r="L2419" s="9">
        <v>19</v>
      </c>
      <c r="M2419" s="9">
        <v>1996</v>
      </c>
      <c r="O2419" s="9" t="str">
        <f t="shared" si="115"/>
        <v>NO</v>
      </c>
      <c r="P2419" s="9" t="str">
        <f t="shared" si="116"/>
        <v>NO</v>
      </c>
      <c r="Q2419" s="9" t="str">
        <f t="shared" si="117"/>
        <v>Conditioned</v>
      </c>
    </row>
    <row r="2420" spans="1:17">
      <c r="A2420" s="9">
        <v>24342</v>
      </c>
      <c r="B2420" s="9">
        <v>2</v>
      </c>
      <c r="C2420" s="9" t="s">
        <v>1589</v>
      </c>
      <c r="D2420" s="9" t="s">
        <v>1590</v>
      </c>
      <c r="E2420" s="9" t="s">
        <v>1591</v>
      </c>
      <c r="F2420" s="9" t="s">
        <v>1589</v>
      </c>
      <c r="G2420" s="9" t="s">
        <v>1592</v>
      </c>
      <c r="H2420" s="9" t="s">
        <v>1552</v>
      </c>
      <c r="I2420" s="9" t="s">
        <v>3807</v>
      </c>
      <c r="J2420" s="9" t="s">
        <v>1605</v>
      </c>
      <c r="K2420" s="9">
        <v>1</v>
      </c>
      <c r="L2420" s="9">
        <v>15</v>
      </c>
      <c r="M2420" s="9">
        <v>1996</v>
      </c>
      <c r="O2420" s="9" t="str">
        <f t="shared" si="115"/>
        <v>NO</v>
      </c>
      <c r="P2420" s="9" t="str">
        <f t="shared" si="116"/>
        <v>YES</v>
      </c>
      <c r="Q2420" s="9" t="str">
        <f t="shared" si="117"/>
        <v>Conditioned</v>
      </c>
    </row>
    <row r="2421" spans="1:17">
      <c r="A2421" s="9">
        <v>24342</v>
      </c>
      <c r="B2421" s="9">
        <v>3</v>
      </c>
      <c r="C2421" s="9" t="s">
        <v>1589</v>
      </c>
      <c r="D2421" s="9" t="s">
        <v>1590</v>
      </c>
      <c r="E2421" s="9" t="s">
        <v>1591</v>
      </c>
      <c r="F2421" s="9" t="s">
        <v>1589</v>
      </c>
      <c r="G2421" s="9" t="s">
        <v>1606</v>
      </c>
      <c r="H2421" s="9" t="s">
        <v>1766</v>
      </c>
      <c r="I2421" s="9" t="s">
        <v>3808</v>
      </c>
      <c r="J2421" s="9" t="s">
        <v>1587</v>
      </c>
      <c r="K2421" s="9">
        <v>1</v>
      </c>
      <c r="L2421" s="9">
        <v>20</v>
      </c>
      <c r="M2421" s="9">
        <v>1987</v>
      </c>
      <c r="O2421" s="9" t="str">
        <f t="shared" si="115"/>
        <v>NO</v>
      </c>
      <c r="P2421" s="9" t="str">
        <f t="shared" si="116"/>
        <v>YES</v>
      </c>
      <c r="Q2421" s="9" t="str">
        <f t="shared" si="117"/>
        <v>Unconditioned</v>
      </c>
    </row>
    <row r="2422" spans="1:17">
      <c r="A2422" s="9">
        <v>24347</v>
      </c>
      <c r="B2422" s="9">
        <v>1</v>
      </c>
      <c r="C2422" s="9" t="s">
        <v>1589</v>
      </c>
      <c r="D2422" s="9" t="s">
        <v>1590</v>
      </c>
      <c r="E2422" s="9" t="s">
        <v>1602</v>
      </c>
      <c r="F2422" s="9" t="s">
        <v>1603</v>
      </c>
      <c r="G2422" s="9" t="s">
        <v>1592</v>
      </c>
      <c r="H2422" s="9" t="s">
        <v>173</v>
      </c>
      <c r="I2422" s="9" t="s">
        <v>3809</v>
      </c>
      <c r="J2422" s="9" t="s">
        <v>1601</v>
      </c>
      <c r="K2422" s="9">
        <v>1</v>
      </c>
      <c r="L2422" s="9">
        <v>23</v>
      </c>
      <c r="M2422" s="9">
        <v>2007</v>
      </c>
      <c r="O2422" s="9" t="str">
        <f t="shared" si="115"/>
        <v>NO</v>
      </c>
      <c r="P2422" s="9" t="str">
        <f t="shared" si="116"/>
        <v>NO</v>
      </c>
      <c r="Q2422" s="9" t="str">
        <f t="shared" si="117"/>
        <v>Conditioned</v>
      </c>
    </row>
    <row r="2423" spans="1:17">
      <c r="A2423" s="9">
        <v>24347</v>
      </c>
      <c r="B2423" s="9">
        <v>2</v>
      </c>
      <c r="C2423" s="9" t="s">
        <v>1589</v>
      </c>
      <c r="D2423" s="9" t="s">
        <v>1590</v>
      </c>
      <c r="E2423" s="9" t="s">
        <v>1591</v>
      </c>
      <c r="F2423" s="9" t="s">
        <v>1589</v>
      </c>
      <c r="G2423" s="9" t="s">
        <v>1606</v>
      </c>
      <c r="H2423" s="9" t="s">
        <v>169</v>
      </c>
      <c r="I2423" s="9" t="s">
        <v>3810</v>
      </c>
      <c r="J2423" s="9" t="s">
        <v>1605</v>
      </c>
      <c r="K2423" s="9">
        <v>1</v>
      </c>
      <c r="L2423" s="9">
        <v>17</v>
      </c>
      <c r="M2423" s="9">
        <v>2007</v>
      </c>
      <c r="O2423" s="9" t="str">
        <f t="shared" si="115"/>
        <v>NO</v>
      </c>
      <c r="P2423" s="9" t="str">
        <f t="shared" si="116"/>
        <v>YES</v>
      </c>
      <c r="Q2423" s="9" t="str">
        <f t="shared" si="117"/>
        <v>Unconditioned</v>
      </c>
    </row>
    <row r="2424" spans="1:17">
      <c r="A2424" s="9">
        <v>24347</v>
      </c>
      <c r="B2424" s="9">
        <v>3</v>
      </c>
      <c r="C2424" s="9" t="s">
        <v>1589</v>
      </c>
      <c r="D2424" s="9" t="s">
        <v>1590</v>
      </c>
      <c r="E2424" s="9" t="s">
        <v>1591</v>
      </c>
      <c r="F2424" s="9" t="s">
        <v>1589</v>
      </c>
      <c r="G2424" s="9" t="s">
        <v>1606</v>
      </c>
      <c r="H2424" s="9" t="s">
        <v>169</v>
      </c>
      <c r="I2424" s="9" t="s">
        <v>3811</v>
      </c>
      <c r="J2424" s="9" t="s">
        <v>1597</v>
      </c>
      <c r="K2424" s="9">
        <v>1</v>
      </c>
      <c r="L2424" s="9">
        <v>19</v>
      </c>
      <c r="M2424" s="9">
        <v>1993</v>
      </c>
      <c r="O2424" s="9" t="str">
        <f t="shared" si="115"/>
        <v>NO</v>
      </c>
      <c r="P2424" s="9" t="str">
        <f t="shared" si="116"/>
        <v>NO</v>
      </c>
      <c r="Q2424" s="9" t="str">
        <f t="shared" si="117"/>
        <v>Unconditioned</v>
      </c>
    </row>
    <row r="2425" spans="1:17">
      <c r="A2425" s="9">
        <v>24349</v>
      </c>
      <c r="B2425" s="9">
        <v>1</v>
      </c>
      <c r="C2425" s="9" t="s">
        <v>1589</v>
      </c>
      <c r="D2425" s="9" t="s">
        <v>1590</v>
      </c>
      <c r="E2425" s="9" t="s">
        <v>1591</v>
      </c>
      <c r="F2425" s="9" t="s">
        <v>1589</v>
      </c>
      <c r="G2425" s="9" t="s">
        <v>1592</v>
      </c>
      <c r="H2425" s="9" t="s">
        <v>172</v>
      </c>
      <c r="I2425" s="9" t="s">
        <v>3812</v>
      </c>
      <c r="J2425" s="9" t="s">
        <v>1597</v>
      </c>
      <c r="K2425" s="9">
        <v>1</v>
      </c>
      <c r="L2425" s="9">
        <v>23</v>
      </c>
      <c r="M2425" s="9">
        <v>2010</v>
      </c>
      <c r="O2425" s="9" t="str">
        <f t="shared" si="115"/>
        <v>NO</v>
      </c>
      <c r="P2425" s="9" t="str">
        <f t="shared" si="116"/>
        <v>NO</v>
      </c>
      <c r="Q2425" s="9" t="str">
        <f t="shared" si="117"/>
        <v>Conditioned</v>
      </c>
    </row>
    <row r="2426" spans="1:17">
      <c r="A2426" s="9">
        <v>24349</v>
      </c>
      <c r="B2426" s="9">
        <v>2</v>
      </c>
      <c r="C2426" s="9" t="s">
        <v>1589</v>
      </c>
      <c r="D2426" s="9" t="s">
        <v>1590</v>
      </c>
      <c r="E2426" s="9" t="s">
        <v>1591</v>
      </c>
      <c r="F2426" s="9" t="s">
        <v>1589</v>
      </c>
      <c r="G2426" s="9" t="s">
        <v>1592</v>
      </c>
      <c r="H2426" s="9" t="s">
        <v>170</v>
      </c>
      <c r="I2426" s="9" t="s">
        <v>3813</v>
      </c>
      <c r="J2426" s="9" t="s">
        <v>1605</v>
      </c>
      <c r="K2426" s="9">
        <v>1</v>
      </c>
      <c r="L2426" s="9">
        <v>23</v>
      </c>
      <c r="M2426" s="9">
        <v>2009</v>
      </c>
      <c r="O2426" s="9" t="str">
        <f t="shared" si="115"/>
        <v>NO</v>
      </c>
      <c r="P2426" s="9" t="str">
        <f t="shared" si="116"/>
        <v>YES</v>
      </c>
      <c r="Q2426" s="9" t="str">
        <f t="shared" si="117"/>
        <v>Conditioned</v>
      </c>
    </row>
    <row r="2427" spans="1:17">
      <c r="A2427" s="9">
        <v>24349</v>
      </c>
      <c r="B2427" s="9">
        <v>3</v>
      </c>
      <c r="C2427" s="9" t="s">
        <v>3814</v>
      </c>
      <c r="D2427" s="9" t="s">
        <v>1590</v>
      </c>
      <c r="E2427" s="9" t="s">
        <v>1591</v>
      </c>
      <c r="F2427" s="9" t="s">
        <v>1589</v>
      </c>
      <c r="G2427" s="9" t="s">
        <v>1592</v>
      </c>
      <c r="H2427" s="9" t="s">
        <v>3815</v>
      </c>
      <c r="I2427" s="9" t="s">
        <v>1589</v>
      </c>
      <c r="J2427" s="9" t="s">
        <v>1605</v>
      </c>
      <c r="K2427" s="9">
        <v>1</v>
      </c>
      <c r="L2427" s="9">
        <v>10</v>
      </c>
      <c r="O2427" s="9" t="str">
        <f t="shared" si="115"/>
        <v>NO</v>
      </c>
      <c r="P2427" s="9" t="str">
        <f t="shared" si="116"/>
        <v>YES</v>
      </c>
      <c r="Q2427" s="9" t="str">
        <f t="shared" si="117"/>
        <v>Conditioned</v>
      </c>
    </row>
    <row r="2428" spans="1:17">
      <c r="A2428" s="9">
        <v>24349</v>
      </c>
      <c r="B2428" s="9">
        <v>4</v>
      </c>
      <c r="C2428" s="9" t="s">
        <v>3814</v>
      </c>
      <c r="D2428" s="9" t="s">
        <v>1590</v>
      </c>
      <c r="E2428" s="9" t="s">
        <v>1591</v>
      </c>
      <c r="F2428" s="9" t="s">
        <v>1589</v>
      </c>
      <c r="G2428" s="9" t="s">
        <v>1592</v>
      </c>
      <c r="H2428" s="9" t="s">
        <v>1638</v>
      </c>
      <c r="I2428" s="9" t="s">
        <v>1589</v>
      </c>
      <c r="J2428" s="9" t="s">
        <v>1597</v>
      </c>
      <c r="K2428" s="9">
        <v>1</v>
      </c>
      <c r="L2428" s="9">
        <v>23</v>
      </c>
      <c r="O2428" s="9" t="str">
        <f t="shared" si="115"/>
        <v>NO</v>
      </c>
      <c r="P2428" s="9" t="str">
        <f t="shared" si="116"/>
        <v>NO</v>
      </c>
      <c r="Q2428" s="9" t="str">
        <f t="shared" si="117"/>
        <v>Conditioned</v>
      </c>
    </row>
    <row r="2429" spans="1:17">
      <c r="A2429" s="9">
        <v>24351</v>
      </c>
      <c r="B2429" s="9">
        <v>1</v>
      </c>
      <c r="C2429" s="9" t="s">
        <v>1589</v>
      </c>
      <c r="D2429" s="9" t="s">
        <v>1590</v>
      </c>
      <c r="E2429" s="9" t="s">
        <v>1613</v>
      </c>
      <c r="F2429" s="9" t="s">
        <v>1603</v>
      </c>
      <c r="G2429" s="9" t="s">
        <v>1592</v>
      </c>
      <c r="H2429" s="9" t="s">
        <v>174</v>
      </c>
      <c r="I2429" s="9" t="s">
        <v>3816</v>
      </c>
      <c r="J2429" s="9" t="s">
        <v>1608</v>
      </c>
      <c r="K2429" s="9">
        <v>1</v>
      </c>
      <c r="L2429" s="9">
        <v>19</v>
      </c>
      <c r="M2429" s="9">
        <v>2000</v>
      </c>
      <c r="O2429" s="9" t="str">
        <f t="shared" si="115"/>
        <v>NO</v>
      </c>
      <c r="P2429" s="9" t="str">
        <f t="shared" si="116"/>
        <v>NO</v>
      </c>
      <c r="Q2429" s="9" t="str">
        <f t="shared" si="117"/>
        <v>Conditioned</v>
      </c>
    </row>
    <row r="2430" spans="1:17">
      <c r="A2430" s="9">
        <v>24351</v>
      </c>
      <c r="B2430" s="9">
        <v>2</v>
      </c>
      <c r="C2430" s="9" t="s">
        <v>1589</v>
      </c>
      <c r="D2430" s="9" t="s">
        <v>1590</v>
      </c>
      <c r="E2430" s="9" t="s">
        <v>1591</v>
      </c>
      <c r="F2430" s="9" t="s">
        <v>1589</v>
      </c>
      <c r="G2430" s="9" t="s">
        <v>1592</v>
      </c>
      <c r="H2430" s="9" t="s">
        <v>174</v>
      </c>
      <c r="I2430" s="9" t="s">
        <v>3817</v>
      </c>
      <c r="J2430" s="9" t="s">
        <v>1608</v>
      </c>
      <c r="K2430" s="9">
        <v>1</v>
      </c>
      <c r="L2430" s="9">
        <v>24</v>
      </c>
      <c r="M2430" s="9">
        <v>1998</v>
      </c>
      <c r="O2430" s="9" t="str">
        <f t="shared" si="115"/>
        <v>NO</v>
      </c>
      <c r="P2430" s="9" t="str">
        <f t="shared" si="116"/>
        <v>NO</v>
      </c>
      <c r="Q2430" s="9" t="str">
        <f t="shared" si="117"/>
        <v>Conditioned</v>
      </c>
    </row>
    <row r="2431" spans="1:17">
      <c r="A2431" s="9">
        <v>24363</v>
      </c>
      <c r="B2431" s="9">
        <v>1</v>
      </c>
      <c r="C2431" s="9" t="s">
        <v>1589</v>
      </c>
      <c r="D2431" s="9" t="s">
        <v>1590</v>
      </c>
      <c r="E2431" s="9" t="s">
        <v>1602</v>
      </c>
      <c r="F2431" s="9" t="s">
        <v>1603</v>
      </c>
      <c r="G2431" s="9" t="s">
        <v>1592</v>
      </c>
      <c r="H2431" s="9" t="s">
        <v>177</v>
      </c>
      <c r="I2431" s="9" t="s">
        <v>3818</v>
      </c>
      <c r="J2431" s="9" t="s">
        <v>1601</v>
      </c>
      <c r="K2431" s="9">
        <v>1</v>
      </c>
      <c r="L2431" s="9">
        <v>21</v>
      </c>
      <c r="M2431" s="9">
        <v>1970</v>
      </c>
      <c r="O2431" s="9" t="str">
        <f t="shared" si="115"/>
        <v>NO</v>
      </c>
      <c r="P2431" s="9" t="str">
        <f t="shared" si="116"/>
        <v>NO</v>
      </c>
      <c r="Q2431" s="9" t="str">
        <f t="shared" si="117"/>
        <v>Conditioned</v>
      </c>
    </row>
    <row r="2432" spans="1:17">
      <c r="A2432" s="9">
        <v>24366</v>
      </c>
      <c r="B2432" s="9">
        <v>1</v>
      </c>
      <c r="C2432" s="9" t="s">
        <v>1589</v>
      </c>
      <c r="D2432" s="9" t="s">
        <v>1590</v>
      </c>
      <c r="E2432" s="9" t="s">
        <v>1591</v>
      </c>
      <c r="F2432" s="9" t="s">
        <v>1589</v>
      </c>
      <c r="G2432" s="9" t="s">
        <v>1592</v>
      </c>
      <c r="H2432" s="9" t="s">
        <v>173</v>
      </c>
      <c r="I2432" s="9" t="s">
        <v>3819</v>
      </c>
      <c r="J2432" s="9" t="s">
        <v>1608</v>
      </c>
      <c r="K2432" s="9">
        <v>1</v>
      </c>
      <c r="L2432" s="9">
        <v>19</v>
      </c>
      <c r="M2432" s="9">
        <v>2010</v>
      </c>
      <c r="O2432" s="9" t="str">
        <f t="shared" si="115"/>
        <v>NO</v>
      </c>
      <c r="P2432" s="9" t="str">
        <f t="shared" si="116"/>
        <v>NO</v>
      </c>
      <c r="Q2432" s="9" t="str">
        <f t="shared" si="117"/>
        <v>Conditioned</v>
      </c>
    </row>
    <row r="2433" spans="1:17">
      <c r="A2433" s="9">
        <v>24373</v>
      </c>
      <c r="B2433" s="9">
        <v>1</v>
      </c>
      <c r="C2433" s="9" t="s">
        <v>1589</v>
      </c>
      <c r="D2433" s="9" t="s">
        <v>1590</v>
      </c>
      <c r="E2433" s="9" t="s">
        <v>1602</v>
      </c>
      <c r="F2433" s="9" t="s">
        <v>1603</v>
      </c>
      <c r="G2433" s="9" t="s">
        <v>1592</v>
      </c>
      <c r="H2433" s="9" t="s">
        <v>1017</v>
      </c>
      <c r="I2433" s="9" t="s">
        <v>3820</v>
      </c>
      <c r="J2433" s="9" t="s">
        <v>1608</v>
      </c>
      <c r="K2433" s="9">
        <v>1</v>
      </c>
      <c r="L2433" s="9">
        <v>26</v>
      </c>
      <c r="M2433" s="9">
        <v>2010</v>
      </c>
      <c r="O2433" s="9" t="str">
        <f t="shared" si="115"/>
        <v>NO</v>
      </c>
      <c r="P2433" s="9" t="str">
        <f t="shared" si="116"/>
        <v>NO</v>
      </c>
      <c r="Q2433" s="9" t="str">
        <f t="shared" si="117"/>
        <v>Conditioned</v>
      </c>
    </row>
    <row r="2434" spans="1:17">
      <c r="A2434" s="9">
        <v>24373</v>
      </c>
      <c r="B2434" s="9">
        <v>2</v>
      </c>
      <c r="C2434" s="9" t="s">
        <v>3821</v>
      </c>
      <c r="D2434" s="9" t="s">
        <v>1590</v>
      </c>
      <c r="E2434" s="9" t="s">
        <v>1591</v>
      </c>
      <c r="F2434" s="9" t="s">
        <v>1589</v>
      </c>
      <c r="G2434" s="9" t="s">
        <v>1606</v>
      </c>
      <c r="H2434" s="9" t="s">
        <v>1632</v>
      </c>
      <c r="I2434" s="9" t="s">
        <v>3822</v>
      </c>
      <c r="J2434" s="9" t="s">
        <v>1605</v>
      </c>
      <c r="K2434" s="9">
        <v>1</v>
      </c>
      <c r="L2434" s="9">
        <v>10</v>
      </c>
      <c r="O2434" s="9" t="str">
        <f t="shared" si="115"/>
        <v>NO</v>
      </c>
      <c r="P2434" s="9" t="str">
        <f t="shared" si="116"/>
        <v>YES</v>
      </c>
      <c r="Q2434" s="9" t="str">
        <f t="shared" si="117"/>
        <v>Unconditioned</v>
      </c>
    </row>
    <row r="2435" spans="1:17">
      <c r="A2435" s="9">
        <v>24375</v>
      </c>
      <c r="B2435" s="9">
        <v>1</v>
      </c>
      <c r="C2435" s="9" t="s">
        <v>1589</v>
      </c>
      <c r="D2435" s="9" t="s">
        <v>1590</v>
      </c>
      <c r="E2435" s="9" t="s">
        <v>1613</v>
      </c>
      <c r="F2435" s="9" t="s">
        <v>1603</v>
      </c>
      <c r="G2435" s="9" t="s">
        <v>1592</v>
      </c>
      <c r="H2435" s="9" t="s">
        <v>170</v>
      </c>
      <c r="I2435" s="9" t="s">
        <v>3823</v>
      </c>
      <c r="J2435" s="9" t="s">
        <v>1597</v>
      </c>
      <c r="K2435" s="9">
        <v>1</v>
      </c>
      <c r="L2435" s="9">
        <v>20</v>
      </c>
      <c r="M2435" s="9">
        <v>2006</v>
      </c>
      <c r="O2435" s="9" t="str">
        <f t="shared" si="115"/>
        <v>NO</v>
      </c>
      <c r="P2435" s="9" t="str">
        <f t="shared" si="116"/>
        <v>NO</v>
      </c>
      <c r="Q2435" s="9" t="str">
        <f t="shared" si="117"/>
        <v>Conditioned</v>
      </c>
    </row>
    <row r="2436" spans="1:17">
      <c r="A2436" s="9">
        <v>24375</v>
      </c>
      <c r="B2436" s="9">
        <v>2</v>
      </c>
      <c r="C2436" s="9" t="s">
        <v>1589</v>
      </c>
      <c r="D2436" s="9" t="s">
        <v>1590</v>
      </c>
      <c r="E2436" s="9" t="s">
        <v>1591</v>
      </c>
      <c r="F2436" s="9" t="s">
        <v>1589</v>
      </c>
      <c r="G2436" s="9" t="s">
        <v>1592</v>
      </c>
      <c r="H2436" s="9" t="s">
        <v>181</v>
      </c>
      <c r="I2436" s="9" t="s">
        <v>3824</v>
      </c>
      <c r="J2436" s="9" t="s">
        <v>1587</v>
      </c>
      <c r="K2436" s="9">
        <v>1</v>
      </c>
      <c r="L2436" s="9">
        <v>10</v>
      </c>
      <c r="M2436" s="9">
        <v>2007</v>
      </c>
      <c r="O2436" s="9" t="str">
        <f t="shared" si="115"/>
        <v>NO</v>
      </c>
      <c r="P2436" s="9" t="str">
        <f t="shared" si="116"/>
        <v>YES</v>
      </c>
      <c r="Q2436" s="9" t="str">
        <f t="shared" si="117"/>
        <v>Conditioned</v>
      </c>
    </row>
    <row r="2437" spans="1:17">
      <c r="A2437" s="9">
        <v>24378</v>
      </c>
      <c r="B2437" s="9">
        <v>1</v>
      </c>
      <c r="C2437" s="9" t="s">
        <v>1589</v>
      </c>
      <c r="D2437" s="9" t="s">
        <v>1603</v>
      </c>
      <c r="E2437" s="9" t="s">
        <v>1602</v>
      </c>
      <c r="F2437" s="9" t="s">
        <v>1603</v>
      </c>
      <c r="G2437" s="9" t="s">
        <v>1592</v>
      </c>
      <c r="H2437" s="9" t="s">
        <v>177</v>
      </c>
      <c r="I2437" s="9" t="s">
        <v>2080</v>
      </c>
      <c r="J2437" s="9" t="s">
        <v>1601</v>
      </c>
      <c r="K2437" s="9">
        <v>1</v>
      </c>
      <c r="L2437" s="9">
        <v>28</v>
      </c>
      <c r="M2437" s="9">
        <v>2007</v>
      </c>
      <c r="O2437" s="9" t="str">
        <f t="shared" si="115"/>
        <v>NO</v>
      </c>
      <c r="P2437" s="9" t="str">
        <f t="shared" si="116"/>
        <v>NO</v>
      </c>
      <c r="Q2437" s="9" t="str">
        <f t="shared" si="117"/>
        <v>Conditioned</v>
      </c>
    </row>
    <row r="2438" spans="1:17">
      <c r="A2438" s="9">
        <v>24378</v>
      </c>
      <c r="B2438" s="9">
        <v>2</v>
      </c>
      <c r="C2438" s="9" t="s">
        <v>3825</v>
      </c>
      <c r="D2438" s="9" t="s">
        <v>1590</v>
      </c>
      <c r="E2438" s="9" t="s">
        <v>1591</v>
      </c>
      <c r="F2438" s="9" t="s">
        <v>1589</v>
      </c>
      <c r="G2438" s="9" t="s">
        <v>1592</v>
      </c>
      <c r="H2438" s="9" t="s">
        <v>2121</v>
      </c>
      <c r="I2438" s="9" t="s">
        <v>3826</v>
      </c>
      <c r="J2438" s="9" t="s">
        <v>1605</v>
      </c>
      <c r="K2438" s="9">
        <v>1</v>
      </c>
      <c r="L2438" s="9">
        <v>8</v>
      </c>
      <c r="M2438" s="9">
        <v>1950</v>
      </c>
      <c r="O2438" s="9" t="str">
        <f t="shared" si="115"/>
        <v>NO</v>
      </c>
      <c r="P2438" s="9" t="str">
        <f t="shared" si="116"/>
        <v>YES</v>
      </c>
      <c r="Q2438" s="9" t="str">
        <f t="shared" si="117"/>
        <v>Conditioned</v>
      </c>
    </row>
    <row r="2439" spans="1:17">
      <c r="A2439" s="9">
        <v>24378</v>
      </c>
      <c r="B2439" s="9">
        <v>3</v>
      </c>
      <c r="C2439" s="9" t="s">
        <v>1589</v>
      </c>
      <c r="D2439" s="9" t="s">
        <v>1590</v>
      </c>
      <c r="E2439" s="9" t="s">
        <v>1591</v>
      </c>
      <c r="F2439" s="9" t="s">
        <v>1589</v>
      </c>
      <c r="G2439" s="9" t="s">
        <v>1592</v>
      </c>
      <c r="H2439" s="9" t="s">
        <v>169</v>
      </c>
      <c r="I2439" s="9" t="s">
        <v>3827</v>
      </c>
      <c r="J2439" s="9" t="s">
        <v>1605</v>
      </c>
      <c r="K2439" s="9">
        <v>1</v>
      </c>
      <c r="L2439" s="9">
        <v>24</v>
      </c>
      <c r="M2439" s="9">
        <v>2011</v>
      </c>
      <c r="O2439" s="9" t="str">
        <f t="shared" si="115"/>
        <v>NO</v>
      </c>
      <c r="P2439" s="9" t="str">
        <f t="shared" si="116"/>
        <v>YES</v>
      </c>
      <c r="Q2439" s="9" t="str">
        <f t="shared" si="117"/>
        <v>Conditioned</v>
      </c>
    </row>
    <row r="2440" spans="1:17">
      <c r="A2440" s="9">
        <v>24398</v>
      </c>
      <c r="B2440" s="9">
        <v>1</v>
      </c>
      <c r="C2440" s="9" t="s">
        <v>1589</v>
      </c>
      <c r="D2440" s="9" t="s">
        <v>1603</v>
      </c>
      <c r="E2440" s="9" t="s">
        <v>1591</v>
      </c>
      <c r="F2440" s="9" t="s">
        <v>1589</v>
      </c>
      <c r="G2440" s="9" t="s">
        <v>1592</v>
      </c>
      <c r="H2440" s="9" t="s">
        <v>174</v>
      </c>
      <c r="I2440" s="9" t="s">
        <v>3828</v>
      </c>
      <c r="J2440" s="9" t="s">
        <v>1608</v>
      </c>
      <c r="K2440" s="9">
        <v>1</v>
      </c>
      <c r="L2440" s="9">
        <v>18</v>
      </c>
      <c r="M2440" s="9">
        <v>2007</v>
      </c>
      <c r="O2440" s="9" t="str">
        <f t="shared" si="115"/>
        <v>NO</v>
      </c>
      <c r="P2440" s="9" t="str">
        <f t="shared" si="116"/>
        <v>NO</v>
      </c>
      <c r="Q2440" s="9" t="str">
        <f t="shared" si="117"/>
        <v>Conditioned</v>
      </c>
    </row>
    <row r="2441" spans="1:17">
      <c r="A2441" s="9">
        <v>24398</v>
      </c>
      <c r="B2441" s="9">
        <v>2</v>
      </c>
      <c r="C2441" s="9" t="s">
        <v>1589</v>
      </c>
      <c r="D2441" s="9" t="s">
        <v>1590</v>
      </c>
      <c r="E2441" s="9" t="s">
        <v>1591</v>
      </c>
      <c r="F2441" s="9" t="s">
        <v>1589</v>
      </c>
      <c r="G2441" s="9" t="s">
        <v>1606</v>
      </c>
      <c r="H2441" s="9" t="s">
        <v>169</v>
      </c>
      <c r="I2441" s="9" t="s">
        <v>3829</v>
      </c>
      <c r="J2441" s="9" t="s">
        <v>1587</v>
      </c>
      <c r="K2441" s="9">
        <v>1</v>
      </c>
      <c r="L2441" s="9">
        <v>10</v>
      </c>
      <c r="M2441" s="9">
        <v>2007</v>
      </c>
      <c r="O2441" s="9" t="str">
        <f t="shared" si="115"/>
        <v>NO</v>
      </c>
      <c r="P2441" s="9" t="str">
        <f t="shared" si="116"/>
        <v>YES</v>
      </c>
      <c r="Q2441" s="9" t="str">
        <f t="shared" si="117"/>
        <v>Unconditioned</v>
      </c>
    </row>
    <row r="2442" spans="1:17">
      <c r="A2442" s="9">
        <v>24398</v>
      </c>
      <c r="B2442" s="9">
        <v>3</v>
      </c>
      <c r="C2442" s="9" t="s">
        <v>1589</v>
      </c>
      <c r="D2442" s="9" t="s">
        <v>1590</v>
      </c>
      <c r="E2442" s="9" t="s">
        <v>1591</v>
      </c>
      <c r="F2442" s="9" t="s">
        <v>1589</v>
      </c>
      <c r="G2442" s="9" t="s">
        <v>1592</v>
      </c>
      <c r="H2442" s="9" t="s">
        <v>1805</v>
      </c>
      <c r="I2442" s="9" t="s">
        <v>3830</v>
      </c>
      <c r="J2442" s="9" t="s">
        <v>1597</v>
      </c>
      <c r="K2442" s="9">
        <v>1</v>
      </c>
      <c r="L2442" s="9">
        <v>16</v>
      </c>
      <c r="M2442" s="9">
        <v>1987</v>
      </c>
      <c r="O2442" s="9" t="str">
        <f t="shared" si="115"/>
        <v>NO</v>
      </c>
      <c r="P2442" s="9" t="str">
        <f t="shared" si="116"/>
        <v>NO</v>
      </c>
      <c r="Q2442" s="9" t="str">
        <f t="shared" si="117"/>
        <v>Conditioned</v>
      </c>
    </row>
    <row r="2443" spans="1:17">
      <c r="A2443" s="9">
        <v>24400</v>
      </c>
      <c r="B2443" s="9">
        <v>1</v>
      </c>
      <c r="C2443" s="9" t="s">
        <v>1589</v>
      </c>
      <c r="D2443" s="9" t="s">
        <v>1590</v>
      </c>
      <c r="E2443" s="9" t="s">
        <v>1613</v>
      </c>
      <c r="F2443" s="9" t="s">
        <v>1603</v>
      </c>
      <c r="G2443" s="9" t="s">
        <v>1592</v>
      </c>
      <c r="H2443" s="9" t="s">
        <v>1638</v>
      </c>
      <c r="I2443" s="9" t="s">
        <v>3831</v>
      </c>
      <c r="J2443" s="9" t="s">
        <v>1608</v>
      </c>
      <c r="K2443" s="9">
        <v>1</v>
      </c>
      <c r="L2443" s="9">
        <v>22</v>
      </c>
      <c r="M2443" s="9">
        <v>2004</v>
      </c>
      <c r="O2443" s="9" t="str">
        <f t="shared" si="115"/>
        <v>NO</v>
      </c>
      <c r="P2443" s="9" t="str">
        <f t="shared" si="116"/>
        <v>NO</v>
      </c>
      <c r="Q2443" s="9" t="str">
        <f t="shared" si="117"/>
        <v>Conditioned</v>
      </c>
    </row>
    <row r="2444" spans="1:17">
      <c r="A2444" s="9">
        <v>24400</v>
      </c>
      <c r="B2444" s="9">
        <v>2</v>
      </c>
      <c r="C2444" s="9" t="s">
        <v>1589</v>
      </c>
      <c r="D2444" s="9" t="s">
        <v>1590</v>
      </c>
      <c r="E2444" s="9" t="s">
        <v>1602</v>
      </c>
      <c r="F2444" s="9" t="s">
        <v>1590</v>
      </c>
      <c r="G2444" s="9" t="s">
        <v>1606</v>
      </c>
      <c r="H2444" s="9" t="s">
        <v>177</v>
      </c>
      <c r="I2444" s="9" t="s">
        <v>3832</v>
      </c>
      <c r="J2444" s="9" t="s">
        <v>1601</v>
      </c>
      <c r="K2444" s="9">
        <v>1</v>
      </c>
      <c r="L2444" s="9">
        <v>22</v>
      </c>
      <c r="M2444" s="9">
        <v>2004</v>
      </c>
      <c r="O2444" s="9" t="str">
        <f t="shared" si="115"/>
        <v>NO</v>
      </c>
      <c r="P2444" s="9" t="str">
        <f t="shared" si="116"/>
        <v>NO</v>
      </c>
      <c r="Q2444" s="9" t="str">
        <f t="shared" si="117"/>
        <v>Unconditioned</v>
      </c>
    </row>
    <row r="2445" spans="1:17">
      <c r="A2445" s="9">
        <v>24401</v>
      </c>
      <c r="B2445" s="9">
        <v>1</v>
      </c>
      <c r="C2445" s="9" t="s">
        <v>1589</v>
      </c>
      <c r="D2445" s="9" t="s">
        <v>1603</v>
      </c>
      <c r="E2445" s="9" t="s">
        <v>1613</v>
      </c>
      <c r="F2445" s="9" t="s">
        <v>1603</v>
      </c>
      <c r="G2445" s="9" t="s">
        <v>1592</v>
      </c>
      <c r="H2445" s="9" t="s">
        <v>170</v>
      </c>
      <c r="I2445" s="9" t="s">
        <v>3833</v>
      </c>
      <c r="J2445" s="9" t="s">
        <v>1608</v>
      </c>
      <c r="K2445" s="9">
        <v>1</v>
      </c>
      <c r="L2445" s="9">
        <v>22</v>
      </c>
      <c r="M2445" s="9">
        <v>2007</v>
      </c>
      <c r="O2445" s="9" t="str">
        <f t="shared" si="115"/>
        <v>NO</v>
      </c>
      <c r="P2445" s="9" t="str">
        <f t="shared" si="116"/>
        <v>NO</v>
      </c>
      <c r="Q2445" s="9" t="str">
        <f t="shared" si="117"/>
        <v>Conditioned</v>
      </c>
    </row>
    <row r="2446" spans="1:17">
      <c r="A2446" s="9">
        <v>24401</v>
      </c>
      <c r="B2446" s="9">
        <v>2</v>
      </c>
      <c r="C2446" s="9" t="s">
        <v>1589</v>
      </c>
      <c r="D2446" s="9" t="s">
        <v>1590</v>
      </c>
      <c r="E2446" s="9" t="s">
        <v>1589</v>
      </c>
      <c r="F2446" s="9" t="s">
        <v>1589</v>
      </c>
      <c r="G2446" s="9" t="s">
        <v>1606</v>
      </c>
      <c r="H2446" s="9" t="s">
        <v>170</v>
      </c>
      <c r="I2446" s="9" t="s">
        <v>3834</v>
      </c>
      <c r="J2446" s="9" t="s">
        <v>1612</v>
      </c>
      <c r="K2446" s="9">
        <v>0.75</v>
      </c>
      <c r="L2446" s="9">
        <v>20</v>
      </c>
      <c r="M2446" s="9">
        <v>2006</v>
      </c>
      <c r="O2446" s="9" t="str">
        <f t="shared" si="115"/>
        <v>NO</v>
      </c>
      <c r="P2446" s="9" t="str">
        <f t="shared" si="116"/>
        <v>NO</v>
      </c>
      <c r="Q2446" s="9" t="str">
        <f t="shared" si="117"/>
        <v>Unconditioned</v>
      </c>
    </row>
    <row r="2447" spans="1:17">
      <c r="A2447" s="9">
        <v>24401</v>
      </c>
      <c r="B2447" s="9">
        <v>3</v>
      </c>
      <c r="C2447" s="9" t="s">
        <v>1589</v>
      </c>
      <c r="D2447" s="9" t="s">
        <v>1590</v>
      </c>
      <c r="E2447" s="9" t="s">
        <v>1591</v>
      </c>
      <c r="F2447" s="9" t="s">
        <v>1589</v>
      </c>
      <c r="G2447" s="9" t="s">
        <v>1606</v>
      </c>
      <c r="H2447" s="9" t="s">
        <v>170</v>
      </c>
      <c r="I2447" s="9" t="s">
        <v>3835</v>
      </c>
      <c r="J2447" s="9" t="s">
        <v>1605</v>
      </c>
      <c r="K2447" s="9">
        <v>1</v>
      </c>
      <c r="L2447" s="9">
        <v>18</v>
      </c>
      <c r="M2447" s="9">
        <v>1997</v>
      </c>
      <c r="O2447" s="9" t="str">
        <f t="shared" si="115"/>
        <v>NO</v>
      </c>
      <c r="P2447" s="9" t="str">
        <f t="shared" si="116"/>
        <v>YES</v>
      </c>
      <c r="Q2447" s="9" t="str">
        <f t="shared" si="117"/>
        <v>Unconditioned</v>
      </c>
    </row>
    <row r="2448" spans="1:17">
      <c r="A2448" s="9">
        <v>24402</v>
      </c>
      <c r="B2448" s="9">
        <v>1</v>
      </c>
      <c r="C2448" s="9" t="s">
        <v>1589</v>
      </c>
      <c r="D2448" s="9" t="s">
        <v>1590</v>
      </c>
      <c r="E2448" s="9" t="s">
        <v>1591</v>
      </c>
      <c r="F2448" s="9" t="s">
        <v>1589</v>
      </c>
      <c r="G2448" s="9" t="s">
        <v>1592</v>
      </c>
      <c r="H2448" s="9" t="s">
        <v>170</v>
      </c>
      <c r="I2448" s="9" t="s">
        <v>3836</v>
      </c>
      <c r="J2448" s="9" t="s">
        <v>1597</v>
      </c>
      <c r="K2448" s="9">
        <v>1</v>
      </c>
      <c r="L2448" s="9">
        <v>21</v>
      </c>
      <c r="M2448" s="9">
        <v>2001</v>
      </c>
      <c r="O2448" s="9" t="str">
        <f t="shared" si="115"/>
        <v>NO</v>
      </c>
      <c r="P2448" s="9" t="str">
        <f t="shared" si="116"/>
        <v>NO</v>
      </c>
      <c r="Q2448" s="9" t="str">
        <f t="shared" si="117"/>
        <v>Conditioned</v>
      </c>
    </row>
    <row r="2449" spans="1:17">
      <c r="A2449" s="9">
        <v>24408</v>
      </c>
      <c r="B2449" s="9">
        <v>1</v>
      </c>
      <c r="C2449" s="9" t="s">
        <v>1589</v>
      </c>
      <c r="D2449" s="9" t="s">
        <v>1603</v>
      </c>
      <c r="E2449" s="9" t="s">
        <v>1602</v>
      </c>
      <c r="F2449" s="9" t="s">
        <v>1603</v>
      </c>
      <c r="G2449" s="9" t="s">
        <v>1592</v>
      </c>
      <c r="H2449" s="9" t="s">
        <v>169</v>
      </c>
      <c r="I2449" s="9" t="s">
        <v>3837</v>
      </c>
      <c r="J2449" s="9" t="s">
        <v>1601</v>
      </c>
      <c r="K2449" s="9">
        <v>1</v>
      </c>
      <c r="L2449" s="9">
        <v>22</v>
      </c>
      <c r="M2449" s="9">
        <v>2009</v>
      </c>
      <c r="O2449" s="9" t="str">
        <f t="shared" si="115"/>
        <v>NO</v>
      </c>
      <c r="P2449" s="9" t="str">
        <f t="shared" si="116"/>
        <v>NO</v>
      </c>
      <c r="Q2449" s="9" t="str">
        <f t="shared" si="117"/>
        <v>Conditioned</v>
      </c>
    </row>
    <row r="2450" spans="1:17">
      <c r="A2450" s="9">
        <v>24408</v>
      </c>
      <c r="B2450" s="9">
        <v>2</v>
      </c>
      <c r="C2450" s="9" t="s">
        <v>1589</v>
      </c>
      <c r="D2450" s="9" t="s">
        <v>1590</v>
      </c>
      <c r="E2450" s="9" t="s">
        <v>1591</v>
      </c>
      <c r="F2450" s="9" t="s">
        <v>1589</v>
      </c>
      <c r="G2450" s="9" t="s">
        <v>1606</v>
      </c>
      <c r="H2450" s="9" t="s">
        <v>169</v>
      </c>
      <c r="I2450" s="9" t="s">
        <v>3838</v>
      </c>
      <c r="J2450" s="9" t="s">
        <v>1597</v>
      </c>
      <c r="K2450" s="9">
        <v>1</v>
      </c>
      <c r="L2450" s="9">
        <v>20</v>
      </c>
      <c r="M2450" s="9">
        <v>1992</v>
      </c>
      <c r="O2450" s="9" t="str">
        <f t="shared" si="115"/>
        <v>NO</v>
      </c>
      <c r="P2450" s="9" t="str">
        <f t="shared" si="116"/>
        <v>NO</v>
      </c>
      <c r="Q2450" s="9" t="str">
        <f t="shared" si="117"/>
        <v>Unconditioned</v>
      </c>
    </row>
    <row r="2451" spans="1:17">
      <c r="A2451" s="9">
        <v>24408</v>
      </c>
      <c r="B2451" s="9">
        <v>3</v>
      </c>
      <c r="C2451" s="9" t="s">
        <v>1589</v>
      </c>
      <c r="D2451" s="9" t="s">
        <v>1590</v>
      </c>
      <c r="E2451" s="9" t="s">
        <v>1591</v>
      </c>
      <c r="F2451" s="9" t="s">
        <v>1589</v>
      </c>
      <c r="G2451" s="9" t="s">
        <v>1606</v>
      </c>
      <c r="H2451" s="9" t="s">
        <v>169</v>
      </c>
      <c r="I2451" s="9" t="s">
        <v>3839</v>
      </c>
      <c r="J2451" s="9" t="s">
        <v>1605</v>
      </c>
      <c r="K2451" s="9">
        <v>1</v>
      </c>
      <c r="L2451" s="9">
        <v>12</v>
      </c>
      <c r="M2451" s="9">
        <v>1994</v>
      </c>
      <c r="O2451" s="9" t="str">
        <f t="shared" si="115"/>
        <v>NO</v>
      </c>
      <c r="P2451" s="9" t="str">
        <f t="shared" si="116"/>
        <v>YES</v>
      </c>
      <c r="Q2451" s="9" t="str">
        <f t="shared" si="117"/>
        <v>Unconditioned</v>
      </c>
    </row>
    <row r="2452" spans="1:17">
      <c r="A2452" s="9">
        <v>24410</v>
      </c>
      <c r="B2452" s="9">
        <v>1</v>
      </c>
      <c r="C2452" s="9" t="s">
        <v>1589</v>
      </c>
      <c r="D2452" s="9" t="s">
        <v>1590</v>
      </c>
      <c r="E2452" s="9" t="s">
        <v>1602</v>
      </c>
      <c r="F2452" s="9" t="s">
        <v>1603</v>
      </c>
      <c r="G2452" s="9" t="s">
        <v>1592</v>
      </c>
      <c r="H2452" s="9" t="s">
        <v>174</v>
      </c>
      <c r="I2452" s="9" t="s">
        <v>3840</v>
      </c>
      <c r="J2452" s="9" t="s">
        <v>1601</v>
      </c>
      <c r="K2452" s="9">
        <v>1</v>
      </c>
      <c r="L2452" s="9">
        <v>22</v>
      </c>
      <c r="M2452" s="9">
        <v>2003</v>
      </c>
      <c r="O2452" s="9" t="str">
        <f t="shared" si="115"/>
        <v>NO</v>
      </c>
      <c r="P2452" s="9" t="str">
        <f t="shared" si="116"/>
        <v>NO</v>
      </c>
      <c r="Q2452" s="9" t="str">
        <f t="shared" si="117"/>
        <v>Conditioned</v>
      </c>
    </row>
    <row r="2453" spans="1:17">
      <c r="A2453" s="9">
        <v>24410</v>
      </c>
      <c r="B2453" s="9">
        <v>2</v>
      </c>
      <c r="C2453" s="9" t="s">
        <v>1589</v>
      </c>
      <c r="D2453" s="9" t="s">
        <v>1590</v>
      </c>
      <c r="E2453" s="9" t="s">
        <v>1591</v>
      </c>
      <c r="F2453" s="9" t="s">
        <v>1589</v>
      </c>
      <c r="G2453" s="9" t="s">
        <v>1592</v>
      </c>
      <c r="H2453" s="9" t="s">
        <v>177</v>
      </c>
      <c r="I2453" s="9" t="s">
        <v>3841</v>
      </c>
      <c r="J2453" s="9" t="s">
        <v>1605</v>
      </c>
      <c r="K2453" s="9">
        <v>1</v>
      </c>
      <c r="L2453" s="9">
        <v>16</v>
      </c>
      <c r="M2453" s="9">
        <v>1980</v>
      </c>
      <c r="O2453" s="9" t="str">
        <f t="shared" si="115"/>
        <v>NO</v>
      </c>
      <c r="P2453" s="9" t="str">
        <f t="shared" si="116"/>
        <v>YES</v>
      </c>
      <c r="Q2453" s="9" t="str">
        <f t="shared" si="117"/>
        <v>Conditioned</v>
      </c>
    </row>
    <row r="2454" spans="1:17">
      <c r="A2454" s="9">
        <v>24417</v>
      </c>
      <c r="B2454" s="9">
        <v>1</v>
      </c>
      <c r="C2454" s="9" t="s">
        <v>1589</v>
      </c>
      <c r="D2454" s="9" t="s">
        <v>1590</v>
      </c>
      <c r="E2454" s="9" t="s">
        <v>1602</v>
      </c>
      <c r="F2454" s="9" t="s">
        <v>1603</v>
      </c>
      <c r="G2454" s="9" t="s">
        <v>1592</v>
      </c>
      <c r="H2454" s="9" t="s">
        <v>170</v>
      </c>
      <c r="I2454" s="9" t="s">
        <v>3842</v>
      </c>
      <c r="J2454" s="9" t="s">
        <v>1601</v>
      </c>
      <c r="K2454" s="9">
        <v>1</v>
      </c>
      <c r="L2454" s="9">
        <v>20</v>
      </c>
      <c r="M2454" s="9">
        <v>2008</v>
      </c>
      <c r="O2454" s="9" t="str">
        <f t="shared" si="115"/>
        <v>NO</v>
      </c>
      <c r="P2454" s="9" t="str">
        <f t="shared" si="116"/>
        <v>NO</v>
      </c>
      <c r="Q2454" s="9" t="str">
        <f t="shared" si="117"/>
        <v>Conditioned</v>
      </c>
    </row>
    <row r="2455" spans="1:17">
      <c r="A2455" s="9">
        <v>24418</v>
      </c>
      <c r="B2455" s="9">
        <v>1</v>
      </c>
      <c r="C2455" s="9" t="s">
        <v>1589</v>
      </c>
      <c r="D2455" s="9" t="s">
        <v>1603</v>
      </c>
      <c r="E2455" s="9" t="s">
        <v>1613</v>
      </c>
      <c r="F2455" s="9" t="s">
        <v>1603</v>
      </c>
      <c r="G2455" s="9" t="s">
        <v>1592</v>
      </c>
      <c r="H2455" s="9" t="s">
        <v>165</v>
      </c>
      <c r="I2455" s="9" t="s">
        <v>3843</v>
      </c>
      <c r="J2455" s="9" t="s">
        <v>1608</v>
      </c>
      <c r="K2455" s="9">
        <v>1</v>
      </c>
      <c r="L2455" s="9">
        <v>26</v>
      </c>
      <c r="M2455" s="9">
        <v>2010</v>
      </c>
      <c r="O2455" s="9" t="str">
        <f t="shared" ref="O2455:O2518" si="118">IF(L2455&lt;7.75,"YES","NO")</f>
        <v>NO</v>
      </c>
      <c r="P2455" s="9" t="str">
        <f t="shared" ref="P2455:P2518" si="119">VLOOKUP(J2455,$Z$21:$AA$27,2,FALSE)</f>
        <v>NO</v>
      </c>
      <c r="Q2455" s="9" t="str">
        <f t="shared" ref="Q2455:Q2518" si="120">G2455</f>
        <v>Conditioned</v>
      </c>
    </row>
    <row r="2456" spans="1:17">
      <c r="A2456" s="9">
        <v>24418</v>
      </c>
      <c r="B2456" s="9">
        <v>2</v>
      </c>
      <c r="C2456" s="9" t="s">
        <v>1589</v>
      </c>
      <c r="D2456" s="9" t="s">
        <v>1590</v>
      </c>
      <c r="E2456" s="9" t="s">
        <v>1591</v>
      </c>
      <c r="F2456" s="9" t="s">
        <v>1589</v>
      </c>
      <c r="G2456" s="9" t="s">
        <v>1592</v>
      </c>
      <c r="H2456" s="9" t="s">
        <v>1624</v>
      </c>
      <c r="I2456" s="9" t="s">
        <v>3844</v>
      </c>
      <c r="J2456" s="9" t="s">
        <v>1597</v>
      </c>
      <c r="K2456" s="9">
        <v>1</v>
      </c>
      <c r="L2456" s="9">
        <v>19</v>
      </c>
      <c r="M2456" s="9">
        <v>1997</v>
      </c>
      <c r="O2456" s="9" t="str">
        <f t="shared" si="118"/>
        <v>NO</v>
      </c>
      <c r="P2456" s="9" t="str">
        <f t="shared" si="119"/>
        <v>NO</v>
      </c>
      <c r="Q2456" s="9" t="str">
        <f t="shared" si="120"/>
        <v>Conditioned</v>
      </c>
    </row>
    <row r="2457" spans="1:17">
      <c r="A2457" s="9">
        <v>24418</v>
      </c>
      <c r="B2457" s="9">
        <v>3</v>
      </c>
      <c r="C2457" s="9" t="s">
        <v>1589</v>
      </c>
      <c r="D2457" s="9" t="s">
        <v>1590</v>
      </c>
      <c r="E2457" s="9" t="s">
        <v>1591</v>
      </c>
      <c r="F2457" s="9" t="s">
        <v>1589</v>
      </c>
      <c r="G2457" s="9" t="s">
        <v>1592</v>
      </c>
      <c r="H2457" s="9" t="s">
        <v>2235</v>
      </c>
      <c r="I2457" s="9" t="s">
        <v>3845</v>
      </c>
      <c r="J2457" s="9" t="s">
        <v>1605</v>
      </c>
      <c r="K2457" s="9">
        <v>1</v>
      </c>
      <c r="L2457" s="9">
        <v>16</v>
      </c>
      <c r="M2457" s="9">
        <v>1999</v>
      </c>
      <c r="O2457" s="9" t="str">
        <f t="shared" si="118"/>
        <v>NO</v>
      </c>
      <c r="P2457" s="9" t="str">
        <f t="shared" si="119"/>
        <v>YES</v>
      </c>
      <c r="Q2457" s="9" t="str">
        <f t="shared" si="120"/>
        <v>Conditioned</v>
      </c>
    </row>
    <row r="2458" spans="1:17">
      <c r="A2458" s="9">
        <v>24418</v>
      </c>
      <c r="B2458" s="9">
        <v>4</v>
      </c>
      <c r="C2458" s="9" t="s">
        <v>1589</v>
      </c>
      <c r="D2458" s="9" t="s">
        <v>1590</v>
      </c>
      <c r="E2458" s="9" t="s">
        <v>1591</v>
      </c>
      <c r="F2458" s="9" t="s">
        <v>1589</v>
      </c>
      <c r="G2458" s="9" t="s">
        <v>1592</v>
      </c>
      <c r="H2458" s="9" t="s">
        <v>2235</v>
      </c>
      <c r="I2458" s="9" t="s">
        <v>3846</v>
      </c>
      <c r="J2458" s="9" t="s">
        <v>1605</v>
      </c>
      <c r="K2458" s="9">
        <v>1</v>
      </c>
      <c r="L2458" s="9">
        <v>20</v>
      </c>
      <c r="M2458" s="9">
        <v>1999</v>
      </c>
      <c r="O2458" s="9" t="str">
        <f t="shared" si="118"/>
        <v>NO</v>
      </c>
      <c r="P2458" s="9" t="str">
        <f t="shared" si="119"/>
        <v>YES</v>
      </c>
      <c r="Q2458" s="9" t="str">
        <f t="shared" si="120"/>
        <v>Conditioned</v>
      </c>
    </row>
    <row r="2459" spans="1:17">
      <c r="A2459" s="9">
        <v>24418</v>
      </c>
      <c r="B2459" s="9">
        <v>5</v>
      </c>
      <c r="C2459" s="9" t="s">
        <v>1589</v>
      </c>
      <c r="D2459" s="9" t="s">
        <v>1590</v>
      </c>
      <c r="E2459" s="9" t="s">
        <v>1591</v>
      </c>
      <c r="F2459" s="9" t="s">
        <v>1589</v>
      </c>
      <c r="G2459" s="9" t="s">
        <v>1592</v>
      </c>
      <c r="H2459" s="9" t="s">
        <v>169</v>
      </c>
      <c r="I2459" s="9" t="s">
        <v>3847</v>
      </c>
      <c r="J2459" s="9" t="s">
        <v>1587</v>
      </c>
      <c r="K2459" s="9">
        <v>1</v>
      </c>
      <c r="L2459" s="9">
        <v>10</v>
      </c>
      <c r="O2459" s="9" t="str">
        <f t="shared" si="118"/>
        <v>NO</v>
      </c>
      <c r="P2459" s="9" t="str">
        <f t="shared" si="119"/>
        <v>YES</v>
      </c>
      <c r="Q2459" s="9" t="str">
        <f t="shared" si="120"/>
        <v>Conditioned</v>
      </c>
    </row>
    <row r="2460" spans="1:17">
      <c r="A2460" s="9">
        <v>24419</v>
      </c>
      <c r="B2460" s="9">
        <v>1</v>
      </c>
      <c r="C2460" s="9" t="s">
        <v>1589</v>
      </c>
      <c r="D2460" s="9" t="s">
        <v>1590</v>
      </c>
      <c r="E2460" s="9" t="s">
        <v>1613</v>
      </c>
      <c r="F2460" s="9" t="s">
        <v>1590</v>
      </c>
      <c r="G2460" s="9" t="s">
        <v>1592</v>
      </c>
      <c r="H2460" s="9" t="s">
        <v>170</v>
      </c>
      <c r="I2460" s="9" t="s">
        <v>3848</v>
      </c>
      <c r="J2460" s="9" t="s">
        <v>1597</v>
      </c>
      <c r="K2460" s="9">
        <v>1</v>
      </c>
      <c r="L2460" s="9">
        <v>21</v>
      </c>
      <c r="M2460" s="9">
        <v>1988</v>
      </c>
      <c r="O2460" s="9" t="str">
        <f t="shared" si="118"/>
        <v>NO</v>
      </c>
      <c r="P2460" s="9" t="str">
        <f t="shared" si="119"/>
        <v>NO</v>
      </c>
      <c r="Q2460" s="9" t="str">
        <f t="shared" si="120"/>
        <v>Conditioned</v>
      </c>
    </row>
    <row r="2461" spans="1:17">
      <c r="A2461" s="9">
        <v>24436</v>
      </c>
      <c r="B2461" s="9">
        <v>1</v>
      </c>
      <c r="C2461" s="9" t="s">
        <v>1589</v>
      </c>
      <c r="D2461" s="9" t="s">
        <v>1603</v>
      </c>
      <c r="E2461" s="9" t="s">
        <v>1591</v>
      </c>
      <c r="F2461" s="9" t="s">
        <v>1589</v>
      </c>
      <c r="G2461" s="9" t="s">
        <v>1592</v>
      </c>
      <c r="H2461" s="9" t="s">
        <v>170</v>
      </c>
      <c r="I2461" s="9" t="s">
        <v>3849</v>
      </c>
      <c r="J2461" s="9" t="s">
        <v>1608</v>
      </c>
      <c r="K2461" s="9">
        <v>1</v>
      </c>
      <c r="L2461" s="9">
        <v>20</v>
      </c>
      <c r="M2461" s="9">
        <v>2011</v>
      </c>
      <c r="O2461" s="9" t="str">
        <f t="shared" si="118"/>
        <v>NO</v>
      </c>
      <c r="P2461" s="9" t="str">
        <f t="shared" si="119"/>
        <v>NO</v>
      </c>
      <c r="Q2461" s="9" t="str">
        <f t="shared" si="120"/>
        <v>Conditioned</v>
      </c>
    </row>
    <row r="2462" spans="1:17">
      <c r="A2462" s="9">
        <v>24436</v>
      </c>
      <c r="B2462" s="9">
        <v>2</v>
      </c>
      <c r="C2462" s="9" t="s">
        <v>1589</v>
      </c>
      <c r="D2462" s="9" t="s">
        <v>1590</v>
      </c>
      <c r="E2462" s="9" t="s">
        <v>1591</v>
      </c>
      <c r="F2462" s="9" t="s">
        <v>1589</v>
      </c>
      <c r="G2462" s="9" t="s">
        <v>1592</v>
      </c>
      <c r="H2462" s="9" t="s">
        <v>170</v>
      </c>
      <c r="I2462" s="9" t="s">
        <v>1589</v>
      </c>
      <c r="J2462" s="9" t="s">
        <v>1587</v>
      </c>
      <c r="K2462" s="9">
        <v>1</v>
      </c>
      <c r="L2462" s="9">
        <v>30</v>
      </c>
      <c r="M2462" s="9">
        <v>1987</v>
      </c>
      <c r="O2462" s="9" t="str">
        <f t="shared" si="118"/>
        <v>NO</v>
      </c>
      <c r="P2462" s="9" t="str">
        <f t="shared" si="119"/>
        <v>YES</v>
      </c>
      <c r="Q2462" s="9" t="str">
        <f t="shared" si="120"/>
        <v>Conditioned</v>
      </c>
    </row>
    <row r="2463" spans="1:17">
      <c r="A2463" s="9">
        <v>24436</v>
      </c>
      <c r="B2463" s="9">
        <v>3</v>
      </c>
      <c r="C2463" s="9" t="s">
        <v>1589</v>
      </c>
      <c r="D2463" s="9" t="s">
        <v>1590</v>
      </c>
      <c r="E2463" s="9" t="s">
        <v>1591</v>
      </c>
      <c r="F2463" s="9" t="s">
        <v>1589</v>
      </c>
      <c r="G2463" s="9" t="s">
        <v>1606</v>
      </c>
      <c r="H2463" s="9" t="s">
        <v>170</v>
      </c>
      <c r="I2463" s="9" t="s">
        <v>1589</v>
      </c>
      <c r="J2463" s="9" t="s">
        <v>1597</v>
      </c>
      <c r="K2463" s="9">
        <v>1</v>
      </c>
      <c r="L2463" s="9">
        <v>18</v>
      </c>
      <c r="M2463" s="9">
        <v>1995</v>
      </c>
      <c r="O2463" s="9" t="str">
        <f t="shared" si="118"/>
        <v>NO</v>
      </c>
      <c r="P2463" s="9" t="str">
        <f t="shared" si="119"/>
        <v>NO</v>
      </c>
      <c r="Q2463" s="9" t="str">
        <f t="shared" si="120"/>
        <v>Unconditioned</v>
      </c>
    </row>
    <row r="2464" spans="1:17">
      <c r="A2464" s="9">
        <v>24445</v>
      </c>
      <c r="B2464" s="9">
        <v>1</v>
      </c>
      <c r="C2464" s="9" t="s">
        <v>1589</v>
      </c>
      <c r="D2464" s="9" t="s">
        <v>1590</v>
      </c>
      <c r="E2464" s="9" t="s">
        <v>1602</v>
      </c>
      <c r="F2464" s="9" t="s">
        <v>1603</v>
      </c>
      <c r="G2464" s="9" t="s">
        <v>1592</v>
      </c>
      <c r="H2464" s="9" t="s">
        <v>169</v>
      </c>
      <c r="I2464" s="9" t="s">
        <v>3850</v>
      </c>
      <c r="J2464" s="9" t="s">
        <v>1601</v>
      </c>
      <c r="K2464" s="9">
        <v>1</v>
      </c>
      <c r="L2464" s="9">
        <v>26</v>
      </c>
      <c r="M2464" s="9">
        <v>2003</v>
      </c>
      <c r="O2464" s="9" t="str">
        <f t="shared" si="118"/>
        <v>NO</v>
      </c>
      <c r="P2464" s="9" t="str">
        <f t="shared" si="119"/>
        <v>NO</v>
      </c>
      <c r="Q2464" s="9" t="str">
        <f t="shared" si="120"/>
        <v>Conditioned</v>
      </c>
    </row>
    <row r="2465" spans="1:17">
      <c r="A2465" s="9">
        <v>24445</v>
      </c>
      <c r="B2465" s="9">
        <v>2</v>
      </c>
      <c r="C2465" s="9" t="s">
        <v>1589</v>
      </c>
      <c r="D2465" s="9" t="s">
        <v>1590</v>
      </c>
      <c r="E2465" s="9" t="s">
        <v>1591</v>
      </c>
      <c r="F2465" s="9" t="s">
        <v>1589</v>
      </c>
      <c r="G2465" s="9" t="s">
        <v>1592</v>
      </c>
      <c r="H2465" s="9" t="s">
        <v>2393</v>
      </c>
      <c r="I2465" s="9" t="s">
        <v>3851</v>
      </c>
      <c r="J2465" s="9" t="s">
        <v>1587</v>
      </c>
      <c r="L2465" s="9">
        <v>5</v>
      </c>
      <c r="M2465" s="9">
        <v>1990</v>
      </c>
      <c r="O2465" s="9" t="str">
        <f t="shared" si="118"/>
        <v>YES</v>
      </c>
      <c r="P2465" s="9" t="str">
        <f t="shared" si="119"/>
        <v>YES</v>
      </c>
      <c r="Q2465" s="9" t="str">
        <f t="shared" si="120"/>
        <v>Conditioned</v>
      </c>
    </row>
    <row r="2466" spans="1:17">
      <c r="A2466" s="9">
        <v>24451</v>
      </c>
      <c r="B2466" s="9">
        <v>1</v>
      </c>
      <c r="C2466" s="9" t="s">
        <v>1589</v>
      </c>
      <c r="D2466" s="9" t="s">
        <v>1603</v>
      </c>
      <c r="E2466" s="9" t="s">
        <v>1602</v>
      </c>
      <c r="F2466" s="9" t="s">
        <v>1603</v>
      </c>
      <c r="G2466" s="9" t="s">
        <v>1592</v>
      </c>
      <c r="H2466" s="9" t="s">
        <v>1638</v>
      </c>
      <c r="I2466" s="9" t="s">
        <v>3852</v>
      </c>
      <c r="J2466" s="9" t="s">
        <v>1601</v>
      </c>
      <c r="K2466" s="9">
        <v>1</v>
      </c>
      <c r="L2466" s="9">
        <v>18</v>
      </c>
      <c r="M2466" s="9">
        <v>2002</v>
      </c>
      <c r="O2466" s="9" t="str">
        <f t="shared" si="118"/>
        <v>NO</v>
      </c>
      <c r="P2466" s="9" t="str">
        <f t="shared" si="119"/>
        <v>NO</v>
      </c>
      <c r="Q2466" s="9" t="str">
        <f t="shared" si="120"/>
        <v>Conditioned</v>
      </c>
    </row>
    <row r="2467" spans="1:17">
      <c r="A2467" s="9">
        <v>24451</v>
      </c>
      <c r="B2467" s="9">
        <v>2</v>
      </c>
      <c r="C2467" s="9" t="s">
        <v>1589</v>
      </c>
      <c r="D2467" s="9" t="s">
        <v>1603</v>
      </c>
      <c r="E2467" s="9" t="s">
        <v>1613</v>
      </c>
      <c r="F2467" s="9" t="s">
        <v>1603</v>
      </c>
      <c r="G2467" s="9" t="s">
        <v>1606</v>
      </c>
      <c r="H2467" s="9" t="s">
        <v>170</v>
      </c>
      <c r="I2467" s="9" t="s">
        <v>3853</v>
      </c>
      <c r="J2467" s="9" t="s">
        <v>1608</v>
      </c>
      <c r="K2467" s="9">
        <v>1</v>
      </c>
      <c r="L2467" s="9">
        <v>18</v>
      </c>
      <c r="M2467" s="9">
        <v>1995</v>
      </c>
      <c r="O2467" s="9" t="str">
        <f t="shared" si="118"/>
        <v>NO</v>
      </c>
      <c r="P2467" s="9" t="str">
        <f t="shared" si="119"/>
        <v>NO</v>
      </c>
      <c r="Q2467" s="9" t="str">
        <f t="shared" si="120"/>
        <v>Unconditioned</v>
      </c>
    </row>
    <row r="2468" spans="1:17">
      <c r="A2468" s="9">
        <v>24456</v>
      </c>
      <c r="B2468" s="9">
        <v>1</v>
      </c>
      <c r="C2468" s="9" t="s">
        <v>1589</v>
      </c>
      <c r="D2468" s="9" t="s">
        <v>1590</v>
      </c>
      <c r="E2468" s="9" t="s">
        <v>1613</v>
      </c>
      <c r="F2468" s="9" t="s">
        <v>1603</v>
      </c>
      <c r="G2468" s="9" t="s">
        <v>1592</v>
      </c>
      <c r="H2468" s="9" t="s">
        <v>169</v>
      </c>
      <c r="I2468" s="9" t="s">
        <v>3854</v>
      </c>
      <c r="J2468" s="9" t="s">
        <v>1597</v>
      </c>
      <c r="K2468" s="9">
        <v>1</v>
      </c>
      <c r="L2468" s="9">
        <v>26</v>
      </c>
      <c r="M2468" s="9">
        <v>2004</v>
      </c>
      <c r="O2468" s="9" t="str">
        <f t="shared" si="118"/>
        <v>NO</v>
      </c>
      <c r="P2468" s="9" t="str">
        <f t="shared" si="119"/>
        <v>NO</v>
      </c>
      <c r="Q2468" s="9" t="str">
        <f t="shared" si="120"/>
        <v>Conditioned</v>
      </c>
    </row>
    <row r="2469" spans="1:17">
      <c r="A2469" s="9">
        <v>24462</v>
      </c>
      <c r="B2469" s="9">
        <v>1</v>
      </c>
      <c r="C2469" s="9" t="s">
        <v>1589</v>
      </c>
      <c r="D2469" s="9" t="s">
        <v>1590</v>
      </c>
      <c r="E2469" s="9" t="s">
        <v>1591</v>
      </c>
      <c r="F2469" s="9" t="s">
        <v>1589</v>
      </c>
      <c r="G2469" s="9" t="s">
        <v>1592</v>
      </c>
      <c r="H2469" s="9" t="s">
        <v>170</v>
      </c>
      <c r="I2469" s="9" t="s">
        <v>3855</v>
      </c>
      <c r="J2469" s="9" t="s">
        <v>1597</v>
      </c>
      <c r="K2469" s="9">
        <v>1</v>
      </c>
      <c r="L2469" s="9">
        <v>21</v>
      </c>
      <c r="M2469" s="9">
        <v>1994</v>
      </c>
      <c r="O2469" s="9" t="str">
        <f t="shared" si="118"/>
        <v>NO</v>
      </c>
      <c r="P2469" s="9" t="str">
        <f t="shared" si="119"/>
        <v>NO</v>
      </c>
      <c r="Q2469" s="9" t="str">
        <f t="shared" si="120"/>
        <v>Conditioned</v>
      </c>
    </row>
    <row r="2470" spans="1:17">
      <c r="A2470" s="9">
        <v>24467</v>
      </c>
      <c r="B2470" s="9">
        <v>1</v>
      </c>
      <c r="C2470" s="9" t="s">
        <v>1589</v>
      </c>
      <c r="D2470" s="9" t="s">
        <v>1590</v>
      </c>
      <c r="E2470" s="9" t="s">
        <v>1602</v>
      </c>
      <c r="F2470" s="9" t="s">
        <v>1603</v>
      </c>
      <c r="G2470" s="9" t="s">
        <v>1592</v>
      </c>
      <c r="H2470" s="9" t="s">
        <v>177</v>
      </c>
      <c r="I2470" s="9" t="s">
        <v>3856</v>
      </c>
      <c r="J2470" s="9" t="s">
        <v>1601</v>
      </c>
      <c r="K2470" s="9">
        <v>1</v>
      </c>
      <c r="L2470" s="9">
        <v>26</v>
      </c>
      <c r="M2470" s="9">
        <v>2005</v>
      </c>
      <c r="O2470" s="9" t="str">
        <f t="shared" si="118"/>
        <v>NO</v>
      </c>
      <c r="P2470" s="9" t="str">
        <f t="shared" si="119"/>
        <v>NO</v>
      </c>
      <c r="Q2470" s="9" t="str">
        <f t="shared" si="120"/>
        <v>Conditioned</v>
      </c>
    </row>
    <row r="2471" spans="1:17">
      <c r="A2471" s="9">
        <v>24479</v>
      </c>
      <c r="B2471" s="9">
        <v>1</v>
      </c>
      <c r="C2471" s="9" t="s">
        <v>1589</v>
      </c>
      <c r="D2471" s="9" t="s">
        <v>1590</v>
      </c>
      <c r="E2471" s="9" t="s">
        <v>1591</v>
      </c>
      <c r="F2471" s="9" t="s">
        <v>1589</v>
      </c>
      <c r="G2471" s="9" t="s">
        <v>1592</v>
      </c>
      <c r="H2471" s="9" t="s">
        <v>1871</v>
      </c>
      <c r="I2471" s="9" t="s">
        <v>3857</v>
      </c>
      <c r="J2471" s="9" t="s">
        <v>1597</v>
      </c>
      <c r="K2471" s="9">
        <v>1</v>
      </c>
      <c r="L2471" s="9">
        <v>20</v>
      </c>
      <c r="M2471" s="9">
        <v>1994</v>
      </c>
      <c r="O2471" s="9" t="str">
        <f t="shared" si="118"/>
        <v>NO</v>
      </c>
      <c r="P2471" s="9" t="str">
        <f t="shared" si="119"/>
        <v>NO</v>
      </c>
      <c r="Q2471" s="9" t="str">
        <f t="shared" si="120"/>
        <v>Conditioned</v>
      </c>
    </row>
    <row r="2472" spans="1:17">
      <c r="A2472" s="9">
        <v>24488</v>
      </c>
      <c r="B2472" s="9">
        <v>1</v>
      </c>
      <c r="C2472" s="9" t="s">
        <v>1589</v>
      </c>
      <c r="D2472" s="9" t="s">
        <v>1590</v>
      </c>
      <c r="E2472" s="9" t="s">
        <v>1591</v>
      </c>
      <c r="F2472" s="9" t="s">
        <v>1589</v>
      </c>
      <c r="G2472" s="9" t="s">
        <v>1606</v>
      </c>
      <c r="H2472" s="9" t="s">
        <v>1638</v>
      </c>
      <c r="I2472" s="9" t="s">
        <v>3858</v>
      </c>
      <c r="J2472" s="9" t="s">
        <v>1605</v>
      </c>
      <c r="K2472" s="9">
        <v>1</v>
      </c>
      <c r="L2472" s="9">
        <v>20</v>
      </c>
      <c r="M2472" s="9">
        <v>1992</v>
      </c>
      <c r="O2472" s="9" t="str">
        <f t="shared" si="118"/>
        <v>NO</v>
      </c>
      <c r="P2472" s="9" t="str">
        <f t="shared" si="119"/>
        <v>YES</v>
      </c>
      <c r="Q2472" s="9" t="str">
        <f t="shared" si="120"/>
        <v>Unconditioned</v>
      </c>
    </row>
    <row r="2473" spans="1:17">
      <c r="A2473" s="9">
        <v>24488</v>
      </c>
      <c r="B2473" s="9">
        <v>2</v>
      </c>
      <c r="C2473" s="9" t="s">
        <v>1589</v>
      </c>
      <c r="D2473" s="9" t="s">
        <v>1590</v>
      </c>
      <c r="E2473" s="9" t="s">
        <v>1602</v>
      </c>
      <c r="F2473" s="9" t="s">
        <v>1603</v>
      </c>
      <c r="G2473" s="9" t="s">
        <v>1592</v>
      </c>
      <c r="H2473" s="9" t="s">
        <v>170</v>
      </c>
      <c r="I2473" s="9" t="s">
        <v>3859</v>
      </c>
      <c r="J2473" s="9" t="s">
        <v>1601</v>
      </c>
      <c r="K2473" s="9">
        <v>1</v>
      </c>
      <c r="L2473" s="9">
        <v>18</v>
      </c>
      <c r="M2473" s="9">
        <v>2006</v>
      </c>
      <c r="O2473" s="9" t="str">
        <f t="shared" si="118"/>
        <v>NO</v>
      </c>
      <c r="P2473" s="9" t="str">
        <f t="shared" si="119"/>
        <v>NO</v>
      </c>
      <c r="Q2473" s="9" t="str">
        <f t="shared" si="120"/>
        <v>Conditioned</v>
      </c>
    </row>
    <row r="2474" spans="1:17">
      <c r="A2474" s="9">
        <v>24488</v>
      </c>
      <c r="B2474" s="9">
        <v>3</v>
      </c>
      <c r="C2474" s="9" t="s">
        <v>1589</v>
      </c>
      <c r="D2474" s="9" t="s">
        <v>1590</v>
      </c>
      <c r="E2474" s="9" t="s">
        <v>1591</v>
      </c>
      <c r="F2474" s="9" t="s">
        <v>1589</v>
      </c>
      <c r="G2474" s="9" t="s">
        <v>1592</v>
      </c>
      <c r="H2474" s="9" t="s">
        <v>1638</v>
      </c>
      <c r="I2474" s="9" t="s">
        <v>3860</v>
      </c>
      <c r="J2474" s="9" t="s">
        <v>1605</v>
      </c>
      <c r="K2474" s="9">
        <v>1</v>
      </c>
      <c r="L2474" s="9">
        <v>20</v>
      </c>
      <c r="M2474" s="9">
        <v>2008</v>
      </c>
      <c r="O2474" s="9" t="str">
        <f t="shared" si="118"/>
        <v>NO</v>
      </c>
      <c r="P2474" s="9" t="str">
        <f t="shared" si="119"/>
        <v>YES</v>
      </c>
      <c r="Q2474" s="9" t="str">
        <f t="shared" si="120"/>
        <v>Conditioned</v>
      </c>
    </row>
    <row r="2475" spans="1:17">
      <c r="A2475" s="9">
        <v>24495</v>
      </c>
      <c r="B2475" s="9">
        <v>1</v>
      </c>
      <c r="C2475" s="9" t="s">
        <v>1589</v>
      </c>
      <c r="D2475" s="9" t="s">
        <v>1590</v>
      </c>
      <c r="E2475" s="9" t="s">
        <v>1591</v>
      </c>
      <c r="F2475" s="9" t="s">
        <v>1589</v>
      </c>
      <c r="G2475" s="9" t="s">
        <v>1592</v>
      </c>
      <c r="H2475" s="9" t="s">
        <v>1754</v>
      </c>
      <c r="I2475" s="9" t="s">
        <v>3861</v>
      </c>
      <c r="J2475" s="9" t="s">
        <v>1587</v>
      </c>
      <c r="K2475" s="9">
        <v>1</v>
      </c>
      <c r="L2475" s="9">
        <v>7</v>
      </c>
      <c r="M2475" s="9">
        <v>1999</v>
      </c>
      <c r="O2475" s="9" t="str">
        <f t="shared" si="118"/>
        <v>YES</v>
      </c>
      <c r="P2475" s="9" t="str">
        <f t="shared" si="119"/>
        <v>YES</v>
      </c>
      <c r="Q2475" s="9" t="str">
        <f t="shared" si="120"/>
        <v>Conditioned</v>
      </c>
    </row>
    <row r="2476" spans="1:17">
      <c r="A2476" s="9">
        <v>24495</v>
      </c>
      <c r="B2476" s="9">
        <v>2</v>
      </c>
      <c r="C2476" s="9" t="s">
        <v>1589</v>
      </c>
      <c r="D2476" s="9" t="s">
        <v>1590</v>
      </c>
      <c r="E2476" s="9" t="s">
        <v>1613</v>
      </c>
      <c r="F2476" s="9" t="s">
        <v>1603</v>
      </c>
      <c r="G2476" s="9" t="s">
        <v>1592</v>
      </c>
      <c r="H2476" s="9" t="s">
        <v>170</v>
      </c>
      <c r="I2476" s="9" t="s">
        <v>3862</v>
      </c>
      <c r="J2476" s="9" t="s">
        <v>1597</v>
      </c>
      <c r="K2476" s="9">
        <v>1</v>
      </c>
      <c r="L2476" s="9">
        <v>20</v>
      </c>
      <c r="M2476" s="9">
        <v>1987</v>
      </c>
      <c r="O2476" s="9" t="str">
        <f t="shared" si="118"/>
        <v>NO</v>
      </c>
      <c r="P2476" s="9" t="str">
        <f t="shared" si="119"/>
        <v>NO</v>
      </c>
      <c r="Q2476" s="9" t="str">
        <f t="shared" si="120"/>
        <v>Conditioned</v>
      </c>
    </row>
    <row r="2477" spans="1:17">
      <c r="A2477" s="9">
        <v>24495</v>
      </c>
      <c r="B2477" s="9">
        <v>3</v>
      </c>
      <c r="C2477" s="9" t="s">
        <v>2007</v>
      </c>
      <c r="D2477" s="9" t="s">
        <v>1590</v>
      </c>
      <c r="E2477" s="9" t="s">
        <v>1591</v>
      </c>
      <c r="F2477" s="9" t="s">
        <v>1589</v>
      </c>
      <c r="G2477" s="9" t="s">
        <v>1606</v>
      </c>
      <c r="H2477" s="9" t="s">
        <v>1589</v>
      </c>
      <c r="I2477" s="9" t="s">
        <v>1589</v>
      </c>
      <c r="J2477" s="9" t="s">
        <v>1597</v>
      </c>
      <c r="K2477" s="9">
        <v>1</v>
      </c>
      <c r="L2477" s="9">
        <v>18</v>
      </c>
      <c r="O2477" s="9" t="str">
        <f t="shared" si="118"/>
        <v>NO</v>
      </c>
      <c r="P2477" s="9" t="str">
        <f t="shared" si="119"/>
        <v>NO</v>
      </c>
      <c r="Q2477" s="9" t="str">
        <f t="shared" si="120"/>
        <v>Unconditioned</v>
      </c>
    </row>
    <row r="2478" spans="1:17">
      <c r="A2478" s="9">
        <v>24499</v>
      </c>
      <c r="B2478" s="9">
        <v>1</v>
      </c>
      <c r="C2478" s="9" t="s">
        <v>1589</v>
      </c>
      <c r="D2478" s="9" t="s">
        <v>1590</v>
      </c>
      <c r="E2478" s="9" t="s">
        <v>1591</v>
      </c>
      <c r="F2478" s="9" t="s">
        <v>1589</v>
      </c>
      <c r="G2478" s="9" t="s">
        <v>1592</v>
      </c>
      <c r="H2478" s="9" t="s">
        <v>170</v>
      </c>
      <c r="I2478" s="9" t="s">
        <v>1589</v>
      </c>
      <c r="J2478" s="9" t="s">
        <v>1608</v>
      </c>
      <c r="K2478" s="9">
        <v>1</v>
      </c>
      <c r="L2478" s="9">
        <v>19</v>
      </c>
      <c r="M2478" s="9">
        <v>1990</v>
      </c>
      <c r="O2478" s="9" t="str">
        <f t="shared" si="118"/>
        <v>NO</v>
      </c>
      <c r="P2478" s="9" t="str">
        <f t="shared" si="119"/>
        <v>NO</v>
      </c>
      <c r="Q2478" s="9" t="str">
        <f t="shared" si="120"/>
        <v>Conditioned</v>
      </c>
    </row>
    <row r="2479" spans="1:17">
      <c r="A2479" s="9">
        <v>24500</v>
      </c>
      <c r="B2479" s="9">
        <v>1</v>
      </c>
      <c r="C2479" s="9" t="s">
        <v>1589</v>
      </c>
      <c r="D2479" s="9" t="s">
        <v>1590</v>
      </c>
      <c r="E2479" s="9" t="s">
        <v>1591</v>
      </c>
      <c r="F2479" s="9" t="s">
        <v>1589</v>
      </c>
      <c r="G2479" s="9" t="s">
        <v>1592</v>
      </c>
      <c r="H2479" s="9" t="s">
        <v>172</v>
      </c>
      <c r="I2479" s="9" t="s">
        <v>3863</v>
      </c>
      <c r="J2479" s="9" t="s">
        <v>1597</v>
      </c>
      <c r="K2479" s="9">
        <v>1</v>
      </c>
      <c r="L2479" s="9">
        <v>20</v>
      </c>
      <c r="M2479" s="9">
        <v>1992</v>
      </c>
      <c r="O2479" s="9" t="str">
        <f t="shared" si="118"/>
        <v>NO</v>
      </c>
      <c r="P2479" s="9" t="str">
        <f t="shared" si="119"/>
        <v>NO</v>
      </c>
      <c r="Q2479" s="9" t="str">
        <f t="shared" si="120"/>
        <v>Conditioned</v>
      </c>
    </row>
    <row r="2480" spans="1:17">
      <c r="A2480" s="9">
        <v>24510</v>
      </c>
      <c r="B2480" s="9">
        <v>1</v>
      </c>
      <c r="C2480" s="9" t="s">
        <v>1589</v>
      </c>
      <c r="D2480" s="9" t="s">
        <v>1590</v>
      </c>
      <c r="E2480" s="9" t="s">
        <v>1602</v>
      </c>
      <c r="F2480" s="9" t="s">
        <v>1590</v>
      </c>
      <c r="G2480" s="9" t="s">
        <v>1592</v>
      </c>
      <c r="H2480" s="9" t="s">
        <v>177</v>
      </c>
      <c r="I2480" s="9" t="s">
        <v>3864</v>
      </c>
      <c r="J2480" s="9" t="s">
        <v>1601</v>
      </c>
      <c r="K2480" s="9">
        <v>1</v>
      </c>
      <c r="L2480" s="9">
        <v>25</v>
      </c>
      <c r="M2480" s="9">
        <v>2004</v>
      </c>
      <c r="O2480" s="9" t="str">
        <f t="shared" si="118"/>
        <v>NO</v>
      </c>
      <c r="P2480" s="9" t="str">
        <f t="shared" si="119"/>
        <v>NO</v>
      </c>
      <c r="Q2480" s="9" t="str">
        <f t="shared" si="120"/>
        <v>Conditioned</v>
      </c>
    </row>
    <row r="2481" spans="1:17">
      <c r="A2481" s="9">
        <v>24510</v>
      </c>
      <c r="B2481" s="9">
        <v>2</v>
      </c>
      <c r="C2481" s="9" t="s">
        <v>1589</v>
      </c>
      <c r="D2481" s="9" t="s">
        <v>1590</v>
      </c>
      <c r="E2481" s="9" t="s">
        <v>1591</v>
      </c>
      <c r="F2481" s="9" t="s">
        <v>1589</v>
      </c>
      <c r="G2481" s="9" t="s">
        <v>1592</v>
      </c>
      <c r="H2481" s="9" t="s">
        <v>177</v>
      </c>
      <c r="I2481" s="9" t="s">
        <v>3865</v>
      </c>
      <c r="J2481" s="9" t="s">
        <v>1605</v>
      </c>
      <c r="K2481" s="9">
        <v>1</v>
      </c>
      <c r="L2481" s="9">
        <v>21</v>
      </c>
      <c r="M2481" s="9">
        <v>1992</v>
      </c>
      <c r="O2481" s="9" t="str">
        <f t="shared" si="118"/>
        <v>NO</v>
      </c>
      <c r="P2481" s="9" t="str">
        <f t="shared" si="119"/>
        <v>YES</v>
      </c>
      <c r="Q2481" s="9" t="str">
        <f t="shared" si="120"/>
        <v>Conditioned</v>
      </c>
    </row>
    <row r="2482" spans="1:17">
      <c r="A2482" s="9">
        <v>24510</v>
      </c>
      <c r="B2482" s="9">
        <v>3</v>
      </c>
      <c r="C2482" s="9" t="s">
        <v>1589</v>
      </c>
      <c r="D2482" s="9" t="s">
        <v>1590</v>
      </c>
      <c r="E2482" s="9" t="s">
        <v>1602</v>
      </c>
      <c r="F2482" s="9" t="s">
        <v>1590</v>
      </c>
      <c r="G2482" s="9" t="s">
        <v>1592</v>
      </c>
      <c r="H2482" s="9" t="s">
        <v>177</v>
      </c>
      <c r="I2482" s="9" t="s">
        <v>3866</v>
      </c>
      <c r="J2482" s="9" t="s">
        <v>1601</v>
      </c>
      <c r="K2482" s="9">
        <v>1</v>
      </c>
      <c r="L2482" s="9">
        <v>25</v>
      </c>
      <c r="M2482" s="9">
        <v>1997</v>
      </c>
      <c r="O2482" s="9" t="str">
        <f t="shared" si="118"/>
        <v>NO</v>
      </c>
      <c r="P2482" s="9" t="str">
        <f t="shared" si="119"/>
        <v>NO</v>
      </c>
      <c r="Q2482" s="9" t="str">
        <f t="shared" si="120"/>
        <v>Conditioned</v>
      </c>
    </row>
    <row r="2483" spans="1:17">
      <c r="A2483" s="9">
        <v>24510</v>
      </c>
      <c r="B2483" s="9">
        <v>4</v>
      </c>
      <c r="C2483" s="9" t="s">
        <v>1589</v>
      </c>
      <c r="D2483" s="9" t="s">
        <v>1590</v>
      </c>
      <c r="E2483" s="9" t="s">
        <v>1591</v>
      </c>
      <c r="F2483" s="9" t="s">
        <v>1589</v>
      </c>
      <c r="G2483" s="9" t="s">
        <v>1592</v>
      </c>
      <c r="H2483" s="9" t="s">
        <v>1638</v>
      </c>
      <c r="I2483" s="9" t="s">
        <v>3867</v>
      </c>
      <c r="J2483" s="9" t="s">
        <v>1605</v>
      </c>
      <c r="K2483" s="9">
        <v>1</v>
      </c>
      <c r="L2483" s="9">
        <v>19</v>
      </c>
      <c r="M2483" s="9">
        <v>1967</v>
      </c>
      <c r="O2483" s="9" t="str">
        <f t="shared" si="118"/>
        <v>NO</v>
      </c>
      <c r="P2483" s="9" t="str">
        <f t="shared" si="119"/>
        <v>YES</v>
      </c>
      <c r="Q2483" s="9" t="str">
        <f t="shared" si="120"/>
        <v>Conditioned</v>
      </c>
    </row>
    <row r="2484" spans="1:17">
      <c r="A2484" s="9">
        <v>24510</v>
      </c>
      <c r="B2484" s="9">
        <v>5</v>
      </c>
      <c r="C2484" s="9" t="s">
        <v>1589</v>
      </c>
      <c r="D2484" s="9" t="s">
        <v>1590</v>
      </c>
      <c r="E2484" s="9" t="s">
        <v>1591</v>
      </c>
      <c r="F2484" s="9" t="s">
        <v>1589</v>
      </c>
      <c r="G2484" s="9" t="s">
        <v>1606</v>
      </c>
      <c r="H2484" s="9" t="s">
        <v>1624</v>
      </c>
      <c r="I2484" s="9" t="s">
        <v>3868</v>
      </c>
      <c r="J2484" s="9" t="s">
        <v>1587</v>
      </c>
      <c r="K2484" s="9">
        <v>1</v>
      </c>
      <c r="L2484" s="9">
        <v>22</v>
      </c>
      <c r="M2484" s="9">
        <v>1989</v>
      </c>
      <c r="O2484" s="9" t="str">
        <f t="shared" si="118"/>
        <v>NO</v>
      </c>
      <c r="P2484" s="9" t="str">
        <f t="shared" si="119"/>
        <v>YES</v>
      </c>
      <c r="Q2484" s="9" t="str">
        <f t="shared" si="120"/>
        <v>Unconditioned</v>
      </c>
    </row>
    <row r="2485" spans="1:17">
      <c r="A2485" s="9">
        <v>24510</v>
      </c>
      <c r="B2485" s="9">
        <v>6</v>
      </c>
      <c r="C2485" s="9" t="s">
        <v>1589</v>
      </c>
      <c r="D2485" s="9" t="s">
        <v>1603</v>
      </c>
      <c r="E2485" s="9" t="s">
        <v>1591</v>
      </c>
      <c r="F2485" s="9" t="s">
        <v>1589</v>
      </c>
      <c r="G2485" s="9" t="s">
        <v>1606</v>
      </c>
      <c r="H2485" s="9" t="s">
        <v>169</v>
      </c>
      <c r="I2485" s="9" t="s">
        <v>3456</v>
      </c>
      <c r="J2485" s="9" t="s">
        <v>1587</v>
      </c>
      <c r="K2485" s="9">
        <v>1</v>
      </c>
      <c r="L2485" s="9">
        <v>21</v>
      </c>
      <c r="M2485" s="9">
        <v>2011</v>
      </c>
      <c r="O2485" s="9" t="str">
        <f t="shared" si="118"/>
        <v>NO</v>
      </c>
      <c r="P2485" s="9" t="str">
        <f t="shared" si="119"/>
        <v>YES</v>
      </c>
      <c r="Q2485" s="9" t="str">
        <f t="shared" si="120"/>
        <v>Unconditioned</v>
      </c>
    </row>
    <row r="2486" spans="1:17">
      <c r="A2486" s="9">
        <v>24510</v>
      </c>
      <c r="B2486" s="9">
        <v>7</v>
      </c>
      <c r="C2486" s="9" t="s">
        <v>1589</v>
      </c>
      <c r="D2486" s="9" t="s">
        <v>1590</v>
      </c>
      <c r="E2486" s="9" t="s">
        <v>1591</v>
      </c>
      <c r="F2486" s="9" t="s">
        <v>1589</v>
      </c>
      <c r="G2486" s="9" t="s">
        <v>1606</v>
      </c>
      <c r="H2486" s="9" t="s">
        <v>169</v>
      </c>
      <c r="I2486" s="9" t="s">
        <v>3869</v>
      </c>
      <c r="J2486" s="9" t="s">
        <v>1587</v>
      </c>
      <c r="K2486" s="9">
        <v>1</v>
      </c>
      <c r="L2486" s="9">
        <v>15</v>
      </c>
      <c r="M2486" s="9">
        <v>2008</v>
      </c>
      <c r="O2486" s="9" t="str">
        <f t="shared" si="118"/>
        <v>NO</v>
      </c>
      <c r="P2486" s="9" t="str">
        <f t="shared" si="119"/>
        <v>YES</v>
      </c>
      <c r="Q2486" s="9" t="str">
        <f t="shared" si="120"/>
        <v>Unconditioned</v>
      </c>
    </row>
    <row r="2487" spans="1:17">
      <c r="A2487" s="9">
        <v>24510</v>
      </c>
      <c r="B2487" s="9">
        <v>8</v>
      </c>
      <c r="C2487" s="9" t="s">
        <v>1589</v>
      </c>
      <c r="D2487" s="9" t="s">
        <v>1590</v>
      </c>
      <c r="E2487" s="9" t="s">
        <v>1591</v>
      </c>
      <c r="F2487" s="9" t="s">
        <v>1589</v>
      </c>
      <c r="G2487" s="9" t="s">
        <v>1606</v>
      </c>
      <c r="H2487" s="9" t="s">
        <v>1599</v>
      </c>
      <c r="I2487" s="9" t="s">
        <v>3870</v>
      </c>
      <c r="J2487" s="9" t="s">
        <v>1597</v>
      </c>
      <c r="K2487" s="9">
        <v>1</v>
      </c>
      <c r="L2487" s="9">
        <v>25</v>
      </c>
      <c r="M2487" s="9">
        <v>1993</v>
      </c>
      <c r="O2487" s="9" t="str">
        <f t="shared" si="118"/>
        <v>NO</v>
      </c>
      <c r="P2487" s="9" t="str">
        <f t="shared" si="119"/>
        <v>NO</v>
      </c>
      <c r="Q2487" s="9" t="str">
        <f t="shared" si="120"/>
        <v>Unconditioned</v>
      </c>
    </row>
    <row r="2488" spans="1:17">
      <c r="A2488" s="9">
        <v>24521</v>
      </c>
      <c r="B2488" s="9">
        <v>1</v>
      </c>
      <c r="C2488" s="9" t="s">
        <v>1589</v>
      </c>
      <c r="D2488" s="9" t="s">
        <v>1590</v>
      </c>
      <c r="E2488" s="9" t="s">
        <v>1591</v>
      </c>
      <c r="F2488" s="9" t="s">
        <v>1589</v>
      </c>
      <c r="G2488" s="9" t="s">
        <v>1592</v>
      </c>
      <c r="H2488" s="9" t="s">
        <v>177</v>
      </c>
      <c r="I2488" s="9" t="s">
        <v>3871</v>
      </c>
      <c r="J2488" s="9" t="s">
        <v>1608</v>
      </c>
      <c r="K2488" s="9">
        <v>1</v>
      </c>
      <c r="L2488" s="9">
        <v>26</v>
      </c>
      <c r="M2488" s="9">
        <v>1998</v>
      </c>
      <c r="O2488" s="9" t="str">
        <f t="shared" si="118"/>
        <v>NO</v>
      </c>
      <c r="P2488" s="9" t="str">
        <f t="shared" si="119"/>
        <v>NO</v>
      </c>
      <c r="Q2488" s="9" t="str">
        <f t="shared" si="120"/>
        <v>Conditioned</v>
      </c>
    </row>
    <row r="2489" spans="1:17">
      <c r="A2489" s="9">
        <v>24522</v>
      </c>
      <c r="B2489" s="9">
        <v>1</v>
      </c>
      <c r="C2489" s="9" t="s">
        <v>1589</v>
      </c>
      <c r="D2489" s="9" t="s">
        <v>1590</v>
      </c>
      <c r="E2489" s="9" t="s">
        <v>1602</v>
      </c>
      <c r="F2489" s="9" t="s">
        <v>1603</v>
      </c>
      <c r="G2489" s="9" t="s">
        <v>1592</v>
      </c>
      <c r="H2489" s="9" t="s">
        <v>177</v>
      </c>
      <c r="I2489" s="9" t="s">
        <v>3872</v>
      </c>
      <c r="J2489" s="9" t="s">
        <v>1601</v>
      </c>
      <c r="K2489" s="9">
        <v>1</v>
      </c>
      <c r="L2489" s="9">
        <v>22</v>
      </c>
      <c r="M2489" s="9">
        <v>1994</v>
      </c>
      <c r="O2489" s="9" t="str">
        <f t="shared" si="118"/>
        <v>NO</v>
      </c>
      <c r="P2489" s="9" t="str">
        <f t="shared" si="119"/>
        <v>NO</v>
      </c>
      <c r="Q2489" s="9" t="str">
        <f t="shared" si="120"/>
        <v>Conditioned</v>
      </c>
    </row>
    <row r="2490" spans="1:17">
      <c r="A2490" s="9">
        <v>24522</v>
      </c>
      <c r="B2490" s="9">
        <v>2</v>
      </c>
      <c r="C2490" s="9" t="s">
        <v>1589</v>
      </c>
      <c r="D2490" s="9" t="s">
        <v>1590</v>
      </c>
      <c r="E2490" s="9" t="s">
        <v>1591</v>
      </c>
      <c r="F2490" s="9" t="s">
        <v>1589</v>
      </c>
      <c r="G2490" s="9" t="s">
        <v>1592</v>
      </c>
      <c r="H2490" s="9" t="s">
        <v>1638</v>
      </c>
      <c r="I2490" s="9" t="s">
        <v>3873</v>
      </c>
      <c r="J2490" s="9" t="s">
        <v>1605</v>
      </c>
      <c r="K2490" s="9">
        <v>1</v>
      </c>
      <c r="L2490" s="9">
        <v>21</v>
      </c>
      <c r="M2490" s="9">
        <v>2000</v>
      </c>
      <c r="O2490" s="9" t="str">
        <f t="shared" si="118"/>
        <v>NO</v>
      </c>
      <c r="P2490" s="9" t="str">
        <f t="shared" si="119"/>
        <v>YES</v>
      </c>
      <c r="Q2490" s="9" t="str">
        <f t="shared" si="120"/>
        <v>Conditioned</v>
      </c>
    </row>
    <row r="2491" spans="1:17">
      <c r="A2491" s="9">
        <v>24524</v>
      </c>
      <c r="B2491" s="9">
        <v>1</v>
      </c>
      <c r="C2491" s="9" t="s">
        <v>3874</v>
      </c>
      <c r="D2491" s="9" t="s">
        <v>1590</v>
      </c>
      <c r="E2491" s="9" t="s">
        <v>1591</v>
      </c>
      <c r="F2491" s="9" t="s">
        <v>1589</v>
      </c>
      <c r="G2491" s="9" t="s">
        <v>1592</v>
      </c>
      <c r="H2491" s="9" t="s">
        <v>3875</v>
      </c>
      <c r="I2491" s="9" t="s">
        <v>3876</v>
      </c>
      <c r="J2491" s="9" t="s">
        <v>1587</v>
      </c>
      <c r="K2491" s="9">
        <v>1</v>
      </c>
      <c r="L2491" s="9">
        <v>12</v>
      </c>
      <c r="O2491" s="9" t="str">
        <f t="shared" si="118"/>
        <v>NO</v>
      </c>
      <c r="P2491" s="9" t="str">
        <f t="shared" si="119"/>
        <v>YES</v>
      </c>
      <c r="Q2491" s="9" t="str">
        <f t="shared" si="120"/>
        <v>Conditioned</v>
      </c>
    </row>
    <row r="2492" spans="1:17">
      <c r="A2492" s="9">
        <v>24533</v>
      </c>
      <c r="B2492" s="9">
        <v>1</v>
      </c>
      <c r="C2492" s="9" t="s">
        <v>1589</v>
      </c>
      <c r="D2492" s="9" t="s">
        <v>1590</v>
      </c>
      <c r="E2492" s="9" t="s">
        <v>1591</v>
      </c>
      <c r="F2492" s="9" t="s">
        <v>1589</v>
      </c>
      <c r="G2492" s="9" t="s">
        <v>1592</v>
      </c>
      <c r="H2492" s="9" t="s">
        <v>170</v>
      </c>
      <c r="I2492" s="9" t="s">
        <v>3877</v>
      </c>
      <c r="J2492" s="9" t="s">
        <v>1597</v>
      </c>
      <c r="K2492" s="9">
        <v>1</v>
      </c>
      <c r="L2492" s="9">
        <v>18</v>
      </c>
      <c r="M2492" s="9">
        <v>1998</v>
      </c>
      <c r="O2492" s="9" t="str">
        <f t="shared" si="118"/>
        <v>NO</v>
      </c>
      <c r="P2492" s="9" t="str">
        <f t="shared" si="119"/>
        <v>NO</v>
      </c>
      <c r="Q2492" s="9" t="str">
        <f t="shared" si="120"/>
        <v>Conditioned</v>
      </c>
    </row>
    <row r="2493" spans="1:17">
      <c r="A2493" s="9">
        <v>24533</v>
      </c>
      <c r="B2493" s="9">
        <v>2</v>
      </c>
      <c r="C2493" s="9" t="s">
        <v>1589</v>
      </c>
      <c r="D2493" s="9" t="s">
        <v>1590</v>
      </c>
      <c r="E2493" s="9" t="s">
        <v>1591</v>
      </c>
      <c r="F2493" s="9" t="s">
        <v>1589</v>
      </c>
      <c r="G2493" s="9" t="s">
        <v>1592</v>
      </c>
      <c r="H2493" s="9" t="s">
        <v>170</v>
      </c>
      <c r="I2493" s="9" t="s">
        <v>3878</v>
      </c>
      <c r="J2493" s="9" t="s">
        <v>1605</v>
      </c>
      <c r="K2493" s="9">
        <v>1</v>
      </c>
      <c r="L2493" s="9">
        <v>14</v>
      </c>
      <c r="M2493" s="9">
        <v>2003</v>
      </c>
      <c r="O2493" s="9" t="str">
        <f t="shared" si="118"/>
        <v>NO</v>
      </c>
      <c r="P2493" s="9" t="str">
        <f t="shared" si="119"/>
        <v>YES</v>
      </c>
      <c r="Q2493" s="9" t="str">
        <f t="shared" si="120"/>
        <v>Conditioned</v>
      </c>
    </row>
    <row r="2494" spans="1:17">
      <c r="A2494" s="9">
        <v>24533</v>
      </c>
      <c r="B2494" s="9">
        <v>3</v>
      </c>
      <c r="C2494" s="9" t="s">
        <v>1589</v>
      </c>
      <c r="D2494" s="9" t="s">
        <v>1590</v>
      </c>
      <c r="E2494" s="9" t="s">
        <v>1591</v>
      </c>
      <c r="F2494" s="9" t="s">
        <v>1589</v>
      </c>
      <c r="G2494" s="9" t="s">
        <v>1589</v>
      </c>
      <c r="H2494" s="9" t="s">
        <v>170</v>
      </c>
      <c r="I2494" s="9" t="s">
        <v>3878</v>
      </c>
      <c r="J2494" s="9" t="s">
        <v>1605</v>
      </c>
      <c r="K2494" s="9">
        <v>1</v>
      </c>
      <c r="L2494" s="9">
        <v>14</v>
      </c>
      <c r="M2494" s="9">
        <v>2003</v>
      </c>
      <c r="O2494" s="9" t="str">
        <f t="shared" si="118"/>
        <v>NO</v>
      </c>
      <c r="P2494" s="9" t="str">
        <f t="shared" si="119"/>
        <v>YES</v>
      </c>
      <c r="Q2494" s="9" t="str">
        <f t="shared" si="120"/>
        <v/>
      </c>
    </row>
    <row r="2495" spans="1:17">
      <c r="A2495" s="9">
        <v>24536</v>
      </c>
      <c r="B2495" s="9">
        <v>1</v>
      </c>
      <c r="C2495" s="9" t="s">
        <v>1589</v>
      </c>
      <c r="D2495" s="9" t="s">
        <v>1590</v>
      </c>
      <c r="E2495" s="9" t="s">
        <v>1591</v>
      </c>
      <c r="F2495" s="9" t="s">
        <v>1589</v>
      </c>
      <c r="G2495" s="9" t="s">
        <v>1592</v>
      </c>
      <c r="H2495" s="9" t="s">
        <v>177</v>
      </c>
      <c r="I2495" s="9" t="s">
        <v>3879</v>
      </c>
      <c r="J2495" s="9" t="s">
        <v>1597</v>
      </c>
      <c r="K2495" s="9">
        <v>1</v>
      </c>
      <c r="L2495" s="9">
        <v>18</v>
      </c>
      <c r="M2495" s="9">
        <v>1993</v>
      </c>
      <c r="O2495" s="9" t="str">
        <f t="shared" si="118"/>
        <v>NO</v>
      </c>
      <c r="P2495" s="9" t="str">
        <f t="shared" si="119"/>
        <v>NO</v>
      </c>
      <c r="Q2495" s="9" t="str">
        <f t="shared" si="120"/>
        <v>Conditioned</v>
      </c>
    </row>
    <row r="2496" spans="1:17">
      <c r="A2496" s="9">
        <v>24540</v>
      </c>
      <c r="B2496" s="9">
        <v>1</v>
      </c>
      <c r="C2496" s="9" t="s">
        <v>1589</v>
      </c>
      <c r="D2496" s="9" t="s">
        <v>1590</v>
      </c>
      <c r="E2496" s="9" t="s">
        <v>1591</v>
      </c>
      <c r="F2496" s="9" t="s">
        <v>1589</v>
      </c>
      <c r="G2496" s="9" t="s">
        <v>1592</v>
      </c>
      <c r="H2496" s="9" t="s">
        <v>170</v>
      </c>
      <c r="I2496" s="9" t="s">
        <v>3880</v>
      </c>
      <c r="J2496" s="9" t="s">
        <v>1608</v>
      </c>
      <c r="K2496" s="9">
        <v>1</v>
      </c>
      <c r="L2496" s="9">
        <v>18</v>
      </c>
      <c r="M2496" s="9">
        <v>2010</v>
      </c>
      <c r="O2496" s="9" t="str">
        <f t="shared" si="118"/>
        <v>NO</v>
      </c>
      <c r="P2496" s="9" t="str">
        <f t="shared" si="119"/>
        <v>NO</v>
      </c>
      <c r="Q2496" s="9" t="str">
        <f t="shared" si="120"/>
        <v>Conditioned</v>
      </c>
    </row>
    <row r="2497" spans="1:17">
      <c r="A2497" s="9">
        <v>24540</v>
      </c>
      <c r="B2497" s="9">
        <v>2</v>
      </c>
      <c r="C2497" s="9" t="s">
        <v>1589</v>
      </c>
      <c r="D2497" s="9" t="s">
        <v>1590</v>
      </c>
      <c r="E2497" s="9" t="s">
        <v>1591</v>
      </c>
      <c r="F2497" s="9" t="s">
        <v>1589</v>
      </c>
      <c r="G2497" s="9" t="s">
        <v>1592</v>
      </c>
      <c r="H2497" s="9" t="s">
        <v>181</v>
      </c>
      <c r="I2497" s="9" t="s">
        <v>1589</v>
      </c>
      <c r="J2497" s="9" t="s">
        <v>1587</v>
      </c>
      <c r="K2497" s="9">
        <v>1</v>
      </c>
      <c r="L2497" s="9">
        <v>5</v>
      </c>
      <c r="M2497" s="9">
        <v>2008</v>
      </c>
      <c r="O2497" s="9" t="str">
        <f t="shared" si="118"/>
        <v>YES</v>
      </c>
      <c r="P2497" s="9" t="str">
        <f t="shared" si="119"/>
        <v>YES</v>
      </c>
      <c r="Q2497" s="9" t="str">
        <f t="shared" si="120"/>
        <v>Conditioned</v>
      </c>
    </row>
    <row r="2498" spans="1:17">
      <c r="A2498" s="9">
        <v>24540</v>
      </c>
      <c r="B2498" s="9">
        <v>3</v>
      </c>
      <c r="C2498" s="9" t="s">
        <v>1589</v>
      </c>
      <c r="D2498" s="9" t="s">
        <v>1590</v>
      </c>
      <c r="E2498" s="9" t="s">
        <v>1591</v>
      </c>
      <c r="F2498" s="9" t="s">
        <v>1589</v>
      </c>
      <c r="G2498" s="9" t="s">
        <v>1606</v>
      </c>
      <c r="H2498" s="9" t="s">
        <v>170</v>
      </c>
      <c r="I2498" s="9" t="s">
        <v>3881</v>
      </c>
      <c r="J2498" s="9" t="s">
        <v>1589</v>
      </c>
      <c r="K2498" s="9">
        <v>0.75</v>
      </c>
      <c r="L2498" s="9">
        <v>4</v>
      </c>
      <c r="O2498" s="9" t="str">
        <f t="shared" si="118"/>
        <v>YES</v>
      </c>
      <c r="P2498" s="9" t="e">
        <f t="shared" si="119"/>
        <v>#N/A</v>
      </c>
      <c r="Q2498" s="9" t="str">
        <f t="shared" si="120"/>
        <v>Unconditioned</v>
      </c>
    </row>
    <row r="2499" spans="1:17">
      <c r="A2499" s="9">
        <v>24547</v>
      </c>
      <c r="B2499" s="9">
        <v>1</v>
      </c>
      <c r="C2499" s="9" t="s">
        <v>1589</v>
      </c>
      <c r="D2499" s="9" t="s">
        <v>1590</v>
      </c>
      <c r="E2499" s="9" t="s">
        <v>1613</v>
      </c>
      <c r="F2499" s="9" t="s">
        <v>1603</v>
      </c>
      <c r="G2499" s="9" t="s">
        <v>1592</v>
      </c>
      <c r="H2499" s="9" t="s">
        <v>170</v>
      </c>
      <c r="I2499" s="9" t="s">
        <v>1589</v>
      </c>
      <c r="J2499" s="9" t="s">
        <v>1597</v>
      </c>
      <c r="K2499" s="9">
        <v>1</v>
      </c>
      <c r="L2499" s="9">
        <v>23</v>
      </c>
      <c r="M2499" s="9">
        <v>1998</v>
      </c>
      <c r="O2499" s="9" t="str">
        <f t="shared" si="118"/>
        <v>NO</v>
      </c>
      <c r="P2499" s="9" t="str">
        <f t="shared" si="119"/>
        <v>NO</v>
      </c>
      <c r="Q2499" s="9" t="str">
        <f t="shared" si="120"/>
        <v>Conditioned</v>
      </c>
    </row>
    <row r="2500" spans="1:17">
      <c r="A2500" s="9">
        <v>24547</v>
      </c>
      <c r="B2500" s="9">
        <v>2</v>
      </c>
      <c r="C2500" s="9" t="s">
        <v>1589</v>
      </c>
      <c r="D2500" s="9" t="s">
        <v>1590</v>
      </c>
      <c r="E2500" s="9" t="s">
        <v>1613</v>
      </c>
      <c r="F2500" s="9" t="s">
        <v>1603</v>
      </c>
      <c r="G2500" s="9" t="s">
        <v>1606</v>
      </c>
      <c r="H2500" s="9" t="s">
        <v>1678</v>
      </c>
      <c r="I2500" s="9" t="s">
        <v>3882</v>
      </c>
      <c r="J2500" s="9" t="s">
        <v>1605</v>
      </c>
      <c r="K2500" s="9">
        <v>1</v>
      </c>
      <c r="L2500" s="9">
        <v>21</v>
      </c>
      <c r="M2500" s="9">
        <v>1990</v>
      </c>
      <c r="O2500" s="9" t="str">
        <f t="shared" si="118"/>
        <v>NO</v>
      </c>
      <c r="P2500" s="9" t="str">
        <f t="shared" si="119"/>
        <v>YES</v>
      </c>
      <c r="Q2500" s="9" t="str">
        <f t="shared" si="120"/>
        <v>Unconditioned</v>
      </c>
    </row>
    <row r="2501" spans="1:17">
      <c r="A2501" s="9">
        <v>24547</v>
      </c>
      <c r="B2501" s="9">
        <v>3</v>
      </c>
      <c r="C2501" s="9" t="s">
        <v>1589</v>
      </c>
      <c r="D2501" s="9" t="s">
        <v>1590</v>
      </c>
      <c r="E2501" s="9" t="s">
        <v>1591</v>
      </c>
      <c r="F2501" s="9" t="s">
        <v>1589</v>
      </c>
      <c r="G2501" s="9" t="s">
        <v>1606</v>
      </c>
      <c r="H2501" s="9" t="s">
        <v>1638</v>
      </c>
      <c r="I2501" s="9" t="s">
        <v>3883</v>
      </c>
      <c r="J2501" s="9" t="s">
        <v>1597</v>
      </c>
      <c r="K2501" s="9">
        <v>1</v>
      </c>
      <c r="L2501" s="9">
        <v>23</v>
      </c>
      <c r="M2501" s="9">
        <v>1985</v>
      </c>
      <c r="O2501" s="9" t="str">
        <f t="shared" si="118"/>
        <v>NO</v>
      </c>
      <c r="P2501" s="9" t="str">
        <f t="shared" si="119"/>
        <v>NO</v>
      </c>
      <c r="Q2501" s="9" t="str">
        <f t="shared" si="120"/>
        <v>Unconditioned</v>
      </c>
    </row>
    <row r="2502" spans="1:17">
      <c r="A2502" s="9">
        <v>24547</v>
      </c>
      <c r="B2502" s="9">
        <v>4</v>
      </c>
      <c r="C2502" s="9" t="s">
        <v>1589</v>
      </c>
      <c r="D2502" s="9" t="s">
        <v>1590</v>
      </c>
      <c r="E2502" s="9" t="s">
        <v>1591</v>
      </c>
      <c r="F2502" s="9" t="s">
        <v>1589</v>
      </c>
      <c r="G2502" s="9" t="s">
        <v>1606</v>
      </c>
      <c r="H2502" s="9" t="s">
        <v>170</v>
      </c>
      <c r="I2502" s="9" t="s">
        <v>3884</v>
      </c>
      <c r="J2502" s="9" t="s">
        <v>1587</v>
      </c>
      <c r="K2502" s="9">
        <v>1</v>
      </c>
      <c r="L2502" s="9">
        <v>21</v>
      </c>
      <c r="M2502" s="9">
        <v>2005</v>
      </c>
      <c r="O2502" s="9" t="str">
        <f t="shared" si="118"/>
        <v>NO</v>
      </c>
      <c r="P2502" s="9" t="str">
        <f t="shared" si="119"/>
        <v>YES</v>
      </c>
      <c r="Q2502" s="9" t="str">
        <f t="shared" si="120"/>
        <v>Unconditioned</v>
      </c>
    </row>
    <row r="2503" spans="1:17">
      <c r="A2503" s="9">
        <v>24550</v>
      </c>
      <c r="B2503" s="9">
        <v>1</v>
      </c>
      <c r="C2503" s="9" t="s">
        <v>1589</v>
      </c>
      <c r="D2503" s="9" t="s">
        <v>1590</v>
      </c>
      <c r="E2503" s="9" t="s">
        <v>1591</v>
      </c>
      <c r="F2503" s="9" t="s">
        <v>1589</v>
      </c>
      <c r="G2503" s="9" t="s">
        <v>1592</v>
      </c>
      <c r="H2503" s="9" t="s">
        <v>1638</v>
      </c>
      <c r="I2503" s="9" t="s">
        <v>1589</v>
      </c>
      <c r="J2503" s="9" t="s">
        <v>1601</v>
      </c>
      <c r="K2503" s="9">
        <v>1</v>
      </c>
      <c r="L2503" s="9">
        <v>20</v>
      </c>
      <c r="M2503" s="9">
        <v>1993</v>
      </c>
      <c r="O2503" s="9" t="str">
        <f t="shared" si="118"/>
        <v>NO</v>
      </c>
      <c r="P2503" s="9" t="str">
        <f t="shared" si="119"/>
        <v>NO</v>
      </c>
      <c r="Q2503" s="9" t="str">
        <f t="shared" si="120"/>
        <v>Conditioned</v>
      </c>
    </row>
    <row r="2504" spans="1:17">
      <c r="A2504" s="9">
        <v>24551</v>
      </c>
      <c r="B2504" s="9">
        <v>1</v>
      </c>
      <c r="C2504" s="9" t="s">
        <v>1589</v>
      </c>
      <c r="D2504" s="9" t="s">
        <v>1590</v>
      </c>
      <c r="E2504" s="9" t="s">
        <v>1602</v>
      </c>
      <c r="F2504" s="9" t="s">
        <v>1603</v>
      </c>
      <c r="G2504" s="9" t="s">
        <v>1592</v>
      </c>
      <c r="H2504" s="9" t="s">
        <v>173</v>
      </c>
      <c r="I2504" s="9" t="s">
        <v>3885</v>
      </c>
      <c r="J2504" s="9" t="s">
        <v>1601</v>
      </c>
      <c r="K2504" s="9">
        <v>1</v>
      </c>
      <c r="L2504" s="9">
        <v>26</v>
      </c>
      <c r="M2504" s="9">
        <v>2005</v>
      </c>
      <c r="O2504" s="9" t="str">
        <f t="shared" si="118"/>
        <v>NO</v>
      </c>
      <c r="P2504" s="9" t="str">
        <f t="shared" si="119"/>
        <v>NO</v>
      </c>
      <c r="Q2504" s="9" t="str">
        <f t="shared" si="120"/>
        <v>Conditioned</v>
      </c>
    </row>
    <row r="2505" spans="1:17">
      <c r="A2505" s="9">
        <v>24551</v>
      </c>
      <c r="B2505" s="9">
        <v>2</v>
      </c>
      <c r="C2505" s="9" t="s">
        <v>1589</v>
      </c>
      <c r="D2505" s="9" t="s">
        <v>1590</v>
      </c>
      <c r="E2505" s="9" t="s">
        <v>1591</v>
      </c>
      <c r="F2505" s="9" t="s">
        <v>1589</v>
      </c>
      <c r="G2505" s="9" t="s">
        <v>1592</v>
      </c>
      <c r="H2505" s="9" t="s">
        <v>169</v>
      </c>
      <c r="I2505" s="9" t="s">
        <v>3886</v>
      </c>
      <c r="J2505" s="9" t="s">
        <v>1587</v>
      </c>
      <c r="K2505" s="9">
        <v>1</v>
      </c>
      <c r="L2505" s="9">
        <v>25</v>
      </c>
      <c r="M2505" s="9">
        <v>2007</v>
      </c>
      <c r="O2505" s="9" t="str">
        <f t="shared" si="118"/>
        <v>NO</v>
      </c>
      <c r="P2505" s="9" t="str">
        <f t="shared" si="119"/>
        <v>YES</v>
      </c>
      <c r="Q2505" s="9" t="str">
        <f t="shared" si="120"/>
        <v>Conditioned</v>
      </c>
    </row>
    <row r="2506" spans="1:17">
      <c r="A2506" s="9">
        <v>24553</v>
      </c>
      <c r="B2506" s="9">
        <v>1</v>
      </c>
      <c r="C2506" s="9" t="s">
        <v>1589</v>
      </c>
      <c r="D2506" s="9" t="s">
        <v>1590</v>
      </c>
      <c r="E2506" s="9" t="s">
        <v>1591</v>
      </c>
      <c r="F2506" s="9" t="s">
        <v>1589</v>
      </c>
      <c r="G2506" s="9" t="s">
        <v>1592</v>
      </c>
      <c r="H2506" s="9" t="s">
        <v>173</v>
      </c>
      <c r="I2506" s="9" t="s">
        <v>3887</v>
      </c>
      <c r="J2506" s="9" t="s">
        <v>1597</v>
      </c>
      <c r="K2506" s="9">
        <v>1</v>
      </c>
      <c r="L2506" s="9">
        <v>23</v>
      </c>
      <c r="M2506" s="9">
        <v>2005</v>
      </c>
      <c r="O2506" s="9" t="str">
        <f t="shared" si="118"/>
        <v>NO</v>
      </c>
      <c r="P2506" s="9" t="str">
        <f t="shared" si="119"/>
        <v>NO</v>
      </c>
      <c r="Q2506" s="9" t="str">
        <f t="shared" si="120"/>
        <v>Conditioned</v>
      </c>
    </row>
    <row r="2507" spans="1:17">
      <c r="A2507" s="9">
        <v>24553</v>
      </c>
      <c r="B2507" s="9">
        <v>2</v>
      </c>
      <c r="C2507" s="9" t="s">
        <v>1589</v>
      </c>
      <c r="D2507" s="9" t="s">
        <v>1590</v>
      </c>
      <c r="E2507" s="9" t="s">
        <v>1591</v>
      </c>
      <c r="F2507" s="9" t="s">
        <v>1589</v>
      </c>
      <c r="G2507" s="9" t="s">
        <v>1606</v>
      </c>
      <c r="H2507" s="9" t="s">
        <v>1638</v>
      </c>
      <c r="I2507" s="9" t="s">
        <v>3888</v>
      </c>
      <c r="J2507" s="9" t="s">
        <v>1605</v>
      </c>
      <c r="K2507" s="9">
        <v>1</v>
      </c>
      <c r="L2507" s="9">
        <v>20</v>
      </c>
      <c r="O2507" s="9" t="str">
        <f t="shared" si="118"/>
        <v>NO</v>
      </c>
      <c r="P2507" s="9" t="str">
        <f t="shared" si="119"/>
        <v>YES</v>
      </c>
      <c r="Q2507" s="9" t="str">
        <f t="shared" si="120"/>
        <v>Unconditioned</v>
      </c>
    </row>
    <row r="2508" spans="1:17">
      <c r="A2508" s="9">
        <v>24559</v>
      </c>
      <c r="B2508" s="9">
        <v>1</v>
      </c>
      <c r="C2508" s="9" t="s">
        <v>1589</v>
      </c>
      <c r="D2508" s="9" t="s">
        <v>1603</v>
      </c>
      <c r="E2508" s="9" t="s">
        <v>1602</v>
      </c>
      <c r="F2508" s="9" t="s">
        <v>1603</v>
      </c>
      <c r="G2508" s="9" t="s">
        <v>1592</v>
      </c>
      <c r="H2508" s="9" t="s">
        <v>177</v>
      </c>
      <c r="I2508" s="9" t="s">
        <v>1589</v>
      </c>
      <c r="J2508" s="9" t="s">
        <v>1601</v>
      </c>
      <c r="K2508" s="9">
        <v>1</v>
      </c>
      <c r="L2508" s="9">
        <v>24</v>
      </c>
      <c r="M2508" s="9">
        <v>2003</v>
      </c>
      <c r="O2508" s="9" t="str">
        <f t="shared" si="118"/>
        <v>NO</v>
      </c>
      <c r="P2508" s="9" t="str">
        <f t="shared" si="119"/>
        <v>NO</v>
      </c>
      <c r="Q2508" s="9" t="str">
        <f t="shared" si="120"/>
        <v>Conditioned</v>
      </c>
    </row>
    <row r="2509" spans="1:17">
      <c r="A2509" s="9">
        <v>24559</v>
      </c>
      <c r="B2509" s="9">
        <v>2</v>
      </c>
      <c r="C2509" s="9" t="s">
        <v>1589</v>
      </c>
      <c r="D2509" s="9" t="s">
        <v>1590</v>
      </c>
      <c r="E2509" s="9" t="s">
        <v>1591</v>
      </c>
      <c r="F2509" s="9" t="s">
        <v>1589</v>
      </c>
      <c r="G2509" s="9" t="s">
        <v>1592</v>
      </c>
      <c r="H2509" s="9" t="s">
        <v>170</v>
      </c>
      <c r="I2509" s="9" t="s">
        <v>3889</v>
      </c>
      <c r="J2509" s="9" t="s">
        <v>1597</v>
      </c>
      <c r="K2509" s="9">
        <v>1</v>
      </c>
      <c r="L2509" s="9">
        <v>20</v>
      </c>
      <c r="M2509" s="9">
        <v>2006</v>
      </c>
      <c r="O2509" s="9" t="str">
        <f t="shared" si="118"/>
        <v>NO</v>
      </c>
      <c r="P2509" s="9" t="str">
        <f t="shared" si="119"/>
        <v>NO</v>
      </c>
      <c r="Q2509" s="9" t="str">
        <f t="shared" si="120"/>
        <v>Conditioned</v>
      </c>
    </row>
    <row r="2510" spans="1:17">
      <c r="A2510" s="9">
        <v>24563</v>
      </c>
      <c r="B2510" s="9">
        <v>1</v>
      </c>
      <c r="C2510" s="9" t="s">
        <v>1589</v>
      </c>
      <c r="D2510" s="9" t="s">
        <v>1603</v>
      </c>
      <c r="E2510" s="9" t="s">
        <v>1602</v>
      </c>
      <c r="F2510" s="9" t="s">
        <v>1603</v>
      </c>
      <c r="G2510" s="9" t="s">
        <v>1592</v>
      </c>
      <c r="H2510" s="9" t="s">
        <v>170</v>
      </c>
      <c r="I2510" s="9" t="s">
        <v>3890</v>
      </c>
      <c r="J2510" s="9" t="s">
        <v>1601</v>
      </c>
      <c r="K2510" s="9">
        <v>1</v>
      </c>
      <c r="L2510" s="9">
        <v>18</v>
      </c>
      <c r="M2510" s="9">
        <v>2002</v>
      </c>
      <c r="O2510" s="9" t="str">
        <f t="shared" si="118"/>
        <v>NO</v>
      </c>
      <c r="P2510" s="9" t="str">
        <f t="shared" si="119"/>
        <v>NO</v>
      </c>
      <c r="Q2510" s="9" t="str">
        <f t="shared" si="120"/>
        <v>Conditioned</v>
      </c>
    </row>
    <row r="2511" spans="1:17">
      <c r="A2511" s="9">
        <v>24563</v>
      </c>
      <c r="B2511" s="9">
        <v>2</v>
      </c>
      <c r="C2511" s="9" t="s">
        <v>3891</v>
      </c>
      <c r="D2511" s="9" t="s">
        <v>1590</v>
      </c>
      <c r="E2511" s="9" t="s">
        <v>1591</v>
      </c>
      <c r="F2511" s="9" t="s">
        <v>1589</v>
      </c>
      <c r="G2511" s="9" t="s">
        <v>1606</v>
      </c>
      <c r="H2511" s="9" t="s">
        <v>3195</v>
      </c>
      <c r="I2511" s="9" t="s">
        <v>1589</v>
      </c>
      <c r="J2511" s="9" t="s">
        <v>1587</v>
      </c>
      <c r="K2511" s="9">
        <v>0.5</v>
      </c>
      <c r="L2511" s="9">
        <v>15</v>
      </c>
      <c r="M2511" s="9">
        <v>1969</v>
      </c>
      <c r="O2511" s="9" t="str">
        <f t="shared" si="118"/>
        <v>NO</v>
      </c>
      <c r="P2511" s="9" t="str">
        <f t="shared" si="119"/>
        <v>YES</v>
      </c>
      <c r="Q2511" s="9" t="str">
        <f t="shared" si="120"/>
        <v>Unconditioned</v>
      </c>
    </row>
    <row r="2512" spans="1:17">
      <c r="A2512" s="9">
        <v>24563</v>
      </c>
      <c r="B2512" s="9">
        <v>3</v>
      </c>
      <c r="C2512" s="9" t="s">
        <v>1589</v>
      </c>
      <c r="D2512" s="9" t="s">
        <v>1590</v>
      </c>
      <c r="E2512" s="9" t="s">
        <v>1591</v>
      </c>
      <c r="F2512" s="9" t="s">
        <v>1589</v>
      </c>
      <c r="G2512" s="9" t="s">
        <v>1606</v>
      </c>
      <c r="H2512" s="9" t="s">
        <v>1632</v>
      </c>
      <c r="I2512" s="9" t="s">
        <v>3892</v>
      </c>
      <c r="J2512" s="9" t="s">
        <v>1597</v>
      </c>
      <c r="K2512" s="9">
        <v>1</v>
      </c>
      <c r="L2512" s="9">
        <v>17</v>
      </c>
      <c r="M2512" s="9">
        <v>1985</v>
      </c>
      <c r="O2512" s="9" t="str">
        <f t="shared" si="118"/>
        <v>NO</v>
      </c>
      <c r="P2512" s="9" t="str">
        <f t="shared" si="119"/>
        <v>NO</v>
      </c>
      <c r="Q2512" s="9" t="str">
        <f t="shared" si="120"/>
        <v>Unconditioned</v>
      </c>
    </row>
    <row r="2513" spans="1:17">
      <c r="A2513" s="9">
        <v>24572</v>
      </c>
      <c r="B2513" s="9">
        <v>1</v>
      </c>
      <c r="C2513" s="9" t="s">
        <v>1589</v>
      </c>
      <c r="D2513" s="9" t="s">
        <v>1590</v>
      </c>
      <c r="E2513" s="9" t="s">
        <v>1591</v>
      </c>
      <c r="F2513" s="9" t="s">
        <v>1589</v>
      </c>
      <c r="G2513" s="9" t="s">
        <v>1592</v>
      </c>
      <c r="H2513" s="9" t="s">
        <v>170</v>
      </c>
      <c r="I2513" s="9" t="s">
        <v>3893</v>
      </c>
      <c r="J2513" s="9" t="s">
        <v>1597</v>
      </c>
      <c r="K2513" s="9">
        <v>1</v>
      </c>
      <c r="L2513" s="9">
        <v>18</v>
      </c>
      <c r="M2513" s="9">
        <v>1995</v>
      </c>
      <c r="O2513" s="9" t="str">
        <f t="shared" si="118"/>
        <v>NO</v>
      </c>
      <c r="P2513" s="9" t="str">
        <f t="shared" si="119"/>
        <v>NO</v>
      </c>
      <c r="Q2513" s="9" t="str">
        <f t="shared" si="120"/>
        <v>Conditioned</v>
      </c>
    </row>
    <row r="2514" spans="1:17">
      <c r="A2514" s="9">
        <v>24572</v>
      </c>
      <c r="B2514" s="9">
        <v>2</v>
      </c>
      <c r="C2514" s="9" t="s">
        <v>1589</v>
      </c>
      <c r="D2514" s="9" t="s">
        <v>1590</v>
      </c>
      <c r="E2514" s="9" t="s">
        <v>1591</v>
      </c>
      <c r="F2514" s="9" t="s">
        <v>1589</v>
      </c>
      <c r="G2514" s="9" t="s">
        <v>1606</v>
      </c>
      <c r="H2514" s="9" t="s">
        <v>169</v>
      </c>
      <c r="I2514" s="9" t="s">
        <v>1589</v>
      </c>
      <c r="J2514" s="9" t="s">
        <v>1587</v>
      </c>
      <c r="K2514" s="9">
        <v>1</v>
      </c>
      <c r="L2514" s="9">
        <v>16</v>
      </c>
      <c r="M2514" s="9">
        <v>2001</v>
      </c>
      <c r="O2514" s="9" t="str">
        <f t="shared" si="118"/>
        <v>NO</v>
      </c>
      <c r="P2514" s="9" t="str">
        <f t="shared" si="119"/>
        <v>YES</v>
      </c>
      <c r="Q2514" s="9" t="str">
        <f t="shared" si="120"/>
        <v>Unconditioned</v>
      </c>
    </row>
    <row r="2515" spans="1:17">
      <c r="A2515" s="9">
        <v>24594</v>
      </c>
      <c r="B2515" s="9">
        <v>1</v>
      </c>
      <c r="C2515" s="9" t="s">
        <v>1589</v>
      </c>
      <c r="D2515" s="9" t="s">
        <v>1590</v>
      </c>
      <c r="E2515" s="9" t="s">
        <v>1613</v>
      </c>
      <c r="F2515" s="9" t="s">
        <v>1590</v>
      </c>
      <c r="G2515" s="9" t="s">
        <v>1592</v>
      </c>
      <c r="H2515" s="9" t="s">
        <v>170</v>
      </c>
      <c r="I2515" s="9" t="s">
        <v>3894</v>
      </c>
      <c r="J2515" s="9" t="s">
        <v>1608</v>
      </c>
      <c r="K2515" s="9">
        <v>1</v>
      </c>
      <c r="L2515" s="9">
        <v>24</v>
      </c>
      <c r="M2515" s="9">
        <v>2011</v>
      </c>
      <c r="O2515" s="9" t="str">
        <f t="shared" si="118"/>
        <v>NO</v>
      </c>
      <c r="P2515" s="9" t="str">
        <f t="shared" si="119"/>
        <v>NO</v>
      </c>
      <c r="Q2515" s="9" t="str">
        <f t="shared" si="120"/>
        <v>Conditioned</v>
      </c>
    </row>
    <row r="2516" spans="1:17">
      <c r="A2516" s="9">
        <v>24607</v>
      </c>
      <c r="B2516" s="9">
        <v>1</v>
      </c>
      <c r="C2516" s="9" t="s">
        <v>1589</v>
      </c>
      <c r="D2516" s="9" t="s">
        <v>1590</v>
      </c>
      <c r="E2516" s="9" t="s">
        <v>1591</v>
      </c>
      <c r="F2516" s="9" t="s">
        <v>1589</v>
      </c>
      <c r="G2516" s="9" t="s">
        <v>1592</v>
      </c>
      <c r="H2516" s="9" t="s">
        <v>172</v>
      </c>
      <c r="I2516" s="9" t="s">
        <v>3375</v>
      </c>
      <c r="J2516" s="9" t="s">
        <v>1597</v>
      </c>
      <c r="K2516" s="9">
        <v>1</v>
      </c>
      <c r="L2516" s="9">
        <v>17</v>
      </c>
      <c r="M2516" s="9">
        <v>2007</v>
      </c>
      <c r="O2516" s="9" t="str">
        <f t="shared" si="118"/>
        <v>NO</v>
      </c>
      <c r="P2516" s="9" t="str">
        <f t="shared" si="119"/>
        <v>NO</v>
      </c>
      <c r="Q2516" s="9" t="str">
        <f t="shared" si="120"/>
        <v>Conditioned</v>
      </c>
    </row>
    <row r="2517" spans="1:17">
      <c r="A2517" s="9">
        <v>24614</v>
      </c>
      <c r="B2517" s="9">
        <v>1</v>
      </c>
      <c r="C2517" s="9" t="s">
        <v>1589</v>
      </c>
      <c r="D2517" s="9" t="s">
        <v>1603</v>
      </c>
      <c r="E2517" s="9" t="s">
        <v>1591</v>
      </c>
      <c r="F2517" s="9" t="s">
        <v>1589</v>
      </c>
      <c r="G2517" s="9" t="s">
        <v>1606</v>
      </c>
      <c r="H2517" s="9" t="s">
        <v>170</v>
      </c>
      <c r="I2517" s="9" t="s">
        <v>3895</v>
      </c>
      <c r="J2517" s="9" t="s">
        <v>1605</v>
      </c>
      <c r="K2517" s="9">
        <v>1</v>
      </c>
      <c r="L2517" s="9">
        <v>25</v>
      </c>
      <c r="M2517" s="9">
        <v>2010</v>
      </c>
      <c r="O2517" s="9" t="str">
        <f t="shared" si="118"/>
        <v>NO</v>
      </c>
      <c r="P2517" s="9" t="str">
        <f t="shared" si="119"/>
        <v>YES</v>
      </c>
      <c r="Q2517" s="9" t="str">
        <f t="shared" si="120"/>
        <v>Unconditioned</v>
      </c>
    </row>
    <row r="2518" spans="1:17">
      <c r="A2518" s="9">
        <v>24614</v>
      </c>
      <c r="B2518" s="9">
        <v>2</v>
      </c>
      <c r="C2518" s="9" t="s">
        <v>1589</v>
      </c>
      <c r="D2518" s="9" t="s">
        <v>1590</v>
      </c>
      <c r="E2518" s="9" t="s">
        <v>1613</v>
      </c>
      <c r="F2518" s="9" t="s">
        <v>1603</v>
      </c>
      <c r="G2518" s="9" t="s">
        <v>1592</v>
      </c>
      <c r="H2518" s="9" t="s">
        <v>170</v>
      </c>
      <c r="I2518" s="9" t="s">
        <v>3896</v>
      </c>
      <c r="J2518" s="9" t="s">
        <v>1597</v>
      </c>
      <c r="K2518" s="9">
        <v>1</v>
      </c>
      <c r="L2518" s="9">
        <v>20</v>
      </c>
      <c r="M2518" s="9">
        <v>2002</v>
      </c>
      <c r="O2518" s="9" t="str">
        <f t="shared" si="118"/>
        <v>NO</v>
      </c>
      <c r="P2518" s="9" t="str">
        <f t="shared" si="119"/>
        <v>NO</v>
      </c>
      <c r="Q2518" s="9" t="str">
        <f t="shared" si="120"/>
        <v>Conditioned</v>
      </c>
    </row>
    <row r="2519" spans="1:17">
      <c r="A2519" s="9">
        <v>24622</v>
      </c>
      <c r="B2519" s="9">
        <v>1</v>
      </c>
      <c r="C2519" s="9" t="s">
        <v>1589</v>
      </c>
      <c r="D2519" s="9" t="s">
        <v>1590</v>
      </c>
      <c r="E2519" s="9" t="s">
        <v>1591</v>
      </c>
      <c r="F2519" s="9" t="s">
        <v>1589</v>
      </c>
      <c r="G2519" s="9" t="s">
        <v>1592</v>
      </c>
      <c r="H2519" s="9" t="s">
        <v>169</v>
      </c>
      <c r="I2519" s="9" t="s">
        <v>3897</v>
      </c>
      <c r="J2519" s="9" t="s">
        <v>1597</v>
      </c>
      <c r="K2519" s="9">
        <v>1</v>
      </c>
      <c r="L2519" s="9">
        <v>25</v>
      </c>
      <c r="M2519" s="9">
        <v>2001</v>
      </c>
      <c r="O2519" s="9" t="str">
        <f t="shared" ref="O2519:O2577" si="121">IF(L2519&lt;7.75,"YES","NO")</f>
        <v>NO</v>
      </c>
      <c r="P2519" s="9" t="str">
        <f t="shared" ref="P2519:P2577" si="122">VLOOKUP(J2519,$Z$21:$AA$27,2,FALSE)</f>
        <v>NO</v>
      </c>
      <c r="Q2519" s="9" t="str">
        <f t="shared" ref="Q2519:Q2577" si="123">G2519</f>
        <v>Conditioned</v>
      </c>
    </row>
    <row r="2520" spans="1:17">
      <c r="A2520" s="9">
        <v>24623</v>
      </c>
      <c r="B2520" s="9">
        <v>1</v>
      </c>
      <c r="C2520" s="9" t="s">
        <v>1589</v>
      </c>
      <c r="D2520" s="9" t="s">
        <v>1590</v>
      </c>
      <c r="E2520" s="9" t="s">
        <v>1591</v>
      </c>
      <c r="F2520" s="9" t="s">
        <v>1589</v>
      </c>
      <c r="G2520" s="9" t="s">
        <v>1592</v>
      </c>
      <c r="H2520" s="9" t="s">
        <v>1632</v>
      </c>
      <c r="I2520" s="9" t="s">
        <v>2126</v>
      </c>
      <c r="J2520" s="9" t="s">
        <v>1597</v>
      </c>
      <c r="K2520" s="9">
        <v>1</v>
      </c>
      <c r="L2520" s="9">
        <v>12</v>
      </c>
      <c r="M2520" s="9">
        <v>1995</v>
      </c>
      <c r="O2520" s="9" t="str">
        <f t="shared" si="121"/>
        <v>NO</v>
      </c>
      <c r="P2520" s="9" t="str">
        <f t="shared" si="122"/>
        <v>NO</v>
      </c>
      <c r="Q2520" s="9" t="str">
        <f t="shared" si="123"/>
        <v>Conditioned</v>
      </c>
    </row>
    <row r="2521" spans="1:17">
      <c r="A2521" s="9">
        <v>24623</v>
      </c>
      <c r="B2521" s="9">
        <v>2</v>
      </c>
      <c r="C2521" s="9" t="s">
        <v>1589</v>
      </c>
      <c r="D2521" s="9" t="s">
        <v>1590</v>
      </c>
      <c r="E2521" s="9" t="s">
        <v>1602</v>
      </c>
      <c r="F2521" s="9" t="s">
        <v>1603</v>
      </c>
      <c r="G2521" s="9" t="s">
        <v>1592</v>
      </c>
      <c r="H2521" s="9" t="s">
        <v>177</v>
      </c>
      <c r="I2521" s="9" t="s">
        <v>3898</v>
      </c>
      <c r="J2521" s="9" t="s">
        <v>1601</v>
      </c>
      <c r="K2521" s="9">
        <v>1</v>
      </c>
      <c r="L2521" s="9">
        <v>25</v>
      </c>
      <c r="M2521" s="9">
        <v>2006</v>
      </c>
      <c r="O2521" s="9" t="str">
        <f t="shared" si="121"/>
        <v>NO</v>
      </c>
      <c r="P2521" s="9" t="str">
        <f t="shared" si="122"/>
        <v>NO</v>
      </c>
      <c r="Q2521" s="9" t="str">
        <f t="shared" si="123"/>
        <v>Conditioned</v>
      </c>
    </row>
    <row r="2522" spans="1:17">
      <c r="A2522" s="9">
        <v>24647</v>
      </c>
      <c r="B2522" s="9">
        <v>1</v>
      </c>
      <c r="C2522" s="9" t="s">
        <v>1589</v>
      </c>
      <c r="D2522" s="9" t="s">
        <v>1590</v>
      </c>
      <c r="E2522" s="9" t="s">
        <v>1591</v>
      </c>
      <c r="F2522" s="9" t="s">
        <v>1589</v>
      </c>
      <c r="G2522" s="9" t="s">
        <v>1592</v>
      </c>
      <c r="H2522" s="9" t="s">
        <v>170</v>
      </c>
      <c r="I2522" s="9" t="s">
        <v>1589</v>
      </c>
      <c r="J2522" s="9" t="s">
        <v>1597</v>
      </c>
      <c r="K2522" s="9">
        <v>1</v>
      </c>
      <c r="L2522" s="9">
        <v>16</v>
      </c>
      <c r="M2522" s="9">
        <v>2006</v>
      </c>
      <c r="O2522" s="9" t="str">
        <f t="shared" si="121"/>
        <v>NO</v>
      </c>
      <c r="P2522" s="9" t="str">
        <f t="shared" si="122"/>
        <v>NO</v>
      </c>
      <c r="Q2522" s="9" t="str">
        <f t="shared" si="123"/>
        <v>Conditioned</v>
      </c>
    </row>
    <row r="2523" spans="1:17">
      <c r="A2523" s="9">
        <v>24655</v>
      </c>
      <c r="B2523" s="9">
        <v>1</v>
      </c>
      <c r="C2523" s="9" t="s">
        <v>1589</v>
      </c>
      <c r="D2523" s="9" t="s">
        <v>1590</v>
      </c>
      <c r="E2523" s="9" t="s">
        <v>1591</v>
      </c>
      <c r="F2523" s="9" t="s">
        <v>1589</v>
      </c>
      <c r="G2523" s="9" t="s">
        <v>1592</v>
      </c>
      <c r="H2523" s="9" t="s">
        <v>1599</v>
      </c>
      <c r="I2523" s="9" t="s">
        <v>3899</v>
      </c>
      <c r="J2523" s="9" t="s">
        <v>1597</v>
      </c>
      <c r="K2523" s="9">
        <v>1</v>
      </c>
      <c r="L2523" s="9">
        <v>19</v>
      </c>
      <c r="M2523" s="9">
        <v>1970</v>
      </c>
      <c r="O2523" s="9" t="str">
        <f t="shared" si="121"/>
        <v>NO</v>
      </c>
      <c r="P2523" s="9" t="str">
        <f t="shared" si="122"/>
        <v>NO</v>
      </c>
      <c r="Q2523" s="9" t="str">
        <f t="shared" si="123"/>
        <v>Conditioned</v>
      </c>
    </row>
    <row r="2524" spans="1:17">
      <c r="A2524" s="9">
        <v>24655</v>
      </c>
      <c r="B2524" s="9">
        <v>2</v>
      </c>
      <c r="C2524" s="9" t="s">
        <v>1589</v>
      </c>
      <c r="D2524" s="9" t="s">
        <v>1603</v>
      </c>
      <c r="E2524" s="9" t="s">
        <v>1591</v>
      </c>
      <c r="F2524" s="9" t="s">
        <v>1589</v>
      </c>
      <c r="G2524" s="9" t="s">
        <v>1592</v>
      </c>
      <c r="H2524" s="9" t="s">
        <v>1638</v>
      </c>
      <c r="I2524" s="9" t="s">
        <v>3900</v>
      </c>
      <c r="J2524" s="9" t="s">
        <v>1597</v>
      </c>
      <c r="K2524" s="9">
        <v>1</v>
      </c>
      <c r="L2524" s="9">
        <v>19</v>
      </c>
      <c r="M2524" s="9">
        <v>2006</v>
      </c>
      <c r="O2524" s="9" t="str">
        <f t="shared" si="121"/>
        <v>NO</v>
      </c>
      <c r="P2524" s="9" t="str">
        <f t="shared" si="122"/>
        <v>NO</v>
      </c>
      <c r="Q2524" s="9" t="str">
        <f t="shared" si="123"/>
        <v>Conditioned</v>
      </c>
    </row>
    <row r="2525" spans="1:17">
      <c r="A2525" s="9">
        <v>24662</v>
      </c>
      <c r="B2525" s="9">
        <v>1</v>
      </c>
      <c r="C2525" s="9" t="s">
        <v>1589</v>
      </c>
      <c r="D2525" s="9" t="s">
        <v>1590</v>
      </c>
      <c r="E2525" s="9" t="s">
        <v>1602</v>
      </c>
      <c r="F2525" s="9" t="s">
        <v>1603</v>
      </c>
      <c r="G2525" s="9" t="s">
        <v>1592</v>
      </c>
      <c r="H2525" s="9" t="s">
        <v>1638</v>
      </c>
      <c r="I2525" s="9" t="s">
        <v>3901</v>
      </c>
      <c r="J2525" s="9" t="s">
        <v>1601</v>
      </c>
      <c r="K2525" s="9">
        <v>1</v>
      </c>
      <c r="L2525" s="9">
        <v>20</v>
      </c>
      <c r="M2525" s="9">
        <v>2008</v>
      </c>
      <c r="O2525" s="9" t="str">
        <f t="shared" si="121"/>
        <v>NO</v>
      </c>
      <c r="P2525" s="9" t="str">
        <f t="shared" si="122"/>
        <v>NO</v>
      </c>
      <c r="Q2525" s="9" t="str">
        <f t="shared" si="123"/>
        <v>Conditioned</v>
      </c>
    </row>
    <row r="2526" spans="1:17">
      <c r="A2526" s="9">
        <v>24671</v>
      </c>
      <c r="B2526" s="9">
        <v>1</v>
      </c>
      <c r="C2526" s="9" t="s">
        <v>1589</v>
      </c>
      <c r="D2526" s="9" t="s">
        <v>1590</v>
      </c>
      <c r="E2526" s="9" t="s">
        <v>1602</v>
      </c>
      <c r="F2526" s="9" t="s">
        <v>1603</v>
      </c>
      <c r="G2526" s="9" t="s">
        <v>1592</v>
      </c>
      <c r="H2526" s="9" t="s">
        <v>170</v>
      </c>
      <c r="I2526" s="9" t="s">
        <v>3902</v>
      </c>
      <c r="J2526" s="9" t="s">
        <v>1601</v>
      </c>
      <c r="K2526" s="9">
        <v>1</v>
      </c>
      <c r="L2526" s="9">
        <v>24</v>
      </c>
      <c r="M2526" s="9">
        <v>2005</v>
      </c>
      <c r="O2526" s="9" t="str">
        <f t="shared" si="121"/>
        <v>NO</v>
      </c>
      <c r="P2526" s="9" t="str">
        <f t="shared" si="122"/>
        <v>NO</v>
      </c>
      <c r="Q2526" s="9" t="str">
        <f t="shared" si="123"/>
        <v>Conditioned</v>
      </c>
    </row>
    <row r="2527" spans="1:17">
      <c r="A2527" s="9">
        <v>24672</v>
      </c>
      <c r="B2527" s="9">
        <v>1</v>
      </c>
      <c r="C2527" s="9" t="s">
        <v>1589</v>
      </c>
      <c r="D2527" s="9" t="s">
        <v>1590</v>
      </c>
      <c r="E2527" s="9" t="s">
        <v>1591</v>
      </c>
      <c r="F2527" s="9" t="s">
        <v>1589</v>
      </c>
      <c r="G2527" s="9" t="s">
        <v>1592</v>
      </c>
      <c r="H2527" s="9" t="s">
        <v>169</v>
      </c>
      <c r="I2527" s="9" t="s">
        <v>3903</v>
      </c>
      <c r="J2527" s="9" t="s">
        <v>1597</v>
      </c>
      <c r="K2527" s="9">
        <v>1</v>
      </c>
      <c r="L2527" s="9">
        <v>21</v>
      </c>
      <c r="M2527" s="9">
        <v>2007</v>
      </c>
      <c r="O2527" s="9" t="str">
        <f t="shared" si="121"/>
        <v>NO</v>
      </c>
      <c r="P2527" s="9" t="str">
        <f t="shared" si="122"/>
        <v>NO</v>
      </c>
      <c r="Q2527" s="9" t="str">
        <f t="shared" si="123"/>
        <v>Conditioned</v>
      </c>
    </row>
    <row r="2528" spans="1:17">
      <c r="A2528" s="9">
        <v>24684</v>
      </c>
      <c r="B2528" s="9">
        <v>1</v>
      </c>
      <c r="C2528" s="9" t="s">
        <v>1589</v>
      </c>
      <c r="D2528" s="9" t="s">
        <v>1590</v>
      </c>
      <c r="E2528" s="9" t="s">
        <v>1602</v>
      </c>
      <c r="F2528" s="9" t="s">
        <v>1590</v>
      </c>
      <c r="G2528" s="9" t="s">
        <v>1592</v>
      </c>
      <c r="H2528" s="9" t="s">
        <v>177</v>
      </c>
      <c r="I2528" s="9" t="s">
        <v>3904</v>
      </c>
      <c r="J2528" s="9" t="s">
        <v>1601</v>
      </c>
      <c r="K2528" s="9">
        <v>1</v>
      </c>
      <c r="L2528" s="9">
        <v>25</v>
      </c>
      <c r="M2528" s="9">
        <v>1999</v>
      </c>
      <c r="O2528" s="9" t="str">
        <f t="shared" si="121"/>
        <v>NO</v>
      </c>
      <c r="P2528" s="9" t="str">
        <f t="shared" si="122"/>
        <v>NO</v>
      </c>
      <c r="Q2528" s="9" t="str">
        <f t="shared" si="123"/>
        <v>Conditioned</v>
      </c>
    </row>
    <row r="2529" spans="1:17">
      <c r="A2529" s="9">
        <v>24684</v>
      </c>
      <c r="B2529" s="9">
        <v>2</v>
      </c>
      <c r="C2529" s="9" t="s">
        <v>3905</v>
      </c>
      <c r="D2529" s="9" t="s">
        <v>1590</v>
      </c>
      <c r="E2529" s="9" t="s">
        <v>1591</v>
      </c>
      <c r="F2529" s="9" t="s">
        <v>1589</v>
      </c>
      <c r="G2529" s="9" t="s">
        <v>1592</v>
      </c>
      <c r="H2529" s="9" t="s">
        <v>1589</v>
      </c>
      <c r="I2529" s="9" t="s">
        <v>1589</v>
      </c>
      <c r="J2529" s="9" t="s">
        <v>1587</v>
      </c>
      <c r="K2529" s="9">
        <v>1</v>
      </c>
      <c r="L2529" s="9">
        <v>18</v>
      </c>
      <c r="O2529" s="9" t="str">
        <f t="shared" si="121"/>
        <v>NO</v>
      </c>
      <c r="P2529" s="9" t="str">
        <f t="shared" si="122"/>
        <v>YES</v>
      </c>
      <c r="Q2529" s="9" t="str">
        <f t="shared" si="123"/>
        <v>Conditioned</v>
      </c>
    </row>
    <row r="2530" spans="1:17">
      <c r="A2530" s="9">
        <v>24684</v>
      </c>
      <c r="B2530" s="9">
        <v>3</v>
      </c>
      <c r="C2530" s="9" t="s">
        <v>3906</v>
      </c>
      <c r="D2530" s="9" t="s">
        <v>1590</v>
      </c>
      <c r="E2530" s="9" t="s">
        <v>1591</v>
      </c>
      <c r="F2530" s="9" t="s">
        <v>1589</v>
      </c>
      <c r="G2530" s="9" t="s">
        <v>1592</v>
      </c>
      <c r="H2530" s="9" t="s">
        <v>1589</v>
      </c>
      <c r="I2530" s="9" t="s">
        <v>1589</v>
      </c>
      <c r="J2530" s="9" t="s">
        <v>1587</v>
      </c>
      <c r="K2530" s="9">
        <v>1</v>
      </c>
      <c r="L2530" s="9">
        <v>12</v>
      </c>
      <c r="O2530" s="9" t="str">
        <f t="shared" si="121"/>
        <v>NO</v>
      </c>
      <c r="P2530" s="9" t="str">
        <f t="shared" si="122"/>
        <v>YES</v>
      </c>
      <c r="Q2530" s="9" t="str">
        <f t="shared" si="123"/>
        <v>Conditioned</v>
      </c>
    </row>
    <row r="2531" spans="1:17">
      <c r="A2531" s="9">
        <v>24686</v>
      </c>
      <c r="B2531" s="9">
        <v>1</v>
      </c>
      <c r="C2531" s="9" t="s">
        <v>1589</v>
      </c>
      <c r="D2531" s="9" t="s">
        <v>1603</v>
      </c>
      <c r="E2531" s="9" t="s">
        <v>1591</v>
      </c>
      <c r="F2531" s="9" t="s">
        <v>1589</v>
      </c>
      <c r="G2531" s="9" t="s">
        <v>1592</v>
      </c>
      <c r="H2531" s="9" t="s">
        <v>177</v>
      </c>
      <c r="I2531" s="9" t="s">
        <v>3907</v>
      </c>
      <c r="J2531" s="9" t="s">
        <v>1597</v>
      </c>
      <c r="K2531" s="9">
        <v>1</v>
      </c>
      <c r="L2531" s="9">
        <v>21</v>
      </c>
      <c r="M2531" s="9">
        <v>2005</v>
      </c>
      <c r="O2531" s="9" t="str">
        <f t="shared" si="121"/>
        <v>NO</v>
      </c>
      <c r="P2531" s="9" t="str">
        <f t="shared" si="122"/>
        <v>NO</v>
      </c>
      <c r="Q2531" s="9" t="str">
        <f t="shared" si="123"/>
        <v>Conditioned</v>
      </c>
    </row>
    <row r="2532" spans="1:17">
      <c r="A2532" s="9">
        <v>24686</v>
      </c>
      <c r="B2532" s="9">
        <v>2</v>
      </c>
      <c r="C2532" s="9" t="s">
        <v>1589</v>
      </c>
      <c r="D2532" s="9" t="s">
        <v>1590</v>
      </c>
      <c r="E2532" s="9" t="s">
        <v>1591</v>
      </c>
      <c r="F2532" s="9" t="s">
        <v>1589</v>
      </c>
      <c r="G2532" s="9" t="s">
        <v>1592</v>
      </c>
      <c r="H2532" s="9" t="s">
        <v>169</v>
      </c>
      <c r="I2532" s="9" t="s">
        <v>3908</v>
      </c>
      <c r="J2532" s="9" t="s">
        <v>1587</v>
      </c>
      <c r="K2532" s="9">
        <v>1</v>
      </c>
      <c r="L2532" s="9">
        <v>25</v>
      </c>
      <c r="M2532" s="9">
        <v>2003</v>
      </c>
      <c r="O2532" s="9" t="str">
        <f t="shared" si="121"/>
        <v>NO</v>
      </c>
      <c r="P2532" s="9" t="str">
        <f t="shared" si="122"/>
        <v>YES</v>
      </c>
      <c r="Q2532" s="9" t="str">
        <f t="shared" si="123"/>
        <v>Conditioned</v>
      </c>
    </row>
    <row r="2533" spans="1:17">
      <c r="A2533" s="9">
        <v>24689</v>
      </c>
      <c r="B2533" s="9">
        <v>1</v>
      </c>
      <c r="C2533" s="9" t="s">
        <v>1589</v>
      </c>
      <c r="D2533" s="9" t="s">
        <v>1590</v>
      </c>
      <c r="E2533" s="9" t="s">
        <v>1591</v>
      </c>
      <c r="F2533" s="9" t="s">
        <v>1589</v>
      </c>
      <c r="G2533" s="9" t="s">
        <v>1592</v>
      </c>
      <c r="H2533" s="9" t="s">
        <v>170</v>
      </c>
      <c r="I2533" s="9" t="s">
        <v>3909</v>
      </c>
      <c r="J2533" s="9" t="s">
        <v>1601</v>
      </c>
      <c r="K2533" s="9">
        <v>1</v>
      </c>
      <c r="L2533" s="9">
        <v>25</v>
      </c>
      <c r="M2533" s="9">
        <v>2006</v>
      </c>
      <c r="O2533" s="9" t="str">
        <f t="shared" si="121"/>
        <v>NO</v>
      </c>
      <c r="P2533" s="9" t="str">
        <f t="shared" si="122"/>
        <v>NO</v>
      </c>
      <c r="Q2533" s="9" t="str">
        <f t="shared" si="123"/>
        <v>Conditioned</v>
      </c>
    </row>
    <row r="2534" spans="1:17">
      <c r="A2534" s="9">
        <v>24689</v>
      </c>
      <c r="B2534" s="9">
        <v>2</v>
      </c>
      <c r="C2534" s="9" t="s">
        <v>1589</v>
      </c>
      <c r="D2534" s="9" t="s">
        <v>1590</v>
      </c>
      <c r="E2534" s="9" t="s">
        <v>1602</v>
      </c>
      <c r="F2534" s="9" t="s">
        <v>1590</v>
      </c>
      <c r="G2534" s="9" t="s">
        <v>1606</v>
      </c>
      <c r="H2534" s="9" t="s">
        <v>170</v>
      </c>
      <c r="I2534" s="9" t="s">
        <v>3299</v>
      </c>
      <c r="J2534" s="9" t="s">
        <v>1601</v>
      </c>
      <c r="K2534" s="9">
        <v>1</v>
      </c>
      <c r="L2534" s="9">
        <v>25</v>
      </c>
      <c r="M2534" s="9">
        <v>2000</v>
      </c>
      <c r="O2534" s="9" t="str">
        <f t="shared" si="121"/>
        <v>NO</v>
      </c>
      <c r="P2534" s="9" t="str">
        <f t="shared" si="122"/>
        <v>NO</v>
      </c>
      <c r="Q2534" s="9" t="str">
        <f t="shared" si="123"/>
        <v>Unconditioned</v>
      </c>
    </row>
    <row r="2535" spans="1:17">
      <c r="A2535" s="9">
        <v>24689</v>
      </c>
      <c r="B2535" s="9">
        <v>3</v>
      </c>
      <c r="C2535" s="9" t="s">
        <v>1589</v>
      </c>
      <c r="D2535" s="9" t="s">
        <v>1590</v>
      </c>
      <c r="E2535" s="9" t="s">
        <v>1591</v>
      </c>
      <c r="F2535" s="9" t="s">
        <v>1589</v>
      </c>
      <c r="G2535" s="9" t="s">
        <v>1606</v>
      </c>
      <c r="H2535" s="9" t="s">
        <v>169</v>
      </c>
      <c r="I2535" s="9" t="s">
        <v>1589</v>
      </c>
      <c r="J2535" s="9" t="s">
        <v>1587</v>
      </c>
      <c r="K2535" s="9">
        <v>1</v>
      </c>
      <c r="L2535" s="9">
        <v>24</v>
      </c>
      <c r="M2535" s="9">
        <v>2000</v>
      </c>
      <c r="O2535" s="9" t="str">
        <f t="shared" si="121"/>
        <v>NO</v>
      </c>
      <c r="P2535" s="9" t="str">
        <f t="shared" si="122"/>
        <v>YES</v>
      </c>
      <c r="Q2535" s="9" t="str">
        <f t="shared" si="123"/>
        <v>Unconditioned</v>
      </c>
    </row>
    <row r="2536" spans="1:17">
      <c r="A2536" s="9">
        <v>24696</v>
      </c>
      <c r="B2536" s="9">
        <v>1</v>
      </c>
      <c r="C2536" s="9" t="s">
        <v>1589</v>
      </c>
      <c r="D2536" s="9" t="s">
        <v>1590</v>
      </c>
      <c r="E2536" s="9" t="s">
        <v>1591</v>
      </c>
      <c r="F2536" s="9" t="s">
        <v>1589</v>
      </c>
      <c r="G2536" s="9" t="s">
        <v>1592</v>
      </c>
      <c r="H2536" s="9" t="s">
        <v>169</v>
      </c>
      <c r="I2536" s="9" t="s">
        <v>3910</v>
      </c>
      <c r="J2536" s="9" t="s">
        <v>1597</v>
      </c>
      <c r="K2536" s="9">
        <v>1</v>
      </c>
      <c r="L2536" s="9">
        <v>21</v>
      </c>
      <c r="M2536" s="9">
        <v>1991</v>
      </c>
      <c r="O2536" s="9" t="str">
        <f t="shared" si="121"/>
        <v>NO</v>
      </c>
      <c r="P2536" s="9" t="str">
        <f t="shared" si="122"/>
        <v>NO</v>
      </c>
      <c r="Q2536" s="9" t="str">
        <f t="shared" si="123"/>
        <v>Conditioned</v>
      </c>
    </row>
    <row r="2537" spans="1:17">
      <c r="A2537" s="9">
        <v>24699</v>
      </c>
      <c r="B2537" s="9">
        <v>1</v>
      </c>
      <c r="C2537" s="9" t="s">
        <v>1589</v>
      </c>
      <c r="D2537" s="9" t="s">
        <v>1590</v>
      </c>
      <c r="E2537" s="9" t="s">
        <v>1591</v>
      </c>
      <c r="F2537" s="9" t="s">
        <v>1589</v>
      </c>
      <c r="G2537" s="9" t="s">
        <v>1592</v>
      </c>
      <c r="H2537" s="9" t="s">
        <v>177</v>
      </c>
      <c r="I2537" s="9" t="s">
        <v>1589</v>
      </c>
      <c r="J2537" s="9" t="s">
        <v>1597</v>
      </c>
      <c r="K2537" s="9">
        <v>1</v>
      </c>
      <c r="L2537" s="9">
        <v>18</v>
      </c>
      <c r="O2537" s="9" t="str">
        <f t="shared" si="121"/>
        <v>NO</v>
      </c>
      <c r="P2537" s="9" t="str">
        <f t="shared" si="122"/>
        <v>NO</v>
      </c>
      <c r="Q2537" s="9" t="str">
        <f t="shared" si="123"/>
        <v>Conditioned</v>
      </c>
    </row>
    <row r="2538" spans="1:17">
      <c r="A2538" s="9">
        <v>24706</v>
      </c>
      <c r="B2538" s="9">
        <v>1</v>
      </c>
      <c r="C2538" s="9" t="s">
        <v>1589</v>
      </c>
      <c r="D2538" s="9" t="s">
        <v>1590</v>
      </c>
      <c r="E2538" s="9" t="s">
        <v>1591</v>
      </c>
      <c r="F2538" s="9" t="s">
        <v>1589</v>
      </c>
      <c r="G2538" s="9" t="s">
        <v>1592</v>
      </c>
      <c r="H2538" s="9" t="s">
        <v>1805</v>
      </c>
      <c r="I2538" s="9" t="s">
        <v>3911</v>
      </c>
      <c r="J2538" s="9" t="s">
        <v>1597</v>
      </c>
      <c r="K2538" s="9">
        <v>1</v>
      </c>
      <c r="L2538" s="9">
        <v>16</v>
      </c>
      <c r="M2538" s="9">
        <v>1997</v>
      </c>
      <c r="O2538" s="9" t="str">
        <f t="shared" si="121"/>
        <v>NO</v>
      </c>
      <c r="P2538" s="9" t="str">
        <f t="shared" si="122"/>
        <v>NO</v>
      </c>
      <c r="Q2538" s="9" t="str">
        <f t="shared" si="123"/>
        <v>Conditioned</v>
      </c>
    </row>
    <row r="2539" spans="1:17">
      <c r="A2539" s="9">
        <v>24713</v>
      </c>
      <c r="B2539" s="9">
        <v>1</v>
      </c>
      <c r="C2539" s="9" t="s">
        <v>1589</v>
      </c>
      <c r="D2539" s="9" t="s">
        <v>1590</v>
      </c>
      <c r="E2539" s="9" t="s">
        <v>1591</v>
      </c>
      <c r="F2539" s="9" t="s">
        <v>1589</v>
      </c>
      <c r="G2539" s="9" t="s">
        <v>1592</v>
      </c>
      <c r="H2539" s="9" t="s">
        <v>174</v>
      </c>
      <c r="I2539" s="9" t="s">
        <v>3912</v>
      </c>
      <c r="J2539" s="9" t="s">
        <v>1608</v>
      </c>
      <c r="K2539" s="9">
        <v>1</v>
      </c>
      <c r="L2539" s="9">
        <v>18</v>
      </c>
      <c r="M2539" s="9">
        <v>1996</v>
      </c>
      <c r="O2539" s="9" t="str">
        <f t="shared" si="121"/>
        <v>NO</v>
      </c>
      <c r="P2539" s="9" t="str">
        <f t="shared" si="122"/>
        <v>NO</v>
      </c>
      <c r="Q2539" s="9" t="str">
        <f t="shared" si="123"/>
        <v>Conditioned</v>
      </c>
    </row>
    <row r="2540" spans="1:17">
      <c r="A2540" s="9">
        <v>24713</v>
      </c>
      <c r="B2540" s="9">
        <v>2</v>
      </c>
      <c r="C2540" s="9" t="s">
        <v>1589</v>
      </c>
      <c r="D2540" s="9" t="s">
        <v>1590</v>
      </c>
      <c r="E2540" s="9" t="s">
        <v>1591</v>
      </c>
      <c r="F2540" s="9" t="s">
        <v>1589</v>
      </c>
      <c r="G2540" s="9" t="s">
        <v>1592</v>
      </c>
      <c r="H2540" s="9" t="s">
        <v>169</v>
      </c>
      <c r="I2540" s="9" t="s">
        <v>3913</v>
      </c>
      <c r="J2540" s="9" t="s">
        <v>1597</v>
      </c>
      <c r="K2540" s="9">
        <v>1</v>
      </c>
      <c r="L2540" s="9">
        <v>17</v>
      </c>
      <c r="M2540" s="9">
        <v>2004</v>
      </c>
      <c r="O2540" s="9" t="str">
        <f t="shared" si="121"/>
        <v>NO</v>
      </c>
      <c r="P2540" s="9" t="str">
        <f t="shared" si="122"/>
        <v>NO</v>
      </c>
      <c r="Q2540" s="9" t="str">
        <f t="shared" si="123"/>
        <v>Conditioned</v>
      </c>
    </row>
    <row r="2541" spans="1:17">
      <c r="A2541" s="9">
        <v>24713</v>
      </c>
      <c r="B2541" s="9">
        <v>3</v>
      </c>
      <c r="C2541" s="9" t="s">
        <v>1589</v>
      </c>
      <c r="D2541" s="9" t="s">
        <v>1590</v>
      </c>
      <c r="E2541" s="9" t="s">
        <v>1591</v>
      </c>
      <c r="F2541" s="9" t="s">
        <v>1589</v>
      </c>
      <c r="G2541" s="9" t="s">
        <v>1606</v>
      </c>
      <c r="H2541" s="9" t="s">
        <v>177</v>
      </c>
      <c r="I2541" s="9" t="s">
        <v>3914</v>
      </c>
      <c r="J2541" s="9" t="s">
        <v>1605</v>
      </c>
      <c r="K2541" s="9">
        <v>1</v>
      </c>
      <c r="L2541" s="9">
        <v>20</v>
      </c>
      <c r="M2541" s="9">
        <v>2006</v>
      </c>
      <c r="O2541" s="9" t="str">
        <f t="shared" si="121"/>
        <v>NO</v>
      </c>
      <c r="P2541" s="9" t="str">
        <f t="shared" si="122"/>
        <v>YES</v>
      </c>
      <c r="Q2541" s="9" t="str">
        <f t="shared" si="123"/>
        <v>Unconditioned</v>
      </c>
    </row>
    <row r="2542" spans="1:17">
      <c r="A2542" s="9">
        <v>24713</v>
      </c>
      <c r="B2542" s="9">
        <v>4</v>
      </c>
      <c r="C2542" s="9" t="s">
        <v>1589</v>
      </c>
      <c r="D2542" s="9" t="s">
        <v>1590</v>
      </c>
      <c r="E2542" s="9" t="s">
        <v>1591</v>
      </c>
      <c r="F2542" s="9" t="s">
        <v>1589</v>
      </c>
      <c r="G2542" s="9" t="s">
        <v>1606</v>
      </c>
      <c r="H2542" s="9" t="s">
        <v>1589</v>
      </c>
      <c r="I2542" s="9" t="s">
        <v>1589</v>
      </c>
      <c r="J2542" s="9" t="s">
        <v>1587</v>
      </c>
      <c r="K2542" s="9">
        <v>1</v>
      </c>
      <c r="L2542" s="9">
        <v>20</v>
      </c>
      <c r="M2542" s="9">
        <v>1971</v>
      </c>
      <c r="O2542" s="9" t="str">
        <f t="shared" si="121"/>
        <v>NO</v>
      </c>
      <c r="P2542" s="9" t="str">
        <f t="shared" si="122"/>
        <v>YES</v>
      </c>
      <c r="Q2542" s="9" t="str">
        <f t="shared" si="123"/>
        <v>Unconditioned</v>
      </c>
    </row>
    <row r="2543" spans="1:17">
      <c r="A2543" s="9">
        <v>24733</v>
      </c>
      <c r="B2543" s="9">
        <v>1</v>
      </c>
      <c r="C2543" s="9" t="s">
        <v>1589</v>
      </c>
      <c r="D2543" s="9" t="s">
        <v>1590</v>
      </c>
      <c r="E2543" s="9" t="s">
        <v>1613</v>
      </c>
      <c r="F2543" s="9" t="s">
        <v>1603</v>
      </c>
      <c r="G2543" s="9" t="s">
        <v>1592</v>
      </c>
      <c r="H2543" s="9" t="s">
        <v>1638</v>
      </c>
      <c r="I2543" s="9" t="s">
        <v>3915</v>
      </c>
      <c r="J2543" s="9" t="s">
        <v>1597</v>
      </c>
      <c r="K2543" s="9">
        <v>1</v>
      </c>
      <c r="L2543" s="9">
        <v>18</v>
      </c>
      <c r="M2543" s="9">
        <v>2000</v>
      </c>
      <c r="O2543" s="9" t="str">
        <f t="shared" si="121"/>
        <v>NO</v>
      </c>
      <c r="P2543" s="9" t="str">
        <f t="shared" si="122"/>
        <v>NO</v>
      </c>
      <c r="Q2543" s="9" t="str">
        <f t="shared" si="123"/>
        <v>Conditioned</v>
      </c>
    </row>
    <row r="2544" spans="1:17">
      <c r="A2544" s="9">
        <v>24740</v>
      </c>
      <c r="B2544" s="9">
        <v>1</v>
      </c>
      <c r="C2544" s="9" t="s">
        <v>1589</v>
      </c>
      <c r="D2544" s="9" t="s">
        <v>1590</v>
      </c>
      <c r="E2544" s="9" t="s">
        <v>1613</v>
      </c>
      <c r="F2544" s="9" t="s">
        <v>1603</v>
      </c>
      <c r="G2544" s="9" t="s">
        <v>1592</v>
      </c>
      <c r="H2544" s="9" t="s">
        <v>174</v>
      </c>
      <c r="I2544" s="9" t="s">
        <v>3916</v>
      </c>
      <c r="J2544" s="9" t="s">
        <v>1608</v>
      </c>
      <c r="K2544" s="9">
        <v>1</v>
      </c>
      <c r="L2544" s="9">
        <v>26</v>
      </c>
      <c r="M2544" s="9">
        <v>2008</v>
      </c>
      <c r="O2544" s="9" t="str">
        <f t="shared" si="121"/>
        <v>NO</v>
      </c>
      <c r="P2544" s="9" t="str">
        <f t="shared" si="122"/>
        <v>NO</v>
      </c>
      <c r="Q2544" s="9" t="str">
        <f t="shared" si="123"/>
        <v>Conditioned</v>
      </c>
    </row>
    <row r="2545" spans="1:17">
      <c r="A2545" s="9">
        <v>24740</v>
      </c>
      <c r="B2545" s="9">
        <v>2</v>
      </c>
      <c r="C2545" s="9" t="s">
        <v>1589</v>
      </c>
      <c r="D2545" s="9" t="s">
        <v>1590</v>
      </c>
      <c r="E2545" s="9" t="s">
        <v>1591</v>
      </c>
      <c r="F2545" s="9" t="s">
        <v>1589</v>
      </c>
      <c r="G2545" s="9" t="s">
        <v>1606</v>
      </c>
      <c r="H2545" s="9" t="s">
        <v>177</v>
      </c>
      <c r="I2545" s="9" t="s">
        <v>2824</v>
      </c>
      <c r="J2545" s="9" t="s">
        <v>1597</v>
      </c>
      <c r="K2545" s="9">
        <v>1</v>
      </c>
      <c r="L2545" s="9">
        <v>26</v>
      </c>
      <c r="M2545" s="9">
        <v>2007</v>
      </c>
      <c r="O2545" s="9" t="str">
        <f t="shared" si="121"/>
        <v>NO</v>
      </c>
      <c r="P2545" s="9" t="str">
        <f t="shared" si="122"/>
        <v>NO</v>
      </c>
      <c r="Q2545" s="9" t="str">
        <f t="shared" si="123"/>
        <v>Unconditioned</v>
      </c>
    </row>
    <row r="2546" spans="1:17">
      <c r="A2546" s="9">
        <v>24765</v>
      </c>
      <c r="B2546" s="9">
        <v>1</v>
      </c>
      <c r="C2546" s="9" t="s">
        <v>1589</v>
      </c>
      <c r="D2546" s="9" t="s">
        <v>1590</v>
      </c>
      <c r="E2546" s="9" t="s">
        <v>1602</v>
      </c>
      <c r="F2546" s="9" t="s">
        <v>1590</v>
      </c>
      <c r="G2546" s="9" t="s">
        <v>1592</v>
      </c>
      <c r="H2546" s="9" t="s">
        <v>173</v>
      </c>
      <c r="I2546" s="9" t="s">
        <v>3917</v>
      </c>
      <c r="J2546" s="9" t="s">
        <v>1601</v>
      </c>
      <c r="K2546" s="9">
        <v>1</v>
      </c>
      <c r="L2546" s="9">
        <v>24</v>
      </c>
      <c r="M2546" s="9">
        <v>2004</v>
      </c>
      <c r="O2546" s="9" t="str">
        <f t="shared" si="121"/>
        <v>NO</v>
      </c>
      <c r="P2546" s="9" t="str">
        <f t="shared" si="122"/>
        <v>NO</v>
      </c>
      <c r="Q2546" s="9" t="str">
        <f t="shared" si="123"/>
        <v>Conditioned</v>
      </c>
    </row>
    <row r="2547" spans="1:17">
      <c r="A2547" s="9">
        <v>24770</v>
      </c>
      <c r="B2547" s="9">
        <v>1</v>
      </c>
      <c r="C2547" s="9" t="s">
        <v>1589</v>
      </c>
      <c r="D2547" s="9" t="s">
        <v>1590</v>
      </c>
      <c r="E2547" s="9" t="s">
        <v>1602</v>
      </c>
      <c r="F2547" s="9" t="s">
        <v>1603</v>
      </c>
      <c r="G2547" s="9" t="s">
        <v>1592</v>
      </c>
      <c r="H2547" s="9" t="s">
        <v>169</v>
      </c>
      <c r="I2547" s="9" t="s">
        <v>3918</v>
      </c>
      <c r="J2547" s="9" t="s">
        <v>1601</v>
      </c>
      <c r="K2547" s="9">
        <v>1</v>
      </c>
      <c r="L2547" s="9">
        <v>26</v>
      </c>
      <c r="M2547" s="9">
        <v>2007</v>
      </c>
      <c r="O2547" s="9" t="str">
        <f t="shared" si="121"/>
        <v>NO</v>
      </c>
      <c r="P2547" s="9" t="str">
        <f t="shared" si="122"/>
        <v>NO</v>
      </c>
      <c r="Q2547" s="9" t="str">
        <f t="shared" si="123"/>
        <v>Conditioned</v>
      </c>
    </row>
    <row r="2548" spans="1:17">
      <c r="A2548" s="9">
        <v>24770</v>
      </c>
      <c r="B2548" s="9">
        <v>2</v>
      </c>
      <c r="C2548" s="9" t="s">
        <v>1589</v>
      </c>
      <c r="D2548" s="9" t="s">
        <v>1590</v>
      </c>
      <c r="E2548" s="9" t="s">
        <v>1591</v>
      </c>
      <c r="F2548" s="9" t="s">
        <v>1589</v>
      </c>
      <c r="G2548" s="9" t="s">
        <v>1606</v>
      </c>
      <c r="H2548" s="9" t="s">
        <v>169</v>
      </c>
      <c r="I2548" s="9" t="s">
        <v>2186</v>
      </c>
      <c r="J2548" s="9" t="s">
        <v>1605</v>
      </c>
      <c r="K2548" s="9">
        <v>1</v>
      </c>
      <c r="L2548" s="9">
        <v>14</v>
      </c>
      <c r="M2548" s="9">
        <v>2008</v>
      </c>
      <c r="O2548" s="9" t="str">
        <f t="shared" si="121"/>
        <v>NO</v>
      </c>
      <c r="P2548" s="9" t="str">
        <f t="shared" si="122"/>
        <v>YES</v>
      </c>
      <c r="Q2548" s="9" t="str">
        <f t="shared" si="123"/>
        <v>Unconditioned</v>
      </c>
    </row>
    <row r="2549" spans="1:17">
      <c r="A2549" s="9">
        <v>24781</v>
      </c>
      <c r="B2549" s="9">
        <v>1</v>
      </c>
      <c r="C2549" s="9" t="s">
        <v>1589</v>
      </c>
      <c r="D2549" s="9" t="s">
        <v>1590</v>
      </c>
      <c r="E2549" s="9" t="s">
        <v>1591</v>
      </c>
      <c r="F2549" s="9" t="s">
        <v>1589</v>
      </c>
      <c r="G2549" s="9" t="s">
        <v>1592</v>
      </c>
      <c r="H2549" s="9" t="s">
        <v>170</v>
      </c>
      <c r="I2549" s="9" t="s">
        <v>3919</v>
      </c>
      <c r="J2549" s="9" t="s">
        <v>1605</v>
      </c>
      <c r="K2549" s="9">
        <v>1</v>
      </c>
      <c r="L2549" s="9">
        <v>19</v>
      </c>
      <c r="M2549" s="9">
        <v>1991</v>
      </c>
      <c r="O2549" s="9" t="str">
        <f t="shared" si="121"/>
        <v>NO</v>
      </c>
      <c r="P2549" s="9" t="str">
        <f t="shared" si="122"/>
        <v>YES</v>
      </c>
      <c r="Q2549" s="9" t="str">
        <f t="shared" si="123"/>
        <v>Conditioned</v>
      </c>
    </row>
    <row r="2550" spans="1:17">
      <c r="A2550" s="9">
        <v>24781</v>
      </c>
      <c r="B2550" s="9">
        <v>2</v>
      </c>
      <c r="C2550" s="9" t="s">
        <v>1589</v>
      </c>
      <c r="D2550" s="9" t="s">
        <v>1590</v>
      </c>
      <c r="E2550" s="9" t="s">
        <v>1591</v>
      </c>
      <c r="F2550" s="9" t="s">
        <v>1589</v>
      </c>
      <c r="G2550" s="9" t="s">
        <v>1592</v>
      </c>
      <c r="H2550" s="9" t="s">
        <v>1599</v>
      </c>
      <c r="I2550" s="9" t="s">
        <v>3920</v>
      </c>
      <c r="J2550" s="9" t="s">
        <v>1597</v>
      </c>
      <c r="K2550" s="9">
        <v>1</v>
      </c>
      <c r="L2550" s="9">
        <v>25</v>
      </c>
      <c r="M2550" s="9">
        <v>1993</v>
      </c>
      <c r="O2550" s="9" t="str">
        <f t="shared" si="121"/>
        <v>NO</v>
      </c>
      <c r="P2550" s="9" t="str">
        <f t="shared" si="122"/>
        <v>NO</v>
      </c>
      <c r="Q2550" s="9" t="str">
        <f t="shared" si="123"/>
        <v>Conditioned</v>
      </c>
    </row>
    <row r="2551" spans="1:17">
      <c r="A2551" s="9">
        <v>24785</v>
      </c>
      <c r="B2551" s="9">
        <v>1</v>
      </c>
      <c r="C2551" s="9" t="s">
        <v>1589</v>
      </c>
      <c r="D2551" s="9" t="s">
        <v>1590</v>
      </c>
      <c r="E2551" s="9" t="s">
        <v>1591</v>
      </c>
      <c r="F2551" s="9" t="s">
        <v>1589</v>
      </c>
      <c r="G2551" s="9" t="s">
        <v>1592</v>
      </c>
      <c r="H2551" s="9" t="s">
        <v>1638</v>
      </c>
      <c r="I2551" s="9" t="s">
        <v>3921</v>
      </c>
      <c r="J2551" s="9" t="s">
        <v>1597</v>
      </c>
      <c r="K2551" s="9">
        <v>1</v>
      </c>
      <c r="L2551" s="9">
        <v>21</v>
      </c>
      <c r="M2551" s="9">
        <v>2007</v>
      </c>
      <c r="O2551" s="9" t="str">
        <f t="shared" si="121"/>
        <v>NO</v>
      </c>
      <c r="P2551" s="9" t="str">
        <f t="shared" si="122"/>
        <v>NO</v>
      </c>
      <c r="Q2551" s="9" t="str">
        <f t="shared" si="123"/>
        <v>Conditioned</v>
      </c>
    </row>
    <row r="2552" spans="1:17">
      <c r="A2552" s="9">
        <v>24790</v>
      </c>
      <c r="B2552" s="9">
        <v>1</v>
      </c>
      <c r="C2552" s="9" t="s">
        <v>1589</v>
      </c>
      <c r="D2552" s="9" t="s">
        <v>1603</v>
      </c>
      <c r="E2552" s="9" t="s">
        <v>1602</v>
      </c>
      <c r="F2552" s="9" t="s">
        <v>1603</v>
      </c>
      <c r="G2552" s="9" t="s">
        <v>1592</v>
      </c>
      <c r="H2552" s="9" t="s">
        <v>176</v>
      </c>
      <c r="I2552" s="9" t="s">
        <v>3922</v>
      </c>
      <c r="J2552" s="9" t="s">
        <v>1608</v>
      </c>
      <c r="K2552" s="9">
        <v>1</v>
      </c>
      <c r="L2552" s="9">
        <v>28</v>
      </c>
      <c r="M2552" s="9">
        <v>2009</v>
      </c>
      <c r="O2552" s="9" t="str">
        <f t="shared" si="121"/>
        <v>NO</v>
      </c>
      <c r="P2552" s="9" t="str">
        <f t="shared" si="122"/>
        <v>NO</v>
      </c>
      <c r="Q2552" s="9" t="str">
        <f t="shared" si="123"/>
        <v>Conditioned</v>
      </c>
    </row>
    <row r="2553" spans="1:17">
      <c r="A2553" s="9">
        <v>24790</v>
      </c>
      <c r="B2553" s="9">
        <v>2</v>
      </c>
      <c r="C2553" s="9" t="s">
        <v>1589</v>
      </c>
      <c r="D2553" s="9" t="s">
        <v>1590</v>
      </c>
      <c r="E2553" s="9" t="s">
        <v>1591</v>
      </c>
      <c r="F2553" s="9" t="s">
        <v>1589</v>
      </c>
      <c r="G2553" s="9" t="s">
        <v>1606</v>
      </c>
      <c r="H2553" s="9" t="s">
        <v>1624</v>
      </c>
      <c r="I2553" s="9" t="s">
        <v>1589</v>
      </c>
      <c r="J2553" s="9" t="s">
        <v>1587</v>
      </c>
      <c r="K2553" s="9">
        <v>1</v>
      </c>
      <c r="L2553" s="9">
        <v>30</v>
      </c>
      <c r="M2553" s="9">
        <v>1980</v>
      </c>
      <c r="O2553" s="9" t="str">
        <f t="shared" si="121"/>
        <v>NO</v>
      </c>
      <c r="P2553" s="9" t="str">
        <f t="shared" si="122"/>
        <v>YES</v>
      </c>
      <c r="Q2553" s="9" t="str">
        <f t="shared" si="123"/>
        <v>Unconditioned</v>
      </c>
    </row>
    <row r="2554" spans="1:17">
      <c r="A2554" s="9">
        <v>24790</v>
      </c>
      <c r="B2554" s="9">
        <v>3</v>
      </c>
      <c r="C2554" s="9" t="s">
        <v>1589</v>
      </c>
      <c r="D2554" s="9" t="s">
        <v>1590</v>
      </c>
      <c r="E2554" s="9" t="s">
        <v>1591</v>
      </c>
      <c r="F2554" s="9" t="s">
        <v>1589</v>
      </c>
      <c r="G2554" s="9" t="s">
        <v>1606</v>
      </c>
      <c r="H2554" s="9" t="s">
        <v>169</v>
      </c>
      <c r="I2554" s="9" t="s">
        <v>3923</v>
      </c>
      <c r="J2554" s="9" t="s">
        <v>1605</v>
      </c>
      <c r="K2554" s="9">
        <v>1</v>
      </c>
      <c r="L2554" s="9">
        <v>22</v>
      </c>
      <c r="M2554" s="9">
        <v>2001</v>
      </c>
      <c r="O2554" s="9" t="str">
        <f t="shared" si="121"/>
        <v>NO</v>
      </c>
      <c r="P2554" s="9" t="str">
        <f t="shared" si="122"/>
        <v>YES</v>
      </c>
      <c r="Q2554" s="9" t="str">
        <f t="shared" si="123"/>
        <v>Unconditioned</v>
      </c>
    </row>
    <row r="2555" spans="1:17">
      <c r="A2555" s="9">
        <v>24790</v>
      </c>
      <c r="B2555" s="9">
        <v>4</v>
      </c>
      <c r="C2555" s="9" t="s">
        <v>1589</v>
      </c>
      <c r="D2555" s="9" t="s">
        <v>1590</v>
      </c>
      <c r="E2555" s="9" t="s">
        <v>1602</v>
      </c>
      <c r="F2555" s="9" t="s">
        <v>1603</v>
      </c>
      <c r="G2555" s="9" t="s">
        <v>1606</v>
      </c>
      <c r="H2555" s="9" t="s">
        <v>1599</v>
      </c>
      <c r="I2555" s="9" t="s">
        <v>3924</v>
      </c>
      <c r="J2555" s="9" t="s">
        <v>1597</v>
      </c>
      <c r="K2555" s="9">
        <v>1</v>
      </c>
      <c r="L2555" s="9">
        <v>22</v>
      </c>
      <c r="M2555" s="9">
        <v>1996</v>
      </c>
      <c r="O2555" s="9" t="str">
        <f t="shared" si="121"/>
        <v>NO</v>
      </c>
      <c r="P2555" s="9" t="str">
        <f t="shared" si="122"/>
        <v>NO</v>
      </c>
      <c r="Q2555" s="9" t="str">
        <f t="shared" si="123"/>
        <v>Unconditioned</v>
      </c>
    </row>
    <row r="2556" spans="1:17">
      <c r="A2556" s="9">
        <v>24795</v>
      </c>
      <c r="B2556" s="9">
        <v>1</v>
      </c>
      <c r="C2556" s="9" t="s">
        <v>1589</v>
      </c>
      <c r="D2556" s="9" t="s">
        <v>1590</v>
      </c>
      <c r="E2556" s="9" t="s">
        <v>1591</v>
      </c>
      <c r="F2556" s="9" t="s">
        <v>1589</v>
      </c>
      <c r="G2556" s="9" t="s">
        <v>1592</v>
      </c>
      <c r="H2556" s="9" t="s">
        <v>177</v>
      </c>
      <c r="I2556" s="9" t="s">
        <v>3925</v>
      </c>
      <c r="J2556" s="9" t="s">
        <v>1605</v>
      </c>
      <c r="K2556" s="9">
        <v>1</v>
      </c>
      <c r="L2556" s="9">
        <v>30</v>
      </c>
      <c r="M2556" s="9">
        <v>2008</v>
      </c>
      <c r="O2556" s="9" t="str">
        <f t="shared" si="121"/>
        <v>NO</v>
      </c>
      <c r="P2556" s="9" t="str">
        <f t="shared" si="122"/>
        <v>YES</v>
      </c>
      <c r="Q2556" s="9" t="str">
        <f t="shared" si="123"/>
        <v>Conditioned</v>
      </c>
    </row>
    <row r="2557" spans="1:17">
      <c r="A2557" s="9">
        <v>24795</v>
      </c>
      <c r="B2557" s="9">
        <v>2</v>
      </c>
      <c r="C2557" s="9" t="s">
        <v>1589</v>
      </c>
      <c r="D2557" s="9" t="s">
        <v>1590</v>
      </c>
      <c r="E2557" s="9" t="s">
        <v>1591</v>
      </c>
      <c r="F2557" s="9" t="s">
        <v>1589</v>
      </c>
      <c r="G2557" s="9" t="s">
        <v>1592</v>
      </c>
      <c r="H2557" s="9" t="s">
        <v>177</v>
      </c>
      <c r="I2557" s="9" t="s">
        <v>3926</v>
      </c>
      <c r="J2557" s="9" t="s">
        <v>1612</v>
      </c>
      <c r="K2557" s="9">
        <v>1</v>
      </c>
      <c r="L2557" s="9">
        <v>30</v>
      </c>
      <c r="M2557" s="9">
        <v>2008</v>
      </c>
      <c r="O2557" s="9" t="str">
        <f t="shared" si="121"/>
        <v>NO</v>
      </c>
      <c r="P2557" s="9" t="str">
        <f t="shared" si="122"/>
        <v>NO</v>
      </c>
      <c r="Q2557" s="9" t="str">
        <f t="shared" si="123"/>
        <v>Conditioned</v>
      </c>
    </row>
    <row r="2558" spans="1:17">
      <c r="A2558" s="9">
        <v>24795</v>
      </c>
      <c r="B2558" s="9">
        <v>3</v>
      </c>
      <c r="C2558" s="9" t="s">
        <v>3927</v>
      </c>
      <c r="D2558" s="9" t="s">
        <v>1590</v>
      </c>
      <c r="E2558" s="9" t="s">
        <v>1591</v>
      </c>
      <c r="F2558" s="9" t="s">
        <v>1589</v>
      </c>
      <c r="G2558" s="9" t="s">
        <v>1592</v>
      </c>
      <c r="H2558" s="9" t="s">
        <v>1632</v>
      </c>
      <c r="I2558" s="9" t="s">
        <v>1589</v>
      </c>
      <c r="J2558" s="9" t="s">
        <v>1612</v>
      </c>
      <c r="K2558" s="9">
        <v>1</v>
      </c>
      <c r="L2558" s="9">
        <v>12</v>
      </c>
      <c r="O2558" s="9" t="str">
        <f t="shared" si="121"/>
        <v>NO</v>
      </c>
      <c r="P2558" s="9" t="str">
        <f t="shared" si="122"/>
        <v>NO</v>
      </c>
      <c r="Q2558" s="9" t="str">
        <f t="shared" si="123"/>
        <v>Conditioned</v>
      </c>
    </row>
    <row r="2559" spans="1:17">
      <c r="A2559" s="9">
        <v>24807</v>
      </c>
      <c r="B2559" s="9">
        <v>1</v>
      </c>
      <c r="C2559" s="9" t="s">
        <v>1589</v>
      </c>
      <c r="D2559" s="9" t="s">
        <v>1590</v>
      </c>
      <c r="E2559" s="9" t="s">
        <v>1613</v>
      </c>
      <c r="F2559" s="9" t="s">
        <v>1603</v>
      </c>
      <c r="G2559" s="9" t="s">
        <v>1592</v>
      </c>
      <c r="H2559" s="9" t="s">
        <v>170</v>
      </c>
      <c r="I2559" s="9" t="s">
        <v>3928</v>
      </c>
      <c r="J2559" s="9" t="s">
        <v>1597</v>
      </c>
      <c r="K2559" s="9">
        <v>1</v>
      </c>
      <c r="L2559" s="9">
        <v>28</v>
      </c>
      <c r="M2559" s="9">
        <v>1994</v>
      </c>
      <c r="O2559" s="9" t="str">
        <f t="shared" si="121"/>
        <v>NO</v>
      </c>
      <c r="P2559" s="9" t="str">
        <f t="shared" si="122"/>
        <v>NO</v>
      </c>
      <c r="Q2559" s="9" t="str">
        <f t="shared" si="123"/>
        <v>Conditioned</v>
      </c>
    </row>
    <row r="2560" spans="1:17">
      <c r="A2560" s="9">
        <v>24808</v>
      </c>
      <c r="B2560" s="9">
        <v>1</v>
      </c>
      <c r="C2560" s="9" t="s">
        <v>1589</v>
      </c>
      <c r="D2560" s="9" t="s">
        <v>1590</v>
      </c>
      <c r="E2560" s="9" t="s">
        <v>1602</v>
      </c>
      <c r="F2560" s="9" t="s">
        <v>1603</v>
      </c>
      <c r="G2560" s="9" t="s">
        <v>1592</v>
      </c>
      <c r="H2560" s="9" t="s">
        <v>170</v>
      </c>
      <c r="I2560" s="9" t="s">
        <v>2017</v>
      </c>
      <c r="J2560" s="9" t="s">
        <v>1601</v>
      </c>
      <c r="K2560" s="9">
        <v>1</v>
      </c>
      <c r="L2560" s="9">
        <v>21</v>
      </c>
      <c r="M2560" s="9">
        <v>2004</v>
      </c>
      <c r="O2560" s="9" t="str">
        <f t="shared" si="121"/>
        <v>NO</v>
      </c>
      <c r="P2560" s="9" t="str">
        <f t="shared" si="122"/>
        <v>NO</v>
      </c>
      <c r="Q2560" s="9" t="str">
        <f t="shared" si="123"/>
        <v>Conditioned</v>
      </c>
    </row>
    <row r="2561" spans="1:17">
      <c r="A2561" s="9">
        <v>24816</v>
      </c>
      <c r="B2561" s="9">
        <v>1</v>
      </c>
      <c r="C2561" s="9" t="s">
        <v>1589</v>
      </c>
      <c r="D2561" s="9" t="s">
        <v>1590</v>
      </c>
      <c r="E2561" s="9" t="s">
        <v>1591</v>
      </c>
      <c r="F2561" s="9" t="s">
        <v>1589</v>
      </c>
      <c r="G2561" s="9" t="s">
        <v>1592</v>
      </c>
      <c r="H2561" s="9" t="s">
        <v>174</v>
      </c>
      <c r="I2561" s="9" t="s">
        <v>3929</v>
      </c>
      <c r="J2561" s="9" t="s">
        <v>1608</v>
      </c>
      <c r="K2561" s="9">
        <v>1</v>
      </c>
      <c r="L2561" s="9">
        <v>23</v>
      </c>
      <c r="M2561" s="9">
        <v>2010</v>
      </c>
      <c r="O2561" s="9" t="str">
        <f t="shared" si="121"/>
        <v>NO</v>
      </c>
      <c r="P2561" s="9" t="str">
        <f t="shared" si="122"/>
        <v>NO</v>
      </c>
      <c r="Q2561" s="9" t="str">
        <f t="shared" si="123"/>
        <v>Conditioned</v>
      </c>
    </row>
    <row r="2562" spans="1:17">
      <c r="A2562" s="9">
        <v>24816</v>
      </c>
      <c r="B2562" s="9">
        <v>2</v>
      </c>
      <c r="C2562" s="9" t="s">
        <v>1589</v>
      </c>
      <c r="D2562" s="9" t="s">
        <v>1590</v>
      </c>
      <c r="E2562" s="9" t="s">
        <v>1591</v>
      </c>
      <c r="F2562" s="9" t="s">
        <v>1589</v>
      </c>
      <c r="G2562" s="9" t="s">
        <v>1592</v>
      </c>
      <c r="H2562" s="9" t="s">
        <v>1638</v>
      </c>
      <c r="I2562" s="9" t="s">
        <v>1589</v>
      </c>
      <c r="J2562" s="9" t="s">
        <v>1605</v>
      </c>
      <c r="K2562" s="9">
        <v>1</v>
      </c>
      <c r="L2562" s="9">
        <v>14</v>
      </c>
      <c r="M2562" s="9">
        <v>2010</v>
      </c>
      <c r="O2562" s="9" t="str">
        <f t="shared" si="121"/>
        <v>NO</v>
      </c>
      <c r="P2562" s="9" t="str">
        <f t="shared" si="122"/>
        <v>YES</v>
      </c>
      <c r="Q2562" s="9" t="str">
        <f t="shared" si="123"/>
        <v>Conditioned</v>
      </c>
    </row>
    <row r="2563" spans="1:17">
      <c r="A2563" s="9">
        <v>24822</v>
      </c>
      <c r="B2563" s="9">
        <v>1</v>
      </c>
      <c r="C2563" s="9" t="s">
        <v>1589</v>
      </c>
      <c r="D2563" s="9" t="s">
        <v>1590</v>
      </c>
      <c r="E2563" s="9" t="s">
        <v>1591</v>
      </c>
      <c r="F2563" s="9" t="s">
        <v>1589</v>
      </c>
      <c r="G2563" s="9" t="s">
        <v>1592</v>
      </c>
      <c r="H2563" s="9" t="s">
        <v>1632</v>
      </c>
      <c r="I2563" s="9" t="s">
        <v>2898</v>
      </c>
      <c r="J2563" s="9" t="s">
        <v>1597</v>
      </c>
      <c r="K2563" s="9">
        <v>1</v>
      </c>
      <c r="L2563" s="9">
        <v>19</v>
      </c>
      <c r="M2563" s="9">
        <v>1993</v>
      </c>
      <c r="O2563" s="9" t="str">
        <f t="shared" si="121"/>
        <v>NO</v>
      </c>
      <c r="P2563" s="9" t="str">
        <f t="shared" si="122"/>
        <v>NO</v>
      </c>
      <c r="Q2563" s="9" t="str">
        <f t="shared" si="123"/>
        <v>Conditioned</v>
      </c>
    </row>
    <row r="2564" spans="1:17">
      <c r="A2564" s="9">
        <v>24826</v>
      </c>
      <c r="B2564" s="9">
        <v>1</v>
      </c>
      <c r="C2564" s="9" t="s">
        <v>1589</v>
      </c>
      <c r="D2564" s="9" t="s">
        <v>1590</v>
      </c>
      <c r="E2564" s="9" t="s">
        <v>1591</v>
      </c>
      <c r="F2564" s="9" t="s">
        <v>1589</v>
      </c>
      <c r="G2564" s="9" t="s">
        <v>1606</v>
      </c>
      <c r="H2564" s="9" t="s">
        <v>177</v>
      </c>
      <c r="I2564" s="9" t="s">
        <v>3930</v>
      </c>
      <c r="J2564" s="9" t="s">
        <v>1608</v>
      </c>
      <c r="K2564" s="9">
        <v>1</v>
      </c>
      <c r="L2564" s="9">
        <v>22</v>
      </c>
      <c r="M2564" s="9">
        <v>1992</v>
      </c>
      <c r="O2564" s="9" t="str">
        <f t="shared" si="121"/>
        <v>NO</v>
      </c>
      <c r="P2564" s="9" t="str">
        <f t="shared" si="122"/>
        <v>NO</v>
      </c>
      <c r="Q2564" s="9" t="str">
        <f t="shared" si="123"/>
        <v>Unconditioned</v>
      </c>
    </row>
    <row r="2565" spans="1:17">
      <c r="A2565" s="9">
        <v>24826</v>
      </c>
      <c r="B2565" s="9">
        <v>2</v>
      </c>
      <c r="C2565" s="9" t="s">
        <v>1589</v>
      </c>
      <c r="D2565" s="9" t="s">
        <v>1590</v>
      </c>
      <c r="E2565" s="9" t="s">
        <v>1602</v>
      </c>
      <c r="F2565" s="9" t="s">
        <v>1603</v>
      </c>
      <c r="G2565" s="9" t="s">
        <v>1592</v>
      </c>
      <c r="H2565" s="9" t="s">
        <v>1599</v>
      </c>
      <c r="I2565" s="9" t="s">
        <v>3931</v>
      </c>
      <c r="J2565" s="9" t="s">
        <v>1608</v>
      </c>
      <c r="K2565" s="9">
        <v>1</v>
      </c>
      <c r="L2565" s="9">
        <v>27</v>
      </c>
      <c r="M2565" s="9">
        <v>2010</v>
      </c>
      <c r="O2565" s="9" t="str">
        <f t="shared" si="121"/>
        <v>NO</v>
      </c>
      <c r="P2565" s="9" t="str">
        <f t="shared" si="122"/>
        <v>NO</v>
      </c>
      <c r="Q2565" s="9" t="str">
        <f t="shared" si="123"/>
        <v>Conditioned</v>
      </c>
    </row>
    <row r="2566" spans="1:17">
      <c r="A2566" s="9">
        <v>24826</v>
      </c>
      <c r="B2566" s="9">
        <v>3</v>
      </c>
      <c r="C2566" s="9" t="s">
        <v>1589</v>
      </c>
      <c r="D2566" s="9" t="s">
        <v>1590</v>
      </c>
      <c r="E2566" s="9" t="s">
        <v>1591</v>
      </c>
      <c r="F2566" s="9" t="s">
        <v>1589</v>
      </c>
      <c r="G2566" s="9" t="s">
        <v>1606</v>
      </c>
      <c r="H2566" s="9" t="s">
        <v>181</v>
      </c>
      <c r="I2566" s="9" t="s">
        <v>3932</v>
      </c>
      <c r="J2566" s="9" t="s">
        <v>1612</v>
      </c>
      <c r="K2566" s="9">
        <v>1</v>
      </c>
      <c r="L2566" s="9">
        <v>5</v>
      </c>
      <c r="M2566" s="9">
        <v>2005</v>
      </c>
      <c r="O2566" s="9" t="str">
        <f t="shared" si="121"/>
        <v>YES</v>
      </c>
      <c r="P2566" s="9" t="str">
        <f t="shared" si="122"/>
        <v>NO</v>
      </c>
      <c r="Q2566" s="9" t="str">
        <f t="shared" si="123"/>
        <v>Unconditioned</v>
      </c>
    </row>
    <row r="2567" spans="1:17">
      <c r="A2567" s="9">
        <v>24826</v>
      </c>
      <c r="B2567" s="9">
        <v>4</v>
      </c>
      <c r="C2567" s="9" t="s">
        <v>1589</v>
      </c>
      <c r="D2567" s="9" t="s">
        <v>1590</v>
      </c>
      <c r="E2567" s="9" t="s">
        <v>1591</v>
      </c>
      <c r="F2567" s="9" t="s">
        <v>1589</v>
      </c>
      <c r="G2567" s="9" t="s">
        <v>1606</v>
      </c>
      <c r="H2567" s="9" t="s">
        <v>170</v>
      </c>
      <c r="I2567" s="9" t="s">
        <v>3933</v>
      </c>
      <c r="J2567" s="9" t="s">
        <v>1605</v>
      </c>
      <c r="K2567" s="9">
        <v>1</v>
      </c>
      <c r="L2567" s="9">
        <v>18</v>
      </c>
      <c r="M2567" s="9">
        <v>2010</v>
      </c>
      <c r="O2567" s="9" t="str">
        <f t="shared" si="121"/>
        <v>NO</v>
      </c>
      <c r="P2567" s="9" t="str">
        <f t="shared" si="122"/>
        <v>YES</v>
      </c>
      <c r="Q2567" s="9" t="str">
        <f t="shared" si="123"/>
        <v>Unconditioned</v>
      </c>
    </row>
    <row r="2568" spans="1:17">
      <c r="A2568" s="9">
        <v>24827</v>
      </c>
      <c r="B2568" s="9">
        <v>1</v>
      </c>
      <c r="C2568" s="9" t="s">
        <v>1589</v>
      </c>
      <c r="D2568" s="9" t="s">
        <v>1603</v>
      </c>
      <c r="E2568" s="9" t="s">
        <v>1602</v>
      </c>
      <c r="F2568" s="9" t="s">
        <v>1603</v>
      </c>
      <c r="G2568" s="9" t="s">
        <v>1592</v>
      </c>
      <c r="H2568" s="9" t="s">
        <v>634</v>
      </c>
      <c r="I2568" s="9" t="s">
        <v>3934</v>
      </c>
      <c r="J2568" s="9" t="s">
        <v>1601</v>
      </c>
      <c r="K2568" s="9">
        <v>1</v>
      </c>
      <c r="L2568" s="9">
        <v>23</v>
      </c>
      <c r="M2568" s="9">
        <v>2004</v>
      </c>
      <c r="O2568" s="9" t="str">
        <f t="shared" si="121"/>
        <v>NO</v>
      </c>
      <c r="P2568" s="9" t="str">
        <f t="shared" si="122"/>
        <v>NO</v>
      </c>
      <c r="Q2568" s="9" t="str">
        <f t="shared" si="123"/>
        <v>Conditioned</v>
      </c>
    </row>
    <row r="2569" spans="1:17">
      <c r="A2569" s="9">
        <v>24827</v>
      </c>
      <c r="B2569" s="9">
        <v>2</v>
      </c>
      <c r="C2569" s="9" t="s">
        <v>1589</v>
      </c>
      <c r="D2569" s="9" t="s">
        <v>1603</v>
      </c>
      <c r="E2569" s="9" t="s">
        <v>1613</v>
      </c>
      <c r="F2569" s="9" t="s">
        <v>1603</v>
      </c>
      <c r="G2569" s="9" t="s">
        <v>1592</v>
      </c>
      <c r="H2569" s="9" t="s">
        <v>634</v>
      </c>
      <c r="I2569" s="9" t="s">
        <v>3935</v>
      </c>
      <c r="J2569" s="9" t="s">
        <v>1597</v>
      </c>
      <c r="K2569" s="9">
        <v>1</v>
      </c>
      <c r="L2569" s="9">
        <v>26</v>
      </c>
      <c r="M2569" s="9">
        <v>2004</v>
      </c>
      <c r="O2569" s="9" t="str">
        <f t="shared" si="121"/>
        <v>NO</v>
      </c>
      <c r="P2569" s="9" t="str">
        <f t="shared" si="122"/>
        <v>NO</v>
      </c>
      <c r="Q2569" s="9" t="str">
        <f t="shared" si="123"/>
        <v>Conditioned</v>
      </c>
    </row>
    <row r="2570" spans="1:17">
      <c r="A2570" s="9">
        <v>24833</v>
      </c>
      <c r="B2570" s="9">
        <v>1</v>
      </c>
      <c r="C2570" s="9" t="s">
        <v>1589</v>
      </c>
      <c r="D2570" s="9" t="s">
        <v>1590</v>
      </c>
      <c r="E2570" s="9" t="s">
        <v>1591</v>
      </c>
      <c r="F2570" s="9" t="s">
        <v>1589</v>
      </c>
      <c r="G2570" s="9" t="s">
        <v>1592</v>
      </c>
      <c r="H2570" s="9" t="s">
        <v>170</v>
      </c>
      <c r="I2570" s="9" t="s">
        <v>3936</v>
      </c>
      <c r="J2570" s="9" t="s">
        <v>1597</v>
      </c>
      <c r="K2570" s="9">
        <v>1</v>
      </c>
      <c r="L2570" s="9">
        <v>22</v>
      </c>
      <c r="M2570" s="9">
        <v>1995</v>
      </c>
      <c r="O2570" s="9" t="str">
        <f t="shared" si="121"/>
        <v>NO</v>
      </c>
      <c r="P2570" s="9" t="str">
        <f t="shared" si="122"/>
        <v>NO</v>
      </c>
      <c r="Q2570" s="9" t="str">
        <f t="shared" si="123"/>
        <v>Conditioned</v>
      </c>
    </row>
    <row r="2571" spans="1:17">
      <c r="A2571" s="9">
        <v>24833</v>
      </c>
      <c r="B2571" s="9">
        <v>2</v>
      </c>
      <c r="C2571" s="9" t="s">
        <v>1589</v>
      </c>
      <c r="D2571" s="9" t="s">
        <v>1590</v>
      </c>
      <c r="E2571" s="9" t="s">
        <v>1591</v>
      </c>
      <c r="F2571" s="9" t="s">
        <v>1589</v>
      </c>
      <c r="G2571" s="9" t="s">
        <v>1606</v>
      </c>
      <c r="H2571" s="9" t="s">
        <v>2235</v>
      </c>
      <c r="I2571" s="9" t="s">
        <v>3937</v>
      </c>
      <c r="J2571" s="9" t="s">
        <v>1605</v>
      </c>
      <c r="K2571" s="9">
        <v>1</v>
      </c>
      <c r="L2571" s="9">
        <v>15</v>
      </c>
      <c r="M2571" s="9">
        <v>2002</v>
      </c>
      <c r="O2571" s="9" t="str">
        <f t="shared" si="121"/>
        <v>NO</v>
      </c>
      <c r="P2571" s="9" t="str">
        <f t="shared" si="122"/>
        <v>YES</v>
      </c>
      <c r="Q2571" s="9" t="str">
        <f t="shared" si="123"/>
        <v>Unconditioned</v>
      </c>
    </row>
    <row r="2572" spans="1:17">
      <c r="A2572" s="9">
        <v>24844</v>
      </c>
      <c r="B2572" s="9">
        <v>1</v>
      </c>
      <c r="C2572" s="9" t="s">
        <v>1589</v>
      </c>
      <c r="D2572" s="9" t="s">
        <v>1590</v>
      </c>
      <c r="E2572" s="9" t="s">
        <v>1613</v>
      </c>
      <c r="F2572" s="9" t="s">
        <v>1603</v>
      </c>
      <c r="G2572" s="9" t="s">
        <v>1592</v>
      </c>
      <c r="H2572" s="9" t="s">
        <v>172</v>
      </c>
      <c r="I2572" s="9" t="s">
        <v>3938</v>
      </c>
      <c r="J2572" s="9" t="s">
        <v>1597</v>
      </c>
      <c r="K2572" s="9">
        <v>1</v>
      </c>
      <c r="L2572" s="9">
        <v>16</v>
      </c>
      <c r="M2572" s="9">
        <v>2007</v>
      </c>
      <c r="O2572" s="9" t="str">
        <f t="shared" si="121"/>
        <v>NO</v>
      </c>
      <c r="P2572" s="9" t="str">
        <f t="shared" si="122"/>
        <v>NO</v>
      </c>
      <c r="Q2572" s="9" t="str">
        <f t="shared" si="123"/>
        <v>Conditioned</v>
      </c>
    </row>
    <row r="2573" spans="1:17">
      <c r="A2573" s="9">
        <v>24850</v>
      </c>
      <c r="B2573" s="9">
        <v>1</v>
      </c>
      <c r="C2573" s="9" t="s">
        <v>1589</v>
      </c>
      <c r="D2573" s="9" t="s">
        <v>1590</v>
      </c>
      <c r="E2573" s="9" t="s">
        <v>1613</v>
      </c>
      <c r="F2573" s="9" t="s">
        <v>1603</v>
      </c>
      <c r="G2573" s="9" t="s">
        <v>1592</v>
      </c>
      <c r="H2573" s="9" t="s">
        <v>1624</v>
      </c>
      <c r="I2573" s="9" t="s">
        <v>3939</v>
      </c>
      <c r="J2573" s="9" t="s">
        <v>1597</v>
      </c>
      <c r="K2573" s="9">
        <v>1</v>
      </c>
      <c r="L2573" s="9">
        <v>17</v>
      </c>
      <c r="M2573" s="9">
        <v>2008</v>
      </c>
      <c r="O2573" s="9" t="str">
        <f t="shared" si="121"/>
        <v>NO</v>
      </c>
      <c r="P2573" s="9" t="str">
        <f t="shared" si="122"/>
        <v>NO</v>
      </c>
      <c r="Q2573" s="9" t="str">
        <f t="shared" si="123"/>
        <v>Conditioned</v>
      </c>
    </row>
    <row r="2574" spans="1:17">
      <c r="A2574" s="9">
        <v>24850</v>
      </c>
      <c r="B2574" s="9">
        <v>2</v>
      </c>
      <c r="C2574" s="9" t="s">
        <v>1589</v>
      </c>
      <c r="D2574" s="9" t="s">
        <v>1590</v>
      </c>
      <c r="E2574" s="9" t="s">
        <v>1591</v>
      </c>
      <c r="F2574" s="9" t="s">
        <v>1589</v>
      </c>
      <c r="G2574" s="9" t="s">
        <v>1592</v>
      </c>
      <c r="H2574" s="9" t="s">
        <v>172</v>
      </c>
      <c r="I2574" s="9" t="s">
        <v>1589</v>
      </c>
      <c r="J2574" s="9" t="s">
        <v>1605</v>
      </c>
      <c r="K2574" s="9">
        <v>1</v>
      </c>
      <c r="L2574" s="9">
        <v>17</v>
      </c>
      <c r="M2574" s="9">
        <v>1953</v>
      </c>
      <c r="O2574" s="9" t="str">
        <f t="shared" si="121"/>
        <v>NO</v>
      </c>
      <c r="P2574" s="9" t="str">
        <f t="shared" si="122"/>
        <v>YES</v>
      </c>
      <c r="Q2574" s="9" t="str">
        <f t="shared" si="123"/>
        <v>Conditioned</v>
      </c>
    </row>
    <row r="2575" spans="1:17">
      <c r="A2575" s="9">
        <v>24863</v>
      </c>
      <c r="B2575" s="9">
        <v>1</v>
      </c>
      <c r="C2575" s="9" t="s">
        <v>1589</v>
      </c>
      <c r="D2575" s="9" t="s">
        <v>1590</v>
      </c>
      <c r="E2575" s="9" t="s">
        <v>1591</v>
      </c>
      <c r="F2575" s="9" t="s">
        <v>1589</v>
      </c>
      <c r="G2575" s="9" t="s">
        <v>1592</v>
      </c>
      <c r="H2575" s="9" t="s">
        <v>177</v>
      </c>
      <c r="I2575" s="9" t="s">
        <v>3940</v>
      </c>
      <c r="J2575" s="9" t="s">
        <v>1597</v>
      </c>
      <c r="K2575" s="9">
        <v>1</v>
      </c>
      <c r="L2575" s="9">
        <v>14</v>
      </c>
      <c r="M2575" s="9">
        <v>2004</v>
      </c>
      <c r="O2575" s="9" t="str">
        <f t="shared" si="121"/>
        <v>NO</v>
      </c>
      <c r="P2575" s="9" t="str">
        <f t="shared" si="122"/>
        <v>NO</v>
      </c>
      <c r="Q2575" s="9" t="str">
        <f t="shared" si="123"/>
        <v>Conditioned</v>
      </c>
    </row>
    <row r="2576" spans="1:17">
      <c r="A2576" s="9">
        <v>24863</v>
      </c>
      <c r="B2576" s="9">
        <v>2</v>
      </c>
      <c r="C2576" s="9" t="s">
        <v>1589</v>
      </c>
      <c r="D2576" s="9" t="s">
        <v>1590</v>
      </c>
      <c r="E2576" s="9" t="s">
        <v>1591</v>
      </c>
      <c r="F2576" s="9" t="s">
        <v>1589</v>
      </c>
      <c r="G2576" s="9" t="s">
        <v>1592</v>
      </c>
      <c r="H2576" s="9" t="s">
        <v>174</v>
      </c>
      <c r="I2576" s="9" t="s">
        <v>1589</v>
      </c>
      <c r="J2576" s="9" t="s">
        <v>1597</v>
      </c>
      <c r="K2576" s="9">
        <v>1</v>
      </c>
      <c r="L2576" s="9">
        <v>18</v>
      </c>
      <c r="O2576" s="9" t="str">
        <f t="shared" si="121"/>
        <v>NO</v>
      </c>
      <c r="P2576" s="9" t="str">
        <f t="shared" si="122"/>
        <v>NO</v>
      </c>
      <c r="Q2576" s="9" t="str">
        <f t="shared" si="123"/>
        <v>Conditioned</v>
      </c>
    </row>
    <row r="2577" spans="1:17">
      <c r="A2577" s="9">
        <v>24866</v>
      </c>
      <c r="B2577" s="9">
        <v>1</v>
      </c>
      <c r="C2577" s="9" t="s">
        <v>1589</v>
      </c>
      <c r="D2577" s="9" t="s">
        <v>1590</v>
      </c>
      <c r="E2577" s="9" t="s">
        <v>1602</v>
      </c>
      <c r="F2577" s="9" t="s">
        <v>1603</v>
      </c>
      <c r="G2577" s="9" t="s">
        <v>1592</v>
      </c>
      <c r="H2577" s="9" t="s">
        <v>173</v>
      </c>
      <c r="I2577" s="9" t="s">
        <v>3941</v>
      </c>
      <c r="J2577" s="9" t="s">
        <v>1601</v>
      </c>
      <c r="K2577" s="9">
        <v>1</v>
      </c>
      <c r="L2577" s="9">
        <v>26</v>
      </c>
      <c r="M2577" s="9">
        <v>2001</v>
      </c>
      <c r="O2577" s="9" t="str">
        <f t="shared" si="121"/>
        <v>NO</v>
      </c>
      <c r="P2577" s="9" t="str">
        <f t="shared" si="122"/>
        <v>NO</v>
      </c>
      <c r="Q2577" s="9" t="str">
        <f t="shared" si="123"/>
        <v>Conditioned</v>
      </c>
    </row>
  </sheetData>
  <autoFilter ref="A21:M257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2</vt:i4>
      </vt:variant>
    </vt:vector>
  </HeadingPairs>
  <TitlesOfParts>
    <vt:vector size="24" baseType="lpstr">
      <vt:lpstr>7PSourceSummary</vt:lpstr>
      <vt:lpstr>forRPM</vt:lpstr>
      <vt:lpstr>SC-New</vt:lpstr>
      <vt:lpstr>SC-New (2)</vt:lpstr>
      <vt:lpstr>SC-NR</vt:lpstr>
      <vt:lpstr>SC-NR (2)</vt:lpstr>
      <vt:lpstr>M_Input_Out</vt:lpstr>
      <vt:lpstr>M_Input</vt:lpstr>
      <vt:lpstr>Composite</vt:lpstr>
      <vt:lpstr>RawRTF</vt:lpstr>
      <vt:lpstr>Measure Development</vt:lpstr>
      <vt:lpstr>Cost Summary</vt:lpstr>
      <vt:lpstr>Cost - Standard FridgeFreezer</vt:lpstr>
      <vt:lpstr>Cost - Standard Freezer</vt:lpstr>
      <vt:lpstr>Cost - Compact FridgeFreezer</vt:lpstr>
      <vt:lpstr>Cost - Compact Freezer</vt:lpstr>
      <vt:lpstr>CEC analysis</vt:lpstr>
      <vt:lpstr>CEC DB for analysis</vt:lpstr>
      <vt:lpstr>ENERGY STAR - Res Refrigerators</vt:lpstr>
      <vt:lpstr>Federal Standards</vt:lpstr>
      <vt:lpstr>Lifetime</vt:lpstr>
      <vt:lpstr>HVAC Interaction</vt:lpstr>
      <vt:lpstr>list_Classes</vt:lpstr>
      <vt:lpstr>MeasureOutput</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Tina Jayaweera</dc:creator>
  <cp:lastModifiedBy>Tina Jayaweera</cp:lastModifiedBy>
  <dcterms:created xsi:type="dcterms:W3CDTF">2014-08-11T21:52:53Z</dcterms:created>
  <dcterms:modified xsi:type="dcterms:W3CDTF">2015-03-12T23:30:42Z</dcterms:modified>
</cp:coreProperties>
</file>